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gizsuzsi\Desktop\Dokumentumok 2018\rendeletek 2018.03.14\"/>
    </mc:Choice>
  </mc:AlternateContent>
  <bookViews>
    <workbookView xWindow="0" yWindow="0" windowWidth="15345" windowHeight="4035" tabRatio="597" activeTab="1"/>
  </bookViews>
  <sheets>
    <sheet name="Címrend" sheetId="1" r:id="rId1"/>
    <sheet name="1 kiem" sheetId="2" r:id="rId2"/>
    <sheet name="2 Össz" sheetId="3" r:id="rId3"/>
    <sheet name="3 Adók és tám" sheetId="4" r:id="rId4"/>
    <sheet name="4 Átvett és Felh bev" sheetId="5" r:id="rId5"/>
    <sheet name="5 Beruh kiad" sheetId="6" r:id="rId6"/>
    <sheet name="6 Tart" sheetId="7" r:id="rId7"/>
    <sheet name="7 Önk" sheetId="8" r:id="rId8"/>
    <sheet name="8 PH" sheetId="9" r:id="rId9"/>
    <sheet name="9 VGIG" sheetId="10" r:id="rId10"/>
    <sheet name="10 Járób" sheetId="11" r:id="rId11"/>
    <sheet name="11 Szoci" sheetId="12" r:id="rId12"/>
    <sheet name="12 Ovi" sheetId="13" r:id="rId13"/>
    <sheet name="13 Művház" sheetId="14" r:id="rId14"/>
    <sheet name="14 Könyvt" sheetId="15" r:id="rId15"/>
    <sheet name="15 létszám" sheetId="16" r:id="rId16"/>
    <sheet name="16 szociális kiad" sheetId="17" r:id="rId17"/>
    <sheet name="17 hitelek" sheetId="18" r:id="rId18"/>
    <sheet name="18 TÖBB ÉVES" sheetId="19" r:id="rId19"/>
    <sheet name="19 EU proj" sheetId="20" r:id="rId20"/>
    <sheet name="20 közvetett" sheetId="21" r:id="rId21"/>
    <sheet name="21 MÉRLEG" sheetId="22" r:id="rId22"/>
    <sheet name="22 FELH TERV" sheetId="23" r:id="rId23"/>
    <sheet name="23 GÖRDÜLŐ" sheetId="24" r:id="rId24"/>
  </sheets>
  <definedNames>
    <definedName name="_4._sz._sor_részletezése">#REF!</definedName>
    <definedName name="_pr232" localSheetId="18">'18 TÖBB ÉVES'!$A$15</definedName>
    <definedName name="_pr232" localSheetId="21">'21 MÉRLEG'!#REF!</definedName>
    <definedName name="_pr232" localSheetId="23">'23 GÖRDÜLŐ'!#REF!</definedName>
    <definedName name="_pr233" localSheetId="18">'18 TÖBB ÉVES'!#REF!</definedName>
    <definedName name="_pr233" localSheetId="21">'21 MÉRLEG'!#REF!</definedName>
    <definedName name="_pr233" localSheetId="23">'23 GÖRDÜLŐ'!#REF!</definedName>
    <definedName name="_pr234" localSheetId="18">'18 TÖBB ÉVES'!$A$16</definedName>
    <definedName name="_pr234" localSheetId="21">'21 MÉRLEG'!#REF!</definedName>
    <definedName name="_pr234" localSheetId="23">'23 GÖRDÜLŐ'!#REF!</definedName>
    <definedName name="_pr235" localSheetId="18">'18 TÖBB ÉVES'!$A$17</definedName>
    <definedName name="_pr235" localSheetId="21">'21 MÉRLEG'!#REF!</definedName>
    <definedName name="_pr235" localSheetId="23">'23 GÖRDÜLŐ'!#REF!</definedName>
    <definedName name="_pr236" localSheetId="18">'18 TÖBB ÉVES'!$A$18</definedName>
    <definedName name="_pr236" localSheetId="21">'21 MÉRLEG'!#REF!</definedName>
    <definedName name="_pr236" localSheetId="23">'23 GÖRDÜLŐ'!#REF!</definedName>
    <definedName name="_pr312" localSheetId="18">'18 TÖBB ÉVES'!#REF!</definedName>
    <definedName name="_pr312" localSheetId="21">'21 MÉRLEG'!#REF!</definedName>
    <definedName name="_pr312" localSheetId="23">'23 GÖRDÜLŐ'!#REF!</definedName>
    <definedName name="_pr313" localSheetId="18">'18 TÖBB ÉVES'!$A$4</definedName>
    <definedName name="_pr313" localSheetId="21">'21 MÉRLEG'!#REF!</definedName>
    <definedName name="_pr313" localSheetId="23">'23 GÖRDÜLŐ'!#REF!</definedName>
    <definedName name="_pr314" localSheetId="18">'18 TÖBB ÉVES'!#REF!</definedName>
    <definedName name="_pr314" localSheetId="21">'21 MÉRLEG'!#REF!</definedName>
    <definedName name="_pr314" localSheetId="23">'23 GÖRDÜLŐ'!#REF!</definedName>
    <definedName name="_pr315" localSheetId="18">'18 TÖBB ÉVES'!$A$11</definedName>
    <definedName name="_pr315" localSheetId="21">'21 MÉRLEG'!#REF!</definedName>
    <definedName name="_pr315" localSheetId="23">'23 GÖRDÜLŐ'!$A$5</definedName>
    <definedName name="_pr347" localSheetId="23">'23 GÖRDÜLŐ'!$G$7</definedName>
    <definedName name="_pr348" localSheetId="23">'23 GÖRDÜLŐ'!$G$8</definedName>
    <definedName name="_pr349" localSheetId="23">'23 GÖRDÜLŐ'!$G$9</definedName>
    <definedName name="_pr54" localSheetId="0">Címrend!$B$29</definedName>
    <definedName name="_pr55" localSheetId="0">Címrend!$B$30</definedName>
    <definedName name="_pr56" localSheetId="0">Címrend!$B$31</definedName>
    <definedName name="_pr57" localSheetId="0">Címrend!$B$32</definedName>
    <definedName name="_pr58" localSheetId="0">Címrend!$B$33</definedName>
    <definedName name="_pr59" localSheetId="0">Címrend!$B$34</definedName>
    <definedName name="_pr60" localSheetId="0">Címrend!#REF!</definedName>
    <definedName name="_pr61" localSheetId="0">Címrend!$B$36</definedName>
    <definedName name="_pr62" localSheetId="0">Címrend!$B$37</definedName>
    <definedName name="_pr63" localSheetId="0">Címrend!$B$38</definedName>
    <definedName name="_pr64" localSheetId="0">Címrend!$B$39</definedName>
    <definedName name="_pr65" localSheetId="0">Címrend!$B$40</definedName>
    <definedName name="_pr66" localSheetId="0">Címrend!$B$41</definedName>
    <definedName name="_pr67" localSheetId="0">Címrend!$B$42</definedName>
    <definedName name="_pr68" localSheetId="0">Címrend!$B$43</definedName>
    <definedName name="_pr69" localSheetId="0">Címrend!$B$44</definedName>
    <definedName name="_pr70" localSheetId="0">Címrend!$B$45</definedName>
    <definedName name="_pr71" localSheetId="0">Címrend!$B$46</definedName>
    <definedName name="_pr72" localSheetId="0">Címrend!$B$47</definedName>
    <definedName name="_pr73" localSheetId="0">Címrend!$B$48</definedName>
    <definedName name="Excel_BuiltIn_Print_Area" localSheetId="1">'1 kiem'!$A$1:$D$31</definedName>
    <definedName name="Excel_BuiltIn_Print_Area" localSheetId="10">'10 Járób'!$A$1:$I$131</definedName>
    <definedName name="Excel_BuiltIn_Print_Area" localSheetId="11">'11 Szoci'!$A$1:$I$131</definedName>
    <definedName name="Excel_BuiltIn_Print_Area" localSheetId="12">'12 Ovi'!$A$1:$I$131</definedName>
    <definedName name="Excel_BuiltIn_Print_Area" localSheetId="13">'13 Művház'!$A$1:$I$131</definedName>
    <definedName name="Excel_BuiltIn_Print_Area" localSheetId="14">'14 Könyvt'!$A$1:$I$131</definedName>
    <definedName name="Excel_BuiltIn_Print_Area" localSheetId="15">'15 létszám'!$A$1:$T$39</definedName>
    <definedName name="Excel_BuiltIn_Print_Area" localSheetId="16">'16 szociális kiad'!$A$1:$E$23</definedName>
    <definedName name="Excel_BuiltIn_Print_Area" localSheetId="17">'17 hitelek'!$A$1:$G$84</definedName>
    <definedName name="Excel_BuiltIn_Print_Area" localSheetId="19">'19 EU proj'!$A$1:$B$167</definedName>
    <definedName name="Excel_BuiltIn_Print_Area" localSheetId="2">'2 Össz'!$A$1:$E$155</definedName>
    <definedName name="Excel_BuiltIn_Print_Area" localSheetId="23">'23 GÖRDÜLŐ'!$A$1:$F$151</definedName>
    <definedName name="Excel_BuiltIn_Print_Area" localSheetId="3">'3 Adók és tám'!$A$1:$E$83</definedName>
    <definedName name="Excel_BuiltIn_Print_Area" localSheetId="4">'4 Átvett és Felh bev'!$A$1:$G$91</definedName>
    <definedName name="Excel_BuiltIn_Print_Area" localSheetId="5">'5 Beruh kiad'!$A$1:$G$93</definedName>
    <definedName name="Excel_BuiltIn_Print_Area" localSheetId="6">'6 Tart'!$A$1:$I$27</definedName>
    <definedName name="Excel_BuiltIn_Print_Area" localSheetId="7">'7 Önk'!$B$1:$AZ$131</definedName>
    <definedName name="Excel_BuiltIn_Print_Area" localSheetId="8">'8 PH'!$B$1:$I$134</definedName>
    <definedName name="Excel_BuiltIn_Print_Area" localSheetId="9">'9 VGIG'!$B$1:$I$134</definedName>
    <definedName name="Excel_BuiltIn_Print_Titles" localSheetId="10">'10 Járób'!$A$1:$IR$5</definedName>
    <definedName name="Excel_BuiltIn_Print_Titles" localSheetId="11">'11 Szoci'!$A$1:$IR$5</definedName>
    <definedName name="Excel_BuiltIn_Print_Titles" localSheetId="12">'12 Ovi'!$A$1:$IR$5</definedName>
    <definedName name="Excel_BuiltIn_Print_Titles" localSheetId="13">'13 Művház'!$A$1:$IR$5</definedName>
    <definedName name="Excel_BuiltIn_Print_Titles" localSheetId="14">'14 Könyvt'!$A$1:$IR$5</definedName>
    <definedName name="Excel_BuiltIn_Print_Titles" localSheetId="2">'2 Össz'!$A$1:$IO$5</definedName>
    <definedName name="Excel_BuiltIn_Print_Titles" localSheetId="3">'3 Adók és tám'!$A$1:$IT$6</definedName>
    <definedName name="Excel_BuiltIn_Print_Titles" localSheetId="4">'4 Átvett és Felh bev'!$A$1:$IS$9</definedName>
    <definedName name="Excel_BuiltIn_Print_Titles" localSheetId="5">'5 Beruh kiad'!$A$1:$IS$8</definedName>
    <definedName name="Excel_BuiltIn_Print_Titles" localSheetId="7">('7 Önk'!$B:$C,'7 Önk'!$A$1:$HV$5)</definedName>
    <definedName name="Excel_BuiltIn_Print_Titles" localSheetId="8">'8 PH'!$A$1:$IR$5</definedName>
    <definedName name="Excel_BuiltIn_Print_Titles" localSheetId="9">'9 VGIG'!$A$1:$IR$5</definedName>
    <definedName name="_xlnm.Print_Titles" localSheetId="10">'10 Járób'!$1:$5</definedName>
    <definedName name="_xlnm.Print_Titles" localSheetId="11">'11 Szoci'!$1:$5</definedName>
    <definedName name="_xlnm.Print_Titles" localSheetId="12">'12 Ovi'!$1:$5</definedName>
    <definedName name="_xlnm.Print_Titles" localSheetId="13">'13 Művház'!$1:$5</definedName>
    <definedName name="_xlnm.Print_Titles" localSheetId="14">'14 Könyvt'!$1:$5</definedName>
    <definedName name="_xlnm.Print_Titles" localSheetId="19">'19 EU proj'!$1:$6</definedName>
    <definedName name="_xlnm.Print_Titles" localSheetId="2">'2 Össz'!$1:$5</definedName>
    <definedName name="_xlnm.Print_Titles" localSheetId="21">'21 MÉRLEG'!$1:$4</definedName>
    <definedName name="_xlnm.Print_Titles" localSheetId="22">'22 FELH TERV'!$1:$6</definedName>
    <definedName name="_xlnm.Print_Titles" localSheetId="23">'23 GÖRDÜLŐ'!$1:$6</definedName>
    <definedName name="_xlnm.Print_Titles" localSheetId="3">'3 Adók és tám'!$1:$6</definedName>
    <definedName name="_xlnm.Print_Titles" localSheetId="4">'4 Átvett és Felh bev'!$1:$9</definedName>
    <definedName name="_xlnm.Print_Titles" localSheetId="5">'5 Beruh kiad'!$1:$8</definedName>
    <definedName name="_xlnm.Print_Titles" localSheetId="7">('7 Önk'!$B:$C,'7 Önk'!$1:$5)</definedName>
    <definedName name="_xlnm.Print_Titles" localSheetId="8">'8 PH'!$1:$5</definedName>
    <definedName name="_xlnm.Print_Titles" localSheetId="9">'9 VGIG'!$1:$5</definedName>
    <definedName name="_xlnm.Print_Area" localSheetId="1">'1 kiem'!$A$1:$G$31</definedName>
    <definedName name="_xlnm.Print_Area" localSheetId="10">'10 Járób'!$B$1:$I$131</definedName>
    <definedName name="_xlnm.Print_Area" localSheetId="11">'11 Szoci'!$B$1:$I$131</definedName>
    <definedName name="_xlnm.Print_Area" localSheetId="12">'12 Ovi'!$B$1:$I$131</definedName>
    <definedName name="_xlnm.Print_Area" localSheetId="13">'13 Művház'!$B$1:$I$131</definedName>
    <definedName name="_xlnm.Print_Area" localSheetId="14">'14 Könyvt'!$B$1:$I$131</definedName>
    <definedName name="_xlnm.Print_Area" localSheetId="15">'15 létszám'!$A$1:$T$37</definedName>
    <definedName name="_xlnm.Print_Area" localSheetId="16">'16 szociális kiad'!$B$1:$E$23</definedName>
    <definedName name="_xlnm.Print_Area" localSheetId="17">'17 hitelek'!$B$1:$G$84</definedName>
    <definedName name="_xlnm.Print_Area" localSheetId="18">'18 TÖBB ÉVES'!$A$1:$I$24</definedName>
    <definedName name="_xlnm.Print_Area" localSheetId="19">'19 EU proj'!$A$1:$B$327</definedName>
    <definedName name="_xlnm.Print_Area" localSheetId="2">'2 Össz'!$A$1:$H$154</definedName>
    <definedName name="_xlnm.Print_Area" localSheetId="20">'20 közvetett'!$A$1:$E$20</definedName>
    <definedName name="_xlnm.Print_Area" localSheetId="21">'21 MÉRLEG'!$A$1:$E$154</definedName>
    <definedName name="_xlnm.Print_Area" localSheetId="22">'22 FELH TERV'!$A$1:$O$154</definedName>
    <definedName name="_xlnm.Print_Area" localSheetId="23">'23 GÖRDÜLŐ'!$A$1:$F$155</definedName>
    <definedName name="_xlnm.Print_Area" localSheetId="3">'3 Adók és tám'!$B$1:$E$83</definedName>
    <definedName name="_xlnm.Print_Area" localSheetId="4">'4 Átvett és Felh bev'!$B$1:$E$91</definedName>
    <definedName name="_xlnm.Print_Area" localSheetId="5">'5 Beruh kiad'!$B$1:$E$93</definedName>
    <definedName name="_xlnm.Print_Area" localSheetId="6">'6 Tart'!$B$1:$I$27</definedName>
    <definedName name="_xlnm.Print_Area" localSheetId="7">'7 Önk'!$B$1:$BA$131</definedName>
    <definedName name="_xlnm.Print_Area" localSheetId="8">'8 PH'!$B$1:$I$131</definedName>
    <definedName name="_xlnm.Print_Area" localSheetId="9">'9 VGIG'!$B$1:$H$131</definedName>
    <definedName name="_xlnm.Print_Area" localSheetId="0">Címrend!$A$1:$B$18</definedName>
  </definedNames>
  <calcPr calcId="162913"/>
</workbook>
</file>

<file path=xl/calcChain.xml><?xml version="1.0" encoding="utf-8"?>
<calcChain xmlns="http://schemas.openxmlformats.org/spreadsheetml/2006/main">
  <c r="S27" i="16" l="1"/>
  <c r="F92" i="24" l="1"/>
  <c r="E92" i="24"/>
  <c r="E16" i="24"/>
  <c r="E14" i="24"/>
  <c r="E139" i="24" l="1"/>
  <c r="O93" i="23" l="1"/>
  <c r="O84" i="23"/>
  <c r="C26" i="16" l="1"/>
  <c r="C27" i="16"/>
  <c r="D79" i="4"/>
  <c r="M93" i="23" l="1"/>
  <c r="L93" i="23"/>
  <c r="J93" i="23"/>
  <c r="K43" i="23"/>
  <c r="I93" i="23"/>
  <c r="H93" i="23"/>
  <c r="E91" i="23"/>
  <c r="O119" i="23"/>
  <c r="O106" i="23"/>
  <c r="O82" i="23"/>
  <c r="O102" i="23"/>
  <c r="O105" i="23"/>
  <c r="N46" i="23"/>
  <c r="O46" i="23"/>
  <c r="F43" i="23"/>
  <c r="N41" i="23"/>
  <c r="L41" i="23"/>
  <c r="O111" i="23" l="1"/>
  <c r="O104" i="23"/>
  <c r="O103" i="23"/>
  <c r="O101" i="23"/>
  <c r="O99" i="23"/>
  <c r="O97" i="23"/>
  <c r="O83" i="23"/>
  <c r="O81" i="23"/>
  <c r="O80" i="23"/>
  <c r="O52" i="23"/>
  <c r="O30" i="23"/>
  <c r="O24" i="23"/>
  <c r="O16" i="23"/>
  <c r="O15" i="23"/>
  <c r="O14" i="23"/>
  <c r="O13" i="23"/>
  <c r="O12" i="23"/>
  <c r="O11" i="23"/>
  <c r="E101" i="6" l="1"/>
  <c r="D101" i="6"/>
  <c r="E121" i="5"/>
  <c r="E124" i="5" s="1"/>
  <c r="E125" i="5"/>
  <c r="D124" i="5"/>
  <c r="E120" i="5"/>
  <c r="E119" i="5"/>
  <c r="E118" i="5"/>
  <c r="E117" i="5"/>
  <c r="E116" i="5"/>
  <c r="D115" i="5"/>
  <c r="E114" i="5"/>
  <c r="E113" i="5"/>
  <c r="E112" i="5"/>
  <c r="E111" i="5"/>
  <c r="E110" i="5"/>
  <c r="D109" i="5"/>
  <c r="D108" i="5"/>
  <c r="D107" i="5"/>
  <c r="D106" i="5"/>
  <c r="E105" i="5"/>
  <c r="E119" i="6"/>
  <c r="D119" i="6"/>
  <c r="E113" i="6"/>
  <c r="D113" i="6"/>
  <c r="E112" i="6"/>
  <c r="D112" i="6"/>
  <c r="D118" i="6"/>
  <c r="D14" i="6"/>
  <c r="E126" i="5" l="1"/>
  <c r="E85" i="6"/>
  <c r="E87" i="6"/>
  <c r="E118" i="6" s="1"/>
  <c r="AP113" i="8"/>
  <c r="J114" i="8"/>
  <c r="D72" i="5"/>
  <c r="D15" i="14" l="1"/>
  <c r="D13" i="14"/>
  <c r="D13" i="9"/>
  <c r="D12" i="9"/>
  <c r="D11" i="9"/>
  <c r="D10" i="9"/>
  <c r="D7" i="9"/>
  <c r="AX29" i="8"/>
  <c r="AT13" i="8"/>
  <c r="J19" i="8"/>
  <c r="J15" i="8"/>
  <c r="J10" i="8"/>
  <c r="J8" i="8"/>
  <c r="L13" i="8"/>
  <c r="E24" i="7"/>
  <c r="D24" i="7"/>
  <c r="D37" i="14" l="1"/>
  <c r="C145" i="24" l="1"/>
  <c r="C144" i="24"/>
  <c r="C142" i="24"/>
  <c r="C141" i="24"/>
  <c r="C132" i="24"/>
  <c r="C131" i="24"/>
  <c r="C130" i="24"/>
  <c r="C124" i="24"/>
  <c r="C123" i="24"/>
  <c r="C122" i="24"/>
  <c r="C121" i="24"/>
  <c r="C112" i="24"/>
  <c r="C111" i="24"/>
  <c r="C110" i="24"/>
  <c r="C109" i="24"/>
  <c r="C108" i="24"/>
  <c r="C106" i="24"/>
  <c r="C105" i="24"/>
  <c r="C104" i="24"/>
  <c r="C102" i="24"/>
  <c r="C97" i="24"/>
  <c r="C96" i="24"/>
  <c r="C95" i="24"/>
  <c r="C91" i="24"/>
  <c r="C90" i="24"/>
  <c r="C89" i="24"/>
  <c r="C88" i="24"/>
  <c r="C67" i="24"/>
  <c r="C66" i="24"/>
  <c r="C65" i="24"/>
  <c r="C64" i="24"/>
  <c r="C62" i="24"/>
  <c r="C61" i="24"/>
  <c r="C60" i="24"/>
  <c r="C55" i="24"/>
  <c r="C29" i="24"/>
  <c r="C28" i="24"/>
  <c r="C27" i="24"/>
  <c r="C26" i="24"/>
  <c r="C25" i="24"/>
  <c r="C23" i="24"/>
  <c r="C22" i="24"/>
  <c r="C21" i="24"/>
  <c r="C19" i="24"/>
  <c r="C18" i="24"/>
  <c r="C131" i="23" l="1"/>
  <c r="C123" i="23"/>
  <c r="C111" i="23"/>
  <c r="C110" i="23"/>
  <c r="C109" i="23"/>
  <c r="C108" i="23"/>
  <c r="C107" i="23"/>
  <c r="C105" i="23"/>
  <c r="C104" i="23"/>
  <c r="C103" i="23"/>
  <c r="C101" i="23"/>
  <c r="C96" i="23"/>
  <c r="C95" i="23"/>
  <c r="C94" i="23"/>
  <c r="C90" i="23"/>
  <c r="C89" i="23"/>
  <c r="C88" i="23"/>
  <c r="C87" i="23"/>
  <c r="C66" i="23"/>
  <c r="C65" i="23"/>
  <c r="C62" i="23"/>
  <c r="C55" i="23"/>
  <c r="C29" i="23"/>
  <c r="C28" i="23"/>
  <c r="C27" i="23"/>
  <c r="C26" i="23"/>
  <c r="C25" i="23"/>
  <c r="C23" i="23"/>
  <c r="C22" i="23"/>
  <c r="C21" i="23"/>
  <c r="C19" i="23"/>
  <c r="C18" i="23"/>
  <c r="E144" i="22" l="1"/>
  <c r="E143" i="22"/>
  <c r="E141" i="22"/>
  <c r="E140" i="22"/>
  <c r="E131" i="22"/>
  <c r="E130" i="22"/>
  <c r="E129" i="22"/>
  <c r="E123" i="22"/>
  <c r="E122" i="22"/>
  <c r="E121" i="22"/>
  <c r="E120" i="22"/>
  <c r="E111" i="22"/>
  <c r="E110" i="22"/>
  <c r="E109" i="22"/>
  <c r="E108" i="22"/>
  <c r="E107" i="22"/>
  <c r="E105" i="22"/>
  <c r="E104" i="22"/>
  <c r="E103" i="22"/>
  <c r="E101" i="22"/>
  <c r="E96" i="22"/>
  <c r="E95" i="22"/>
  <c r="E94" i="22"/>
  <c r="E90" i="22"/>
  <c r="E89" i="22"/>
  <c r="E88" i="22"/>
  <c r="E87" i="22"/>
  <c r="E66" i="22"/>
  <c r="E65" i="22"/>
  <c r="E64" i="22"/>
  <c r="E63" i="22"/>
  <c r="E61" i="22"/>
  <c r="E60" i="22"/>
  <c r="E59" i="22"/>
  <c r="E54" i="22"/>
  <c r="E28" i="22"/>
  <c r="E27" i="22"/>
  <c r="E26" i="22"/>
  <c r="E25" i="22"/>
  <c r="E24" i="22"/>
  <c r="E22" i="22"/>
  <c r="E21" i="22"/>
  <c r="E20" i="22"/>
  <c r="E18" i="22"/>
  <c r="E17" i="22"/>
  <c r="E13" i="14" l="1"/>
  <c r="E8" i="14"/>
  <c r="D7" i="14"/>
  <c r="S26" i="16" l="1"/>
  <c r="D77" i="6" l="1"/>
  <c r="D75" i="6"/>
  <c r="J13" i="8" l="1"/>
  <c r="AB13" i="8"/>
  <c r="Z15" i="8"/>
  <c r="D54" i="6"/>
  <c r="D114" i="6" s="1"/>
  <c r="D74" i="6"/>
  <c r="D47" i="6"/>
  <c r="D107" i="6" s="1"/>
  <c r="D73" i="6"/>
  <c r="E106" i="6" s="1"/>
  <c r="D46" i="6"/>
  <c r="D106" i="6" s="1"/>
  <c r="D102" i="6"/>
  <c r="E102" i="6"/>
  <c r="H102" i="6" s="1"/>
  <c r="D103" i="6"/>
  <c r="D104" i="6"/>
  <c r="E104" i="6"/>
  <c r="H104" i="6" s="1"/>
  <c r="D105" i="6"/>
  <c r="E105" i="6"/>
  <c r="D108" i="6"/>
  <c r="E108" i="6"/>
  <c r="D109" i="6"/>
  <c r="E109" i="6"/>
  <c r="D110" i="6"/>
  <c r="E110" i="6"/>
  <c r="D111" i="6"/>
  <c r="H111" i="6" s="1"/>
  <c r="E111" i="6"/>
  <c r="H112" i="6"/>
  <c r="E114" i="6"/>
  <c r="D115" i="6"/>
  <c r="E115" i="6"/>
  <c r="D116" i="6"/>
  <c r="E116" i="6"/>
  <c r="H116" i="6" s="1"/>
  <c r="D117" i="6"/>
  <c r="E117" i="6"/>
  <c r="H120" i="6"/>
  <c r="D121" i="6"/>
  <c r="E121" i="6"/>
  <c r="H121" i="6"/>
  <c r="B201" i="20"/>
  <c r="H118" i="6"/>
  <c r="H109" i="6" l="1"/>
  <c r="H105" i="6"/>
  <c r="H119" i="6"/>
  <c r="H117" i="6"/>
  <c r="H110" i="6"/>
  <c r="H108" i="6"/>
  <c r="E107" i="6"/>
  <c r="H107" i="6" s="1"/>
  <c r="H101" i="6"/>
  <c r="H113" i="6"/>
  <c r="H115" i="6"/>
  <c r="H114" i="6"/>
  <c r="H106" i="6"/>
  <c r="E35" i="6"/>
  <c r="E103" i="6" s="1"/>
  <c r="H103" i="6" s="1"/>
  <c r="B306" i="20"/>
  <c r="B308" i="20" s="1"/>
  <c r="B310" i="20" s="1"/>
  <c r="B321" i="20"/>
  <c r="B322" i="20" s="1"/>
  <c r="B324" i="20" s="1"/>
  <c r="B326" i="20" s="1"/>
  <c r="C326" i="20" s="1"/>
  <c r="B305" i="20"/>
  <c r="B243" i="20"/>
  <c r="D98" i="6" l="1"/>
  <c r="C310" i="20"/>
  <c r="B67" i="20"/>
  <c r="D40" i="5" l="1"/>
  <c r="L86" i="8" l="1"/>
  <c r="AJ29" i="8"/>
  <c r="AD15" i="8"/>
  <c r="AD13" i="8"/>
  <c r="V84" i="8"/>
  <c r="X13" i="8"/>
  <c r="AZ74" i="8" l="1"/>
  <c r="AY74" i="8"/>
  <c r="AX74" i="8"/>
  <c r="AW74" i="8"/>
  <c r="AV74" i="8"/>
  <c r="AU74" i="8"/>
  <c r="AT74" i="8"/>
  <c r="AS74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AY32" i="8"/>
  <c r="AW32" i="8"/>
  <c r="AV32" i="8"/>
  <c r="AU32" i="8"/>
  <c r="AT32" i="8"/>
  <c r="AS32" i="8"/>
  <c r="AR32" i="8"/>
  <c r="AQ32" i="8"/>
  <c r="AP32" i="8"/>
  <c r="AO32" i="8"/>
  <c r="AN32" i="8"/>
  <c r="AM32" i="8"/>
  <c r="AL32" i="8"/>
  <c r="AK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AZ32" i="8"/>
  <c r="AX32" i="8"/>
  <c r="AJ32" i="8"/>
  <c r="J32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E16" i="8"/>
  <c r="AC16" i="8"/>
  <c r="AB16" i="8"/>
  <c r="AA16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AF16" i="8"/>
  <c r="Z16" i="8"/>
  <c r="AD16" i="8"/>
  <c r="X16" i="8"/>
  <c r="J16" i="8"/>
  <c r="AZ9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E11" i="21" l="1"/>
  <c r="D15" i="15"/>
  <c r="D13" i="15"/>
  <c r="D121" i="15"/>
  <c r="D12" i="15" l="1"/>
  <c r="D84" i="15"/>
  <c r="D17" i="6" l="1"/>
  <c r="D34" i="6" s="1"/>
  <c r="D33" i="6"/>
  <c r="D12" i="14" l="1"/>
  <c r="D8" i="14" l="1"/>
  <c r="D121" i="14"/>
  <c r="D84" i="14"/>
  <c r="T28" i="16" l="1"/>
  <c r="S28" i="16"/>
  <c r="D54" i="4"/>
  <c r="D29" i="8" l="1"/>
  <c r="D12" i="7"/>
  <c r="D40" i="6"/>
  <c r="D32" i="6"/>
  <c r="D64" i="4"/>
  <c r="D61" i="4"/>
  <c r="D53" i="4"/>
  <c r="D52" i="4"/>
  <c r="D51" i="4"/>
  <c r="F7" i="11" l="1"/>
  <c r="I7" i="11"/>
  <c r="F8" i="11"/>
  <c r="I8" i="11"/>
  <c r="I9" i="11" s="1"/>
  <c r="D9" i="11"/>
  <c r="E9" i="11"/>
  <c r="F9" i="11"/>
  <c r="G9" i="11"/>
  <c r="H9" i="11"/>
  <c r="F10" i="11"/>
  <c r="I10" i="11"/>
  <c r="F11" i="11"/>
  <c r="I11" i="11"/>
  <c r="F12" i="11"/>
  <c r="I12" i="11"/>
  <c r="F13" i="11"/>
  <c r="I13" i="11"/>
  <c r="F14" i="11"/>
  <c r="I14" i="11"/>
  <c r="F15" i="11"/>
  <c r="I15" i="11"/>
  <c r="D16" i="11"/>
  <c r="E16" i="11"/>
  <c r="G16" i="11"/>
  <c r="H16" i="11"/>
  <c r="F17" i="11"/>
  <c r="I17" i="11"/>
  <c r="F18" i="11"/>
  <c r="I18" i="11"/>
  <c r="F19" i="11"/>
  <c r="I19" i="11"/>
  <c r="F20" i="11"/>
  <c r="I20" i="11"/>
  <c r="F21" i="11"/>
  <c r="I21" i="11"/>
  <c r="F22" i="11"/>
  <c r="I22" i="11"/>
  <c r="F23" i="11"/>
  <c r="I23" i="11"/>
  <c r="F24" i="11"/>
  <c r="I24" i="11"/>
  <c r="F25" i="11"/>
  <c r="I25" i="11"/>
  <c r="F26" i="11"/>
  <c r="I26" i="11"/>
  <c r="F27" i="11"/>
  <c r="I27" i="11"/>
  <c r="F28" i="11"/>
  <c r="I28" i="11"/>
  <c r="F29" i="11"/>
  <c r="I29" i="11"/>
  <c r="F30" i="11"/>
  <c r="I30" i="11"/>
  <c r="F31" i="11"/>
  <c r="I31" i="11"/>
  <c r="D32" i="11"/>
  <c r="E32" i="11"/>
  <c r="G32" i="11"/>
  <c r="H32" i="11"/>
  <c r="F34" i="11"/>
  <c r="I34" i="11"/>
  <c r="F35" i="11"/>
  <c r="I35" i="11"/>
  <c r="F36" i="11"/>
  <c r="I36" i="11"/>
  <c r="F37" i="11"/>
  <c r="I37" i="11"/>
  <c r="F38" i="11"/>
  <c r="I38" i="11"/>
  <c r="F39" i="11"/>
  <c r="I39" i="11"/>
  <c r="F40" i="11"/>
  <c r="I40" i="11"/>
  <c r="D41" i="11"/>
  <c r="E41" i="11"/>
  <c r="G41" i="11"/>
  <c r="H41" i="11"/>
  <c r="F42" i="11"/>
  <c r="I42" i="11"/>
  <c r="I46" i="11" s="1"/>
  <c r="F43" i="11"/>
  <c r="I43" i="11"/>
  <c r="F44" i="11"/>
  <c r="I44" i="11"/>
  <c r="F45" i="11"/>
  <c r="I45" i="11"/>
  <c r="D46" i="11"/>
  <c r="E46" i="11"/>
  <c r="G46" i="11"/>
  <c r="H46" i="11"/>
  <c r="F47" i="11"/>
  <c r="I47" i="11"/>
  <c r="F48" i="11"/>
  <c r="I48" i="11"/>
  <c r="F49" i="11"/>
  <c r="I49" i="11"/>
  <c r="F50" i="11"/>
  <c r="I50" i="11"/>
  <c r="F51" i="11"/>
  <c r="I51" i="11"/>
  <c r="F52" i="11"/>
  <c r="I52" i="11"/>
  <c r="F53" i="11"/>
  <c r="I53" i="11"/>
  <c r="F54" i="11"/>
  <c r="I54" i="11"/>
  <c r="F55" i="11"/>
  <c r="I55" i="11"/>
  <c r="D56" i="11"/>
  <c r="E56" i="11"/>
  <c r="G56" i="11"/>
  <c r="H56" i="11"/>
  <c r="I56" i="11"/>
  <c r="F59" i="11"/>
  <c r="I59" i="11"/>
  <c r="F60" i="11"/>
  <c r="I60" i="11"/>
  <c r="F61" i="11"/>
  <c r="I61" i="11"/>
  <c r="F62" i="11"/>
  <c r="I62" i="11"/>
  <c r="D63" i="11"/>
  <c r="E63" i="11"/>
  <c r="F63" i="11"/>
  <c r="G63" i="11"/>
  <c r="H63" i="11"/>
  <c r="F68" i="11"/>
  <c r="I68" i="11"/>
  <c r="F69" i="11"/>
  <c r="I69" i="11"/>
  <c r="F70" i="11"/>
  <c r="I70" i="11"/>
  <c r="F71" i="11"/>
  <c r="I71" i="11"/>
  <c r="F72" i="11"/>
  <c r="I72" i="11"/>
  <c r="F73" i="11"/>
  <c r="I73" i="11"/>
  <c r="D74" i="11"/>
  <c r="E74" i="11"/>
  <c r="G74" i="11"/>
  <c r="H74" i="11"/>
  <c r="F75" i="11"/>
  <c r="I75" i="11"/>
  <c r="F76" i="11"/>
  <c r="I76" i="11"/>
  <c r="F77" i="11"/>
  <c r="I77" i="11"/>
  <c r="F78" i="11"/>
  <c r="I78" i="11"/>
  <c r="F79" i="11"/>
  <c r="I79" i="11"/>
  <c r="F80" i="11"/>
  <c r="I80" i="11"/>
  <c r="F81" i="11"/>
  <c r="I81" i="11"/>
  <c r="D82" i="11"/>
  <c r="E82" i="11"/>
  <c r="F82" i="11"/>
  <c r="G82" i="11"/>
  <c r="H82" i="11"/>
  <c r="F83" i="11"/>
  <c r="I83" i="11"/>
  <c r="F84" i="11"/>
  <c r="I84" i="11"/>
  <c r="F85" i="11"/>
  <c r="I85" i="11"/>
  <c r="F86" i="11"/>
  <c r="I86" i="11"/>
  <c r="F87" i="11"/>
  <c r="I87" i="11"/>
  <c r="F88" i="11"/>
  <c r="I88" i="11"/>
  <c r="F89" i="11"/>
  <c r="I89" i="11"/>
  <c r="F90" i="11"/>
  <c r="I90" i="11"/>
  <c r="F91" i="11"/>
  <c r="I91" i="11"/>
  <c r="F92" i="11"/>
  <c r="I92" i="11"/>
  <c r="F93" i="11"/>
  <c r="I93" i="11"/>
  <c r="D94" i="11"/>
  <c r="E94" i="11"/>
  <c r="G94" i="11"/>
  <c r="H94" i="11"/>
  <c r="F95" i="11"/>
  <c r="I95" i="11"/>
  <c r="F96" i="11"/>
  <c r="I96" i="11"/>
  <c r="F97" i="11"/>
  <c r="I97" i="11"/>
  <c r="F98" i="11"/>
  <c r="I98" i="11"/>
  <c r="F99" i="11"/>
  <c r="I99" i="11"/>
  <c r="D100" i="11"/>
  <c r="E100" i="11"/>
  <c r="G100" i="11"/>
  <c r="H100" i="11"/>
  <c r="F101" i="11"/>
  <c r="I101" i="11"/>
  <c r="F102" i="11"/>
  <c r="I102" i="11"/>
  <c r="F105" i="11"/>
  <c r="I105" i="11"/>
  <c r="F106" i="11"/>
  <c r="I106" i="11"/>
  <c r="D107" i="11"/>
  <c r="E107" i="11"/>
  <c r="G107" i="11"/>
  <c r="H107" i="11"/>
  <c r="F111" i="11"/>
  <c r="I111" i="11"/>
  <c r="F112" i="11"/>
  <c r="I112" i="11"/>
  <c r="F113" i="11"/>
  <c r="I113" i="11"/>
  <c r="F114" i="11"/>
  <c r="I114" i="11"/>
  <c r="F115" i="11"/>
  <c r="I115" i="11"/>
  <c r="F116" i="11"/>
  <c r="I116" i="11"/>
  <c r="D117" i="11"/>
  <c r="E117" i="11"/>
  <c r="G117" i="11"/>
  <c r="H117" i="11"/>
  <c r="F118" i="11"/>
  <c r="I118" i="11"/>
  <c r="F119" i="11"/>
  <c r="I119" i="11"/>
  <c r="F120" i="11"/>
  <c r="I120" i="11"/>
  <c r="F121" i="11"/>
  <c r="I121" i="11"/>
  <c r="D122" i="11"/>
  <c r="E122" i="11"/>
  <c r="F122" i="11"/>
  <c r="G122" i="11"/>
  <c r="I122" i="11" s="1"/>
  <c r="F123" i="11"/>
  <c r="I123" i="11"/>
  <c r="F124" i="11"/>
  <c r="I124" i="11"/>
  <c r="F125" i="11"/>
  <c r="I125" i="11"/>
  <c r="G126" i="11"/>
  <c r="G130" i="11" s="1"/>
  <c r="G134" i="11" s="1"/>
  <c r="H126" i="11"/>
  <c r="H130" i="11" s="1"/>
  <c r="H134" i="11" s="1"/>
  <c r="F127" i="11"/>
  <c r="I127" i="11"/>
  <c r="F128" i="11"/>
  <c r="I128" i="11"/>
  <c r="F129" i="11"/>
  <c r="I129" i="11"/>
  <c r="F7" i="12"/>
  <c r="F9" i="12" s="1"/>
  <c r="I7" i="12"/>
  <c r="F8" i="12"/>
  <c r="I8" i="12"/>
  <c r="I9" i="12" s="1"/>
  <c r="D9" i="12"/>
  <c r="E9" i="12"/>
  <c r="G9" i="12"/>
  <c r="H9" i="12"/>
  <c r="F10" i="12"/>
  <c r="I10" i="12"/>
  <c r="F11" i="12"/>
  <c r="I11" i="12"/>
  <c r="F12" i="12"/>
  <c r="I12" i="12"/>
  <c r="F13" i="12"/>
  <c r="I13" i="12"/>
  <c r="F14" i="12"/>
  <c r="I14" i="12"/>
  <c r="F15" i="12"/>
  <c r="I15" i="12"/>
  <c r="D16" i="12"/>
  <c r="E16" i="12"/>
  <c r="G16" i="12"/>
  <c r="H16" i="12"/>
  <c r="F17" i="12"/>
  <c r="I17" i="12"/>
  <c r="F18" i="12"/>
  <c r="I18" i="12"/>
  <c r="F19" i="12"/>
  <c r="I19" i="12"/>
  <c r="F20" i="12"/>
  <c r="I20" i="12"/>
  <c r="F21" i="12"/>
  <c r="I21" i="12"/>
  <c r="F22" i="12"/>
  <c r="I22" i="12"/>
  <c r="F23" i="12"/>
  <c r="I23" i="12"/>
  <c r="F24" i="12"/>
  <c r="I24" i="12"/>
  <c r="F25" i="12"/>
  <c r="I25" i="12"/>
  <c r="F26" i="12"/>
  <c r="I26" i="12"/>
  <c r="F27" i="12"/>
  <c r="I27" i="12"/>
  <c r="F28" i="12"/>
  <c r="I28" i="12"/>
  <c r="F29" i="12"/>
  <c r="I29" i="12"/>
  <c r="F30" i="12"/>
  <c r="I30" i="12"/>
  <c r="F31" i="12"/>
  <c r="I31" i="12"/>
  <c r="D32" i="12"/>
  <c r="E32" i="12"/>
  <c r="G32" i="12"/>
  <c r="H32" i="12"/>
  <c r="F34" i="12"/>
  <c r="I34" i="12"/>
  <c r="F35" i="12"/>
  <c r="I35" i="12"/>
  <c r="F36" i="12"/>
  <c r="I36" i="12"/>
  <c r="F37" i="12"/>
  <c r="I37" i="12"/>
  <c r="F38" i="12"/>
  <c r="I38" i="12"/>
  <c r="F39" i="12"/>
  <c r="I39" i="12"/>
  <c r="F40" i="12"/>
  <c r="I40" i="12"/>
  <c r="D41" i="12"/>
  <c r="E41" i="12"/>
  <c r="G41" i="12"/>
  <c r="H41" i="12"/>
  <c r="I41" i="12"/>
  <c r="F42" i="12"/>
  <c r="I42" i="12"/>
  <c r="F43" i="12"/>
  <c r="I43" i="12"/>
  <c r="F44" i="12"/>
  <c r="I44" i="12"/>
  <c r="F45" i="12"/>
  <c r="I45" i="12"/>
  <c r="D46" i="12"/>
  <c r="E46" i="12"/>
  <c r="G46" i="12"/>
  <c r="H46" i="12"/>
  <c r="F47" i="12"/>
  <c r="I47" i="12"/>
  <c r="F48" i="12"/>
  <c r="I48" i="12"/>
  <c r="F49" i="12"/>
  <c r="I49" i="12"/>
  <c r="F50" i="12"/>
  <c r="I50" i="12"/>
  <c r="F51" i="12"/>
  <c r="I51" i="12"/>
  <c r="F52" i="12"/>
  <c r="I52" i="12"/>
  <c r="F53" i="12"/>
  <c r="I53" i="12"/>
  <c r="F54" i="12"/>
  <c r="I54" i="12"/>
  <c r="F55" i="12"/>
  <c r="I55" i="12"/>
  <c r="D56" i="12"/>
  <c r="E56" i="12"/>
  <c r="G56" i="12"/>
  <c r="G57" i="12" s="1"/>
  <c r="H56" i="12"/>
  <c r="H58" i="12" s="1"/>
  <c r="H64" i="12" s="1"/>
  <c r="F59" i="12"/>
  <c r="I59" i="12"/>
  <c r="F60" i="12"/>
  <c r="I60" i="12"/>
  <c r="F61" i="12"/>
  <c r="F63" i="12" s="1"/>
  <c r="I61" i="12"/>
  <c r="I63" i="12" s="1"/>
  <c r="F62" i="12"/>
  <c r="I62" i="12"/>
  <c r="D63" i="12"/>
  <c r="E63" i="12"/>
  <c r="G63" i="12"/>
  <c r="H63" i="12"/>
  <c r="F68" i="12"/>
  <c r="I68" i="12"/>
  <c r="F69" i="12"/>
  <c r="I69" i="12"/>
  <c r="F70" i="12"/>
  <c r="I70" i="12"/>
  <c r="F71" i="12"/>
  <c r="I71" i="12"/>
  <c r="F72" i="12"/>
  <c r="I72" i="12"/>
  <c r="F73" i="12"/>
  <c r="F74" i="12" s="1"/>
  <c r="I73" i="12"/>
  <c r="I74" i="12" s="1"/>
  <c r="D74" i="12"/>
  <c r="E74" i="12"/>
  <c r="G74" i="12"/>
  <c r="H74" i="12"/>
  <c r="F75" i="12"/>
  <c r="I75" i="12"/>
  <c r="F76" i="12"/>
  <c r="I76" i="12"/>
  <c r="F77" i="12"/>
  <c r="I77" i="12"/>
  <c r="F78" i="12"/>
  <c r="I78" i="12"/>
  <c r="F79" i="12"/>
  <c r="I79" i="12"/>
  <c r="F80" i="12"/>
  <c r="I80" i="12"/>
  <c r="F81" i="12"/>
  <c r="I81" i="12"/>
  <c r="D82" i="12"/>
  <c r="E82" i="12"/>
  <c r="F82" i="12"/>
  <c r="G82" i="12"/>
  <c r="H82" i="12"/>
  <c r="F83" i="12"/>
  <c r="I83" i="12"/>
  <c r="F84" i="12"/>
  <c r="I84" i="12"/>
  <c r="F85" i="12"/>
  <c r="I85" i="12"/>
  <c r="F86" i="12"/>
  <c r="I86" i="12"/>
  <c r="F87" i="12"/>
  <c r="I87" i="12"/>
  <c r="F88" i="12"/>
  <c r="I88" i="12"/>
  <c r="F89" i="12"/>
  <c r="I89" i="12"/>
  <c r="F90" i="12"/>
  <c r="I90" i="12"/>
  <c r="F91" i="12"/>
  <c r="I91" i="12"/>
  <c r="F92" i="12"/>
  <c r="I92" i="12"/>
  <c r="F93" i="12"/>
  <c r="I93" i="12"/>
  <c r="D94" i="12"/>
  <c r="E94" i="12"/>
  <c r="G94" i="12"/>
  <c r="H94" i="12"/>
  <c r="F95" i="12"/>
  <c r="I95" i="12"/>
  <c r="F96" i="12"/>
  <c r="I96" i="12"/>
  <c r="F97" i="12"/>
  <c r="I97" i="12"/>
  <c r="F98" i="12"/>
  <c r="I98" i="12"/>
  <c r="F99" i="12"/>
  <c r="I99" i="12"/>
  <c r="D100" i="12"/>
  <c r="E100" i="12"/>
  <c r="F100" i="12"/>
  <c r="G100" i="12"/>
  <c r="H100" i="12"/>
  <c r="F101" i="12"/>
  <c r="I101" i="12"/>
  <c r="F102" i="12"/>
  <c r="I102" i="12"/>
  <c r="F105" i="12"/>
  <c r="F107" i="12" s="1"/>
  <c r="I105" i="12"/>
  <c r="F106" i="12"/>
  <c r="I106" i="12"/>
  <c r="D107" i="12"/>
  <c r="E107" i="12"/>
  <c r="G107" i="12"/>
  <c r="H107" i="12"/>
  <c r="F111" i="12"/>
  <c r="I111" i="12"/>
  <c r="F112" i="12"/>
  <c r="I112" i="12"/>
  <c r="F113" i="12"/>
  <c r="I113" i="12"/>
  <c r="F114" i="12"/>
  <c r="I114" i="12"/>
  <c r="F115" i="12"/>
  <c r="I115" i="12"/>
  <c r="F116" i="12"/>
  <c r="I116" i="12"/>
  <c r="D117" i="12"/>
  <c r="E117" i="12"/>
  <c r="G117" i="12"/>
  <c r="G126" i="12" s="1"/>
  <c r="G130" i="12" s="1"/>
  <c r="G134" i="12" s="1"/>
  <c r="H117" i="12"/>
  <c r="F118" i="12"/>
  <c r="I118" i="12"/>
  <c r="F119" i="12"/>
  <c r="I119" i="12"/>
  <c r="F120" i="12"/>
  <c r="I120" i="12"/>
  <c r="F121" i="12"/>
  <c r="G121" i="12"/>
  <c r="I121" i="12" s="1"/>
  <c r="D122" i="12"/>
  <c r="E122" i="12"/>
  <c r="H122" i="12"/>
  <c r="I122" i="12" s="1"/>
  <c r="F123" i="12"/>
  <c r="I123" i="12"/>
  <c r="F124" i="12"/>
  <c r="I124" i="12"/>
  <c r="F125" i="12"/>
  <c r="I125" i="12"/>
  <c r="E126" i="12"/>
  <c r="E130" i="12" s="1"/>
  <c r="E134" i="12" s="1"/>
  <c r="F127" i="12"/>
  <c r="I127" i="12"/>
  <c r="F128" i="12"/>
  <c r="I128" i="12"/>
  <c r="F129" i="12"/>
  <c r="I129" i="12"/>
  <c r="F7" i="13"/>
  <c r="F9" i="13" s="1"/>
  <c r="I7" i="13"/>
  <c r="F8" i="13"/>
  <c r="I8" i="13"/>
  <c r="I9" i="13" s="1"/>
  <c r="D9" i="13"/>
  <c r="E9" i="13"/>
  <c r="G9" i="13"/>
  <c r="H9" i="13"/>
  <c r="F10" i="13"/>
  <c r="I10" i="13"/>
  <c r="F11" i="13"/>
  <c r="I11" i="13"/>
  <c r="F12" i="13"/>
  <c r="I12" i="13"/>
  <c r="F13" i="13"/>
  <c r="I13" i="13"/>
  <c r="F14" i="13"/>
  <c r="I14" i="13"/>
  <c r="F15" i="13"/>
  <c r="I15" i="13"/>
  <c r="D16" i="13"/>
  <c r="E16" i="13"/>
  <c r="G16" i="13"/>
  <c r="G33" i="13" s="1"/>
  <c r="H16" i="13"/>
  <c r="F17" i="13"/>
  <c r="I17" i="13"/>
  <c r="F18" i="13"/>
  <c r="I18" i="13"/>
  <c r="F19" i="13"/>
  <c r="I19" i="13"/>
  <c r="F20" i="13"/>
  <c r="I20" i="13"/>
  <c r="F21" i="13"/>
  <c r="I21" i="13"/>
  <c r="F22" i="13"/>
  <c r="I22" i="13"/>
  <c r="F23" i="13"/>
  <c r="I23" i="13"/>
  <c r="F24" i="13"/>
  <c r="I24" i="13"/>
  <c r="F25" i="13"/>
  <c r="I25" i="13"/>
  <c r="F26" i="13"/>
  <c r="I26" i="13"/>
  <c r="F27" i="13"/>
  <c r="I27" i="13"/>
  <c r="F28" i="13"/>
  <c r="I28" i="13"/>
  <c r="F29" i="13"/>
  <c r="I29" i="13"/>
  <c r="F30" i="13"/>
  <c r="I30" i="13"/>
  <c r="F31" i="13"/>
  <c r="I31" i="13"/>
  <c r="D32" i="13"/>
  <c r="E32" i="13"/>
  <c r="E33" i="13" s="1"/>
  <c r="G32" i="13"/>
  <c r="H32" i="13"/>
  <c r="F34" i="13"/>
  <c r="I34" i="13"/>
  <c r="F35" i="13"/>
  <c r="I35" i="13"/>
  <c r="F36" i="13"/>
  <c r="I36" i="13"/>
  <c r="F37" i="13"/>
  <c r="I37" i="13"/>
  <c r="F38" i="13"/>
  <c r="I38" i="13"/>
  <c r="F39" i="13"/>
  <c r="I39" i="13"/>
  <c r="F40" i="13"/>
  <c r="I40" i="13"/>
  <c r="D41" i="13"/>
  <c r="E41" i="13"/>
  <c r="G41" i="13"/>
  <c r="H41" i="13"/>
  <c r="F42" i="13"/>
  <c r="I42" i="13"/>
  <c r="F43" i="13"/>
  <c r="I43" i="13"/>
  <c r="F44" i="13"/>
  <c r="I44" i="13"/>
  <c r="F45" i="13"/>
  <c r="I45" i="13"/>
  <c r="D46" i="13"/>
  <c r="E46" i="13"/>
  <c r="G46" i="13"/>
  <c r="H46" i="13"/>
  <c r="F47" i="13"/>
  <c r="I47" i="13"/>
  <c r="F48" i="13"/>
  <c r="I48" i="13"/>
  <c r="F49" i="13"/>
  <c r="I49" i="13"/>
  <c r="F50" i="13"/>
  <c r="I50" i="13"/>
  <c r="F51" i="13"/>
  <c r="I51" i="13"/>
  <c r="F52" i="13"/>
  <c r="I52" i="13"/>
  <c r="F53" i="13"/>
  <c r="I53" i="13"/>
  <c r="F54" i="13"/>
  <c r="I54" i="13"/>
  <c r="F55" i="13"/>
  <c r="I55" i="13"/>
  <c r="I56" i="13" s="1"/>
  <c r="D56" i="13"/>
  <c r="E56" i="13"/>
  <c r="E57" i="13" s="1"/>
  <c r="G56" i="13"/>
  <c r="H56" i="13"/>
  <c r="F59" i="13"/>
  <c r="I59" i="13"/>
  <c r="F60" i="13"/>
  <c r="I60" i="13"/>
  <c r="F61" i="13"/>
  <c r="F63" i="13" s="1"/>
  <c r="I61" i="13"/>
  <c r="F62" i="13"/>
  <c r="I62" i="13"/>
  <c r="D63" i="13"/>
  <c r="E63" i="13"/>
  <c r="G63" i="13"/>
  <c r="H63" i="13"/>
  <c r="F68" i="13"/>
  <c r="I68" i="13"/>
  <c r="F69" i="13"/>
  <c r="I69" i="13"/>
  <c r="F70" i="13"/>
  <c r="I70" i="13"/>
  <c r="F71" i="13"/>
  <c r="I71" i="13"/>
  <c r="F72" i="13"/>
  <c r="I72" i="13"/>
  <c r="F73" i="13"/>
  <c r="I73" i="13"/>
  <c r="I74" i="13" s="1"/>
  <c r="D74" i="13"/>
  <c r="E74" i="13"/>
  <c r="G74" i="13"/>
  <c r="G109" i="13" s="1"/>
  <c r="H74" i="13"/>
  <c r="F75" i="13"/>
  <c r="I75" i="13"/>
  <c r="F76" i="13"/>
  <c r="I76" i="13"/>
  <c r="F77" i="13"/>
  <c r="I77" i="13"/>
  <c r="F78" i="13"/>
  <c r="I78" i="13"/>
  <c r="F79" i="13"/>
  <c r="I79" i="13"/>
  <c r="F80" i="13"/>
  <c r="I80" i="13"/>
  <c r="F81" i="13"/>
  <c r="I81" i="13"/>
  <c r="D82" i="13"/>
  <c r="E82" i="13"/>
  <c r="G82" i="13"/>
  <c r="H82" i="13"/>
  <c r="F83" i="13"/>
  <c r="I83" i="13"/>
  <c r="F84" i="13"/>
  <c r="I84" i="13"/>
  <c r="F85" i="13"/>
  <c r="I85" i="13"/>
  <c r="F86" i="13"/>
  <c r="I86" i="13"/>
  <c r="F87" i="13"/>
  <c r="I87" i="13"/>
  <c r="F88" i="13"/>
  <c r="I88" i="13"/>
  <c r="F89" i="13"/>
  <c r="I89" i="13"/>
  <c r="F90" i="13"/>
  <c r="I90" i="13"/>
  <c r="F91" i="13"/>
  <c r="I91" i="13"/>
  <c r="F92" i="13"/>
  <c r="I92" i="13"/>
  <c r="F93" i="13"/>
  <c r="I93" i="13"/>
  <c r="D94" i="13"/>
  <c r="E94" i="13"/>
  <c r="E109" i="13" s="1"/>
  <c r="G94" i="13"/>
  <c r="H94" i="13"/>
  <c r="F95" i="13"/>
  <c r="I95" i="13"/>
  <c r="F96" i="13"/>
  <c r="I96" i="13"/>
  <c r="F97" i="13"/>
  <c r="I97" i="13"/>
  <c r="F98" i="13"/>
  <c r="I98" i="13"/>
  <c r="F99" i="13"/>
  <c r="I99" i="13"/>
  <c r="D100" i="13"/>
  <c r="E100" i="13"/>
  <c r="F100" i="13"/>
  <c r="G100" i="13"/>
  <c r="H100" i="13"/>
  <c r="F101" i="13"/>
  <c r="I101" i="13"/>
  <c r="F102" i="13"/>
  <c r="I102" i="13"/>
  <c r="F105" i="13"/>
  <c r="I105" i="13"/>
  <c r="F106" i="13"/>
  <c r="I106" i="13"/>
  <c r="D107" i="13"/>
  <c r="E107" i="13"/>
  <c r="G107" i="13"/>
  <c r="G108" i="13" s="1"/>
  <c r="H107" i="13"/>
  <c r="F111" i="13"/>
  <c r="I111" i="13"/>
  <c r="F112" i="13"/>
  <c r="I112" i="13"/>
  <c r="F113" i="13"/>
  <c r="I113" i="13"/>
  <c r="F114" i="13"/>
  <c r="I114" i="13"/>
  <c r="F115" i="13"/>
  <c r="I115" i="13"/>
  <c r="F116" i="13"/>
  <c r="I116" i="13"/>
  <c r="D117" i="13"/>
  <c r="E117" i="13"/>
  <c r="G117" i="13"/>
  <c r="H117" i="13"/>
  <c r="F118" i="13"/>
  <c r="I118" i="13"/>
  <c r="F119" i="13"/>
  <c r="I119" i="13"/>
  <c r="F120" i="13"/>
  <c r="I120" i="13"/>
  <c r="F121" i="13"/>
  <c r="G121" i="13"/>
  <c r="I121" i="13" s="1"/>
  <c r="D122" i="13"/>
  <c r="F122" i="13" s="1"/>
  <c r="E122" i="13"/>
  <c r="H122" i="13"/>
  <c r="I122" i="13" s="1"/>
  <c r="F123" i="13"/>
  <c r="I123" i="13"/>
  <c r="F124" i="13"/>
  <c r="I124" i="13"/>
  <c r="F125" i="13"/>
  <c r="I125" i="13"/>
  <c r="E126" i="13"/>
  <c r="E130" i="13" s="1"/>
  <c r="F127" i="13"/>
  <c r="I127" i="13"/>
  <c r="F128" i="13"/>
  <c r="I128" i="13"/>
  <c r="F129" i="13"/>
  <c r="I129" i="13"/>
  <c r="F7" i="14"/>
  <c r="I7" i="14"/>
  <c r="F8" i="14"/>
  <c r="I8" i="14"/>
  <c r="I9" i="14" s="1"/>
  <c r="E9" i="14"/>
  <c r="G9" i="14"/>
  <c r="H9" i="14"/>
  <c r="F10" i="14"/>
  <c r="I10" i="14"/>
  <c r="F11" i="14"/>
  <c r="I11" i="14"/>
  <c r="I16" i="14" s="1"/>
  <c r="F12" i="14"/>
  <c r="I12" i="14"/>
  <c r="F13" i="14"/>
  <c r="I13" i="14"/>
  <c r="F14" i="14"/>
  <c r="I14" i="14"/>
  <c r="F15" i="14"/>
  <c r="I15" i="14"/>
  <c r="E16" i="14"/>
  <c r="G16" i="14"/>
  <c r="H16" i="14"/>
  <c r="F17" i="14"/>
  <c r="I17" i="14"/>
  <c r="F18" i="14"/>
  <c r="I18" i="14"/>
  <c r="F19" i="14"/>
  <c r="I19" i="14"/>
  <c r="F20" i="14"/>
  <c r="I20" i="14"/>
  <c r="F21" i="14"/>
  <c r="I21" i="14"/>
  <c r="F22" i="14"/>
  <c r="I22" i="14"/>
  <c r="F23" i="14"/>
  <c r="I23" i="14"/>
  <c r="F24" i="14"/>
  <c r="I24" i="14"/>
  <c r="F25" i="14"/>
  <c r="I25" i="14"/>
  <c r="F26" i="14"/>
  <c r="I26" i="14"/>
  <c r="F27" i="14"/>
  <c r="I27" i="14"/>
  <c r="F28" i="14"/>
  <c r="I28" i="14"/>
  <c r="F29" i="14"/>
  <c r="I29" i="14"/>
  <c r="F30" i="14"/>
  <c r="I30" i="14"/>
  <c r="F31" i="14"/>
  <c r="I31" i="14"/>
  <c r="D32" i="14"/>
  <c r="E32" i="14"/>
  <c r="G32" i="14"/>
  <c r="H32" i="14"/>
  <c r="G33" i="14"/>
  <c r="G109" i="14" s="1"/>
  <c r="F34" i="14"/>
  <c r="I34" i="14"/>
  <c r="F35" i="14"/>
  <c r="I35" i="14"/>
  <c r="I41" i="14" s="1"/>
  <c r="F36" i="14"/>
  <c r="I36" i="14"/>
  <c r="F37" i="14"/>
  <c r="I37" i="14"/>
  <c r="F38" i="14"/>
  <c r="I38" i="14"/>
  <c r="F39" i="14"/>
  <c r="I39" i="14"/>
  <c r="F40" i="14"/>
  <c r="I40" i="14"/>
  <c r="D41" i="14"/>
  <c r="E41" i="14"/>
  <c r="E57" i="14" s="1"/>
  <c r="G41" i="14"/>
  <c r="H41" i="14"/>
  <c r="F42" i="14"/>
  <c r="I42" i="14"/>
  <c r="F43" i="14"/>
  <c r="I43" i="14"/>
  <c r="F44" i="14"/>
  <c r="I44" i="14"/>
  <c r="F45" i="14"/>
  <c r="I45" i="14"/>
  <c r="D46" i="14"/>
  <c r="E46" i="14"/>
  <c r="G46" i="14"/>
  <c r="H46" i="14"/>
  <c r="F47" i="14"/>
  <c r="I47" i="14"/>
  <c r="F48" i="14"/>
  <c r="I48" i="14"/>
  <c r="F49" i="14"/>
  <c r="I49" i="14"/>
  <c r="F50" i="14"/>
  <c r="I50" i="14"/>
  <c r="F51" i="14"/>
  <c r="I51" i="14"/>
  <c r="F52" i="14"/>
  <c r="I52" i="14"/>
  <c r="F53" i="14"/>
  <c r="I53" i="14"/>
  <c r="F54" i="14"/>
  <c r="I54" i="14"/>
  <c r="F55" i="14"/>
  <c r="I55" i="14"/>
  <c r="D56" i="14"/>
  <c r="E56" i="14"/>
  <c r="G56" i="14"/>
  <c r="H56" i="14"/>
  <c r="G57" i="14"/>
  <c r="G58" i="14"/>
  <c r="F59" i="14"/>
  <c r="I59" i="14"/>
  <c r="F60" i="14"/>
  <c r="I60" i="14"/>
  <c r="F61" i="14"/>
  <c r="I61" i="14"/>
  <c r="F62" i="14"/>
  <c r="I62" i="14"/>
  <c r="D63" i="14"/>
  <c r="E63" i="14"/>
  <c r="F63" i="14"/>
  <c r="G63" i="14"/>
  <c r="H63" i="14"/>
  <c r="F68" i="14"/>
  <c r="I68" i="14"/>
  <c r="F69" i="14"/>
  <c r="I69" i="14"/>
  <c r="F70" i="14"/>
  <c r="I70" i="14"/>
  <c r="F71" i="14"/>
  <c r="I71" i="14"/>
  <c r="F72" i="14"/>
  <c r="I72" i="14"/>
  <c r="F73" i="14"/>
  <c r="I73" i="14"/>
  <c r="D74" i="14"/>
  <c r="E74" i="14"/>
  <c r="G74" i="14"/>
  <c r="H74" i="14"/>
  <c r="I74" i="14"/>
  <c r="F75" i="14"/>
  <c r="I75" i="14"/>
  <c r="F76" i="14"/>
  <c r="I76" i="14"/>
  <c r="F77" i="14"/>
  <c r="I77" i="14"/>
  <c r="F78" i="14"/>
  <c r="I78" i="14"/>
  <c r="F79" i="14"/>
  <c r="I79" i="14"/>
  <c r="F80" i="14"/>
  <c r="I80" i="14"/>
  <c r="F81" i="14"/>
  <c r="I81" i="14"/>
  <c r="D82" i="14"/>
  <c r="E82" i="14"/>
  <c r="E108" i="14" s="1"/>
  <c r="G82" i="14"/>
  <c r="H82" i="14"/>
  <c r="F83" i="14"/>
  <c r="I83" i="14"/>
  <c r="F84" i="14"/>
  <c r="I84" i="14"/>
  <c r="F85" i="14"/>
  <c r="I85" i="14"/>
  <c r="F86" i="14"/>
  <c r="I86" i="14"/>
  <c r="F87" i="14"/>
  <c r="I87" i="14"/>
  <c r="F88" i="14"/>
  <c r="I88" i="14"/>
  <c r="F89" i="14"/>
  <c r="I89" i="14"/>
  <c r="F90" i="14"/>
  <c r="I90" i="14"/>
  <c r="F91" i="14"/>
  <c r="I91" i="14"/>
  <c r="F92" i="14"/>
  <c r="I92" i="14"/>
  <c r="F93" i="14"/>
  <c r="I93" i="14"/>
  <c r="D94" i="14"/>
  <c r="E94" i="14"/>
  <c r="G94" i="14"/>
  <c r="H94" i="14"/>
  <c r="I94" i="14"/>
  <c r="F95" i="14"/>
  <c r="I95" i="14"/>
  <c r="F96" i="14"/>
  <c r="I96" i="14"/>
  <c r="I100" i="14" s="1"/>
  <c r="F97" i="14"/>
  <c r="I97" i="14"/>
  <c r="F98" i="14"/>
  <c r="I98" i="14"/>
  <c r="F99" i="14"/>
  <c r="I99" i="14"/>
  <c r="D100" i="14"/>
  <c r="E100" i="14"/>
  <c r="G100" i="14"/>
  <c r="H100" i="14"/>
  <c r="F101" i="14"/>
  <c r="I101" i="14"/>
  <c r="F102" i="14"/>
  <c r="I102" i="14"/>
  <c r="F105" i="14"/>
  <c r="F107" i="14" s="1"/>
  <c r="I105" i="14"/>
  <c r="F106" i="14"/>
  <c r="I106" i="14"/>
  <c r="D107" i="14"/>
  <c r="E107" i="14"/>
  <c r="G107" i="14"/>
  <c r="G108" i="14" s="1"/>
  <c r="H107" i="14"/>
  <c r="F111" i="14"/>
  <c r="I111" i="14"/>
  <c r="F112" i="14"/>
  <c r="I112" i="14"/>
  <c r="F113" i="14"/>
  <c r="F117" i="14" s="1"/>
  <c r="I113" i="14"/>
  <c r="F114" i="14"/>
  <c r="I114" i="14"/>
  <c r="F115" i="14"/>
  <c r="I115" i="14"/>
  <c r="F116" i="14"/>
  <c r="I116" i="14"/>
  <c r="D117" i="14"/>
  <c r="E117" i="14"/>
  <c r="G117" i="14"/>
  <c r="H117" i="14"/>
  <c r="F118" i="14"/>
  <c r="I118" i="14"/>
  <c r="F119" i="14"/>
  <c r="I119" i="14"/>
  <c r="F120" i="14"/>
  <c r="I120" i="14"/>
  <c r="G121" i="14"/>
  <c r="I121" i="14" s="1"/>
  <c r="D122" i="14"/>
  <c r="E122" i="14"/>
  <c r="H122" i="14"/>
  <c r="I122" i="14" s="1"/>
  <c r="F123" i="14"/>
  <c r="I123" i="14"/>
  <c r="F124" i="14"/>
  <c r="I124" i="14"/>
  <c r="F125" i="14"/>
  <c r="I125" i="14"/>
  <c r="H126" i="14"/>
  <c r="F127" i="14"/>
  <c r="I127" i="14"/>
  <c r="F128" i="14"/>
  <c r="I128" i="14"/>
  <c r="F129" i="14"/>
  <c r="I129" i="14"/>
  <c r="H130" i="14"/>
  <c r="H134" i="14" s="1"/>
  <c r="F7" i="15"/>
  <c r="F9" i="15" s="1"/>
  <c r="I7" i="15"/>
  <c r="I9" i="15" s="1"/>
  <c r="F8" i="15"/>
  <c r="I8" i="15"/>
  <c r="D9" i="15"/>
  <c r="E9" i="15"/>
  <c r="G9" i="15"/>
  <c r="H9" i="15"/>
  <c r="F10" i="15"/>
  <c r="I10" i="15"/>
  <c r="F11" i="15"/>
  <c r="I11" i="15"/>
  <c r="F12" i="15"/>
  <c r="I12" i="15"/>
  <c r="I13" i="15"/>
  <c r="F14" i="15"/>
  <c r="I14" i="15"/>
  <c r="F15" i="15"/>
  <c r="I15" i="15"/>
  <c r="E16" i="15"/>
  <c r="G16" i="15"/>
  <c r="G33" i="15" s="1"/>
  <c r="G109" i="15" s="1"/>
  <c r="H16" i="15"/>
  <c r="F17" i="15"/>
  <c r="I17" i="15"/>
  <c r="F18" i="15"/>
  <c r="I18" i="15"/>
  <c r="F19" i="15"/>
  <c r="I19" i="15"/>
  <c r="F20" i="15"/>
  <c r="I20" i="15"/>
  <c r="F21" i="15"/>
  <c r="I21" i="15"/>
  <c r="F22" i="15"/>
  <c r="I22" i="15"/>
  <c r="F23" i="15"/>
  <c r="I23" i="15"/>
  <c r="F24" i="15"/>
  <c r="I24" i="15"/>
  <c r="F25" i="15"/>
  <c r="I25" i="15"/>
  <c r="F26" i="15"/>
  <c r="I26" i="15"/>
  <c r="F27" i="15"/>
  <c r="I27" i="15"/>
  <c r="F28" i="15"/>
  <c r="I28" i="15"/>
  <c r="F29" i="15"/>
  <c r="I29" i="15"/>
  <c r="F30" i="15"/>
  <c r="I30" i="15"/>
  <c r="F31" i="15"/>
  <c r="I31" i="15"/>
  <c r="D32" i="15"/>
  <c r="E32" i="15"/>
  <c r="G32" i="15"/>
  <c r="H32" i="15"/>
  <c r="I32" i="15"/>
  <c r="F34" i="15"/>
  <c r="I34" i="15"/>
  <c r="F35" i="15"/>
  <c r="I35" i="15"/>
  <c r="F36" i="15"/>
  <c r="I36" i="15"/>
  <c r="F37" i="15"/>
  <c r="I37" i="15"/>
  <c r="F38" i="15"/>
  <c r="I38" i="15"/>
  <c r="F39" i="15"/>
  <c r="I39" i="15"/>
  <c r="F40" i="15"/>
  <c r="I40" i="15"/>
  <c r="D41" i="15"/>
  <c r="E41" i="15"/>
  <c r="G41" i="15"/>
  <c r="H41" i="15"/>
  <c r="F42" i="15"/>
  <c r="I42" i="15"/>
  <c r="F43" i="15"/>
  <c r="I43" i="15"/>
  <c r="F44" i="15"/>
  <c r="I44" i="15"/>
  <c r="F45" i="15"/>
  <c r="I45" i="15"/>
  <c r="D46" i="15"/>
  <c r="E46" i="15"/>
  <c r="G46" i="15"/>
  <c r="H46" i="15"/>
  <c r="H58" i="15" s="1"/>
  <c r="H64" i="15" s="1"/>
  <c r="I46" i="15"/>
  <c r="F47" i="15"/>
  <c r="I47" i="15"/>
  <c r="F48" i="15"/>
  <c r="I48" i="15"/>
  <c r="F49" i="15"/>
  <c r="I49" i="15"/>
  <c r="F50" i="15"/>
  <c r="I50" i="15"/>
  <c r="F51" i="15"/>
  <c r="I51" i="15"/>
  <c r="F52" i="15"/>
  <c r="I52" i="15"/>
  <c r="F53" i="15"/>
  <c r="I53" i="15"/>
  <c r="F54" i="15"/>
  <c r="I54" i="15"/>
  <c r="F55" i="15"/>
  <c r="I55" i="15"/>
  <c r="D56" i="15"/>
  <c r="E56" i="15"/>
  <c r="E57" i="15" s="1"/>
  <c r="E110" i="15" s="1"/>
  <c r="G56" i="15"/>
  <c r="H56" i="15"/>
  <c r="G57" i="15"/>
  <c r="F59" i="15"/>
  <c r="I59" i="15"/>
  <c r="F60" i="15"/>
  <c r="I60" i="15"/>
  <c r="F61" i="15"/>
  <c r="I61" i="15"/>
  <c r="F62" i="15"/>
  <c r="I62" i="15"/>
  <c r="D63" i="15"/>
  <c r="E63" i="15"/>
  <c r="F63" i="15"/>
  <c r="G63" i="15"/>
  <c r="H63" i="15"/>
  <c r="F68" i="15"/>
  <c r="I68" i="15"/>
  <c r="F69" i="15"/>
  <c r="I69" i="15"/>
  <c r="F70" i="15"/>
  <c r="I70" i="15"/>
  <c r="F71" i="15"/>
  <c r="I71" i="15"/>
  <c r="F72" i="15"/>
  <c r="I72" i="15"/>
  <c r="F73" i="15"/>
  <c r="I73" i="15"/>
  <c r="D74" i="15"/>
  <c r="E74" i="15"/>
  <c r="G74" i="15"/>
  <c r="H74" i="15"/>
  <c r="F75" i="15"/>
  <c r="I75" i="15"/>
  <c r="F76" i="15"/>
  <c r="I76" i="15"/>
  <c r="F77" i="15"/>
  <c r="I77" i="15"/>
  <c r="F78" i="15"/>
  <c r="I78" i="15"/>
  <c r="F79" i="15"/>
  <c r="I79" i="15"/>
  <c r="F80" i="15"/>
  <c r="I80" i="15"/>
  <c r="F81" i="15"/>
  <c r="I81" i="15"/>
  <c r="D82" i="15"/>
  <c r="E82" i="15"/>
  <c r="F82" i="15"/>
  <c r="G82" i="15"/>
  <c r="H82" i="15"/>
  <c r="F83" i="15"/>
  <c r="I83" i="15"/>
  <c r="F84" i="15"/>
  <c r="I84" i="15"/>
  <c r="F85" i="15"/>
  <c r="I85" i="15"/>
  <c r="F86" i="15"/>
  <c r="I86" i="15"/>
  <c r="F87" i="15"/>
  <c r="I87" i="15"/>
  <c r="F88" i="15"/>
  <c r="I88" i="15"/>
  <c r="F89" i="15"/>
  <c r="I89" i="15"/>
  <c r="F90" i="15"/>
  <c r="I90" i="15"/>
  <c r="F91" i="15"/>
  <c r="I91" i="15"/>
  <c r="F92" i="15"/>
  <c r="I92" i="15"/>
  <c r="F93" i="15"/>
  <c r="I93" i="15"/>
  <c r="D94" i="15"/>
  <c r="E94" i="15"/>
  <c r="G94" i="15"/>
  <c r="H94" i="15"/>
  <c r="F95" i="15"/>
  <c r="I95" i="15"/>
  <c r="F96" i="15"/>
  <c r="I96" i="15"/>
  <c r="F97" i="15"/>
  <c r="I97" i="15"/>
  <c r="F98" i="15"/>
  <c r="I98" i="15"/>
  <c r="F99" i="15"/>
  <c r="I99" i="15"/>
  <c r="D100" i="15"/>
  <c r="E100" i="15"/>
  <c r="G100" i="15"/>
  <c r="H100" i="15"/>
  <c r="F101" i="15"/>
  <c r="I101" i="15"/>
  <c r="F102" i="15"/>
  <c r="I102" i="15"/>
  <c r="F105" i="15"/>
  <c r="I105" i="15"/>
  <c r="F106" i="15"/>
  <c r="I106" i="15"/>
  <c r="D107" i="15"/>
  <c r="E107" i="15"/>
  <c r="G107" i="15"/>
  <c r="H107" i="15"/>
  <c r="F111" i="15"/>
  <c r="I111" i="15"/>
  <c r="F112" i="15"/>
  <c r="I112" i="15"/>
  <c r="F113" i="15"/>
  <c r="I113" i="15"/>
  <c r="F114" i="15"/>
  <c r="I114" i="15"/>
  <c r="F115" i="15"/>
  <c r="I115" i="15"/>
  <c r="F116" i="15"/>
  <c r="I116" i="15"/>
  <c r="D117" i="15"/>
  <c r="E117" i="15"/>
  <c r="G117" i="15"/>
  <c r="H117" i="15"/>
  <c r="F118" i="15"/>
  <c r="I118" i="15"/>
  <c r="F119" i="15"/>
  <c r="I119" i="15"/>
  <c r="F120" i="15"/>
  <c r="I120" i="15"/>
  <c r="F121" i="15"/>
  <c r="G121" i="15"/>
  <c r="I121" i="15" s="1"/>
  <c r="E122" i="15"/>
  <c r="H122" i="15"/>
  <c r="F123" i="15"/>
  <c r="I123" i="15"/>
  <c r="F124" i="15"/>
  <c r="I124" i="15"/>
  <c r="F125" i="15"/>
  <c r="I125" i="15"/>
  <c r="E126" i="15"/>
  <c r="E130" i="15" s="1"/>
  <c r="E134" i="15" s="1"/>
  <c r="F127" i="15"/>
  <c r="I127" i="15"/>
  <c r="F128" i="15"/>
  <c r="I128" i="15"/>
  <c r="F129" i="15"/>
  <c r="I129" i="15"/>
  <c r="S8" i="16"/>
  <c r="T8" i="16"/>
  <c r="S9" i="16"/>
  <c r="T9" i="16"/>
  <c r="S10" i="16"/>
  <c r="T10" i="16"/>
  <c r="S11" i="16"/>
  <c r="T11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3" i="16"/>
  <c r="T13" i="16"/>
  <c r="S14" i="16"/>
  <c r="T14" i="16"/>
  <c r="S15" i="16"/>
  <c r="T15" i="16"/>
  <c r="S16" i="16"/>
  <c r="S17" i="16"/>
  <c r="T17" i="16"/>
  <c r="S18" i="16"/>
  <c r="S19" i="16"/>
  <c r="T19" i="16"/>
  <c r="S20" i="16"/>
  <c r="T20" i="16"/>
  <c r="S21" i="16"/>
  <c r="T21" i="16"/>
  <c r="S22" i="16"/>
  <c r="T22" i="16"/>
  <c r="S23" i="16"/>
  <c r="T23" i="16"/>
  <c r="C24" i="16"/>
  <c r="D24" i="16"/>
  <c r="E24" i="16"/>
  <c r="F24" i="16"/>
  <c r="G24" i="16"/>
  <c r="H24" i="16"/>
  <c r="I24" i="16"/>
  <c r="J24" i="16"/>
  <c r="K24" i="16"/>
  <c r="K37" i="16" s="1"/>
  <c r="L24" i="16"/>
  <c r="M24" i="16"/>
  <c r="N24" i="16"/>
  <c r="O24" i="16"/>
  <c r="P24" i="16"/>
  <c r="Q24" i="16"/>
  <c r="R24" i="16"/>
  <c r="S25" i="16"/>
  <c r="T25" i="16"/>
  <c r="S29" i="16"/>
  <c r="T29" i="16"/>
  <c r="S30" i="16"/>
  <c r="T30" i="16"/>
  <c r="S31" i="16"/>
  <c r="T31" i="16"/>
  <c r="C32" i="16"/>
  <c r="C37" i="16" s="1"/>
  <c r="D32" i="16"/>
  <c r="D37" i="16" s="1"/>
  <c r="E32" i="16"/>
  <c r="F32" i="16"/>
  <c r="G32" i="16"/>
  <c r="H32" i="16"/>
  <c r="I32" i="16"/>
  <c r="J32" i="16"/>
  <c r="K32" i="16"/>
  <c r="L32" i="16"/>
  <c r="L37" i="16" s="1"/>
  <c r="M32" i="16"/>
  <c r="N32" i="16"/>
  <c r="O32" i="16"/>
  <c r="P32" i="16"/>
  <c r="P37" i="16" s="1"/>
  <c r="Q32" i="16"/>
  <c r="R32" i="16"/>
  <c r="S33" i="16"/>
  <c r="T33" i="16"/>
  <c r="S34" i="16"/>
  <c r="T34" i="16"/>
  <c r="S35" i="16"/>
  <c r="T35" i="16"/>
  <c r="C36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D23" i="17"/>
  <c r="D25" i="17" s="1"/>
  <c r="E23" i="17"/>
  <c r="E25" i="17" s="1"/>
  <c r="D13" i="18"/>
  <c r="C59" i="3" s="1"/>
  <c r="E13" i="18"/>
  <c r="F13" i="18"/>
  <c r="G13" i="18"/>
  <c r="D14" i="18"/>
  <c r="E14" i="18"/>
  <c r="F14" i="18"/>
  <c r="G14" i="18"/>
  <c r="D19" i="18"/>
  <c r="F19" i="18"/>
  <c r="F22" i="18" s="1"/>
  <c r="E22" i="18"/>
  <c r="E39" i="18" s="1"/>
  <c r="G22" i="18"/>
  <c r="D30" i="18"/>
  <c r="E30" i="18"/>
  <c r="F30" i="18"/>
  <c r="G30" i="18"/>
  <c r="D33" i="18"/>
  <c r="E33" i="18"/>
  <c r="F33" i="18"/>
  <c r="G33" i="18"/>
  <c r="D49" i="18"/>
  <c r="E49" i="18"/>
  <c r="F49" i="18"/>
  <c r="G49" i="18"/>
  <c r="D55" i="18"/>
  <c r="C129" i="3" s="1"/>
  <c r="E55" i="18"/>
  <c r="D129" i="3" s="1"/>
  <c r="F55" i="18"/>
  <c r="G55" i="18"/>
  <c r="D56" i="18"/>
  <c r="E56" i="18"/>
  <c r="F56" i="18"/>
  <c r="G56" i="18"/>
  <c r="D58" i="18"/>
  <c r="C130" i="3" s="1"/>
  <c r="E58" i="18"/>
  <c r="D130" i="3" s="1"/>
  <c r="F58" i="18"/>
  <c r="G58" i="18"/>
  <c r="D60" i="18"/>
  <c r="C131" i="3" s="1"/>
  <c r="E60" i="18"/>
  <c r="F60" i="18"/>
  <c r="G60" i="18"/>
  <c r="D61" i="18"/>
  <c r="E61" i="18"/>
  <c r="F61" i="18"/>
  <c r="G61" i="18"/>
  <c r="D62" i="18"/>
  <c r="E62" i="18"/>
  <c r="F62" i="18"/>
  <c r="G62" i="18"/>
  <c r="D75" i="18"/>
  <c r="E75" i="18"/>
  <c r="F75" i="18"/>
  <c r="G75" i="18"/>
  <c r="D83" i="18"/>
  <c r="E83" i="18"/>
  <c r="F83" i="18"/>
  <c r="G83" i="18"/>
  <c r="I8" i="19"/>
  <c r="I9" i="19"/>
  <c r="I10" i="19"/>
  <c r="C11" i="19"/>
  <c r="D11" i="19"/>
  <c r="E11" i="19"/>
  <c r="F11" i="19"/>
  <c r="G11" i="19"/>
  <c r="H11" i="19"/>
  <c r="I12" i="19"/>
  <c r="C14" i="19"/>
  <c r="D14" i="19"/>
  <c r="E14" i="19"/>
  <c r="F14" i="19"/>
  <c r="G14" i="19"/>
  <c r="H14" i="19"/>
  <c r="I14" i="19"/>
  <c r="I15" i="19"/>
  <c r="I16" i="19"/>
  <c r="I17" i="19"/>
  <c r="C18" i="19"/>
  <c r="D18" i="19"/>
  <c r="E18" i="19"/>
  <c r="E23" i="19" s="1"/>
  <c r="F18" i="19"/>
  <c r="G18" i="19"/>
  <c r="H18" i="19"/>
  <c r="I19" i="19"/>
  <c r="I20" i="19"/>
  <c r="I21" i="19"/>
  <c r="C22" i="19"/>
  <c r="D22" i="19"/>
  <c r="E22" i="19"/>
  <c r="F22" i="19"/>
  <c r="G22" i="19"/>
  <c r="H22" i="19"/>
  <c r="B11" i="20"/>
  <c r="B14" i="20"/>
  <c r="B20" i="20"/>
  <c r="B22" i="20" s="1"/>
  <c r="B27" i="20"/>
  <c r="B31" i="20"/>
  <c r="B33" i="20" s="1"/>
  <c r="B36" i="20"/>
  <c r="B38" i="20" s="1"/>
  <c r="B43" i="20"/>
  <c r="B46" i="20"/>
  <c r="B52" i="20"/>
  <c r="B54" i="20" s="1"/>
  <c r="B62" i="20"/>
  <c r="B65" i="20" s="1"/>
  <c r="B68" i="20"/>
  <c r="B70" i="20" s="1"/>
  <c r="C70" i="20"/>
  <c r="B81" i="20"/>
  <c r="B84" i="20"/>
  <c r="B86" i="20"/>
  <c r="B97" i="20"/>
  <c r="B100" i="20"/>
  <c r="B102" i="20" s="1"/>
  <c r="B113" i="20"/>
  <c r="B116" i="20"/>
  <c r="B118" i="20" s="1"/>
  <c r="B132" i="20"/>
  <c r="B134" i="20" s="1"/>
  <c r="B139" i="20"/>
  <c r="B145" i="20" s="1"/>
  <c r="B142" i="20"/>
  <c r="B148" i="20"/>
  <c r="B150" i="20" s="1"/>
  <c r="B164" i="20"/>
  <c r="B166" i="20" s="1"/>
  <c r="B171" i="20"/>
  <c r="B174" i="20"/>
  <c r="B179" i="20"/>
  <c r="B180" i="20"/>
  <c r="B182" i="20" s="1"/>
  <c r="B187" i="20"/>
  <c r="B190" i="20"/>
  <c r="B193" i="20"/>
  <c r="B195" i="20"/>
  <c r="B196" i="20" s="1"/>
  <c r="B198" i="20" s="1"/>
  <c r="B203" i="20"/>
  <c r="B206" i="20"/>
  <c r="B212" i="20"/>
  <c r="B214" i="20" s="1"/>
  <c r="B219" i="20"/>
  <c r="B222" i="20"/>
  <c r="B227" i="20"/>
  <c r="B228" i="20" s="1"/>
  <c r="B230" i="20" s="1"/>
  <c r="B241" i="20"/>
  <c r="B244" i="20"/>
  <c r="B246" i="20" s="1"/>
  <c r="B251" i="20"/>
  <c r="B260" i="20"/>
  <c r="B262" i="20" s="1"/>
  <c r="B267" i="20"/>
  <c r="B273" i="20" s="1"/>
  <c r="B276" i="20"/>
  <c r="B278" i="20" s="1"/>
  <c r="B289" i="20"/>
  <c r="B290" i="20" s="1"/>
  <c r="B292" i="20" s="1"/>
  <c r="B294" i="20" s="1"/>
  <c r="D59" i="3"/>
  <c r="F59" i="3"/>
  <c r="G59" i="3"/>
  <c r="E60" i="24" s="1"/>
  <c r="C60" i="3"/>
  <c r="D60" i="3"/>
  <c r="F60" i="3"/>
  <c r="G60" i="3"/>
  <c r="E61" i="24" s="1"/>
  <c r="D61" i="3"/>
  <c r="F61" i="3"/>
  <c r="H61" i="3" s="1"/>
  <c r="G61" i="3"/>
  <c r="E63" i="3"/>
  <c r="H63" i="3"/>
  <c r="E64" i="3"/>
  <c r="H64" i="3"/>
  <c r="C65" i="3"/>
  <c r="E65" i="3" s="1"/>
  <c r="F65" i="3"/>
  <c r="H65" i="3"/>
  <c r="E66" i="3"/>
  <c r="H66" i="3"/>
  <c r="E67" i="3"/>
  <c r="H67" i="3"/>
  <c r="E68" i="3"/>
  <c r="H68" i="3"/>
  <c r="E69" i="3"/>
  <c r="H69" i="3"/>
  <c r="D86" i="3"/>
  <c r="G86" i="3"/>
  <c r="F129" i="3"/>
  <c r="F132" i="3" s="1"/>
  <c r="G129" i="3"/>
  <c r="F130" i="3"/>
  <c r="G130" i="3"/>
  <c r="D131" i="3"/>
  <c r="F131" i="3"/>
  <c r="G131" i="3"/>
  <c r="C132" i="3"/>
  <c r="E133" i="3"/>
  <c r="H133" i="3"/>
  <c r="E134" i="3"/>
  <c r="H134" i="3"/>
  <c r="E135" i="3"/>
  <c r="E135" i="22" s="1"/>
  <c r="H135" i="3"/>
  <c r="E136" i="3"/>
  <c r="E136" i="22" s="1"/>
  <c r="H136" i="3"/>
  <c r="C137" i="3"/>
  <c r="D137" i="3"/>
  <c r="E137" i="3"/>
  <c r="F137" i="3"/>
  <c r="G137" i="3"/>
  <c r="E140" i="3"/>
  <c r="H140" i="3"/>
  <c r="E141" i="3"/>
  <c r="H141" i="3"/>
  <c r="E19" i="21"/>
  <c r="C9" i="22"/>
  <c r="D9" i="22"/>
  <c r="C16" i="22"/>
  <c r="D16" i="22"/>
  <c r="C32" i="22"/>
  <c r="D32" i="22"/>
  <c r="C41" i="22"/>
  <c r="D41" i="22"/>
  <c r="C46" i="22"/>
  <c r="D46" i="22"/>
  <c r="C56" i="22"/>
  <c r="D56" i="22"/>
  <c r="C62" i="22"/>
  <c r="C71" i="22" s="1"/>
  <c r="C75" i="22" s="1"/>
  <c r="D62" i="22"/>
  <c r="E67" i="22"/>
  <c r="E69" i="22"/>
  <c r="E70" i="22"/>
  <c r="D71" i="22"/>
  <c r="D75" i="22" s="1"/>
  <c r="E74" i="22"/>
  <c r="C86" i="22"/>
  <c r="C92" i="22" s="1"/>
  <c r="D86" i="22"/>
  <c r="D92" i="22" s="1"/>
  <c r="C100" i="22"/>
  <c r="D100" i="22"/>
  <c r="C112" i="22"/>
  <c r="D112" i="22"/>
  <c r="C118" i="22"/>
  <c r="D118" i="22"/>
  <c r="C125" i="22"/>
  <c r="D125" i="22"/>
  <c r="C132" i="22"/>
  <c r="D132" i="22"/>
  <c r="E133" i="22"/>
  <c r="C137" i="22"/>
  <c r="D137" i="22"/>
  <c r="C142" i="22"/>
  <c r="D142" i="22"/>
  <c r="E145" i="22"/>
  <c r="D41" i="23"/>
  <c r="D42" i="23" s="1"/>
  <c r="E41" i="23"/>
  <c r="F41" i="23"/>
  <c r="F42" i="23" s="1"/>
  <c r="G41" i="23"/>
  <c r="G42" i="23" s="1"/>
  <c r="H41" i="23"/>
  <c r="H42" i="23" s="1"/>
  <c r="I41" i="23"/>
  <c r="I42" i="23" s="1"/>
  <c r="J41" i="23"/>
  <c r="J42" i="23" s="1"/>
  <c r="K41" i="23"/>
  <c r="K42" i="23" s="1"/>
  <c r="L42" i="23"/>
  <c r="M41" i="23"/>
  <c r="N42" i="23"/>
  <c r="O41" i="23"/>
  <c r="O42" i="23" s="1"/>
  <c r="E42" i="23"/>
  <c r="M42" i="23"/>
  <c r="L43" i="23"/>
  <c r="D46" i="23"/>
  <c r="D47" i="23" s="1"/>
  <c r="E46" i="23"/>
  <c r="E47" i="23" s="1"/>
  <c r="F46" i="23"/>
  <c r="F47" i="23" s="1"/>
  <c r="G46" i="23"/>
  <c r="G47" i="23" s="1"/>
  <c r="H46" i="23"/>
  <c r="H47" i="23" s="1"/>
  <c r="I46" i="23"/>
  <c r="I47" i="23" s="1"/>
  <c r="J46" i="23"/>
  <c r="J47" i="23" s="1"/>
  <c r="K46" i="23"/>
  <c r="L46" i="23"/>
  <c r="L47" i="23" s="1"/>
  <c r="M46" i="23"/>
  <c r="N47" i="23"/>
  <c r="O47" i="23"/>
  <c r="M47" i="23"/>
  <c r="D63" i="23"/>
  <c r="E63" i="23"/>
  <c r="F63" i="23"/>
  <c r="G63" i="23"/>
  <c r="H63" i="23"/>
  <c r="I63" i="23"/>
  <c r="J63" i="23"/>
  <c r="K63" i="23"/>
  <c r="L63" i="23"/>
  <c r="M63" i="23"/>
  <c r="N63" i="23"/>
  <c r="O63" i="23"/>
  <c r="H64" i="23"/>
  <c r="O64" i="23"/>
  <c r="G64" i="23"/>
  <c r="I65" i="23"/>
  <c r="M65" i="23"/>
  <c r="N65" i="23"/>
  <c r="C68" i="23"/>
  <c r="D68" i="23" s="1"/>
  <c r="G68" i="23"/>
  <c r="K68" i="23"/>
  <c r="L68" i="23"/>
  <c r="C69" i="23"/>
  <c r="N69" i="23"/>
  <c r="C70" i="23"/>
  <c r="C71" i="23"/>
  <c r="C75" i="23"/>
  <c r="D91" i="23"/>
  <c r="D118" i="23"/>
  <c r="E118" i="23"/>
  <c r="F118" i="23"/>
  <c r="G118" i="23"/>
  <c r="H118" i="23"/>
  <c r="I118" i="23"/>
  <c r="J118" i="23"/>
  <c r="K118" i="23"/>
  <c r="L118" i="23"/>
  <c r="M118" i="23"/>
  <c r="N118" i="23"/>
  <c r="O118" i="23"/>
  <c r="D132" i="23"/>
  <c r="E132" i="23"/>
  <c r="F132" i="23"/>
  <c r="G132" i="23"/>
  <c r="H132" i="23"/>
  <c r="I132" i="23"/>
  <c r="J132" i="23"/>
  <c r="K132" i="23"/>
  <c r="L132" i="23"/>
  <c r="M132" i="23"/>
  <c r="N132" i="23"/>
  <c r="O132" i="23"/>
  <c r="O149" i="23" s="1"/>
  <c r="O153" i="23" s="1"/>
  <c r="C133" i="23"/>
  <c r="P133" i="23" s="1"/>
  <c r="C135" i="23"/>
  <c r="P135" i="23" s="1"/>
  <c r="C136" i="23"/>
  <c r="P136" i="23" s="1"/>
  <c r="D137" i="23"/>
  <c r="E137" i="23"/>
  <c r="F137" i="23"/>
  <c r="G137" i="23"/>
  <c r="H137" i="23"/>
  <c r="I137" i="23"/>
  <c r="J137" i="23"/>
  <c r="K137" i="23"/>
  <c r="L137" i="23"/>
  <c r="M137" i="23"/>
  <c r="N137" i="23"/>
  <c r="O137" i="23"/>
  <c r="C140" i="23"/>
  <c r="P140" i="23"/>
  <c r="D142" i="23"/>
  <c r="D149" i="23" s="1"/>
  <c r="D153" i="23" s="1"/>
  <c r="E142" i="23"/>
  <c r="F142" i="23"/>
  <c r="G142" i="23"/>
  <c r="H142" i="23"/>
  <c r="H149" i="23" s="1"/>
  <c r="H153" i="23" s="1"/>
  <c r="I142" i="23"/>
  <c r="J142" i="23"/>
  <c r="K142" i="23"/>
  <c r="L142" i="23"/>
  <c r="L149" i="23" s="1"/>
  <c r="L153" i="23" s="1"/>
  <c r="M142" i="23"/>
  <c r="N142" i="23"/>
  <c r="O142" i="23"/>
  <c r="C145" i="23"/>
  <c r="P145" i="23" s="1"/>
  <c r="E8" i="24"/>
  <c r="F8" i="24"/>
  <c r="E9" i="24"/>
  <c r="F9" i="24" s="1"/>
  <c r="D10" i="24"/>
  <c r="D11" i="24" s="1"/>
  <c r="E12" i="24"/>
  <c r="F12" i="24" s="1"/>
  <c r="E13" i="24"/>
  <c r="F14" i="24"/>
  <c r="E15" i="24"/>
  <c r="F15" i="24" s="1"/>
  <c r="F16" i="24"/>
  <c r="D17" i="24"/>
  <c r="E18" i="24"/>
  <c r="F18" i="24" s="1"/>
  <c r="E19" i="24"/>
  <c r="F19" i="24"/>
  <c r="E20" i="24"/>
  <c r="F20" i="24" s="1"/>
  <c r="E21" i="24"/>
  <c r="F21" i="24" s="1"/>
  <c r="E22" i="24"/>
  <c r="E23" i="24"/>
  <c r="F23" i="24" s="1"/>
  <c r="E24" i="24"/>
  <c r="F24" i="24"/>
  <c r="E25" i="24"/>
  <c r="F25" i="24" s="1"/>
  <c r="E26" i="24"/>
  <c r="F26" i="24"/>
  <c r="E27" i="24"/>
  <c r="F27" i="24" s="1"/>
  <c r="E28" i="24"/>
  <c r="F28" i="24"/>
  <c r="E29" i="24"/>
  <c r="F29" i="24" s="1"/>
  <c r="E31" i="24"/>
  <c r="F31" i="24" s="1"/>
  <c r="E32" i="24"/>
  <c r="F32" i="24" s="1"/>
  <c r="D33" i="24"/>
  <c r="E35" i="24"/>
  <c r="F35" i="24" s="1"/>
  <c r="F36" i="24"/>
  <c r="E37" i="24"/>
  <c r="F37" i="24" s="1"/>
  <c r="E38" i="24"/>
  <c r="F38" i="24" s="1"/>
  <c r="E39" i="24"/>
  <c r="F39" i="24"/>
  <c r="E40" i="24"/>
  <c r="F40" i="24" s="1"/>
  <c r="D41" i="24"/>
  <c r="D42" i="24" s="1"/>
  <c r="E45" i="24"/>
  <c r="F45" i="24" s="1"/>
  <c r="D46" i="24"/>
  <c r="D47" i="24" s="1"/>
  <c r="E55" i="24"/>
  <c r="F55" i="24"/>
  <c r="D57" i="24"/>
  <c r="E62" i="24"/>
  <c r="F62" i="24" s="1"/>
  <c r="D63" i="24"/>
  <c r="E64" i="24"/>
  <c r="F64" i="24"/>
  <c r="E65" i="24"/>
  <c r="F65" i="24"/>
  <c r="E66" i="24"/>
  <c r="F66" i="24" s="1"/>
  <c r="E67" i="24"/>
  <c r="F67" i="24"/>
  <c r="C68" i="24"/>
  <c r="E68" i="24"/>
  <c r="F68" i="24"/>
  <c r="E69" i="24"/>
  <c r="F69" i="24"/>
  <c r="C70" i="24"/>
  <c r="E70" i="24"/>
  <c r="F70" i="24"/>
  <c r="C71" i="24"/>
  <c r="E71" i="24"/>
  <c r="F71" i="24"/>
  <c r="D72" i="24"/>
  <c r="C75" i="24"/>
  <c r="E75" i="24"/>
  <c r="F75" i="24"/>
  <c r="D76" i="24"/>
  <c r="C80" i="24"/>
  <c r="D80" i="24"/>
  <c r="E80" i="24"/>
  <c r="F80" i="24"/>
  <c r="E81" i="24"/>
  <c r="E82" i="24"/>
  <c r="F82" i="24"/>
  <c r="E83" i="24"/>
  <c r="F83" i="24" s="1"/>
  <c r="E84" i="24"/>
  <c r="F84" i="24" s="1"/>
  <c r="E85" i="24"/>
  <c r="F85" i="24" s="1"/>
  <c r="E86" i="24"/>
  <c r="F86" i="24"/>
  <c r="D87" i="24"/>
  <c r="E88" i="24"/>
  <c r="F88" i="24" s="1"/>
  <c r="E89" i="24"/>
  <c r="F89" i="24"/>
  <c r="E90" i="24"/>
  <c r="F90" i="24" s="1"/>
  <c r="E91" i="24"/>
  <c r="F91" i="24"/>
  <c r="E95" i="24"/>
  <c r="E96" i="24"/>
  <c r="F96" i="24"/>
  <c r="E97" i="24"/>
  <c r="F97" i="24" s="1"/>
  <c r="E98" i="24"/>
  <c r="F98" i="24"/>
  <c r="E99" i="24"/>
  <c r="F99" i="24" s="1"/>
  <c r="E100" i="24"/>
  <c r="F100" i="24" s="1"/>
  <c r="D101" i="24"/>
  <c r="E102" i="24"/>
  <c r="F102" i="24" s="1"/>
  <c r="F103" i="24"/>
  <c r="F104" i="24"/>
  <c r="F105" i="24"/>
  <c r="E106" i="24"/>
  <c r="F106" i="24" s="1"/>
  <c r="F107" i="24"/>
  <c r="E108" i="24"/>
  <c r="F108" i="24" s="1"/>
  <c r="E109" i="24"/>
  <c r="F109" i="24"/>
  <c r="E110" i="24"/>
  <c r="F110" i="24" s="1"/>
  <c r="E111" i="24"/>
  <c r="F111" i="24" s="1"/>
  <c r="E112" i="24"/>
  <c r="F112" i="24" s="1"/>
  <c r="D113" i="24"/>
  <c r="E114" i="24"/>
  <c r="F114" i="24" s="1"/>
  <c r="E116" i="24"/>
  <c r="F116" i="24" s="1"/>
  <c r="E117" i="24"/>
  <c r="F117" i="24"/>
  <c r="E118" i="24"/>
  <c r="F118" i="24" s="1"/>
  <c r="E120" i="24"/>
  <c r="F120" i="24"/>
  <c r="E121" i="24"/>
  <c r="F121" i="24" s="1"/>
  <c r="E122" i="24"/>
  <c r="F122" i="24"/>
  <c r="E123" i="24"/>
  <c r="E124" i="24"/>
  <c r="F124" i="24" s="1"/>
  <c r="E125" i="24"/>
  <c r="F125" i="24" s="1"/>
  <c r="D126" i="24"/>
  <c r="E130" i="24"/>
  <c r="F130" i="24"/>
  <c r="E131" i="24"/>
  <c r="F131" i="24" s="1"/>
  <c r="E132" i="24"/>
  <c r="F132" i="24"/>
  <c r="D133" i="24"/>
  <c r="F133" i="24"/>
  <c r="C134" i="24"/>
  <c r="D134" i="24"/>
  <c r="E134" i="24" s="1"/>
  <c r="F134" i="24"/>
  <c r="C135" i="24"/>
  <c r="D135" i="24"/>
  <c r="E135" i="24" s="1"/>
  <c r="F135" i="24" s="1"/>
  <c r="C136" i="24"/>
  <c r="D136" i="24"/>
  <c r="E136" i="24" s="1"/>
  <c r="F136" i="24" s="1"/>
  <c r="C137" i="24"/>
  <c r="D137" i="24"/>
  <c r="E137" i="24" s="1"/>
  <c r="F137" i="24"/>
  <c r="D138" i="24"/>
  <c r="F139" i="24"/>
  <c r="E141" i="24"/>
  <c r="F141" i="24" s="1"/>
  <c r="E142" i="24"/>
  <c r="F142" i="24"/>
  <c r="D143" i="24"/>
  <c r="D150" i="24" s="1"/>
  <c r="D154" i="24" s="1"/>
  <c r="E144" i="24"/>
  <c r="F144" i="24" s="1"/>
  <c r="E145" i="24"/>
  <c r="F145" i="24"/>
  <c r="C146" i="24"/>
  <c r="E146" i="24"/>
  <c r="F146" i="24" s="1"/>
  <c r="E147" i="24"/>
  <c r="F147" i="24"/>
  <c r="E148" i="24"/>
  <c r="F148" i="24" s="1"/>
  <c r="E149" i="24"/>
  <c r="F149" i="24"/>
  <c r="D13" i="4"/>
  <c r="C97" i="3" s="1"/>
  <c r="E97" i="3" s="1"/>
  <c r="E13" i="4"/>
  <c r="F97" i="3" s="1"/>
  <c r="H97" i="3" s="1"/>
  <c r="D14" i="4"/>
  <c r="E14" i="4"/>
  <c r="D20" i="4"/>
  <c r="E20" i="4"/>
  <c r="F32" i="4"/>
  <c r="D34" i="4"/>
  <c r="E34" i="4"/>
  <c r="F99" i="3" s="1"/>
  <c r="H99" i="3" s="1"/>
  <c r="D39" i="4"/>
  <c r="D50" i="4" s="1"/>
  <c r="E39" i="4"/>
  <c r="E50" i="4" s="1"/>
  <c r="F80" i="3" s="1"/>
  <c r="E56" i="4"/>
  <c r="F81" i="3" s="1"/>
  <c r="H81" i="3" s="1"/>
  <c r="E72" i="4"/>
  <c r="F82" i="3" s="1"/>
  <c r="H82" i="3" s="1"/>
  <c r="D75" i="4"/>
  <c r="C83" i="3" s="1"/>
  <c r="E83" i="3" s="1"/>
  <c r="E75" i="4"/>
  <c r="F83" i="3" s="1"/>
  <c r="H83" i="3" s="1"/>
  <c r="D80" i="4"/>
  <c r="C84" i="3" s="1"/>
  <c r="E84" i="3" s="1"/>
  <c r="E80" i="4"/>
  <c r="F84" i="3" s="1"/>
  <c r="H84" i="3" s="1"/>
  <c r="D82" i="4"/>
  <c r="E82" i="4"/>
  <c r="F85" i="3" s="1"/>
  <c r="H85" i="3" s="1"/>
  <c r="D12" i="5"/>
  <c r="E12" i="5"/>
  <c r="F12" i="5"/>
  <c r="G12" i="5"/>
  <c r="D15" i="5"/>
  <c r="E15" i="5"/>
  <c r="F15" i="5"/>
  <c r="G15" i="5"/>
  <c r="D20" i="5"/>
  <c r="E20" i="5"/>
  <c r="F20" i="5"/>
  <c r="G20" i="5"/>
  <c r="D24" i="5"/>
  <c r="D25" i="5" s="1"/>
  <c r="E24" i="5"/>
  <c r="F24" i="5"/>
  <c r="G24" i="5"/>
  <c r="D28" i="5"/>
  <c r="E28" i="5"/>
  <c r="F28" i="5"/>
  <c r="G28" i="5"/>
  <c r="D31" i="5"/>
  <c r="E31" i="5"/>
  <c r="F31" i="5"/>
  <c r="G31" i="5"/>
  <c r="D34" i="5"/>
  <c r="E34" i="5"/>
  <c r="F34" i="5"/>
  <c r="G34" i="5"/>
  <c r="E40" i="5"/>
  <c r="F40" i="5"/>
  <c r="G40" i="5"/>
  <c r="E52" i="5"/>
  <c r="F52" i="5"/>
  <c r="G52" i="5"/>
  <c r="D57" i="5"/>
  <c r="E57" i="5"/>
  <c r="F57" i="5"/>
  <c r="G57" i="5"/>
  <c r="D60" i="5"/>
  <c r="E60" i="5"/>
  <c r="F60" i="5"/>
  <c r="G60" i="5"/>
  <c r="D63" i="5"/>
  <c r="E63" i="5"/>
  <c r="F63" i="5"/>
  <c r="G63" i="5"/>
  <c r="D66" i="5"/>
  <c r="E66" i="5"/>
  <c r="F66" i="5"/>
  <c r="G66" i="5"/>
  <c r="E72" i="5"/>
  <c r="F72" i="5"/>
  <c r="G72" i="5"/>
  <c r="D75" i="5"/>
  <c r="E75" i="5"/>
  <c r="F75" i="5"/>
  <c r="G75" i="5"/>
  <c r="D81" i="5"/>
  <c r="E81" i="5"/>
  <c r="D114" i="3" s="1"/>
  <c r="F81" i="5"/>
  <c r="G81" i="5"/>
  <c r="D84" i="5"/>
  <c r="E84" i="5"/>
  <c r="F84" i="5"/>
  <c r="G84" i="5"/>
  <c r="D87" i="5"/>
  <c r="E87" i="5"/>
  <c r="F87" i="5"/>
  <c r="G87" i="5"/>
  <c r="D90" i="5"/>
  <c r="E90" i="5"/>
  <c r="F90" i="5"/>
  <c r="F91" i="5" s="1"/>
  <c r="G90" i="5"/>
  <c r="G91" i="5" s="1"/>
  <c r="E11" i="6"/>
  <c r="F11" i="6"/>
  <c r="G11" i="6"/>
  <c r="D15" i="6"/>
  <c r="E15" i="6"/>
  <c r="F15" i="6"/>
  <c r="G15" i="6"/>
  <c r="E18" i="6"/>
  <c r="F18" i="6"/>
  <c r="G18" i="6"/>
  <c r="D26" i="6"/>
  <c r="F26" i="6"/>
  <c r="G26" i="6"/>
  <c r="D28" i="6"/>
  <c r="E28" i="6"/>
  <c r="F28" i="6"/>
  <c r="G28" i="6"/>
  <c r="D30" i="6"/>
  <c r="E30" i="6"/>
  <c r="F30" i="6"/>
  <c r="G30" i="6"/>
  <c r="F41" i="6"/>
  <c r="G41" i="6"/>
  <c r="E64" i="6"/>
  <c r="F64" i="6"/>
  <c r="G64" i="6"/>
  <c r="D66" i="6"/>
  <c r="E66" i="6"/>
  <c r="F66" i="6"/>
  <c r="G66" i="6"/>
  <c r="D69" i="6"/>
  <c r="E69" i="6"/>
  <c r="F69" i="6"/>
  <c r="G69" i="6"/>
  <c r="E91" i="6"/>
  <c r="F91" i="6"/>
  <c r="G91" i="6"/>
  <c r="F12" i="7"/>
  <c r="I12" i="7"/>
  <c r="F13" i="7"/>
  <c r="I13" i="7"/>
  <c r="D14" i="7"/>
  <c r="C30" i="3" s="1"/>
  <c r="E14" i="7"/>
  <c r="D30" i="3" s="1"/>
  <c r="G14" i="7"/>
  <c r="F30" i="3" s="1"/>
  <c r="H14" i="7"/>
  <c r="G30" i="3" s="1"/>
  <c r="F16" i="7"/>
  <c r="I16" i="7"/>
  <c r="F17" i="7"/>
  <c r="I17" i="7"/>
  <c r="F18" i="7"/>
  <c r="I18" i="7"/>
  <c r="F19" i="7"/>
  <c r="I19" i="7"/>
  <c r="D20" i="7"/>
  <c r="E20" i="7"/>
  <c r="G20" i="7"/>
  <c r="H20" i="7"/>
  <c r="H25" i="7" s="1"/>
  <c r="I20" i="7"/>
  <c r="F24" i="7"/>
  <c r="G24" i="7"/>
  <c r="I24" i="7" s="1"/>
  <c r="H24" i="7"/>
  <c r="E25" i="7"/>
  <c r="D31" i="3" s="1"/>
  <c r="N1" i="8"/>
  <c r="T1" i="8"/>
  <c r="Z1" i="8" s="1"/>
  <c r="AF1" i="8" s="1"/>
  <c r="AL1" i="8" s="1"/>
  <c r="AR1" i="8" s="1"/>
  <c r="AZ1" i="8" s="1"/>
  <c r="BA1" i="8"/>
  <c r="N2" i="8"/>
  <c r="T2" i="8"/>
  <c r="Z2" i="8" s="1"/>
  <c r="AF2" i="8" s="1"/>
  <c r="AL2" i="8" s="1"/>
  <c r="AR2" i="8" s="1"/>
  <c r="AZ2" i="8" s="1"/>
  <c r="BA2" i="8"/>
  <c r="D7" i="8"/>
  <c r="E7" i="8"/>
  <c r="D7" i="3" s="1"/>
  <c r="G7" i="8"/>
  <c r="H7" i="8"/>
  <c r="E8" i="8"/>
  <c r="D8" i="3" s="1"/>
  <c r="G8" i="8"/>
  <c r="F8" i="3" s="1"/>
  <c r="H8" i="8"/>
  <c r="G8" i="3" s="1"/>
  <c r="BA9" i="8"/>
  <c r="D10" i="8"/>
  <c r="E10" i="8"/>
  <c r="G10" i="8"/>
  <c r="F10" i="3" s="1"/>
  <c r="E11" i="2" s="1"/>
  <c r="G11" i="2" s="1"/>
  <c r="H10" i="8"/>
  <c r="G10" i="3" s="1"/>
  <c r="F11" i="2" s="1"/>
  <c r="D11" i="8"/>
  <c r="E11" i="8"/>
  <c r="D11" i="3" s="1"/>
  <c r="G11" i="8"/>
  <c r="H11" i="8"/>
  <c r="G11" i="3" s="1"/>
  <c r="D12" i="8"/>
  <c r="E12" i="8"/>
  <c r="G12" i="8"/>
  <c r="F12" i="3" s="1"/>
  <c r="H12" i="8"/>
  <c r="G12" i="3" s="1"/>
  <c r="G13" i="8"/>
  <c r="H13" i="8"/>
  <c r="G13" i="3" s="1"/>
  <c r="D14" i="8"/>
  <c r="C14" i="3" s="1"/>
  <c r="E14" i="8"/>
  <c r="D14" i="3" s="1"/>
  <c r="G14" i="8"/>
  <c r="H14" i="8"/>
  <c r="G14" i="3" s="1"/>
  <c r="E15" i="8"/>
  <c r="D15" i="3" s="1"/>
  <c r="G15" i="8"/>
  <c r="F15" i="3" s="1"/>
  <c r="H15" i="8"/>
  <c r="G15" i="3" s="1"/>
  <c r="S33" i="8"/>
  <c r="AQ33" i="8"/>
  <c r="BA16" i="8"/>
  <c r="D17" i="8"/>
  <c r="E17" i="8"/>
  <c r="D17" i="3" s="1"/>
  <c r="C13" i="2" s="1"/>
  <c r="G17" i="8"/>
  <c r="H17" i="8"/>
  <c r="G17" i="3" s="1"/>
  <c r="F13" i="2" s="1"/>
  <c r="D18" i="8"/>
  <c r="C18" i="3" s="1"/>
  <c r="E18" i="8"/>
  <c r="G18" i="8"/>
  <c r="F18" i="3" s="1"/>
  <c r="H18" i="8"/>
  <c r="G18" i="3" s="1"/>
  <c r="E19" i="8"/>
  <c r="G19" i="8"/>
  <c r="H19" i="8"/>
  <c r="G19" i="3" s="1"/>
  <c r="D19" i="8"/>
  <c r="C19" i="3" s="1"/>
  <c r="D20" i="8"/>
  <c r="E20" i="8"/>
  <c r="D20" i="3" s="1"/>
  <c r="G20" i="8"/>
  <c r="F20" i="3" s="1"/>
  <c r="H20" i="8"/>
  <c r="D21" i="8"/>
  <c r="E21" i="8"/>
  <c r="D21" i="3" s="1"/>
  <c r="G21" i="8"/>
  <c r="F21" i="3" s="1"/>
  <c r="H21" i="8"/>
  <c r="G21" i="3" s="1"/>
  <c r="D22" i="8"/>
  <c r="E22" i="8"/>
  <c r="D22" i="3" s="1"/>
  <c r="G22" i="8"/>
  <c r="F22" i="3" s="1"/>
  <c r="H22" i="8"/>
  <c r="D23" i="8"/>
  <c r="E23" i="8"/>
  <c r="D23" i="3" s="1"/>
  <c r="G23" i="8"/>
  <c r="F23" i="3" s="1"/>
  <c r="H23" i="8"/>
  <c r="G23" i="3" s="1"/>
  <c r="D24" i="8"/>
  <c r="E24" i="8"/>
  <c r="D24" i="3" s="1"/>
  <c r="G24" i="8"/>
  <c r="F24" i="3" s="1"/>
  <c r="H24" i="8"/>
  <c r="D25" i="8"/>
  <c r="C25" i="3" s="1"/>
  <c r="E25" i="8"/>
  <c r="D25" i="3" s="1"/>
  <c r="G25" i="8"/>
  <c r="F25" i="3" s="1"/>
  <c r="H25" i="8"/>
  <c r="G25" i="3" s="1"/>
  <c r="D26" i="8"/>
  <c r="E26" i="8"/>
  <c r="D26" i="3" s="1"/>
  <c r="G26" i="8"/>
  <c r="F26" i="3" s="1"/>
  <c r="H26" i="8"/>
  <c r="D27" i="8"/>
  <c r="C27" i="3" s="1"/>
  <c r="E27" i="8"/>
  <c r="G27" i="8"/>
  <c r="F27" i="3" s="1"/>
  <c r="H27" i="8"/>
  <c r="G27" i="3" s="1"/>
  <c r="D28" i="8"/>
  <c r="E28" i="8"/>
  <c r="G28" i="8"/>
  <c r="H28" i="8"/>
  <c r="G29" i="8"/>
  <c r="F29" i="3" s="1"/>
  <c r="H29" i="8"/>
  <c r="G29" i="3" s="1"/>
  <c r="D30" i="8"/>
  <c r="E30" i="8"/>
  <c r="G30" i="8"/>
  <c r="H30" i="8"/>
  <c r="I30" i="8" s="1"/>
  <c r="D31" i="8"/>
  <c r="E31" i="8"/>
  <c r="G31" i="8"/>
  <c r="H31" i="8"/>
  <c r="M33" i="8"/>
  <c r="O33" i="8"/>
  <c r="P33" i="8"/>
  <c r="Q33" i="8"/>
  <c r="T33" i="8"/>
  <c r="U33" i="8"/>
  <c r="W33" i="8"/>
  <c r="AE33" i="8"/>
  <c r="AG33" i="8"/>
  <c r="AL33" i="8"/>
  <c r="AN33" i="8"/>
  <c r="AO33" i="8"/>
  <c r="AR33" i="8"/>
  <c r="AS33" i="8"/>
  <c r="AV33" i="8"/>
  <c r="AW33" i="8"/>
  <c r="AX33" i="8"/>
  <c r="BA32" i="8"/>
  <c r="K33" i="8"/>
  <c r="AI33" i="8"/>
  <c r="AM33" i="8"/>
  <c r="AU33" i="8"/>
  <c r="D34" i="8"/>
  <c r="E34" i="8"/>
  <c r="G34" i="8"/>
  <c r="H34" i="8"/>
  <c r="I34" i="8"/>
  <c r="D35" i="8"/>
  <c r="E35" i="8"/>
  <c r="G35" i="8"/>
  <c r="H35" i="8"/>
  <c r="G35" i="3" s="1"/>
  <c r="D36" i="8"/>
  <c r="E36" i="8"/>
  <c r="G36" i="8"/>
  <c r="H36" i="8"/>
  <c r="I36" i="8"/>
  <c r="D37" i="8"/>
  <c r="E37" i="8"/>
  <c r="G37" i="8"/>
  <c r="H37" i="8"/>
  <c r="D38" i="8"/>
  <c r="E38" i="8"/>
  <c r="G38" i="8"/>
  <c r="H38" i="8"/>
  <c r="D39" i="8"/>
  <c r="E39" i="8"/>
  <c r="G39" i="8"/>
  <c r="H39" i="8"/>
  <c r="D40" i="8"/>
  <c r="E40" i="8"/>
  <c r="G40" i="8"/>
  <c r="I40" i="8" s="1"/>
  <c r="H40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Z58" i="8" s="1"/>
  <c r="Z64" i="8" s="1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AZ41" i="8"/>
  <c r="BA41" i="8"/>
  <c r="D42" i="8"/>
  <c r="E42" i="8"/>
  <c r="G42" i="8"/>
  <c r="H42" i="8"/>
  <c r="I42" i="8"/>
  <c r="D43" i="8"/>
  <c r="E43" i="8"/>
  <c r="G43" i="8"/>
  <c r="H43" i="8"/>
  <c r="D44" i="8"/>
  <c r="E44" i="8"/>
  <c r="G44" i="8"/>
  <c r="H44" i="8"/>
  <c r="I44" i="8" s="1"/>
  <c r="D45" i="8"/>
  <c r="E45" i="8"/>
  <c r="D45" i="3" s="1"/>
  <c r="G45" i="8"/>
  <c r="H45" i="8"/>
  <c r="G45" i="3" s="1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J46" i="8"/>
  <c r="AK46" i="8"/>
  <c r="AL46" i="8"/>
  <c r="AM46" i="8"/>
  <c r="AN46" i="8"/>
  <c r="AO46" i="8"/>
  <c r="AP46" i="8"/>
  <c r="AQ46" i="8"/>
  <c r="AR46" i="8"/>
  <c r="AS46" i="8"/>
  <c r="AT46" i="8"/>
  <c r="AU46" i="8"/>
  <c r="AV46" i="8"/>
  <c r="AW46" i="8"/>
  <c r="AX46" i="8"/>
  <c r="AY46" i="8"/>
  <c r="AZ46" i="8"/>
  <c r="BA46" i="8"/>
  <c r="D47" i="8"/>
  <c r="C47" i="3" s="1"/>
  <c r="E47" i="8"/>
  <c r="D47" i="3" s="1"/>
  <c r="G47" i="8"/>
  <c r="H47" i="8"/>
  <c r="G47" i="3" s="1"/>
  <c r="D48" i="8"/>
  <c r="C48" i="3" s="1"/>
  <c r="E48" i="8"/>
  <c r="G48" i="8"/>
  <c r="H48" i="8"/>
  <c r="G48" i="3" s="1"/>
  <c r="E49" i="24" s="1"/>
  <c r="D49" i="8"/>
  <c r="C49" i="3" s="1"/>
  <c r="E49" i="8"/>
  <c r="D49" i="3" s="1"/>
  <c r="G49" i="8"/>
  <c r="H49" i="8"/>
  <c r="G49" i="3" s="1"/>
  <c r="E50" i="24" s="1"/>
  <c r="D50" i="8"/>
  <c r="C50" i="3" s="1"/>
  <c r="E50" i="8"/>
  <c r="G50" i="8"/>
  <c r="F50" i="3" s="1"/>
  <c r="H50" i="8"/>
  <c r="G50" i="3" s="1"/>
  <c r="E51" i="24" s="1"/>
  <c r="D51" i="8"/>
  <c r="C51" i="3" s="1"/>
  <c r="E51" i="3" s="1"/>
  <c r="E51" i="8"/>
  <c r="D51" i="3" s="1"/>
  <c r="G51" i="8"/>
  <c r="H51" i="8"/>
  <c r="G51" i="3" s="1"/>
  <c r="E52" i="24" s="1"/>
  <c r="D52" i="8"/>
  <c r="C52" i="3" s="1"/>
  <c r="E52" i="8"/>
  <c r="G52" i="8"/>
  <c r="F52" i="3" s="1"/>
  <c r="H52" i="8"/>
  <c r="G52" i="3" s="1"/>
  <c r="E53" i="24" s="1"/>
  <c r="I52" i="8"/>
  <c r="D53" i="8"/>
  <c r="C53" i="3" s="1"/>
  <c r="E53" i="8"/>
  <c r="D53" i="3" s="1"/>
  <c r="G53" i="8"/>
  <c r="H53" i="8"/>
  <c r="G53" i="3" s="1"/>
  <c r="E54" i="24" s="1"/>
  <c r="D54" i="8"/>
  <c r="E54" i="8"/>
  <c r="G54" i="8"/>
  <c r="H54" i="8"/>
  <c r="I54" i="8" s="1"/>
  <c r="D55" i="8"/>
  <c r="C55" i="3" s="1"/>
  <c r="E55" i="8"/>
  <c r="D55" i="3" s="1"/>
  <c r="G55" i="8"/>
  <c r="H55" i="8"/>
  <c r="G55" i="3" s="1"/>
  <c r="J56" i="8"/>
  <c r="K56" i="8"/>
  <c r="L56" i="8"/>
  <c r="L57" i="8" s="1"/>
  <c r="M56" i="8"/>
  <c r="N56" i="8"/>
  <c r="O56" i="8"/>
  <c r="P56" i="8"/>
  <c r="P58" i="8" s="1"/>
  <c r="Q56" i="8"/>
  <c r="Q57" i="8" s="1"/>
  <c r="R56" i="8"/>
  <c r="S56" i="8"/>
  <c r="T56" i="8"/>
  <c r="U56" i="8"/>
  <c r="U57" i="8" s="1"/>
  <c r="V56" i="8"/>
  <c r="W56" i="8"/>
  <c r="X56" i="8"/>
  <c r="Y56" i="8"/>
  <c r="Z56" i="8"/>
  <c r="AA56" i="8"/>
  <c r="AB56" i="8"/>
  <c r="AB57" i="8" s="1"/>
  <c r="AC56" i="8"/>
  <c r="AC57" i="8" s="1"/>
  <c r="AD56" i="8"/>
  <c r="AE56" i="8"/>
  <c r="AF56" i="8"/>
  <c r="AF57" i="8" s="1"/>
  <c r="AG56" i="8"/>
  <c r="AG57" i="8" s="1"/>
  <c r="AH56" i="8"/>
  <c r="AI56" i="8"/>
  <c r="AJ56" i="8"/>
  <c r="AJ57" i="8" s="1"/>
  <c r="AK56" i="8"/>
  <c r="AK57" i="8" s="1"/>
  <c r="AL56" i="8"/>
  <c r="AM56" i="8"/>
  <c r="AN56" i="8"/>
  <c r="AO56" i="8"/>
  <c r="AP56" i="8"/>
  <c r="AQ56" i="8"/>
  <c r="AR56" i="8"/>
  <c r="AR58" i="8" s="1"/>
  <c r="AS56" i="8"/>
  <c r="AS57" i="8" s="1"/>
  <c r="AT56" i="8"/>
  <c r="AU56" i="8"/>
  <c r="AV56" i="8"/>
  <c r="AW56" i="8"/>
  <c r="AW57" i="8" s="1"/>
  <c r="AX56" i="8"/>
  <c r="AY56" i="8"/>
  <c r="AZ56" i="8"/>
  <c r="AZ57" i="8" s="1"/>
  <c r="BA56" i="8"/>
  <c r="BA57" i="8" s="1"/>
  <c r="O57" i="8"/>
  <c r="AE57" i="8"/>
  <c r="AH58" i="8"/>
  <c r="AH64" i="8" s="1"/>
  <c r="BA58" i="8"/>
  <c r="D59" i="8"/>
  <c r="E59" i="8"/>
  <c r="G59" i="8"/>
  <c r="I59" i="8" s="1"/>
  <c r="H59" i="8"/>
  <c r="D60" i="8"/>
  <c r="C72" i="3" s="1"/>
  <c r="E60" i="8"/>
  <c r="G60" i="8"/>
  <c r="H60" i="8"/>
  <c r="G72" i="3" s="1"/>
  <c r="E73" i="24" s="1"/>
  <c r="D61" i="8"/>
  <c r="C73" i="3" s="1"/>
  <c r="E61" i="8"/>
  <c r="D73" i="3" s="1"/>
  <c r="G61" i="8"/>
  <c r="H61" i="8"/>
  <c r="G73" i="3" s="1"/>
  <c r="E74" i="24" s="1"/>
  <c r="D62" i="8"/>
  <c r="E62" i="8"/>
  <c r="F62" i="8" s="1"/>
  <c r="G62" i="8"/>
  <c r="I62" i="8" s="1"/>
  <c r="H62" i="8"/>
  <c r="D63" i="8"/>
  <c r="H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Q63" i="8"/>
  <c r="AR63" i="8"/>
  <c r="AS63" i="8"/>
  <c r="AT63" i="8"/>
  <c r="AU63" i="8"/>
  <c r="AV63" i="8"/>
  <c r="AW63" i="8"/>
  <c r="AX63" i="8"/>
  <c r="AY63" i="8"/>
  <c r="AZ63" i="8"/>
  <c r="BA63" i="8"/>
  <c r="BA64" i="8"/>
  <c r="D68" i="8"/>
  <c r="E68" i="8"/>
  <c r="G68" i="8"/>
  <c r="H68" i="8"/>
  <c r="I68" i="8" s="1"/>
  <c r="D69" i="8"/>
  <c r="C87" i="3" s="1"/>
  <c r="E69" i="8"/>
  <c r="G69" i="8"/>
  <c r="F87" i="3" s="1"/>
  <c r="H69" i="8"/>
  <c r="D70" i="8"/>
  <c r="C88" i="3" s="1"/>
  <c r="E70" i="8"/>
  <c r="D88" i="3" s="1"/>
  <c r="G70" i="8"/>
  <c r="F88" i="3" s="1"/>
  <c r="H70" i="8"/>
  <c r="G88" i="3" s="1"/>
  <c r="D71" i="8"/>
  <c r="C89" i="3" s="1"/>
  <c r="E71" i="8"/>
  <c r="G71" i="8"/>
  <c r="H71" i="8"/>
  <c r="G89" i="3" s="1"/>
  <c r="D72" i="8"/>
  <c r="C90" i="3" s="1"/>
  <c r="E72" i="8"/>
  <c r="D90" i="3" s="1"/>
  <c r="G72" i="8"/>
  <c r="F90" i="3" s="1"/>
  <c r="H72" i="8"/>
  <c r="G90" i="3" s="1"/>
  <c r="D73" i="8"/>
  <c r="E73" i="8"/>
  <c r="G73" i="8"/>
  <c r="H73" i="8"/>
  <c r="D74" i="8"/>
  <c r="AI109" i="8"/>
  <c r="BA74" i="8"/>
  <c r="D75" i="8"/>
  <c r="E75" i="8"/>
  <c r="G75" i="8"/>
  <c r="H75" i="8"/>
  <c r="D76" i="8"/>
  <c r="E76" i="8"/>
  <c r="D94" i="3" s="1"/>
  <c r="G76" i="8"/>
  <c r="F94" i="3" s="1"/>
  <c r="H76" i="8"/>
  <c r="G94" i="3" s="1"/>
  <c r="D77" i="8"/>
  <c r="C95" i="3" s="1"/>
  <c r="E77" i="8"/>
  <c r="G77" i="8"/>
  <c r="F95" i="3" s="1"/>
  <c r="H77" i="8"/>
  <c r="G95" i="3" s="1"/>
  <c r="D78" i="8"/>
  <c r="C96" i="3" s="1"/>
  <c r="E78" i="8"/>
  <c r="D96" i="3" s="1"/>
  <c r="G78" i="8"/>
  <c r="F96" i="3" s="1"/>
  <c r="H78" i="8"/>
  <c r="G96" i="3" s="1"/>
  <c r="D79" i="8"/>
  <c r="E79" i="8"/>
  <c r="G79" i="8"/>
  <c r="H79" i="8"/>
  <c r="D80" i="8"/>
  <c r="E80" i="8"/>
  <c r="G80" i="8"/>
  <c r="H80" i="8"/>
  <c r="D81" i="8"/>
  <c r="E81" i="8"/>
  <c r="G81" i="8"/>
  <c r="H81" i="8"/>
  <c r="E82" i="8"/>
  <c r="H82" i="8"/>
  <c r="D83" i="8"/>
  <c r="C101" i="3" s="1"/>
  <c r="E83" i="8"/>
  <c r="G83" i="8"/>
  <c r="F101" i="3" s="1"/>
  <c r="H83" i="8"/>
  <c r="G101" i="3" s="1"/>
  <c r="E84" i="8"/>
  <c r="D102" i="3" s="1"/>
  <c r="G84" i="8"/>
  <c r="H84" i="8"/>
  <c r="G102" i="3" s="1"/>
  <c r="D84" i="8"/>
  <c r="D85" i="8"/>
  <c r="C103" i="3" s="1"/>
  <c r="E85" i="8"/>
  <c r="D103" i="3" s="1"/>
  <c r="G85" i="8"/>
  <c r="F103" i="3" s="1"/>
  <c r="H85" i="8"/>
  <c r="E86" i="8"/>
  <c r="D104" i="3" s="1"/>
  <c r="G86" i="8"/>
  <c r="F104" i="3" s="1"/>
  <c r="H86" i="8"/>
  <c r="G104" i="3" s="1"/>
  <c r="D87" i="8"/>
  <c r="C105" i="3" s="1"/>
  <c r="E87" i="8"/>
  <c r="D105" i="3" s="1"/>
  <c r="G87" i="8"/>
  <c r="F105" i="3" s="1"/>
  <c r="H87" i="8"/>
  <c r="G105" i="3" s="1"/>
  <c r="D88" i="8"/>
  <c r="C106" i="3" s="1"/>
  <c r="E88" i="8"/>
  <c r="G88" i="8"/>
  <c r="F106" i="3" s="1"/>
  <c r="H88" i="8"/>
  <c r="D89" i="8"/>
  <c r="C107" i="3" s="1"/>
  <c r="E89" i="8"/>
  <c r="D107" i="3" s="1"/>
  <c r="E107" i="3" s="1"/>
  <c r="G89" i="8"/>
  <c r="F107" i="3" s="1"/>
  <c r="H89" i="8"/>
  <c r="G107" i="3" s="1"/>
  <c r="D90" i="8"/>
  <c r="C108" i="3" s="1"/>
  <c r="E90" i="8"/>
  <c r="G90" i="8"/>
  <c r="F108" i="3" s="1"/>
  <c r="H90" i="8"/>
  <c r="G108" i="3" s="1"/>
  <c r="D91" i="8"/>
  <c r="C109" i="3" s="1"/>
  <c r="E91" i="8"/>
  <c r="D109" i="3" s="1"/>
  <c r="G91" i="8"/>
  <c r="F109" i="3" s="1"/>
  <c r="H91" i="8"/>
  <c r="G109" i="3" s="1"/>
  <c r="D92" i="8"/>
  <c r="C110" i="3" s="1"/>
  <c r="E92" i="8"/>
  <c r="G92" i="8"/>
  <c r="F110" i="3" s="1"/>
  <c r="H92" i="8"/>
  <c r="G110" i="3" s="1"/>
  <c r="D93" i="8"/>
  <c r="C111" i="3" s="1"/>
  <c r="E93" i="8"/>
  <c r="D111" i="3" s="1"/>
  <c r="G93" i="8"/>
  <c r="F111" i="3" s="1"/>
  <c r="H93" i="8"/>
  <c r="J94" i="8"/>
  <c r="J108" i="8" s="1"/>
  <c r="K94" i="8"/>
  <c r="K109" i="8" s="1"/>
  <c r="M94" i="8"/>
  <c r="N94" i="8"/>
  <c r="O94" i="8"/>
  <c r="P94" i="8"/>
  <c r="Q94" i="8"/>
  <c r="R94" i="8"/>
  <c r="S94" i="8"/>
  <c r="T94" i="8"/>
  <c r="U94" i="8"/>
  <c r="V94" i="8"/>
  <c r="W94" i="8"/>
  <c r="W109" i="8" s="1"/>
  <c r="X94" i="8"/>
  <c r="Y94" i="8"/>
  <c r="Z94" i="8"/>
  <c r="AA94" i="8"/>
  <c r="AB94" i="8"/>
  <c r="AC94" i="8"/>
  <c r="AD94" i="8"/>
  <c r="AE94" i="8"/>
  <c r="AF94" i="8"/>
  <c r="AG94" i="8"/>
  <c r="AH94" i="8"/>
  <c r="AI94" i="8"/>
  <c r="AJ94" i="8"/>
  <c r="AK94" i="8"/>
  <c r="AL94" i="8"/>
  <c r="AM94" i="8"/>
  <c r="AN94" i="8"/>
  <c r="AN109" i="8" s="1"/>
  <c r="AO94" i="8"/>
  <c r="AP94" i="8"/>
  <c r="AQ94" i="8"/>
  <c r="AR94" i="8"/>
  <c r="AS94" i="8"/>
  <c r="AT94" i="8"/>
  <c r="AU94" i="8"/>
  <c r="AV94" i="8"/>
  <c r="AW94" i="8"/>
  <c r="AX94" i="8"/>
  <c r="AY94" i="8"/>
  <c r="AZ94" i="8"/>
  <c r="BA94" i="8"/>
  <c r="D95" i="8"/>
  <c r="E95" i="8"/>
  <c r="G95" i="8"/>
  <c r="H95" i="8"/>
  <c r="D96" i="8"/>
  <c r="E96" i="8"/>
  <c r="G96" i="8"/>
  <c r="H96" i="8"/>
  <c r="D97" i="8"/>
  <c r="E97" i="8"/>
  <c r="F97" i="8" s="1"/>
  <c r="G97" i="8"/>
  <c r="H97" i="8"/>
  <c r="D98" i="8"/>
  <c r="E98" i="8"/>
  <c r="G98" i="8"/>
  <c r="H98" i="8"/>
  <c r="D99" i="8"/>
  <c r="E99" i="8"/>
  <c r="F99" i="8" s="1"/>
  <c r="G99" i="8"/>
  <c r="H99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V100" i="8"/>
  <c r="W100" i="8"/>
  <c r="W108" i="8" s="1"/>
  <c r="X100" i="8"/>
  <c r="Y100" i="8"/>
  <c r="Z100" i="8"/>
  <c r="AA100" i="8"/>
  <c r="AB100" i="8"/>
  <c r="AC100" i="8"/>
  <c r="AD100" i="8"/>
  <c r="AE100" i="8"/>
  <c r="AF100" i="8"/>
  <c r="AG100" i="8"/>
  <c r="AH100" i="8"/>
  <c r="AI100" i="8"/>
  <c r="AI108" i="8" s="1"/>
  <c r="AI131" i="8" s="1"/>
  <c r="AJ100" i="8"/>
  <c r="AK100" i="8"/>
  <c r="AL100" i="8"/>
  <c r="AM100" i="8"/>
  <c r="AM108" i="8" s="1"/>
  <c r="AN100" i="8"/>
  <c r="AO100" i="8"/>
  <c r="AP100" i="8"/>
  <c r="AQ100" i="8"/>
  <c r="AR100" i="8"/>
  <c r="AS100" i="8"/>
  <c r="AT100" i="8"/>
  <c r="AU100" i="8"/>
  <c r="AV100" i="8"/>
  <c r="AW100" i="8"/>
  <c r="AX100" i="8"/>
  <c r="AY100" i="8"/>
  <c r="AY108" i="8" s="1"/>
  <c r="AY131" i="8" s="1"/>
  <c r="AZ100" i="8"/>
  <c r="BA100" i="8"/>
  <c r="D101" i="8"/>
  <c r="E101" i="8"/>
  <c r="D119" i="3" s="1"/>
  <c r="G101" i="8"/>
  <c r="F119" i="3" s="1"/>
  <c r="H101" i="8"/>
  <c r="D102" i="8"/>
  <c r="C120" i="3" s="1"/>
  <c r="E102" i="8"/>
  <c r="G102" i="8"/>
  <c r="F120" i="3" s="1"/>
  <c r="H102" i="8"/>
  <c r="G120" i="3" s="1"/>
  <c r="I102" i="8"/>
  <c r="D103" i="8"/>
  <c r="C121" i="3" s="1"/>
  <c r="E103" i="8"/>
  <c r="D121" i="3" s="1"/>
  <c r="G103" i="8"/>
  <c r="H103" i="8"/>
  <c r="H107" i="8" s="1"/>
  <c r="D104" i="8"/>
  <c r="C122" i="3" s="1"/>
  <c r="E104" i="8"/>
  <c r="D122" i="3" s="1"/>
  <c r="G104" i="8"/>
  <c r="F122" i="3" s="1"/>
  <c r="H104" i="8"/>
  <c r="G122" i="3" s="1"/>
  <c r="D105" i="8"/>
  <c r="C123" i="3" s="1"/>
  <c r="E105" i="8"/>
  <c r="G105" i="8"/>
  <c r="F123" i="3" s="1"/>
  <c r="H105" i="8"/>
  <c r="G123" i="3" s="1"/>
  <c r="D106" i="8"/>
  <c r="C124" i="3" s="1"/>
  <c r="E106" i="8"/>
  <c r="G106" i="8"/>
  <c r="F124" i="3" s="1"/>
  <c r="H106" i="8"/>
  <c r="G124" i="3" s="1"/>
  <c r="J107" i="8"/>
  <c r="K107" i="8"/>
  <c r="L107" i="8"/>
  <c r="M107" i="8"/>
  <c r="N107" i="8"/>
  <c r="O107" i="8"/>
  <c r="P107" i="8"/>
  <c r="Q107" i="8"/>
  <c r="R107" i="8"/>
  <c r="S107" i="8"/>
  <c r="T107" i="8"/>
  <c r="U107" i="8"/>
  <c r="V107" i="8"/>
  <c r="W107" i="8"/>
  <c r="X107" i="8"/>
  <c r="Y107" i="8"/>
  <c r="Z107" i="8"/>
  <c r="AA107" i="8"/>
  <c r="AB107" i="8"/>
  <c r="AC107" i="8"/>
  <c r="AD107" i="8"/>
  <c r="AE107" i="8"/>
  <c r="AF107" i="8"/>
  <c r="AG107" i="8"/>
  <c r="AH107" i="8"/>
  <c r="AI107" i="8"/>
  <c r="AJ107" i="8"/>
  <c r="AK107" i="8"/>
  <c r="AL107" i="8"/>
  <c r="AM107" i="8"/>
  <c r="AN107" i="8"/>
  <c r="AO107" i="8"/>
  <c r="AP107" i="8"/>
  <c r="AQ107" i="8"/>
  <c r="AR107" i="8"/>
  <c r="AS107" i="8"/>
  <c r="AT107" i="8"/>
  <c r="AU107" i="8"/>
  <c r="AV107" i="8"/>
  <c r="AW107" i="8"/>
  <c r="AX107" i="8"/>
  <c r="AY107" i="8"/>
  <c r="AZ107" i="8"/>
  <c r="BA107" i="8"/>
  <c r="AE108" i="8"/>
  <c r="AE131" i="8" s="1"/>
  <c r="M109" i="8"/>
  <c r="Q109" i="8"/>
  <c r="AG109" i="8"/>
  <c r="AM109" i="8"/>
  <c r="D111" i="8"/>
  <c r="E111" i="8"/>
  <c r="F111" i="8" s="1"/>
  <c r="G111" i="8"/>
  <c r="H111" i="8"/>
  <c r="I111" i="8"/>
  <c r="D112" i="8"/>
  <c r="F112" i="8" s="1"/>
  <c r="E112" i="8"/>
  <c r="G112" i="8"/>
  <c r="H112" i="8"/>
  <c r="I112" i="8" s="1"/>
  <c r="D113" i="8"/>
  <c r="C138" i="3" s="1"/>
  <c r="E113" i="8"/>
  <c r="D138" i="3" s="1"/>
  <c r="G113" i="8"/>
  <c r="F138" i="3" s="1"/>
  <c r="H113" i="8"/>
  <c r="G138" i="3" s="1"/>
  <c r="D114" i="8"/>
  <c r="E114" i="8"/>
  <c r="G114" i="8"/>
  <c r="H114" i="8"/>
  <c r="D115" i="8"/>
  <c r="E115" i="8"/>
  <c r="F115" i="8" s="1"/>
  <c r="G115" i="8"/>
  <c r="H115" i="8"/>
  <c r="I115" i="8"/>
  <c r="D116" i="8"/>
  <c r="F116" i="8" s="1"/>
  <c r="E116" i="8"/>
  <c r="G116" i="8"/>
  <c r="H116" i="8"/>
  <c r="I116" i="8" s="1"/>
  <c r="J117" i="8"/>
  <c r="J126" i="8" s="1"/>
  <c r="J130" i="8" s="1"/>
  <c r="K117" i="8"/>
  <c r="L117" i="8"/>
  <c r="L126" i="8" s="1"/>
  <c r="M117" i="8"/>
  <c r="N117" i="8"/>
  <c r="N126" i="8" s="1"/>
  <c r="N130" i="8" s="1"/>
  <c r="O117" i="8"/>
  <c r="P117" i="8"/>
  <c r="Q117" i="8"/>
  <c r="R117" i="8"/>
  <c r="R126" i="8" s="1"/>
  <c r="R130" i="8" s="1"/>
  <c r="S117" i="8"/>
  <c r="T117" i="8"/>
  <c r="T126" i="8" s="1"/>
  <c r="T130" i="8" s="1"/>
  <c r="U117" i="8"/>
  <c r="V117" i="8"/>
  <c r="V126" i="8" s="1"/>
  <c r="V130" i="8" s="1"/>
  <c r="W117" i="8"/>
  <c r="X117" i="8"/>
  <c r="X126" i="8" s="1"/>
  <c r="X130" i="8" s="1"/>
  <c r="Y117" i="8"/>
  <c r="Z117" i="8"/>
  <c r="Z126" i="8" s="1"/>
  <c r="Z130" i="8" s="1"/>
  <c r="AA117" i="8"/>
  <c r="AB117" i="8"/>
  <c r="AB126" i="8" s="1"/>
  <c r="AC117" i="8"/>
  <c r="AD117" i="8"/>
  <c r="AD126" i="8" s="1"/>
  <c r="AD130" i="8" s="1"/>
  <c r="AE117" i="8"/>
  <c r="AF117" i="8"/>
  <c r="AG117" i="8"/>
  <c r="AH117" i="8"/>
  <c r="AH126" i="8" s="1"/>
  <c r="AH130" i="8" s="1"/>
  <c r="AI117" i="8"/>
  <c r="AJ117" i="8"/>
  <c r="AJ126" i="8" s="1"/>
  <c r="AJ130" i="8" s="1"/>
  <c r="AK117" i="8"/>
  <c r="AL117" i="8"/>
  <c r="AL126" i="8" s="1"/>
  <c r="AL130" i="8" s="1"/>
  <c r="AM117" i="8"/>
  <c r="AN117" i="8"/>
  <c r="AN126" i="8" s="1"/>
  <c r="AN130" i="8" s="1"/>
  <c r="AO117" i="8"/>
  <c r="AP117" i="8"/>
  <c r="AP126" i="8" s="1"/>
  <c r="AP130" i="8" s="1"/>
  <c r="AQ117" i="8"/>
  <c r="AR117" i="8"/>
  <c r="AR126" i="8" s="1"/>
  <c r="AS117" i="8"/>
  <c r="AT117" i="8"/>
  <c r="AT126" i="8" s="1"/>
  <c r="AT130" i="8" s="1"/>
  <c r="AU117" i="8"/>
  <c r="AV117" i="8"/>
  <c r="AW117" i="8"/>
  <c r="AX117" i="8"/>
  <c r="AX126" i="8" s="1"/>
  <c r="AX130" i="8" s="1"/>
  <c r="AY117" i="8"/>
  <c r="AZ117" i="8"/>
  <c r="AZ126" i="8" s="1"/>
  <c r="AZ130" i="8" s="1"/>
  <c r="BA117" i="8"/>
  <c r="H117" i="8" s="1"/>
  <c r="D118" i="8"/>
  <c r="C143" i="3" s="1"/>
  <c r="E118" i="8"/>
  <c r="D143" i="3" s="1"/>
  <c r="G118" i="8"/>
  <c r="F143" i="3" s="1"/>
  <c r="H118" i="8"/>
  <c r="G143" i="3" s="1"/>
  <c r="D119" i="8"/>
  <c r="C144" i="3" s="1"/>
  <c r="E119" i="8"/>
  <c r="D144" i="3" s="1"/>
  <c r="F119" i="8"/>
  <c r="G119" i="8"/>
  <c r="F144" i="3" s="1"/>
  <c r="H119" i="8"/>
  <c r="G144" i="3" s="1"/>
  <c r="H144" i="3" s="1"/>
  <c r="D120" i="8"/>
  <c r="F120" i="8" s="1"/>
  <c r="E120" i="8"/>
  <c r="G120" i="8"/>
  <c r="H120" i="8"/>
  <c r="E121" i="8"/>
  <c r="F121" i="8" s="1"/>
  <c r="G121" i="8"/>
  <c r="I121" i="8" s="1"/>
  <c r="H121" i="8"/>
  <c r="E122" i="8"/>
  <c r="G122" i="8"/>
  <c r="H122" i="8"/>
  <c r="I122" i="8" s="1"/>
  <c r="D123" i="8"/>
  <c r="E123" i="8"/>
  <c r="D146" i="3" s="1"/>
  <c r="G123" i="8"/>
  <c r="F146" i="3" s="1"/>
  <c r="H123" i="8"/>
  <c r="G146" i="3" s="1"/>
  <c r="D124" i="8"/>
  <c r="C147" i="3" s="1"/>
  <c r="E124" i="8"/>
  <c r="G124" i="8"/>
  <c r="F147" i="3" s="1"/>
  <c r="H124" i="8"/>
  <c r="D125" i="8"/>
  <c r="C148" i="3" s="1"/>
  <c r="E125" i="8"/>
  <c r="D148" i="3" s="1"/>
  <c r="F125" i="8"/>
  <c r="G125" i="8"/>
  <c r="H125" i="8"/>
  <c r="G148" i="3" s="1"/>
  <c r="K126" i="8"/>
  <c r="K130" i="8" s="1"/>
  <c r="M126" i="8"/>
  <c r="O126" i="8"/>
  <c r="P126" i="8"/>
  <c r="P130" i="8" s="1"/>
  <c r="Q126" i="8"/>
  <c r="S126" i="8"/>
  <c r="U126" i="8"/>
  <c r="U130" i="8" s="1"/>
  <c r="W126" i="8"/>
  <c r="Y126" i="8"/>
  <c r="AA126" i="8"/>
  <c r="AA130" i="8" s="1"/>
  <c r="AC126" i="8"/>
  <c r="AE126" i="8"/>
  <c r="AF126" i="8"/>
  <c r="AF130" i="8" s="1"/>
  <c r="AG126" i="8"/>
  <c r="AI126" i="8"/>
  <c r="AK126" i="8"/>
  <c r="AK130" i="8" s="1"/>
  <c r="AM126" i="8"/>
  <c r="AO126" i="8"/>
  <c r="AQ126" i="8"/>
  <c r="AQ130" i="8" s="1"/>
  <c r="AS126" i="8"/>
  <c r="AU126" i="8"/>
  <c r="AV126" i="8"/>
  <c r="AV130" i="8" s="1"/>
  <c r="AW126" i="8"/>
  <c r="AY126" i="8"/>
  <c r="BA126" i="8"/>
  <c r="BA130" i="8" s="1"/>
  <c r="D127" i="8"/>
  <c r="C150" i="3" s="1"/>
  <c r="E127" i="8"/>
  <c r="D150" i="3" s="1"/>
  <c r="E150" i="3" s="1"/>
  <c r="G127" i="8"/>
  <c r="H127" i="8"/>
  <c r="G150" i="3" s="1"/>
  <c r="D128" i="8"/>
  <c r="C151" i="3" s="1"/>
  <c r="E128" i="8"/>
  <c r="G128" i="8"/>
  <c r="F151" i="3" s="1"/>
  <c r="H128" i="8"/>
  <c r="D129" i="8"/>
  <c r="C152" i="3" s="1"/>
  <c r="E129" i="8"/>
  <c r="D152" i="3" s="1"/>
  <c r="G129" i="8"/>
  <c r="H129" i="8"/>
  <c r="G152" i="3" s="1"/>
  <c r="L130" i="8"/>
  <c r="M130" i="8"/>
  <c r="O130" i="8"/>
  <c r="Q130" i="8"/>
  <c r="S130" i="8"/>
  <c r="W130" i="8"/>
  <c r="Y130" i="8"/>
  <c r="AB130" i="8"/>
  <c r="AC130" i="8"/>
  <c r="AE130" i="8"/>
  <c r="AG130" i="8"/>
  <c r="AI130" i="8"/>
  <c r="AM130" i="8"/>
  <c r="AO130" i="8"/>
  <c r="AR130" i="8"/>
  <c r="AS130" i="8"/>
  <c r="AU130" i="8"/>
  <c r="AW130" i="8"/>
  <c r="AY130" i="8"/>
  <c r="F7" i="9"/>
  <c r="I7" i="9"/>
  <c r="F8" i="9"/>
  <c r="I8" i="9"/>
  <c r="E9" i="9"/>
  <c r="G9" i="9"/>
  <c r="H9" i="9"/>
  <c r="F10" i="9"/>
  <c r="I10" i="9"/>
  <c r="F11" i="9"/>
  <c r="I11" i="9"/>
  <c r="F12" i="9"/>
  <c r="I12" i="9"/>
  <c r="F13" i="9"/>
  <c r="I13" i="9"/>
  <c r="F14" i="9"/>
  <c r="I14" i="9"/>
  <c r="F15" i="9"/>
  <c r="I15" i="9"/>
  <c r="E16" i="9"/>
  <c r="G16" i="9"/>
  <c r="H16" i="9"/>
  <c r="F17" i="9"/>
  <c r="I17" i="9"/>
  <c r="F18" i="9"/>
  <c r="I18" i="9"/>
  <c r="F19" i="9"/>
  <c r="I19" i="9"/>
  <c r="F20" i="9"/>
  <c r="I20" i="9"/>
  <c r="F21" i="9"/>
  <c r="I21" i="9"/>
  <c r="F22" i="9"/>
  <c r="I22" i="9"/>
  <c r="F23" i="9"/>
  <c r="I23" i="9"/>
  <c r="F24" i="9"/>
  <c r="I24" i="9"/>
  <c r="F25" i="9"/>
  <c r="I25" i="9"/>
  <c r="F26" i="9"/>
  <c r="I26" i="9"/>
  <c r="F27" i="9"/>
  <c r="I27" i="9"/>
  <c r="F28" i="9"/>
  <c r="I28" i="9"/>
  <c r="F29" i="9"/>
  <c r="I29" i="9"/>
  <c r="F30" i="9"/>
  <c r="I30" i="9"/>
  <c r="F31" i="9"/>
  <c r="I31" i="9"/>
  <c r="D32" i="9"/>
  <c r="E32" i="9"/>
  <c r="G32" i="9"/>
  <c r="H32" i="9"/>
  <c r="H33" i="9" s="1"/>
  <c r="F34" i="9"/>
  <c r="I34" i="9"/>
  <c r="F35" i="9"/>
  <c r="I35" i="9"/>
  <c r="F36" i="9"/>
  <c r="I36" i="9"/>
  <c r="F37" i="9"/>
  <c r="I37" i="9"/>
  <c r="F38" i="9"/>
  <c r="I38" i="9"/>
  <c r="F39" i="9"/>
  <c r="I39" i="9"/>
  <c r="F40" i="9"/>
  <c r="I40" i="9"/>
  <c r="D41" i="9"/>
  <c r="E41" i="9"/>
  <c r="G41" i="9"/>
  <c r="H41" i="9"/>
  <c r="F42" i="9"/>
  <c r="I42" i="9"/>
  <c r="F43" i="9"/>
  <c r="I43" i="9"/>
  <c r="F44" i="9"/>
  <c r="I44" i="9"/>
  <c r="F45" i="9"/>
  <c r="I45" i="9"/>
  <c r="D46" i="9"/>
  <c r="E46" i="9"/>
  <c r="G46" i="9"/>
  <c r="H46" i="9"/>
  <c r="F47" i="9"/>
  <c r="I47" i="9"/>
  <c r="F48" i="9"/>
  <c r="I48" i="9"/>
  <c r="F49" i="9"/>
  <c r="I49" i="9"/>
  <c r="F50" i="9"/>
  <c r="I50" i="9"/>
  <c r="F51" i="9"/>
  <c r="I51" i="9"/>
  <c r="F52" i="9"/>
  <c r="I52" i="9"/>
  <c r="F53" i="9"/>
  <c r="I53" i="9"/>
  <c r="F54" i="9"/>
  <c r="I54" i="9"/>
  <c r="F55" i="9"/>
  <c r="I55" i="9"/>
  <c r="D56" i="9"/>
  <c r="E56" i="9"/>
  <c r="G56" i="9"/>
  <c r="G57" i="9" s="1"/>
  <c r="H56" i="9"/>
  <c r="F59" i="9"/>
  <c r="I59" i="9"/>
  <c r="F60" i="9"/>
  <c r="I60" i="9"/>
  <c r="I63" i="9" s="1"/>
  <c r="F61" i="9"/>
  <c r="I61" i="9"/>
  <c r="F62" i="9"/>
  <c r="I62" i="9"/>
  <c r="D63" i="9"/>
  <c r="E63" i="9"/>
  <c r="F63" i="9"/>
  <c r="G63" i="9"/>
  <c r="H63" i="9"/>
  <c r="F68" i="9"/>
  <c r="I68" i="9"/>
  <c r="F69" i="9"/>
  <c r="I69" i="9"/>
  <c r="F70" i="9"/>
  <c r="I70" i="9"/>
  <c r="F71" i="9"/>
  <c r="I71" i="9"/>
  <c r="F72" i="9"/>
  <c r="I72" i="9"/>
  <c r="I74" i="9" s="1"/>
  <c r="D74" i="9"/>
  <c r="I73" i="9"/>
  <c r="E74" i="9"/>
  <c r="G74" i="9"/>
  <c r="H74" i="9"/>
  <c r="F75" i="9"/>
  <c r="I75" i="9"/>
  <c r="F76" i="9"/>
  <c r="I76" i="9"/>
  <c r="F77" i="9"/>
  <c r="I77" i="9"/>
  <c r="F78" i="9"/>
  <c r="I78" i="9"/>
  <c r="F79" i="9"/>
  <c r="I79" i="9"/>
  <c r="F80" i="9"/>
  <c r="I80" i="9"/>
  <c r="F81" i="9"/>
  <c r="I81" i="9"/>
  <c r="D82" i="9"/>
  <c r="E82" i="9"/>
  <c r="G82" i="9"/>
  <c r="H82" i="9"/>
  <c r="I82" i="9"/>
  <c r="F83" i="9"/>
  <c r="I83" i="9"/>
  <c r="I94" i="9" s="1"/>
  <c r="F84" i="9"/>
  <c r="I84" i="9"/>
  <c r="F85" i="9"/>
  <c r="I85" i="9"/>
  <c r="F86" i="9"/>
  <c r="I86" i="9"/>
  <c r="F87" i="9"/>
  <c r="I87" i="9"/>
  <c r="F88" i="9"/>
  <c r="I88" i="9"/>
  <c r="F89" i="9"/>
  <c r="I89" i="9"/>
  <c r="F90" i="9"/>
  <c r="I90" i="9"/>
  <c r="F91" i="9"/>
  <c r="I91" i="9"/>
  <c r="F92" i="9"/>
  <c r="I92" i="9"/>
  <c r="F93" i="9"/>
  <c r="I93" i="9"/>
  <c r="D94" i="9"/>
  <c r="E94" i="9"/>
  <c r="G94" i="9"/>
  <c r="H94" i="9"/>
  <c r="H109" i="9" s="1"/>
  <c r="F95" i="9"/>
  <c r="I95" i="9"/>
  <c r="F96" i="9"/>
  <c r="I96" i="9"/>
  <c r="F97" i="9"/>
  <c r="I97" i="9"/>
  <c r="F98" i="9"/>
  <c r="I98" i="9"/>
  <c r="F99" i="9"/>
  <c r="I99" i="9"/>
  <c r="D100" i="9"/>
  <c r="E100" i="9"/>
  <c r="G100" i="9"/>
  <c r="H100" i="9"/>
  <c r="H108" i="9" s="1"/>
  <c r="F101" i="9"/>
  <c r="I101" i="9"/>
  <c r="F102" i="9"/>
  <c r="I102" i="9"/>
  <c r="F103" i="9"/>
  <c r="F107" i="9" s="1"/>
  <c r="I103" i="9"/>
  <c r="F104" i="9"/>
  <c r="I104" i="9"/>
  <c r="F105" i="9"/>
  <c r="I105" i="9"/>
  <c r="F106" i="9"/>
  <c r="I106" i="9"/>
  <c r="D107" i="9"/>
  <c r="E107" i="9"/>
  <c r="G107" i="9"/>
  <c r="H107" i="9"/>
  <c r="F111" i="9"/>
  <c r="I111" i="9"/>
  <c r="F112" i="9"/>
  <c r="I112" i="9"/>
  <c r="F113" i="9"/>
  <c r="I113" i="9"/>
  <c r="F114" i="9"/>
  <c r="I114" i="9"/>
  <c r="F115" i="9"/>
  <c r="I115" i="9"/>
  <c r="F116" i="9"/>
  <c r="I116" i="9"/>
  <c r="D117" i="9"/>
  <c r="E117" i="9"/>
  <c r="F117" i="9"/>
  <c r="G117" i="9"/>
  <c r="H117" i="9"/>
  <c r="F118" i="9"/>
  <c r="I118" i="9"/>
  <c r="F119" i="9"/>
  <c r="I119" i="9"/>
  <c r="F120" i="9"/>
  <c r="I120" i="9"/>
  <c r="F121" i="9"/>
  <c r="I121" i="9"/>
  <c r="D122" i="9"/>
  <c r="D126" i="9" s="1"/>
  <c r="D130" i="9" s="1"/>
  <c r="D134" i="9" s="1"/>
  <c r="E122" i="9"/>
  <c r="G122" i="9"/>
  <c r="I122" i="9" s="1"/>
  <c r="H122" i="9"/>
  <c r="F123" i="9"/>
  <c r="I123" i="9"/>
  <c r="F124" i="9"/>
  <c r="I124" i="9"/>
  <c r="F125" i="9"/>
  <c r="I125" i="9"/>
  <c r="H126" i="9"/>
  <c r="H130" i="9" s="1"/>
  <c r="H134" i="9" s="1"/>
  <c r="F127" i="9"/>
  <c r="I127" i="9"/>
  <c r="F128" i="9"/>
  <c r="I128" i="9"/>
  <c r="F129" i="9"/>
  <c r="I129" i="9"/>
  <c r="F7" i="10"/>
  <c r="I7" i="10"/>
  <c r="I9" i="10" s="1"/>
  <c r="F8" i="10"/>
  <c r="I8" i="10"/>
  <c r="D9" i="10"/>
  <c r="E9" i="10"/>
  <c r="G9" i="10"/>
  <c r="H9" i="10"/>
  <c r="F10" i="10"/>
  <c r="I10" i="10"/>
  <c r="F11" i="10"/>
  <c r="I11" i="10"/>
  <c r="F12" i="10"/>
  <c r="I12" i="10"/>
  <c r="F13" i="10"/>
  <c r="I13" i="10"/>
  <c r="F14" i="10"/>
  <c r="I14" i="10"/>
  <c r="F15" i="10"/>
  <c r="I15" i="10"/>
  <c r="D16" i="10"/>
  <c r="E16" i="10"/>
  <c r="G16" i="10"/>
  <c r="H16" i="10"/>
  <c r="F17" i="10"/>
  <c r="I17" i="10"/>
  <c r="F18" i="10"/>
  <c r="I18" i="10"/>
  <c r="F19" i="10"/>
  <c r="I19" i="10"/>
  <c r="F20" i="10"/>
  <c r="I20" i="10"/>
  <c r="F21" i="10"/>
  <c r="I21" i="10"/>
  <c r="F22" i="10"/>
  <c r="I22" i="10"/>
  <c r="F23" i="10"/>
  <c r="I23" i="10"/>
  <c r="F24" i="10"/>
  <c r="I24" i="10"/>
  <c r="F25" i="10"/>
  <c r="I25" i="10"/>
  <c r="F26" i="10"/>
  <c r="I26" i="10"/>
  <c r="F27" i="10"/>
  <c r="I27" i="10"/>
  <c r="F28" i="10"/>
  <c r="I28" i="10"/>
  <c r="F29" i="10"/>
  <c r="I29" i="10"/>
  <c r="F30" i="10"/>
  <c r="I30" i="10"/>
  <c r="F31" i="10"/>
  <c r="I31" i="10"/>
  <c r="D32" i="10"/>
  <c r="E32" i="10"/>
  <c r="G32" i="10"/>
  <c r="H32" i="10"/>
  <c r="F34" i="10"/>
  <c r="I34" i="10"/>
  <c r="F35" i="10"/>
  <c r="I35" i="10"/>
  <c r="F36" i="10"/>
  <c r="I36" i="10"/>
  <c r="F37" i="10"/>
  <c r="I37" i="10"/>
  <c r="F38" i="10"/>
  <c r="I38" i="10"/>
  <c r="F39" i="10"/>
  <c r="I39" i="10"/>
  <c r="F40" i="10"/>
  <c r="I40" i="10"/>
  <c r="D41" i="10"/>
  <c r="E41" i="10"/>
  <c r="G41" i="10"/>
  <c r="H41" i="10"/>
  <c r="F42" i="10"/>
  <c r="I42" i="10"/>
  <c r="F43" i="10"/>
  <c r="I43" i="10"/>
  <c r="F44" i="10"/>
  <c r="I44" i="10"/>
  <c r="F45" i="10"/>
  <c r="I45" i="10"/>
  <c r="D46" i="10"/>
  <c r="E46" i="10"/>
  <c r="G46" i="10"/>
  <c r="H46" i="10"/>
  <c r="F47" i="10"/>
  <c r="I47" i="10"/>
  <c r="F48" i="10"/>
  <c r="I48" i="10"/>
  <c r="F49" i="10"/>
  <c r="I49" i="10"/>
  <c r="F50" i="10"/>
  <c r="I50" i="10"/>
  <c r="F51" i="10"/>
  <c r="I51" i="10"/>
  <c r="F52" i="10"/>
  <c r="I52" i="10"/>
  <c r="F53" i="10"/>
  <c r="I53" i="10"/>
  <c r="F54" i="10"/>
  <c r="I54" i="10"/>
  <c r="F55" i="10"/>
  <c r="I55" i="10"/>
  <c r="D56" i="10"/>
  <c r="E56" i="10"/>
  <c r="G56" i="10"/>
  <c r="G57" i="10" s="1"/>
  <c r="H56" i="10"/>
  <c r="F59" i="10"/>
  <c r="I59" i="10"/>
  <c r="F60" i="10"/>
  <c r="I60" i="10"/>
  <c r="F61" i="10"/>
  <c r="I61" i="10"/>
  <c r="F62" i="10"/>
  <c r="I62" i="10"/>
  <c r="D63" i="10"/>
  <c r="E63" i="10"/>
  <c r="F63" i="10"/>
  <c r="G63" i="10"/>
  <c r="H63" i="10"/>
  <c r="I63" i="10"/>
  <c r="F68" i="10"/>
  <c r="I68" i="10"/>
  <c r="F69" i="10"/>
  <c r="I69" i="10"/>
  <c r="F70" i="10"/>
  <c r="I70" i="10"/>
  <c r="F71" i="10"/>
  <c r="I71" i="10"/>
  <c r="F72" i="10"/>
  <c r="I72" i="10"/>
  <c r="F73" i="10"/>
  <c r="I73" i="10"/>
  <c r="D74" i="10"/>
  <c r="E74" i="10"/>
  <c r="G74" i="10"/>
  <c r="H74" i="10"/>
  <c r="F75" i="10"/>
  <c r="I75" i="10"/>
  <c r="F76" i="10"/>
  <c r="I76" i="10"/>
  <c r="F77" i="10"/>
  <c r="I77" i="10"/>
  <c r="F78" i="10"/>
  <c r="I78" i="10"/>
  <c r="F79" i="10"/>
  <c r="I79" i="10"/>
  <c r="F80" i="10"/>
  <c r="I80" i="10"/>
  <c r="F81" i="10"/>
  <c r="I81" i="10"/>
  <c r="D82" i="10"/>
  <c r="E82" i="10"/>
  <c r="F82" i="10"/>
  <c r="G82" i="10"/>
  <c r="H82" i="10"/>
  <c r="F83" i="10"/>
  <c r="I83" i="10"/>
  <c r="F84" i="10"/>
  <c r="I84" i="10"/>
  <c r="F85" i="10"/>
  <c r="I85" i="10"/>
  <c r="F86" i="10"/>
  <c r="I86" i="10"/>
  <c r="F87" i="10"/>
  <c r="I87" i="10"/>
  <c r="F88" i="10"/>
  <c r="I88" i="10"/>
  <c r="F89" i="10"/>
  <c r="I89" i="10"/>
  <c r="F90" i="10"/>
  <c r="I90" i="10"/>
  <c r="F91" i="10"/>
  <c r="I91" i="10"/>
  <c r="F92" i="10"/>
  <c r="I92" i="10"/>
  <c r="F93" i="10"/>
  <c r="I93" i="10"/>
  <c r="D94" i="10"/>
  <c r="E94" i="10"/>
  <c r="G94" i="10"/>
  <c r="H94" i="10"/>
  <c r="F95" i="10"/>
  <c r="I95" i="10"/>
  <c r="F96" i="10"/>
  <c r="I96" i="10"/>
  <c r="F97" i="10"/>
  <c r="I97" i="10"/>
  <c r="F98" i="10"/>
  <c r="I98" i="10"/>
  <c r="F99" i="10"/>
  <c r="I99" i="10"/>
  <c r="D100" i="10"/>
  <c r="E100" i="10"/>
  <c r="G100" i="10"/>
  <c r="H100" i="10"/>
  <c r="F101" i="10"/>
  <c r="I101" i="10"/>
  <c r="F102" i="10"/>
  <c r="I102" i="10"/>
  <c r="F105" i="10"/>
  <c r="I105" i="10"/>
  <c r="I107" i="10" s="1"/>
  <c r="F106" i="10"/>
  <c r="I106" i="10"/>
  <c r="D107" i="10"/>
  <c r="E107" i="10"/>
  <c r="G107" i="10"/>
  <c r="H107" i="10"/>
  <c r="F111" i="10"/>
  <c r="I111" i="10"/>
  <c r="F112" i="10"/>
  <c r="I112" i="10"/>
  <c r="F113" i="10"/>
  <c r="I113" i="10"/>
  <c r="F114" i="10"/>
  <c r="I114" i="10"/>
  <c r="F115" i="10"/>
  <c r="I115" i="10"/>
  <c r="F116" i="10"/>
  <c r="I116" i="10"/>
  <c r="D117" i="10"/>
  <c r="E117" i="10"/>
  <c r="G117" i="10"/>
  <c r="G126" i="10" s="1"/>
  <c r="G130" i="10" s="1"/>
  <c r="G134" i="10" s="1"/>
  <c r="H117" i="10"/>
  <c r="F118" i="10"/>
  <c r="I118" i="10"/>
  <c r="F119" i="10"/>
  <c r="I119" i="10"/>
  <c r="F120" i="10"/>
  <c r="I120" i="10"/>
  <c r="F121" i="10"/>
  <c r="I121" i="10"/>
  <c r="D122" i="10"/>
  <c r="E122" i="10"/>
  <c r="H122" i="10"/>
  <c r="I122" i="10" s="1"/>
  <c r="F123" i="10"/>
  <c r="I123" i="10"/>
  <c r="F124" i="10"/>
  <c r="I124" i="10"/>
  <c r="F125" i="10"/>
  <c r="I125" i="10"/>
  <c r="F127" i="10"/>
  <c r="I127" i="10"/>
  <c r="F128" i="10"/>
  <c r="I128" i="10"/>
  <c r="F129" i="10"/>
  <c r="I129" i="10"/>
  <c r="G149" i="23" l="1"/>
  <c r="G153" i="23" s="1"/>
  <c r="D91" i="5"/>
  <c r="D25" i="7"/>
  <c r="D23" i="4"/>
  <c r="C84" i="24"/>
  <c r="C83" i="23"/>
  <c r="E83" i="22"/>
  <c r="C98" i="24"/>
  <c r="C97" i="23"/>
  <c r="E97" i="22"/>
  <c r="C99" i="3"/>
  <c r="E99" i="3" s="1"/>
  <c r="F139" i="3"/>
  <c r="F142" i="3" s="1"/>
  <c r="F149" i="3" s="1"/>
  <c r="D113" i="3"/>
  <c r="E53" i="5"/>
  <c r="D124" i="3"/>
  <c r="D125" i="3" s="1"/>
  <c r="F117" i="3"/>
  <c r="F116" i="3"/>
  <c r="F115" i="3"/>
  <c r="F114" i="3"/>
  <c r="F53" i="5"/>
  <c r="F54" i="5" s="1"/>
  <c r="F93" i="3" s="1"/>
  <c r="E22" i="2" s="1"/>
  <c r="E91" i="5"/>
  <c r="AX108" i="8"/>
  <c r="AT108" i="8"/>
  <c r="AP108" i="8"/>
  <c r="AD108" i="8"/>
  <c r="R108" i="8"/>
  <c r="AJ110" i="8"/>
  <c r="AF110" i="8"/>
  <c r="C85" i="24"/>
  <c r="C84" i="23"/>
  <c r="E84" i="22"/>
  <c r="G58" i="10"/>
  <c r="G64" i="10" s="1"/>
  <c r="E53" i="3"/>
  <c r="C54" i="24" s="1"/>
  <c r="H50" i="3"/>
  <c r="F51" i="24" s="1"/>
  <c r="C54" i="23"/>
  <c r="E53" i="22"/>
  <c r="I56" i="10"/>
  <c r="H58" i="10"/>
  <c r="H64" i="10" s="1"/>
  <c r="C52" i="24"/>
  <c r="C52" i="23"/>
  <c r="E51" i="22"/>
  <c r="D57" i="22"/>
  <c r="D128" i="22" s="1"/>
  <c r="D33" i="22"/>
  <c r="C57" i="22"/>
  <c r="E33" i="14"/>
  <c r="E109" i="14" s="1"/>
  <c r="F44" i="3"/>
  <c r="G39" i="3"/>
  <c r="C44" i="3"/>
  <c r="C43" i="3"/>
  <c r="D39" i="3"/>
  <c r="D43" i="3"/>
  <c r="F38" i="3"/>
  <c r="C118" i="20"/>
  <c r="C86" i="20"/>
  <c r="C139" i="3"/>
  <c r="C142" i="3" s="1"/>
  <c r="C149" i="3" s="1"/>
  <c r="C153" i="3" s="1"/>
  <c r="E54" i="5"/>
  <c r="D93" i="3" s="1"/>
  <c r="C39" i="3"/>
  <c r="E39" i="3" s="1"/>
  <c r="C38" i="3"/>
  <c r="E92" i="6"/>
  <c r="G36" i="3"/>
  <c r="E57" i="9"/>
  <c r="E110" i="9" s="1"/>
  <c r="J131" i="8"/>
  <c r="AS109" i="8"/>
  <c r="AZ131" i="8"/>
  <c r="AW108" i="8"/>
  <c r="AW131" i="8" s="1"/>
  <c r="AS108" i="8"/>
  <c r="AO108" i="8"/>
  <c r="AK108" i="8"/>
  <c r="AK131" i="8" s="1"/>
  <c r="AG108" i="8"/>
  <c r="AG131" i="8" s="1"/>
  <c r="AC108" i="8"/>
  <c r="AC131" i="8" s="1"/>
  <c r="Y108" i="8"/>
  <c r="U108" i="8"/>
  <c r="U131" i="8" s="1"/>
  <c r="M108" i="8"/>
  <c r="I73" i="8"/>
  <c r="AR109" i="8"/>
  <c r="AV109" i="8"/>
  <c r="AV131" i="8"/>
  <c r="AZ108" i="8"/>
  <c r="AV108" i="8"/>
  <c r="AR108" i="8"/>
  <c r="AR131" i="8" s="1"/>
  <c r="AN108" i="8"/>
  <c r="AN131" i="8" s="1"/>
  <c r="AJ108" i="8"/>
  <c r="AJ131" i="8" s="1"/>
  <c r="AF108" i="8"/>
  <c r="AF131" i="8" s="1"/>
  <c r="I75" i="8"/>
  <c r="AW109" i="8"/>
  <c r="N108" i="8"/>
  <c r="N131" i="8" s="1"/>
  <c r="T109" i="8"/>
  <c r="I81" i="8"/>
  <c r="I79" i="8"/>
  <c r="I77" i="8"/>
  <c r="U109" i="8"/>
  <c r="F31" i="8"/>
  <c r="H27" i="3"/>
  <c r="H25" i="3"/>
  <c r="H23" i="3"/>
  <c r="I12" i="8"/>
  <c r="F11" i="8"/>
  <c r="O109" i="8"/>
  <c r="I10" i="8"/>
  <c r="I31" i="8"/>
  <c r="I15" i="8"/>
  <c r="F42" i="3"/>
  <c r="F92" i="6"/>
  <c r="C37" i="3"/>
  <c r="F34" i="3"/>
  <c r="G40" i="3"/>
  <c r="G139" i="3"/>
  <c r="G142" i="3" s="1"/>
  <c r="F25" i="5"/>
  <c r="F91" i="3" s="1"/>
  <c r="C117" i="3"/>
  <c r="C116" i="3"/>
  <c r="C115" i="3"/>
  <c r="C114" i="3"/>
  <c r="E25" i="5"/>
  <c r="D91" i="3" s="1"/>
  <c r="G25" i="5"/>
  <c r="G116" i="3"/>
  <c r="G53" i="5"/>
  <c r="G54" i="5" s="1"/>
  <c r="G93" i="3" s="1"/>
  <c r="F22" i="2" s="1"/>
  <c r="F74" i="15"/>
  <c r="F94" i="12"/>
  <c r="F108" i="12" s="1"/>
  <c r="E108" i="12"/>
  <c r="F41" i="12"/>
  <c r="F74" i="14"/>
  <c r="F94" i="11"/>
  <c r="H37" i="16"/>
  <c r="D57" i="10"/>
  <c r="D110" i="10" s="1"/>
  <c r="I32" i="10"/>
  <c r="G33" i="10"/>
  <c r="E33" i="10"/>
  <c r="E109" i="10" s="1"/>
  <c r="D33" i="10"/>
  <c r="D109" i="10" s="1"/>
  <c r="X57" i="8"/>
  <c r="E131" i="3"/>
  <c r="E94" i="8"/>
  <c r="P109" i="8"/>
  <c r="F28" i="8"/>
  <c r="AX58" i="8"/>
  <c r="AX64" i="8" s="1"/>
  <c r="AY33" i="8"/>
  <c r="AY109" i="8" s="1"/>
  <c r="H29" i="3"/>
  <c r="E25" i="3"/>
  <c r="AP58" i="8"/>
  <c r="AP64" i="8" s="1"/>
  <c r="AP33" i="8"/>
  <c r="AP109" i="8" s="1"/>
  <c r="AL58" i="8"/>
  <c r="AL64" i="8" s="1"/>
  <c r="AR64" i="8"/>
  <c r="F25" i="8"/>
  <c r="AE109" i="8"/>
  <c r="V58" i="8"/>
  <c r="V64" i="8" s="1"/>
  <c r="R58" i="8"/>
  <c r="R64" i="8" s="1"/>
  <c r="N58" i="8"/>
  <c r="N64" i="8" s="1"/>
  <c r="D27" i="17"/>
  <c r="C17" i="3"/>
  <c r="D57" i="14"/>
  <c r="D110" i="14" s="1"/>
  <c r="F94" i="13"/>
  <c r="F74" i="13"/>
  <c r="F74" i="11"/>
  <c r="E58" i="11"/>
  <c r="E64" i="11" s="1"/>
  <c r="F122" i="10"/>
  <c r="D126" i="10"/>
  <c r="D130" i="10" s="1"/>
  <c r="D134" i="10" s="1"/>
  <c r="F107" i="10"/>
  <c r="F94" i="10"/>
  <c r="E14" i="3"/>
  <c r="F9" i="10"/>
  <c r="D9" i="3"/>
  <c r="C10" i="2" s="1"/>
  <c r="F9" i="9"/>
  <c r="D72" i="4"/>
  <c r="C80" i="3"/>
  <c r="E80" i="3" s="1"/>
  <c r="G50" i="4"/>
  <c r="G87" i="3"/>
  <c r="I69" i="8"/>
  <c r="AN57" i="8"/>
  <c r="AN110" i="8" s="1"/>
  <c r="AN58" i="8"/>
  <c r="G108" i="11"/>
  <c r="G58" i="11"/>
  <c r="G64" i="11" s="1"/>
  <c r="I74" i="10"/>
  <c r="I107" i="9"/>
  <c r="E58" i="9"/>
  <c r="E64" i="9" s="1"/>
  <c r="G151" i="3"/>
  <c r="H151" i="3" s="1"/>
  <c r="I128" i="8"/>
  <c r="D139" i="3"/>
  <c r="D142" i="3" s="1"/>
  <c r="D149" i="3" s="1"/>
  <c r="E117" i="8"/>
  <c r="E126" i="8" s="1"/>
  <c r="E130" i="8" s="1"/>
  <c r="BA110" i="8"/>
  <c r="BA108" i="8"/>
  <c r="BA131" i="8" s="1"/>
  <c r="Q108" i="8"/>
  <c r="Q131" i="8" s="1"/>
  <c r="Q110" i="8"/>
  <c r="D120" i="3"/>
  <c r="F102" i="8"/>
  <c r="AM131" i="8"/>
  <c r="AE110" i="8"/>
  <c r="W131" i="8"/>
  <c r="O110" i="8"/>
  <c r="O108" i="8"/>
  <c r="O131" i="8" s="1"/>
  <c r="F96" i="8"/>
  <c r="AU108" i="8"/>
  <c r="AU131" i="8" s="1"/>
  <c r="AQ108" i="8"/>
  <c r="AQ131" i="8" s="1"/>
  <c r="AQ109" i="8"/>
  <c r="AA108" i="8"/>
  <c r="AA131" i="8" s="1"/>
  <c r="S108" i="8"/>
  <c r="S131" i="8" s="1"/>
  <c r="K108" i="8"/>
  <c r="K131" i="8" s="1"/>
  <c r="F89" i="3"/>
  <c r="G74" i="8"/>
  <c r="P57" i="8"/>
  <c r="F48" i="3"/>
  <c r="H48" i="3" s="1"/>
  <c r="F49" i="24" s="1"/>
  <c r="I48" i="8"/>
  <c r="G38" i="3"/>
  <c r="I38" i="8"/>
  <c r="G37" i="3"/>
  <c r="H41" i="8"/>
  <c r="C35" i="3"/>
  <c r="D41" i="8"/>
  <c r="C230" i="20"/>
  <c r="H126" i="10"/>
  <c r="H130" i="10" s="1"/>
  <c r="H134" i="10" s="1"/>
  <c r="G109" i="10"/>
  <c r="F74" i="10"/>
  <c r="E58" i="10"/>
  <c r="E64" i="10" s="1"/>
  <c r="I41" i="10"/>
  <c r="I16" i="10"/>
  <c r="I33" i="10" s="1"/>
  <c r="G110" i="9"/>
  <c r="G108" i="9"/>
  <c r="C146" i="3"/>
  <c r="F123" i="8"/>
  <c r="C94" i="3"/>
  <c r="E94" i="3" s="1"/>
  <c r="D82" i="8"/>
  <c r="F72" i="3"/>
  <c r="H72" i="3" s="1"/>
  <c r="F73" i="24" s="1"/>
  <c r="I60" i="8"/>
  <c r="D27" i="3"/>
  <c r="E27" i="3" s="1"/>
  <c r="F27" i="8"/>
  <c r="F7" i="3"/>
  <c r="G9" i="8"/>
  <c r="I108" i="10"/>
  <c r="I94" i="10"/>
  <c r="I41" i="9"/>
  <c r="AN64" i="8"/>
  <c r="P64" i="8"/>
  <c r="AV57" i="8"/>
  <c r="AV110" i="8" s="1"/>
  <c r="AV58" i="8"/>
  <c r="AV64" i="8" s="1"/>
  <c r="T57" i="8"/>
  <c r="T110" i="8" s="1"/>
  <c r="T58" i="8"/>
  <c r="T64" i="8" s="1"/>
  <c r="H46" i="8"/>
  <c r="AK33" i="8"/>
  <c r="AK109" i="8" s="1"/>
  <c r="AK58" i="8"/>
  <c r="AK64" i="8" s="1"/>
  <c r="F41" i="13"/>
  <c r="I100" i="10"/>
  <c r="I117" i="10"/>
  <c r="I126" i="10" s="1"/>
  <c r="G110" i="10"/>
  <c r="F100" i="10"/>
  <c r="I82" i="10"/>
  <c r="F41" i="10"/>
  <c r="G58" i="9"/>
  <c r="G64" i="9" s="1"/>
  <c r="G33" i="9"/>
  <c r="G109" i="9" s="1"/>
  <c r="I109" i="9" s="1"/>
  <c r="G147" i="3"/>
  <c r="H147" i="3" s="1"/>
  <c r="I124" i="8"/>
  <c r="G114" i="3"/>
  <c r="I96" i="8"/>
  <c r="G106" i="3"/>
  <c r="I88" i="8"/>
  <c r="G82" i="8"/>
  <c r="AR57" i="8"/>
  <c r="E57" i="10"/>
  <c r="E110" i="10" s="1"/>
  <c r="I46" i="10"/>
  <c r="I57" i="10" s="1"/>
  <c r="F41" i="9"/>
  <c r="E33" i="9"/>
  <c r="E109" i="9" s="1"/>
  <c r="I32" i="9"/>
  <c r="I33" i="9" s="1"/>
  <c r="D9" i="9"/>
  <c r="E152" i="3"/>
  <c r="E148" i="3"/>
  <c r="E148" i="22" s="1"/>
  <c r="I120" i="8"/>
  <c r="I119" i="8"/>
  <c r="E144" i="3"/>
  <c r="G117" i="8"/>
  <c r="G126" i="8" s="1"/>
  <c r="G130" i="8" s="1"/>
  <c r="F113" i="8"/>
  <c r="I106" i="8"/>
  <c r="F104" i="8"/>
  <c r="AL108" i="8"/>
  <c r="AL131" i="8" s="1"/>
  <c r="AH108" i="8"/>
  <c r="AH131" i="8" s="1"/>
  <c r="Z108" i="8"/>
  <c r="Z131" i="8" s="1"/>
  <c r="V108" i="8"/>
  <c r="V131" i="8" s="1"/>
  <c r="AO109" i="8"/>
  <c r="I92" i="8"/>
  <c r="I83" i="8"/>
  <c r="F81" i="8"/>
  <c r="F80" i="8"/>
  <c r="H95" i="3"/>
  <c r="AG58" i="8"/>
  <c r="AG64" i="8" s="1"/>
  <c r="U58" i="8"/>
  <c r="U64" i="8" s="1"/>
  <c r="I50" i="8"/>
  <c r="D132" i="3"/>
  <c r="E110" i="13"/>
  <c r="E108" i="13"/>
  <c r="I82" i="12"/>
  <c r="I117" i="9"/>
  <c r="I126" i="9" s="1"/>
  <c r="I130" i="9" s="1"/>
  <c r="I134" i="9" s="1"/>
  <c r="E108" i="9"/>
  <c r="I100" i="9"/>
  <c r="F82" i="9"/>
  <c r="H57" i="9"/>
  <c r="H110" i="9" s="1"/>
  <c r="I56" i="9"/>
  <c r="I46" i="9"/>
  <c r="I58" i="9" s="1"/>
  <c r="I64" i="9" s="1"/>
  <c r="I16" i="9"/>
  <c r="I9" i="9"/>
  <c r="Y131" i="8"/>
  <c r="AX131" i="8"/>
  <c r="AT131" i="8"/>
  <c r="AP131" i="8"/>
  <c r="AD131" i="8"/>
  <c r="R131" i="8"/>
  <c r="I113" i="8"/>
  <c r="AZ110" i="8"/>
  <c r="AR110" i="8"/>
  <c r="I104" i="8"/>
  <c r="E122" i="3"/>
  <c r="I98" i="8"/>
  <c r="H110" i="3"/>
  <c r="I90" i="8"/>
  <c r="F79" i="8"/>
  <c r="H74" i="8"/>
  <c r="G91" i="3"/>
  <c r="G92" i="3" s="1"/>
  <c r="F21" i="2" s="1"/>
  <c r="I71" i="8"/>
  <c r="F68" i="8"/>
  <c r="F59" i="8"/>
  <c r="AS58" i="8"/>
  <c r="AS64" i="8" s="1"/>
  <c r="AC58" i="8"/>
  <c r="AC64" i="8" s="1"/>
  <c r="AX57" i="8"/>
  <c r="AX110" i="8" s="1"/>
  <c r="AT57" i="8"/>
  <c r="AT110" i="8" s="1"/>
  <c r="AP57" i="8"/>
  <c r="AP110" i="8" s="1"/>
  <c r="AL57" i="8"/>
  <c r="AL110" i="8" s="1"/>
  <c r="AH57" i="8"/>
  <c r="AH110" i="8" s="1"/>
  <c r="AD57" i="8"/>
  <c r="AD110" i="8" s="1"/>
  <c r="Z57" i="8"/>
  <c r="Z110" i="8" s="1"/>
  <c r="V57" i="8"/>
  <c r="V110" i="8" s="1"/>
  <c r="R57" i="8"/>
  <c r="R110" i="8" s="1"/>
  <c r="N57" i="8"/>
  <c r="N110" i="8" s="1"/>
  <c r="J57" i="8"/>
  <c r="J110" i="8" s="1"/>
  <c r="E55" i="3"/>
  <c r="F54" i="8"/>
  <c r="H52" i="3"/>
  <c r="F53" i="24" s="1"/>
  <c r="F45" i="8"/>
  <c r="C23" i="3"/>
  <c r="E23" i="3" s="1"/>
  <c r="F23" i="8"/>
  <c r="C21" i="3"/>
  <c r="E21" i="3" s="1"/>
  <c r="N22" i="23" s="1"/>
  <c r="F21" i="8"/>
  <c r="D19" i="3"/>
  <c r="E19" i="3" s="1"/>
  <c r="AD58" i="8"/>
  <c r="AD64" i="8" s="1"/>
  <c r="AA33" i="8"/>
  <c r="AA109" i="8" s="1"/>
  <c r="D93" i="24"/>
  <c r="C64" i="23"/>
  <c r="E63" i="24"/>
  <c r="I56" i="15"/>
  <c r="I57" i="15" s="1"/>
  <c r="F41" i="15"/>
  <c r="I82" i="14"/>
  <c r="H126" i="13"/>
  <c r="H130" i="13" s="1"/>
  <c r="H134" i="13" s="1"/>
  <c r="F122" i="9"/>
  <c r="F126" i="9" s="1"/>
  <c r="F130" i="9" s="1"/>
  <c r="F134" i="9" s="1"/>
  <c r="F46" i="9"/>
  <c r="E146" i="3"/>
  <c r="C146" i="23" s="1"/>
  <c r="P146" i="23" s="1"/>
  <c r="H143" i="3"/>
  <c r="H126" i="8"/>
  <c r="H130" i="8" s="1"/>
  <c r="I80" i="8"/>
  <c r="E74" i="8"/>
  <c r="C138" i="24"/>
  <c r="D69" i="23"/>
  <c r="F69" i="23"/>
  <c r="K69" i="23"/>
  <c r="G69" i="23"/>
  <c r="M69" i="23"/>
  <c r="E69" i="23"/>
  <c r="O69" i="23"/>
  <c r="I69" i="23"/>
  <c r="J69" i="23"/>
  <c r="E134" i="22"/>
  <c r="E137" i="22" s="1"/>
  <c r="C134" i="23"/>
  <c r="C69" i="24"/>
  <c r="E68" i="22"/>
  <c r="C67" i="23"/>
  <c r="I100" i="15"/>
  <c r="I32" i="13"/>
  <c r="I33" i="13" s="1"/>
  <c r="H8" i="3"/>
  <c r="E30" i="3"/>
  <c r="D18" i="6"/>
  <c r="C36" i="3" s="1"/>
  <c r="D34" i="24"/>
  <c r="F10" i="24"/>
  <c r="F11" i="24" s="1"/>
  <c r="D149" i="22"/>
  <c r="D153" i="22" s="1"/>
  <c r="H60" i="3"/>
  <c r="F61" i="24" s="1"/>
  <c r="H59" i="3"/>
  <c r="F62" i="3"/>
  <c r="F71" i="3" s="1"/>
  <c r="B177" i="20"/>
  <c r="C182" i="20" s="1"/>
  <c r="B161" i="20"/>
  <c r="T12" i="16"/>
  <c r="E58" i="15"/>
  <c r="E64" i="15" s="1"/>
  <c r="F82" i="14"/>
  <c r="E110" i="14"/>
  <c r="E134" i="13"/>
  <c r="I46" i="13"/>
  <c r="I57" i="13" s="1"/>
  <c r="I94" i="12"/>
  <c r="I16" i="11"/>
  <c r="E46" i="8"/>
  <c r="AU58" i="8"/>
  <c r="AM58" i="8"/>
  <c r="AE58" i="8"/>
  <c r="AE64" i="8" s="1"/>
  <c r="W58" i="8"/>
  <c r="O58" i="8"/>
  <c r="O64" i="8" s="1"/>
  <c r="G41" i="8"/>
  <c r="AH33" i="8"/>
  <c r="AH109" i="8" s="1"/>
  <c r="AD33" i="8"/>
  <c r="AD109" i="8" s="1"/>
  <c r="Z33" i="8"/>
  <c r="Z109" i="8" s="1"/>
  <c r="V33" i="8"/>
  <c r="V109" i="8" s="1"/>
  <c r="R33" i="8"/>
  <c r="R109" i="8" s="1"/>
  <c r="N33" i="8"/>
  <c r="N109" i="8" s="1"/>
  <c r="E29" i="8"/>
  <c r="D29" i="3" s="1"/>
  <c r="I28" i="8"/>
  <c r="H21" i="3"/>
  <c r="H15" i="3"/>
  <c r="H12" i="3"/>
  <c r="E9" i="8"/>
  <c r="G92" i="6"/>
  <c r="F42" i="6"/>
  <c r="E10" i="24"/>
  <c r="E11" i="24" s="1"/>
  <c r="G65" i="23"/>
  <c r="E129" i="3"/>
  <c r="G23" i="19"/>
  <c r="C23" i="19"/>
  <c r="I11" i="19"/>
  <c r="D20" i="18"/>
  <c r="D22" i="18"/>
  <c r="D39" i="18" s="1"/>
  <c r="C61" i="3"/>
  <c r="E61" i="3" s="1"/>
  <c r="S24" i="16"/>
  <c r="F117" i="15"/>
  <c r="E108" i="15"/>
  <c r="I16" i="15"/>
  <c r="F121" i="14"/>
  <c r="D126" i="14"/>
  <c r="D130" i="14" s="1"/>
  <c r="D134" i="14" s="1"/>
  <c r="I117" i="14"/>
  <c r="I107" i="14"/>
  <c r="I63" i="14"/>
  <c r="G64" i="14"/>
  <c r="E58" i="14"/>
  <c r="E64" i="14" s="1"/>
  <c r="I46" i="14"/>
  <c r="F41" i="14"/>
  <c r="D57" i="13"/>
  <c r="D110" i="13" s="1"/>
  <c r="F110" i="13" s="1"/>
  <c r="D58" i="13"/>
  <c r="D64" i="13" s="1"/>
  <c r="I16" i="13"/>
  <c r="I100" i="12"/>
  <c r="H33" i="12"/>
  <c r="H109" i="12" s="1"/>
  <c r="F100" i="11"/>
  <c r="F41" i="11"/>
  <c r="G33" i="11"/>
  <c r="G109" i="11" s="1"/>
  <c r="AC33" i="8"/>
  <c r="AC109" i="8" s="1"/>
  <c r="F30" i="8"/>
  <c r="I18" i="8"/>
  <c r="D15" i="8"/>
  <c r="F15" i="8" s="1"/>
  <c r="F14" i="7"/>
  <c r="G42" i="6"/>
  <c r="D52" i="5"/>
  <c r="D53" i="5" s="1"/>
  <c r="D54" i="5" s="1"/>
  <c r="E23" i="4"/>
  <c r="F98" i="3" s="1"/>
  <c r="H98" i="3" s="1"/>
  <c r="F143" i="24"/>
  <c r="F138" i="24"/>
  <c r="E133" i="24"/>
  <c r="E72" i="24"/>
  <c r="E76" i="24" s="1"/>
  <c r="M149" i="23"/>
  <c r="M153" i="23" s="1"/>
  <c r="I149" i="23"/>
  <c r="I153" i="23" s="1"/>
  <c r="E149" i="23"/>
  <c r="E153" i="23" s="1"/>
  <c r="E64" i="23"/>
  <c r="K64" i="23"/>
  <c r="E65" i="23"/>
  <c r="J65" i="23"/>
  <c r="O65" i="23"/>
  <c r="D64" i="23"/>
  <c r="L64" i="23"/>
  <c r="F65" i="23"/>
  <c r="K65" i="23"/>
  <c r="C33" i="22"/>
  <c r="C127" i="22" s="1"/>
  <c r="C141" i="23"/>
  <c r="P141" i="23" s="1"/>
  <c r="B129" i="20"/>
  <c r="C134" i="20" s="1"/>
  <c r="C38" i="20"/>
  <c r="B17" i="20"/>
  <c r="C22" i="20" s="1"/>
  <c r="G39" i="18"/>
  <c r="E27" i="17"/>
  <c r="R37" i="16"/>
  <c r="N37" i="16"/>
  <c r="J37" i="16"/>
  <c r="F37" i="16"/>
  <c r="T36" i="16"/>
  <c r="F100" i="15"/>
  <c r="F94" i="15"/>
  <c r="E33" i="15"/>
  <c r="F13" i="15"/>
  <c r="D16" i="15"/>
  <c r="D33" i="15" s="1"/>
  <c r="D109" i="15" s="1"/>
  <c r="F122" i="14"/>
  <c r="E126" i="14"/>
  <c r="E130" i="14" s="1"/>
  <c r="E134" i="14" s="1"/>
  <c r="F82" i="13"/>
  <c r="D33" i="13"/>
  <c r="D109" i="13" s="1"/>
  <c r="F109" i="13" s="1"/>
  <c r="H58" i="11"/>
  <c r="H64" i="11" s="1"/>
  <c r="O68" i="23"/>
  <c r="D58" i="22"/>
  <c r="D76" i="22" s="1"/>
  <c r="C294" i="20"/>
  <c r="B257" i="20"/>
  <c r="C262" i="20" s="1"/>
  <c r="B225" i="20"/>
  <c r="B209" i="20"/>
  <c r="C214" i="20" s="1"/>
  <c r="C150" i="20"/>
  <c r="B49" i="20"/>
  <c r="C54" i="20" s="1"/>
  <c r="F23" i="19"/>
  <c r="I18" i="19"/>
  <c r="G126" i="15"/>
  <c r="G130" i="15" s="1"/>
  <c r="G134" i="15" s="1"/>
  <c r="D108" i="15"/>
  <c r="F107" i="15"/>
  <c r="I74" i="15"/>
  <c r="G58" i="15"/>
  <c r="G64" i="15" s="1"/>
  <c r="I41" i="15"/>
  <c r="H33" i="14"/>
  <c r="F107" i="13"/>
  <c r="E58" i="13"/>
  <c r="E64" i="13" s="1"/>
  <c r="G33" i="12"/>
  <c r="G109" i="12" s="1"/>
  <c r="E126" i="11"/>
  <c r="E130" i="11" s="1"/>
  <c r="E134" i="11" s="1"/>
  <c r="I107" i="11"/>
  <c r="I74" i="11"/>
  <c r="E33" i="11"/>
  <c r="E109" i="11" s="1"/>
  <c r="N149" i="23"/>
  <c r="N153" i="23" s="1"/>
  <c r="J149" i="23"/>
  <c r="J153" i="23" s="1"/>
  <c r="F149" i="23"/>
  <c r="F153" i="23" s="1"/>
  <c r="K149" i="23"/>
  <c r="K153" i="23" s="1"/>
  <c r="H129" i="3"/>
  <c r="H132" i="3" s="1"/>
  <c r="C278" i="20"/>
  <c r="C246" i="20"/>
  <c r="C198" i="20"/>
  <c r="C166" i="20"/>
  <c r="H23" i="19"/>
  <c r="D23" i="19"/>
  <c r="I22" i="19"/>
  <c r="F39" i="18"/>
  <c r="T32" i="16"/>
  <c r="O37" i="16"/>
  <c r="G37" i="16"/>
  <c r="T24" i="16"/>
  <c r="D122" i="15"/>
  <c r="F122" i="15" s="1"/>
  <c r="H108" i="15"/>
  <c r="H133" i="15" s="1"/>
  <c r="I82" i="15"/>
  <c r="I63" i="15"/>
  <c r="F16" i="15"/>
  <c r="F9" i="14"/>
  <c r="D126" i="13"/>
  <c r="D130" i="13" s="1"/>
  <c r="D134" i="13" s="1"/>
  <c r="I107" i="13"/>
  <c r="H126" i="12"/>
  <c r="H130" i="12" s="1"/>
  <c r="H134" i="12" s="1"/>
  <c r="E33" i="12"/>
  <c r="E109" i="12" s="1"/>
  <c r="D126" i="11"/>
  <c r="D130" i="11" s="1"/>
  <c r="D134" i="11" s="1"/>
  <c r="F107" i="11"/>
  <c r="E57" i="11"/>
  <c r="E110" i="11" s="1"/>
  <c r="G131" i="9"/>
  <c r="G136" i="9" s="1"/>
  <c r="D108" i="9"/>
  <c r="H131" i="9"/>
  <c r="E108" i="10"/>
  <c r="H57" i="10"/>
  <c r="H110" i="10" s="1"/>
  <c r="H33" i="10"/>
  <c r="H109" i="10" s="1"/>
  <c r="I109" i="10" s="1"/>
  <c r="E126" i="10"/>
  <c r="E130" i="10" s="1"/>
  <c r="E134" i="10" s="1"/>
  <c r="G108" i="10"/>
  <c r="D16" i="9"/>
  <c r="D147" i="3"/>
  <c r="E147" i="3" s="1"/>
  <c r="F124" i="8"/>
  <c r="I130" i="10"/>
  <c r="I134" i="10" s="1"/>
  <c r="F117" i="10"/>
  <c r="F126" i="10" s="1"/>
  <c r="F130" i="10" s="1"/>
  <c r="F134" i="10" s="1"/>
  <c r="D58" i="10"/>
  <c r="D64" i="10" s="1"/>
  <c r="F46" i="10"/>
  <c r="F16" i="10"/>
  <c r="F94" i="9"/>
  <c r="F73" i="9"/>
  <c r="F74" i="9" s="1"/>
  <c r="H58" i="9"/>
  <c r="H64" i="9" s="1"/>
  <c r="D57" i="9"/>
  <c r="D110" i="9" s="1"/>
  <c r="F110" i="9" s="1"/>
  <c r="F56" i="9"/>
  <c r="F32" i="9"/>
  <c r="F152" i="3"/>
  <c r="I129" i="8"/>
  <c r="F148" i="3"/>
  <c r="H148" i="3" s="1"/>
  <c r="I125" i="8"/>
  <c r="F32" i="10"/>
  <c r="F150" i="3"/>
  <c r="H150" i="3" s="1"/>
  <c r="F151" i="24" s="1"/>
  <c r="I127" i="8"/>
  <c r="AS131" i="8"/>
  <c r="AO131" i="8"/>
  <c r="M131" i="8"/>
  <c r="D108" i="10"/>
  <c r="G126" i="9"/>
  <c r="G130" i="9" s="1"/>
  <c r="G134" i="9" s="1"/>
  <c r="F100" i="9"/>
  <c r="F16" i="9"/>
  <c r="D151" i="3"/>
  <c r="F128" i="8"/>
  <c r="F56" i="10"/>
  <c r="H108" i="10"/>
  <c r="E126" i="9"/>
  <c r="E130" i="9" s="1"/>
  <c r="E134" i="9" s="1"/>
  <c r="H152" i="3"/>
  <c r="F153" i="24" s="1"/>
  <c r="E153" i="24"/>
  <c r="E151" i="24"/>
  <c r="H146" i="3"/>
  <c r="I118" i="8"/>
  <c r="E143" i="3"/>
  <c r="I114" i="8"/>
  <c r="AW110" i="8"/>
  <c r="AS110" i="8"/>
  <c r="AO110" i="8"/>
  <c r="AK110" i="8"/>
  <c r="AG110" i="8"/>
  <c r="AC110" i="8"/>
  <c r="M110" i="8"/>
  <c r="AU109" i="8"/>
  <c r="S109" i="8"/>
  <c r="D107" i="8"/>
  <c r="F106" i="8"/>
  <c r="H123" i="3"/>
  <c r="E121" i="3"/>
  <c r="G119" i="3"/>
  <c r="I101" i="8"/>
  <c r="F102" i="3"/>
  <c r="H102" i="3" s="1"/>
  <c r="G94" i="8"/>
  <c r="D87" i="3"/>
  <c r="E87" i="3" s="1"/>
  <c r="F69" i="8"/>
  <c r="D72" i="3"/>
  <c r="E72" i="3" s="1"/>
  <c r="F60" i="8"/>
  <c r="E63" i="8"/>
  <c r="AW58" i="8"/>
  <c r="AW64" i="8" s="1"/>
  <c r="Q58" i="8"/>
  <c r="Q64" i="8" s="1"/>
  <c r="W57" i="8"/>
  <c r="W110" i="8" s="1"/>
  <c r="D44" i="3"/>
  <c r="E44" i="3" s="1"/>
  <c r="F44" i="8"/>
  <c r="F39" i="3"/>
  <c r="I39" i="8"/>
  <c r="D34" i="3"/>
  <c r="F34" i="8"/>
  <c r="E41" i="8"/>
  <c r="Y33" i="8"/>
  <c r="Y109" i="8" s="1"/>
  <c r="G22" i="3"/>
  <c r="I22" i="8"/>
  <c r="C20" i="3"/>
  <c r="E20" i="3" s="1"/>
  <c r="F20" i="8"/>
  <c r="F17" i="3"/>
  <c r="I17" i="8"/>
  <c r="AT58" i="8"/>
  <c r="AT64" i="8" s="1"/>
  <c r="E13" i="8"/>
  <c r="D13" i="3" s="1"/>
  <c r="D13" i="8"/>
  <c r="D10" i="3"/>
  <c r="C11" i="2" s="1"/>
  <c r="F10" i="8"/>
  <c r="G7" i="3"/>
  <c r="G9" i="3" s="1"/>
  <c r="F10" i="2" s="1"/>
  <c r="I7" i="8"/>
  <c r="H9" i="8"/>
  <c r="C31" i="3"/>
  <c r="E31" i="3" s="1"/>
  <c r="F25" i="7"/>
  <c r="F27" i="7" s="1"/>
  <c r="D27" i="7"/>
  <c r="D11" i="6"/>
  <c r="C34" i="3" s="1"/>
  <c r="E26" i="2"/>
  <c r="D116" i="3"/>
  <c r="F98" i="8"/>
  <c r="G113" i="3"/>
  <c r="I95" i="8"/>
  <c r="H100" i="8"/>
  <c r="D110" i="3"/>
  <c r="E110" i="3" s="1"/>
  <c r="F92" i="8"/>
  <c r="D86" i="8"/>
  <c r="L94" i="8"/>
  <c r="L108" i="8" s="1"/>
  <c r="L131" i="8" s="1"/>
  <c r="D95" i="3"/>
  <c r="F77" i="8"/>
  <c r="F55" i="3"/>
  <c r="H55" i="3" s="1"/>
  <c r="I55" i="8"/>
  <c r="D50" i="3"/>
  <c r="F50" i="8"/>
  <c r="F47" i="3"/>
  <c r="I47" i="8"/>
  <c r="G56" i="8"/>
  <c r="D42" i="3"/>
  <c r="F42" i="8"/>
  <c r="AY58" i="8"/>
  <c r="AY64" i="8" s="1"/>
  <c r="AY57" i="8"/>
  <c r="AY110" i="8" s="1"/>
  <c r="AU64" i="8"/>
  <c r="AQ58" i="8"/>
  <c r="AQ64" i="8" s="1"/>
  <c r="AQ57" i="8"/>
  <c r="AQ110" i="8" s="1"/>
  <c r="AM64" i="8"/>
  <c r="AI58" i="8"/>
  <c r="AI64" i="8" s="1"/>
  <c r="AI57" i="8"/>
  <c r="AI110" i="8" s="1"/>
  <c r="AA58" i="8"/>
  <c r="AA64" i="8" s="1"/>
  <c r="AA57" i="8"/>
  <c r="AA110" i="8" s="1"/>
  <c r="W64" i="8"/>
  <c r="S58" i="8"/>
  <c r="S64" i="8" s="1"/>
  <c r="S57" i="8"/>
  <c r="S110" i="8" s="1"/>
  <c r="K58" i="8"/>
  <c r="K64" i="8" s="1"/>
  <c r="K57" i="8"/>
  <c r="K110" i="8" s="1"/>
  <c r="F40" i="8"/>
  <c r="F37" i="3"/>
  <c r="I37" i="8"/>
  <c r="C26" i="3"/>
  <c r="E26" i="3" s="1"/>
  <c r="F26" i="8"/>
  <c r="G20" i="3"/>
  <c r="I20" i="8"/>
  <c r="D18" i="3"/>
  <c r="E18" i="3" s="1"/>
  <c r="F18" i="8"/>
  <c r="F129" i="8"/>
  <c r="F127" i="8"/>
  <c r="D122" i="8"/>
  <c r="F122" i="8" s="1"/>
  <c r="C144" i="23"/>
  <c r="P144" i="23" s="1"/>
  <c r="E138" i="3"/>
  <c r="U110" i="8"/>
  <c r="AB108" i="8"/>
  <c r="AB131" i="8" s="1"/>
  <c r="AB110" i="8"/>
  <c r="X108" i="8"/>
  <c r="X131" i="8" s="1"/>
  <c r="X110" i="8"/>
  <c r="T108" i="8"/>
  <c r="T131" i="8" s="1"/>
  <c r="P108" i="8"/>
  <c r="P131" i="8" s="1"/>
  <c r="P110" i="8"/>
  <c r="L110" i="8"/>
  <c r="G117" i="3"/>
  <c r="I99" i="8"/>
  <c r="F113" i="3"/>
  <c r="G100" i="8"/>
  <c r="G111" i="3"/>
  <c r="H111" i="3" s="1"/>
  <c r="I93" i="8"/>
  <c r="D108" i="3"/>
  <c r="E108" i="3" s="1"/>
  <c r="F90" i="8"/>
  <c r="G103" i="3"/>
  <c r="H103" i="3" s="1"/>
  <c r="I85" i="8"/>
  <c r="D101" i="3"/>
  <c r="F83" i="8"/>
  <c r="F75" i="8"/>
  <c r="F73" i="8"/>
  <c r="G63" i="8"/>
  <c r="F73" i="3"/>
  <c r="I61" i="8"/>
  <c r="I63" i="8" s="1"/>
  <c r="AM57" i="8"/>
  <c r="AM110" i="8" s="1"/>
  <c r="AO57" i="8"/>
  <c r="AO58" i="8"/>
  <c r="AO64" i="8" s="1"/>
  <c r="Y57" i="8"/>
  <c r="Y110" i="8" s="1"/>
  <c r="Y58" i="8"/>
  <c r="Y64" i="8" s="1"/>
  <c r="M57" i="8"/>
  <c r="M58" i="8"/>
  <c r="M64" i="8" s="1"/>
  <c r="F53" i="3"/>
  <c r="H53" i="3" s="1"/>
  <c r="F54" i="24" s="1"/>
  <c r="I53" i="8"/>
  <c r="D48" i="3"/>
  <c r="F48" i="8"/>
  <c r="F45" i="3"/>
  <c r="H45" i="3" s="1"/>
  <c r="I45" i="8"/>
  <c r="D38" i="3"/>
  <c r="F38" i="8"/>
  <c r="F35" i="3"/>
  <c r="H35" i="3" s="1"/>
  <c r="I35" i="8"/>
  <c r="I41" i="8" s="1"/>
  <c r="AB33" i="8"/>
  <c r="AB109" i="8" s="1"/>
  <c r="AB58" i="8"/>
  <c r="AB64" i="8" s="1"/>
  <c r="F11" i="3"/>
  <c r="I11" i="8"/>
  <c r="G16" i="8"/>
  <c r="E152" i="22"/>
  <c r="C152" i="23"/>
  <c r="P152" i="23" s="1"/>
  <c r="C153" i="24"/>
  <c r="C150" i="23"/>
  <c r="P150" i="23" s="1"/>
  <c r="E150" i="22"/>
  <c r="C151" i="24"/>
  <c r="C149" i="24"/>
  <c r="I123" i="8"/>
  <c r="F118" i="8"/>
  <c r="D117" i="8"/>
  <c r="D126" i="8" s="1"/>
  <c r="D130" i="8" s="1"/>
  <c r="F114" i="8"/>
  <c r="H138" i="3"/>
  <c r="E107" i="8"/>
  <c r="I105" i="8"/>
  <c r="F121" i="3"/>
  <c r="G107" i="8"/>
  <c r="C119" i="3"/>
  <c r="E119" i="3" s="1"/>
  <c r="G115" i="3"/>
  <c r="I97" i="8"/>
  <c r="E100" i="8"/>
  <c r="AU57" i="8"/>
  <c r="AU110" i="8" s="1"/>
  <c r="E56" i="8"/>
  <c r="F51" i="3"/>
  <c r="H51" i="3" s="1"/>
  <c r="F52" i="24" s="1"/>
  <c r="I51" i="8"/>
  <c r="AZ33" i="8"/>
  <c r="AZ109" i="8" s="1"/>
  <c r="AZ58" i="8"/>
  <c r="AZ64" i="8" s="1"/>
  <c r="G24" i="3"/>
  <c r="H24" i="3" s="1"/>
  <c r="I24" i="8"/>
  <c r="C22" i="3"/>
  <c r="E22" i="3" s="1"/>
  <c r="F22" i="8"/>
  <c r="F19" i="3"/>
  <c r="H19" i="3" s="1"/>
  <c r="I19" i="8"/>
  <c r="G32" i="8"/>
  <c r="AF33" i="8"/>
  <c r="AF109" i="8" s="1"/>
  <c r="AF58" i="8"/>
  <c r="AF64" i="8" s="1"/>
  <c r="X33" i="8"/>
  <c r="X109" i="8" s="1"/>
  <c r="X58" i="8"/>
  <c r="X64" i="8" s="1"/>
  <c r="F13" i="3"/>
  <c r="H13" i="3" s="1"/>
  <c r="I13" i="8"/>
  <c r="D12" i="3"/>
  <c r="F12" i="8"/>
  <c r="D8" i="8"/>
  <c r="D9" i="8" s="1"/>
  <c r="J58" i="8"/>
  <c r="J64" i="8" s="1"/>
  <c r="C7" i="3"/>
  <c r="F7" i="8"/>
  <c r="G31" i="3"/>
  <c r="H27" i="7"/>
  <c r="D123" i="3"/>
  <c r="E123" i="3" s="1"/>
  <c r="F105" i="8"/>
  <c r="G121" i="3"/>
  <c r="H121" i="3" s="1"/>
  <c r="I103" i="8"/>
  <c r="E120" i="3"/>
  <c r="C113" i="3"/>
  <c r="D100" i="8"/>
  <c r="AX109" i="8"/>
  <c r="AL109" i="8"/>
  <c r="D106" i="3"/>
  <c r="E106" i="3" s="1"/>
  <c r="F88" i="8"/>
  <c r="D89" i="3"/>
  <c r="E89" i="3" s="1"/>
  <c r="F71" i="8"/>
  <c r="D52" i="3"/>
  <c r="F52" i="8"/>
  <c r="F49" i="3"/>
  <c r="H49" i="3" s="1"/>
  <c r="F50" i="24" s="1"/>
  <c r="I49" i="8"/>
  <c r="F43" i="3"/>
  <c r="I43" i="8"/>
  <c r="I46" i="8" s="1"/>
  <c r="G46" i="8"/>
  <c r="D36" i="3"/>
  <c r="F36" i="8"/>
  <c r="BA33" i="8"/>
  <c r="BA109" i="8" s="1"/>
  <c r="G26" i="3"/>
  <c r="H26" i="3" s="1"/>
  <c r="I26" i="8"/>
  <c r="C24" i="3"/>
  <c r="E24" i="3" s="1"/>
  <c r="F24" i="8"/>
  <c r="F14" i="3"/>
  <c r="H14" i="3" s="1"/>
  <c r="I14" i="8"/>
  <c r="F20" i="7"/>
  <c r="D64" i="6"/>
  <c r="C42" i="3" s="1"/>
  <c r="E26" i="6"/>
  <c r="D37" i="3" s="1"/>
  <c r="C85" i="3"/>
  <c r="E85" i="3" s="1"/>
  <c r="D56" i="4"/>
  <c r="E138" i="24"/>
  <c r="D58" i="24"/>
  <c r="D59" i="24"/>
  <c r="D77" i="24" s="1"/>
  <c r="F13" i="24"/>
  <c r="F17" i="24" s="1"/>
  <c r="E17" i="24"/>
  <c r="E41" i="6"/>
  <c r="F113" i="24"/>
  <c r="F95" i="24"/>
  <c r="F101" i="24" s="1"/>
  <c r="E101" i="24"/>
  <c r="F41" i="24"/>
  <c r="F42" i="24" s="1"/>
  <c r="F22" i="24"/>
  <c r="F33" i="24" s="1"/>
  <c r="E33" i="24"/>
  <c r="J9" i="6"/>
  <c r="F86" i="3"/>
  <c r="H80" i="3"/>
  <c r="H86" i="3" s="1"/>
  <c r="F123" i="24"/>
  <c r="F126" i="24" s="1"/>
  <c r="E126" i="24"/>
  <c r="E113" i="24"/>
  <c r="E87" i="24"/>
  <c r="E93" i="24" s="1"/>
  <c r="E70" i="23"/>
  <c r="I70" i="23"/>
  <c r="M70" i="23"/>
  <c r="G71" i="23"/>
  <c r="K71" i="23"/>
  <c r="O71" i="23"/>
  <c r="F70" i="23"/>
  <c r="J70" i="23"/>
  <c r="N70" i="23"/>
  <c r="D71" i="23"/>
  <c r="P71" i="23" s="1"/>
  <c r="H71" i="23"/>
  <c r="L71" i="23"/>
  <c r="D70" i="23"/>
  <c r="L70" i="23"/>
  <c r="E71" i="23"/>
  <c r="M71" i="23"/>
  <c r="G70" i="23"/>
  <c r="O70" i="23"/>
  <c r="F71" i="23"/>
  <c r="N71" i="23"/>
  <c r="H70" i="23"/>
  <c r="P70" i="23"/>
  <c r="I71" i="23"/>
  <c r="K70" i="23"/>
  <c r="J71" i="23"/>
  <c r="J22" i="23"/>
  <c r="O22" i="23"/>
  <c r="I122" i="15"/>
  <c r="H126" i="15"/>
  <c r="H130" i="15" s="1"/>
  <c r="H134" i="15" s="1"/>
  <c r="I117" i="15"/>
  <c r="I126" i="15" s="1"/>
  <c r="I130" i="15" s="1"/>
  <c r="I134" i="15" s="1"/>
  <c r="H124" i="3"/>
  <c r="H122" i="3"/>
  <c r="F103" i="8"/>
  <c r="F107" i="8" s="1"/>
  <c r="H120" i="3"/>
  <c r="C125" i="3"/>
  <c r="F101" i="8"/>
  <c r="F95" i="8"/>
  <c r="F100" i="8" s="1"/>
  <c r="H94" i="8"/>
  <c r="F93" i="8"/>
  <c r="F91" i="8"/>
  <c r="H108" i="3"/>
  <c r="F89" i="8"/>
  <c r="H106" i="3"/>
  <c r="F87" i="8"/>
  <c r="I86" i="8"/>
  <c r="F84" i="8"/>
  <c r="H101" i="3"/>
  <c r="G112" i="3"/>
  <c r="F24" i="2" s="1"/>
  <c r="F78" i="8"/>
  <c r="F76" i="8"/>
  <c r="C91" i="3"/>
  <c r="F72" i="8"/>
  <c r="H89" i="3"/>
  <c r="F70" i="8"/>
  <c r="H87" i="3"/>
  <c r="F61" i="8"/>
  <c r="H56" i="8"/>
  <c r="D56" i="8"/>
  <c r="F55" i="8"/>
  <c r="F53" i="8"/>
  <c r="E52" i="3"/>
  <c r="F51" i="8"/>
  <c r="E50" i="3"/>
  <c r="F49" i="8"/>
  <c r="E48" i="3"/>
  <c r="C49" i="24" s="1"/>
  <c r="F47" i="8"/>
  <c r="D46" i="8"/>
  <c r="G44" i="3"/>
  <c r="H44" i="3" s="1"/>
  <c r="F43" i="8"/>
  <c r="G42" i="3"/>
  <c r="F39" i="8"/>
  <c r="F37" i="8"/>
  <c r="F35" i="8"/>
  <c r="G34" i="3"/>
  <c r="H32" i="8"/>
  <c r="D32" i="8"/>
  <c r="I29" i="8"/>
  <c r="I27" i="8"/>
  <c r="I25" i="8"/>
  <c r="I23" i="8"/>
  <c r="H22" i="3"/>
  <c r="I21" i="8"/>
  <c r="H20" i="3"/>
  <c r="F19" i="8"/>
  <c r="F17" i="8"/>
  <c r="H16" i="8"/>
  <c r="F14" i="8"/>
  <c r="C12" i="3"/>
  <c r="C10" i="3"/>
  <c r="I8" i="8"/>
  <c r="F9" i="3"/>
  <c r="E10" i="2" s="1"/>
  <c r="E27" i="7"/>
  <c r="G25" i="7"/>
  <c r="I14" i="7"/>
  <c r="E83" i="4"/>
  <c r="E143" i="24"/>
  <c r="F81" i="24"/>
  <c r="F87" i="24" s="1"/>
  <c r="E41" i="24"/>
  <c r="E42" i="24" s="1"/>
  <c r="E60" i="3"/>
  <c r="D62" i="3"/>
  <c r="D71" i="3" s="1"/>
  <c r="F125" i="3"/>
  <c r="C26" i="2"/>
  <c r="D117" i="3"/>
  <c r="D115" i="3"/>
  <c r="E111" i="3"/>
  <c r="I91" i="8"/>
  <c r="E109" i="3"/>
  <c r="I89" i="8"/>
  <c r="I87" i="8"/>
  <c r="E105" i="3"/>
  <c r="H104" i="3"/>
  <c r="F85" i="8"/>
  <c r="I84" i="8"/>
  <c r="F112" i="3"/>
  <c r="E24" i="2" s="1"/>
  <c r="I78" i="8"/>
  <c r="E96" i="3"/>
  <c r="I76" i="8"/>
  <c r="I72" i="8"/>
  <c r="E90" i="3"/>
  <c r="I70" i="8"/>
  <c r="E88" i="3"/>
  <c r="F40" i="3"/>
  <c r="F36" i="3"/>
  <c r="D35" i="3"/>
  <c r="H18" i="3"/>
  <c r="P84" i="23"/>
  <c r="H130" i="3"/>
  <c r="G132" i="3"/>
  <c r="H109" i="3"/>
  <c r="H107" i="3"/>
  <c r="H105" i="3"/>
  <c r="E103" i="3"/>
  <c r="C102" i="3"/>
  <c r="E102" i="3" s="1"/>
  <c r="H96" i="3"/>
  <c r="G100" i="3"/>
  <c r="F23" i="2" s="1"/>
  <c r="H94" i="3"/>
  <c r="H90" i="3"/>
  <c r="H88" i="3"/>
  <c r="E73" i="3"/>
  <c r="E49" i="3"/>
  <c r="C50" i="24" s="1"/>
  <c r="G56" i="3"/>
  <c r="C56" i="3"/>
  <c r="E47" i="3"/>
  <c r="C48" i="24" s="1"/>
  <c r="G43" i="3"/>
  <c r="E44" i="24" s="1"/>
  <c r="B13" i="2"/>
  <c r="D13" i="2" s="1"/>
  <c r="E17" i="3"/>
  <c r="G16" i="3"/>
  <c r="F12" i="2" s="1"/>
  <c r="C11" i="3"/>
  <c r="H30" i="3"/>
  <c r="D91" i="6"/>
  <c r="E48" i="24"/>
  <c r="E57" i="24" s="1"/>
  <c r="C128" i="22"/>
  <c r="C126" i="22"/>
  <c r="H10" i="3"/>
  <c r="K47" i="23"/>
  <c r="G133" i="14"/>
  <c r="D108" i="14"/>
  <c r="F100" i="14"/>
  <c r="H109" i="14"/>
  <c r="I109" i="14" s="1"/>
  <c r="H108" i="14"/>
  <c r="E68" i="23"/>
  <c r="I68" i="23"/>
  <c r="M68" i="23"/>
  <c r="F68" i="23"/>
  <c r="J68" i="23"/>
  <c r="N68" i="23"/>
  <c r="H68" i="23"/>
  <c r="C149" i="22"/>
  <c r="C153" i="22" s="1"/>
  <c r="D127" i="22"/>
  <c r="L69" i="23"/>
  <c r="H69" i="23"/>
  <c r="L67" i="23"/>
  <c r="H67" i="23"/>
  <c r="L65" i="23"/>
  <c r="H65" i="23"/>
  <c r="D65" i="23"/>
  <c r="N64" i="23"/>
  <c r="J64" i="23"/>
  <c r="F64" i="23"/>
  <c r="C58" i="22"/>
  <c r="C76" i="22" s="1"/>
  <c r="H137" i="3"/>
  <c r="H131" i="3"/>
  <c r="E130" i="3"/>
  <c r="E132" i="3"/>
  <c r="M64" i="23"/>
  <c r="I64" i="23"/>
  <c r="D126" i="22"/>
  <c r="C102" i="20"/>
  <c r="S32" i="16"/>
  <c r="E59" i="3"/>
  <c r="C62" i="3"/>
  <c r="C71" i="3" s="1"/>
  <c r="C75" i="3" s="1"/>
  <c r="B19" i="2" s="1"/>
  <c r="E109" i="15"/>
  <c r="I94" i="15"/>
  <c r="F46" i="15"/>
  <c r="G126" i="14"/>
  <c r="G130" i="14" s="1"/>
  <c r="G134" i="14" s="1"/>
  <c r="G131" i="11"/>
  <c r="G136" i="11" s="1"/>
  <c r="G62" i="3"/>
  <c r="G71" i="3" s="1"/>
  <c r="G75" i="3" s="1"/>
  <c r="F19" i="2" s="1"/>
  <c r="E131" i="15"/>
  <c r="E136" i="15" s="1"/>
  <c r="D57" i="15"/>
  <c r="D110" i="15" s="1"/>
  <c r="F110" i="15" s="1"/>
  <c r="F56" i="15"/>
  <c r="S12" i="16"/>
  <c r="I107" i="15"/>
  <c r="H57" i="15"/>
  <c r="I58" i="15"/>
  <c r="I64" i="15" s="1"/>
  <c r="I33" i="15"/>
  <c r="F32" i="15"/>
  <c r="F32" i="13"/>
  <c r="Q37" i="16"/>
  <c r="M37" i="16"/>
  <c r="I37" i="16"/>
  <c r="E37" i="16"/>
  <c r="S36" i="16"/>
  <c r="G108" i="15"/>
  <c r="G110" i="15"/>
  <c r="H33" i="15"/>
  <c r="H109" i="15" s="1"/>
  <c r="I109" i="15" s="1"/>
  <c r="I126" i="14"/>
  <c r="I130" i="14" s="1"/>
  <c r="F94" i="14"/>
  <c r="H57" i="14"/>
  <c r="H110" i="14" s="1"/>
  <c r="I110" i="14" s="1"/>
  <c r="H58" i="14"/>
  <c r="H64" i="14" s="1"/>
  <c r="I56" i="14"/>
  <c r="I32" i="14"/>
  <c r="I33" i="14" s="1"/>
  <c r="I117" i="13"/>
  <c r="I126" i="13" s="1"/>
  <c r="I130" i="13" s="1"/>
  <c r="H57" i="13"/>
  <c r="H110" i="13" s="1"/>
  <c r="H58" i="13"/>
  <c r="H64" i="13" s="1"/>
  <c r="G58" i="13"/>
  <c r="G64" i="13" s="1"/>
  <c r="G57" i="13"/>
  <c r="G110" i="13" s="1"/>
  <c r="I41" i="13"/>
  <c r="I117" i="12"/>
  <c r="I126" i="12" s="1"/>
  <c r="I130" i="12" s="1"/>
  <c r="I134" i="12" s="1"/>
  <c r="F20" i="18"/>
  <c r="H110" i="15"/>
  <c r="I110" i="15" s="1"/>
  <c r="G110" i="14"/>
  <c r="F16" i="14"/>
  <c r="G126" i="13"/>
  <c r="G130" i="13" s="1"/>
  <c r="G134" i="13" s="1"/>
  <c r="D108" i="13"/>
  <c r="I82" i="13"/>
  <c r="I63" i="13"/>
  <c r="H33" i="13"/>
  <c r="H109" i="13" s="1"/>
  <c r="I109" i="13" s="1"/>
  <c r="I46" i="12"/>
  <c r="E58" i="12"/>
  <c r="E64" i="12" s="1"/>
  <c r="E57" i="12"/>
  <c r="E110" i="12" s="1"/>
  <c r="F46" i="14"/>
  <c r="D16" i="14"/>
  <c r="H108" i="13"/>
  <c r="I94" i="13"/>
  <c r="F46" i="13"/>
  <c r="I117" i="11"/>
  <c r="I126" i="11" s="1"/>
  <c r="I32" i="11"/>
  <c r="I33" i="11" s="1"/>
  <c r="F16" i="11"/>
  <c r="F56" i="14"/>
  <c r="F32" i="14"/>
  <c r="D9" i="14"/>
  <c r="F117" i="13"/>
  <c r="F126" i="13" s="1"/>
  <c r="F130" i="13" s="1"/>
  <c r="F134" i="13" s="1"/>
  <c r="I100" i="13"/>
  <c r="F56" i="13"/>
  <c r="F16" i="13"/>
  <c r="E131" i="12"/>
  <c r="D108" i="12"/>
  <c r="F16" i="12"/>
  <c r="I100" i="11"/>
  <c r="D57" i="11"/>
  <c r="D58" i="11"/>
  <c r="D64" i="11" s="1"/>
  <c r="F56" i="11"/>
  <c r="H108" i="12"/>
  <c r="H110" i="12"/>
  <c r="I107" i="12"/>
  <c r="I108" i="12" s="1"/>
  <c r="G58" i="12"/>
  <c r="G64" i="12" s="1"/>
  <c r="D57" i="12"/>
  <c r="D110" i="12" s="1"/>
  <c r="F56" i="12"/>
  <c r="I16" i="12"/>
  <c r="F117" i="11"/>
  <c r="F126" i="11" s="1"/>
  <c r="F130" i="11" s="1"/>
  <c r="F134" i="11" s="1"/>
  <c r="E108" i="11"/>
  <c r="H57" i="11"/>
  <c r="I41" i="11"/>
  <c r="I57" i="11" s="1"/>
  <c r="D33" i="11"/>
  <c r="D109" i="11" s="1"/>
  <c r="F109" i="11" s="1"/>
  <c r="F32" i="11"/>
  <c r="F122" i="12"/>
  <c r="G108" i="12"/>
  <c r="G110" i="12"/>
  <c r="D58" i="12"/>
  <c r="D64" i="12" s="1"/>
  <c r="H57" i="12"/>
  <c r="I56" i="12"/>
  <c r="D33" i="12"/>
  <c r="D109" i="12" s="1"/>
  <c r="F32" i="12"/>
  <c r="I130" i="11"/>
  <c r="D108" i="11"/>
  <c r="D110" i="11"/>
  <c r="I82" i="11"/>
  <c r="I63" i="11"/>
  <c r="G57" i="11"/>
  <c r="G110" i="11" s="1"/>
  <c r="H33" i="11"/>
  <c r="H109" i="11" s="1"/>
  <c r="D126" i="12"/>
  <c r="D130" i="12" s="1"/>
  <c r="D134" i="12" s="1"/>
  <c r="F117" i="12"/>
  <c r="F126" i="12" s="1"/>
  <c r="F130" i="12" s="1"/>
  <c r="F134" i="12" s="1"/>
  <c r="F46" i="12"/>
  <c r="I32" i="12"/>
  <c r="H108" i="11"/>
  <c r="H110" i="11"/>
  <c r="I94" i="11"/>
  <c r="F46" i="11"/>
  <c r="D128" i="24" l="1"/>
  <c r="F93" i="24"/>
  <c r="C120" i="24"/>
  <c r="C119" i="23"/>
  <c r="E119" i="22"/>
  <c r="C24" i="24"/>
  <c r="C24" i="23"/>
  <c r="E23" i="22"/>
  <c r="H116" i="3"/>
  <c r="H117" i="3"/>
  <c r="H139" i="3"/>
  <c r="C40" i="24"/>
  <c r="C40" i="23"/>
  <c r="E39" i="22"/>
  <c r="C45" i="24"/>
  <c r="C45" i="23"/>
  <c r="E44" i="22"/>
  <c r="C20" i="24"/>
  <c r="C20" i="23"/>
  <c r="E19" i="22"/>
  <c r="C31" i="24"/>
  <c r="C31" i="23"/>
  <c r="P31" i="23" s="1"/>
  <c r="E30" i="22"/>
  <c r="C32" i="24"/>
  <c r="C32" i="23"/>
  <c r="P32" i="23" s="1"/>
  <c r="E31" i="22"/>
  <c r="C86" i="24"/>
  <c r="C85" i="23"/>
  <c r="E85" i="22"/>
  <c r="C100" i="24"/>
  <c r="C99" i="23"/>
  <c r="E99" i="22"/>
  <c r="F92" i="3"/>
  <c r="E21" i="2" s="1"/>
  <c r="G21" i="2" s="1"/>
  <c r="C81" i="24"/>
  <c r="C80" i="23"/>
  <c r="E80" i="22"/>
  <c r="C98" i="3"/>
  <c r="E98" i="3" s="1"/>
  <c r="C98" i="23" s="1"/>
  <c r="L98" i="23" s="1"/>
  <c r="F118" i="3"/>
  <c r="E25" i="2" s="1"/>
  <c r="H115" i="3"/>
  <c r="E124" i="3"/>
  <c r="C124" i="23" s="1"/>
  <c r="H114" i="3"/>
  <c r="E117" i="3"/>
  <c r="C118" i="24" s="1"/>
  <c r="C93" i="3"/>
  <c r="B22" i="2" s="1"/>
  <c r="D94" i="5"/>
  <c r="D96" i="5" s="1"/>
  <c r="D98" i="5" s="1"/>
  <c r="E114" i="3"/>
  <c r="C115" i="24" s="1"/>
  <c r="C139" i="24"/>
  <c r="C138" i="23"/>
  <c r="E138" i="22"/>
  <c r="C107" i="24"/>
  <c r="C106" i="23"/>
  <c r="E106" i="22"/>
  <c r="C15" i="24"/>
  <c r="C15" i="23"/>
  <c r="E14" i="22"/>
  <c r="D33" i="9"/>
  <c r="D109" i="9" s="1"/>
  <c r="F109" i="9" s="1"/>
  <c r="D58" i="9"/>
  <c r="D64" i="9" s="1"/>
  <c r="C103" i="24"/>
  <c r="C102" i="23"/>
  <c r="E102" i="22"/>
  <c r="D56" i="3"/>
  <c r="I110" i="10"/>
  <c r="C53" i="24"/>
  <c r="C53" i="23"/>
  <c r="E52" i="22"/>
  <c r="C56" i="24"/>
  <c r="C56" i="23"/>
  <c r="P56" i="23" s="1"/>
  <c r="E55" i="22"/>
  <c r="C51" i="24"/>
  <c r="C51" i="23"/>
  <c r="E50" i="22"/>
  <c r="P65" i="23"/>
  <c r="D154" i="22"/>
  <c r="D155" i="22" s="1"/>
  <c r="F110" i="14"/>
  <c r="H39" i="3"/>
  <c r="E43" i="3"/>
  <c r="H38" i="3"/>
  <c r="E115" i="3"/>
  <c r="H42" i="3"/>
  <c r="F93" i="6"/>
  <c r="H36" i="3"/>
  <c r="E38" i="3"/>
  <c r="E133" i="9"/>
  <c r="H7" i="3"/>
  <c r="H9" i="3" s="1"/>
  <c r="H40" i="3"/>
  <c r="E37" i="3"/>
  <c r="F46" i="3"/>
  <c r="E16" i="2" s="1"/>
  <c r="E116" i="3"/>
  <c r="C117" i="24" s="1"/>
  <c r="E139" i="3"/>
  <c r="H142" i="3"/>
  <c r="H149" i="3" s="1"/>
  <c r="H153" i="3" s="1"/>
  <c r="D58" i="15"/>
  <c r="D64" i="15" s="1"/>
  <c r="F108" i="15"/>
  <c r="F33" i="12"/>
  <c r="F108" i="11"/>
  <c r="T37" i="16"/>
  <c r="F108" i="10"/>
  <c r="F33" i="10"/>
  <c r="C81" i="3"/>
  <c r="E81" i="3" s="1"/>
  <c r="G56" i="4"/>
  <c r="P131" i="23"/>
  <c r="F56" i="8"/>
  <c r="K29" i="23"/>
  <c r="G32" i="3"/>
  <c r="E32" i="8"/>
  <c r="H22" i="23"/>
  <c r="F15" i="23"/>
  <c r="D16" i="8"/>
  <c r="D33" i="8" s="1"/>
  <c r="J33" i="8"/>
  <c r="J109" i="8" s="1"/>
  <c r="F126" i="14"/>
  <c r="F130" i="14" s="1"/>
  <c r="F134" i="14" s="1"/>
  <c r="F108" i="13"/>
  <c r="F131" i="13" s="1"/>
  <c r="F131" i="12"/>
  <c r="E35" i="3"/>
  <c r="E133" i="12"/>
  <c r="E12" i="3"/>
  <c r="D46" i="3"/>
  <c r="C16" i="2" s="1"/>
  <c r="F109" i="10"/>
  <c r="G41" i="3"/>
  <c r="F15" i="2" s="1"/>
  <c r="P40" i="23"/>
  <c r="E36" i="3"/>
  <c r="C82" i="3"/>
  <c r="E82" i="3" s="1"/>
  <c r="G72" i="4"/>
  <c r="I109" i="12"/>
  <c r="H93" i="3"/>
  <c r="S37" i="16"/>
  <c r="H91" i="3"/>
  <c r="H92" i="3" s="1"/>
  <c r="F110" i="10"/>
  <c r="I109" i="11"/>
  <c r="P64" i="23"/>
  <c r="D92" i="6"/>
  <c r="G22" i="23"/>
  <c r="F22" i="23"/>
  <c r="E16" i="8"/>
  <c r="C15" i="3"/>
  <c r="E15" i="3" s="1"/>
  <c r="E152" i="24"/>
  <c r="H37" i="3"/>
  <c r="D126" i="15"/>
  <c r="D130" i="15" s="1"/>
  <c r="C129" i="23"/>
  <c r="P129" i="23" s="1"/>
  <c r="I108" i="11"/>
  <c r="I108" i="13"/>
  <c r="I134" i="13"/>
  <c r="I108" i="15"/>
  <c r="F109" i="15"/>
  <c r="P69" i="23"/>
  <c r="F108" i="14"/>
  <c r="H34" i="3"/>
  <c r="D75" i="3"/>
  <c r="C19" i="2" s="1"/>
  <c r="I74" i="8"/>
  <c r="I82" i="8"/>
  <c r="E150" i="24"/>
  <c r="E154" i="24" s="1"/>
  <c r="H33" i="8"/>
  <c r="H109" i="8" s="1"/>
  <c r="F82" i="8"/>
  <c r="K22" i="23"/>
  <c r="D22" i="23"/>
  <c r="F117" i="8"/>
  <c r="F126" i="8" s="1"/>
  <c r="F130" i="8" s="1"/>
  <c r="C147" i="24"/>
  <c r="C148" i="23"/>
  <c r="P148" i="23" s="1"/>
  <c r="C122" i="23"/>
  <c r="I117" i="8"/>
  <c r="I58" i="10"/>
  <c r="I64" i="10" s="1"/>
  <c r="I57" i="9"/>
  <c r="I131" i="10"/>
  <c r="I23" i="19"/>
  <c r="I108" i="14"/>
  <c r="E131" i="14"/>
  <c r="E136" i="14" s="1"/>
  <c r="E131" i="13"/>
  <c r="E136" i="13" s="1"/>
  <c r="E133" i="13"/>
  <c r="F126" i="15"/>
  <c r="F130" i="15" s="1"/>
  <c r="F134" i="15" s="1"/>
  <c r="H62" i="3"/>
  <c r="H71" i="3" s="1"/>
  <c r="F60" i="24"/>
  <c r="I58" i="13"/>
  <c r="I64" i="13" s="1"/>
  <c r="F33" i="15"/>
  <c r="E133" i="15"/>
  <c r="P66" i="23"/>
  <c r="C45" i="3"/>
  <c r="E45" i="3" s="1"/>
  <c r="G24" i="2"/>
  <c r="I22" i="23"/>
  <c r="E146" i="22"/>
  <c r="D32" i="3"/>
  <c r="C14" i="2" s="1"/>
  <c r="F108" i="9"/>
  <c r="F131" i="9" s="1"/>
  <c r="F63" i="24"/>
  <c r="F72" i="24" s="1"/>
  <c r="I134" i="11"/>
  <c r="F33" i="14"/>
  <c r="D58" i="14"/>
  <c r="D64" i="14" s="1"/>
  <c r="H131" i="15"/>
  <c r="H136" i="15" s="1"/>
  <c r="G133" i="11"/>
  <c r="P68" i="23"/>
  <c r="M22" i="23"/>
  <c r="F63" i="8"/>
  <c r="L22" i="23"/>
  <c r="E22" i="23"/>
  <c r="J11" i="6"/>
  <c r="J14" i="6" s="1"/>
  <c r="I107" i="8"/>
  <c r="D16" i="3"/>
  <c r="C12" i="2" s="1"/>
  <c r="F153" i="3"/>
  <c r="E29" i="2" s="1"/>
  <c r="H108" i="8"/>
  <c r="H131" i="8" s="1"/>
  <c r="G133" i="9"/>
  <c r="F33" i="9"/>
  <c r="F150" i="24"/>
  <c r="P62" i="23"/>
  <c r="G93" i="6"/>
  <c r="D67" i="23"/>
  <c r="P67" i="23" s="1"/>
  <c r="F67" i="23"/>
  <c r="K67" i="23"/>
  <c r="G67" i="23"/>
  <c r="G72" i="23" s="1"/>
  <c r="M67" i="23"/>
  <c r="J67" i="23"/>
  <c r="N67" i="23"/>
  <c r="E67" i="23"/>
  <c r="O67" i="23"/>
  <c r="O72" i="23" s="1"/>
  <c r="I67" i="23"/>
  <c r="C137" i="23"/>
  <c r="P137" i="23" s="1"/>
  <c r="P134" i="23"/>
  <c r="E133" i="14"/>
  <c r="F100" i="3"/>
  <c r="E23" i="2" s="1"/>
  <c r="G23" i="2" s="1"/>
  <c r="I110" i="9"/>
  <c r="I108" i="9"/>
  <c r="I131" i="13"/>
  <c r="I136" i="13" s="1"/>
  <c r="I133" i="13"/>
  <c r="D19" i="2"/>
  <c r="B29" i="2"/>
  <c r="C157" i="3"/>
  <c r="I110" i="13"/>
  <c r="I134" i="14"/>
  <c r="I131" i="14"/>
  <c r="I131" i="11"/>
  <c r="I110" i="12"/>
  <c r="I110" i="11"/>
  <c r="G133" i="12"/>
  <c r="G131" i="12"/>
  <c r="G136" i="12" s="1"/>
  <c r="I58" i="11"/>
  <c r="I64" i="11" s="1"/>
  <c r="E136" i="12"/>
  <c r="F109" i="12"/>
  <c r="F58" i="11"/>
  <c r="F57" i="11"/>
  <c r="D33" i="14"/>
  <c r="D109" i="14" s="1"/>
  <c r="F109" i="14" s="1"/>
  <c r="F110" i="12"/>
  <c r="I33" i="12"/>
  <c r="F33" i="11"/>
  <c r="F110" i="11"/>
  <c r="F58" i="12"/>
  <c r="F57" i="12"/>
  <c r="I131" i="12"/>
  <c r="F131" i="11"/>
  <c r="D133" i="12"/>
  <c r="D131" i="12"/>
  <c r="D136" i="12" s="1"/>
  <c r="F58" i="13"/>
  <c r="F57" i="13"/>
  <c r="F58" i="14"/>
  <c r="F64" i="14" s="1"/>
  <c r="F57" i="14"/>
  <c r="H133" i="13"/>
  <c r="H131" i="13"/>
  <c r="H136" i="13" s="1"/>
  <c r="I57" i="14"/>
  <c r="I58" i="14"/>
  <c r="G131" i="15"/>
  <c r="G136" i="15" s="1"/>
  <c r="G133" i="15"/>
  <c r="B17" i="2"/>
  <c r="H100" i="3"/>
  <c r="F26" i="23"/>
  <c r="J26" i="23"/>
  <c r="N26" i="23"/>
  <c r="G26" i="23"/>
  <c r="L26" i="23"/>
  <c r="H26" i="23"/>
  <c r="M26" i="23"/>
  <c r="D26" i="23"/>
  <c r="O26" i="23"/>
  <c r="E26" i="23"/>
  <c r="I26" i="23"/>
  <c r="K26" i="23"/>
  <c r="F41" i="3"/>
  <c r="E15" i="2" s="1"/>
  <c r="G22" i="2"/>
  <c r="D118" i="3"/>
  <c r="C25" i="2" s="1"/>
  <c r="C61" i="23"/>
  <c r="P61" i="23" s="1"/>
  <c r="G10" i="2"/>
  <c r="G46" i="3"/>
  <c r="F16" i="2" s="1"/>
  <c r="G125" i="3"/>
  <c r="G133" i="13"/>
  <c r="F72" i="23"/>
  <c r="M72" i="23"/>
  <c r="F34" i="24"/>
  <c r="E42" i="6"/>
  <c r="E93" i="6" s="1"/>
  <c r="P85" i="23"/>
  <c r="C120" i="23"/>
  <c r="E125" i="3"/>
  <c r="G33" i="8"/>
  <c r="G109" i="8" s="1"/>
  <c r="E57" i="8"/>
  <c r="E110" i="8" s="1"/>
  <c r="B26" i="2"/>
  <c r="D26" i="2" s="1"/>
  <c r="E108" i="8"/>
  <c r="E131" i="8" s="1"/>
  <c r="G149" i="3"/>
  <c r="G153" i="3" s="1"/>
  <c r="I16" i="8"/>
  <c r="C22" i="2"/>
  <c r="F152" i="24"/>
  <c r="AJ33" i="8"/>
  <c r="AJ109" i="8" s="1"/>
  <c r="AJ58" i="8"/>
  <c r="AJ64" i="8" s="1"/>
  <c r="I56" i="8"/>
  <c r="D41" i="6"/>
  <c r="L33" i="8"/>
  <c r="L109" i="8" s="1"/>
  <c r="L58" i="8"/>
  <c r="L64" i="8" s="1"/>
  <c r="C121" i="23"/>
  <c r="H136" i="9"/>
  <c r="E46" i="24"/>
  <c r="E47" i="24" s="1"/>
  <c r="F17" i="2"/>
  <c r="C17" i="2"/>
  <c r="P90" i="23"/>
  <c r="P109" i="23"/>
  <c r="D57" i="8"/>
  <c r="D110" i="8" s="1"/>
  <c r="G131" i="13"/>
  <c r="G136" i="13" s="1"/>
  <c r="L72" i="23"/>
  <c r="I72" i="23"/>
  <c r="G83" i="23"/>
  <c r="K83" i="23"/>
  <c r="D83" i="23"/>
  <c r="H83" i="23"/>
  <c r="L83" i="23"/>
  <c r="F83" i="23"/>
  <c r="N83" i="23"/>
  <c r="I83" i="23"/>
  <c r="J83" i="23"/>
  <c r="E83" i="23"/>
  <c r="M83" i="23"/>
  <c r="H43" i="3"/>
  <c r="F44" i="24" s="1"/>
  <c r="E7" i="3"/>
  <c r="I32" i="8"/>
  <c r="G108" i="8"/>
  <c r="G131" i="8" s="1"/>
  <c r="H11" i="3"/>
  <c r="H16" i="3" s="1"/>
  <c r="F16" i="3"/>
  <c r="E12" i="2" s="1"/>
  <c r="G12" i="2" s="1"/>
  <c r="F74" i="8"/>
  <c r="C29" i="3"/>
  <c r="F29" i="8"/>
  <c r="F32" i="8" s="1"/>
  <c r="F46" i="8"/>
  <c r="F56" i="3"/>
  <c r="H47" i="3"/>
  <c r="C104" i="3"/>
  <c r="F86" i="8"/>
  <c r="F94" i="8" s="1"/>
  <c r="C13" i="3"/>
  <c r="E13" i="3" s="1"/>
  <c r="F13" i="8"/>
  <c r="F16" i="8" s="1"/>
  <c r="E13" i="2"/>
  <c r="G13" i="2" s="1"/>
  <c r="H17" i="3"/>
  <c r="F41" i="8"/>
  <c r="E151" i="3"/>
  <c r="D153" i="3"/>
  <c r="I133" i="15"/>
  <c r="I131" i="15"/>
  <c r="I136" i="15" s="1"/>
  <c r="F58" i="15"/>
  <c r="F64" i="15" s="1"/>
  <c r="F57" i="15"/>
  <c r="E132" i="22"/>
  <c r="C130" i="23"/>
  <c r="C133" i="24"/>
  <c r="E49" i="22"/>
  <c r="C50" i="23"/>
  <c r="E54" i="23"/>
  <c r="I54" i="23"/>
  <c r="M54" i="23"/>
  <c r="G55" i="23"/>
  <c r="K55" i="23"/>
  <c r="O55" i="23"/>
  <c r="F54" i="23"/>
  <c r="J54" i="23"/>
  <c r="N54" i="23"/>
  <c r="D55" i="23"/>
  <c r="H55" i="23"/>
  <c r="L55" i="23"/>
  <c r="K54" i="23"/>
  <c r="J55" i="23"/>
  <c r="D54" i="23"/>
  <c r="L54" i="23"/>
  <c r="E55" i="23"/>
  <c r="M55" i="23"/>
  <c r="G54" i="23"/>
  <c r="O54" i="23"/>
  <c r="F55" i="23"/>
  <c r="N55" i="23"/>
  <c r="I55" i="23"/>
  <c r="H54" i="23"/>
  <c r="F28" i="23"/>
  <c r="H29" i="23"/>
  <c r="G29" i="23"/>
  <c r="I29" i="23"/>
  <c r="I28" i="23"/>
  <c r="F29" i="23"/>
  <c r="C117" i="23"/>
  <c r="P117" i="23" s="1"/>
  <c r="E27" i="2"/>
  <c r="F31" i="3"/>
  <c r="I25" i="7"/>
  <c r="I27" i="7" s="1"/>
  <c r="G27" i="7"/>
  <c r="P45" i="23"/>
  <c r="E48" i="22"/>
  <c r="C49" i="23"/>
  <c r="H57" i="8"/>
  <c r="H110" i="8" s="1"/>
  <c r="H58" i="8"/>
  <c r="H64" i="8" s="1"/>
  <c r="B27" i="2"/>
  <c r="K72" i="23"/>
  <c r="H72" i="23"/>
  <c r="D72" i="23"/>
  <c r="N72" i="23"/>
  <c r="E72" i="23"/>
  <c r="C118" i="3"/>
  <c r="B25" i="2" s="1"/>
  <c r="E113" i="3"/>
  <c r="E91" i="3"/>
  <c r="D92" i="3"/>
  <c r="C21" i="2" s="1"/>
  <c r="D112" i="3"/>
  <c r="E101" i="3"/>
  <c r="P108" i="23"/>
  <c r="I100" i="8"/>
  <c r="P87" i="23"/>
  <c r="G122" i="23"/>
  <c r="K122" i="23"/>
  <c r="O122" i="23"/>
  <c r="D122" i="23"/>
  <c r="H122" i="23"/>
  <c r="L122" i="23"/>
  <c r="E122" i="23"/>
  <c r="M122" i="23"/>
  <c r="F122" i="23"/>
  <c r="N122" i="23"/>
  <c r="I122" i="23"/>
  <c r="J122" i="23"/>
  <c r="I126" i="8"/>
  <c r="I130" i="8" s="1"/>
  <c r="H131" i="10"/>
  <c r="H136" i="10" s="1"/>
  <c r="H133" i="10"/>
  <c r="E147" i="22"/>
  <c r="C147" i="23"/>
  <c r="P147" i="23" s="1"/>
  <c r="C148" i="24"/>
  <c r="G131" i="10"/>
  <c r="G136" i="10" s="1"/>
  <c r="G133" i="10"/>
  <c r="D131" i="9"/>
  <c r="E133" i="11"/>
  <c r="E131" i="11"/>
  <c r="E136" i="11" s="1"/>
  <c r="D131" i="11"/>
  <c r="D136" i="11" s="1"/>
  <c r="D133" i="11"/>
  <c r="I58" i="12"/>
  <c r="I64" i="12" s="1"/>
  <c r="I57" i="12"/>
  <c r="H133" i="12"/>
  <c r="H131" i="12"/>
  <c r="H136" i="12" s="1"/>
  <c r="H131" i="11"/>
  <c r="H136" i="11" s="1"/>
  <c r="H133" i="11"/>
  <c r="D133" i="13"/>
  <c r="D131" i="13"/>
  <c r="D136" i="13" s="1"/>
  <c r="F33" i="13"/>
  <c r="E62" i="22"/>
  <c r="E71" i="22" s="1"/>
  <c r="C60" i="23"/>
  <c r="E62" i="3"/>
  <c r="E71" i="3" s="1"/>
  <c r="E75" i="3" s="1"/>
  <c r="H133" i="14"/>
  <c r="H131" i="14"/>
  <c r="H136" i="14" s="1"/>
  <c r="D131" i="14"/>
  <c r="G131" i="14"/>
  <c r="G136" i="14" s="1"/>
  <c r="C154" i="22"/>
  <c r="C155" i="22" s="1"/>
  <c r="E11" i="3"/>
  <c r="E56" i="3"/>
  <c r="C57" i="24"/>
  <c r="E47" i="22"/>
  <c r="C48" i="23"/>
  <c r="E52" i="23"/>
  <c r="I52" i="23"/>
  <c r="M52" i="23"/>
  <c r="F52" i="23"/>
  <c r="J52" i="23"/>
  <c r="N52" i="23"/>
  <c r="G52" i="23"/>
  <c r="H52" i="23"/>
  <c r="K52" i="23"/>
  <c r="L52" i="23"/>
  <c r="D52" i="23"/>
  <c r="C74" i="23"/>
  <c r="E73" i="22"/>
  <c r="C74" i="24"/>
  <c r="G99" i="23"/>
  <c r="K99" i="23"/>
  <c r="K100" i="23" s="1"/>
  <c r="D99" i="23"/>
  <c r="D100" i="23" s="1"/>
  <c r="H99" i="23"/>
  <c r="L99" i="23"/>
  <c r="E99" i="23"/>
  <c r="M99" i="23"/>
  <c r="F99" i="23"/>
  <c r="N99" i="23"/>
  <c r="N100" i="23" s="1"/>
  <c r="I99" i="23"/>
  <c r="J99" i="23"/>
  <c r="J100" i="23" s="1"/>
  <c r="P88" i="23"/>
  <c r="P96" i="23"/>
  <c r="I94" i="8"/>
  <c r="G97" i="23"/>
  <c r="M97" i="23"/>
  <c r="H97" i="23"/>
  <c r="I97" i="23"/>
  <c r="L97" i="23"/>
  <c r="E97" i="23"/>
  <c r="F97" i="23"/>
  <c r="B11" i="2"/>
  <c r="D11" i="2" s="1"/>
  <c r="E10" i="3"/>
  <c r="F14" i="2"/>
  <c r="G33" i="3"/>
  <c r="G127" i="3" s="1"/>
  <c r="E34" i="3"/>
  <c r="E42" i="3"/>
  <c r="E72" i="22"/>
  <c r="C73" i="23"/>
  <c r="C73" i="24"/>
  <c r="H112" i="3"/>
  <c r="H125" i="3"/>
  <c r="J72" i="23"/>
  <c r="E34" i="24"/>
  <c r="E128" i="24" s="1"/>
  <c r="D83" i="4"/>
  <c r="P89" i="23"/>
  <c r="C27" i="2"/>
  <c r="C8" i="3"/>
  <c r="E8" i="3" s="1"/>
  <c r="F8" i="8"/>
  <c r="F9" i="8" s="1"/>
  <c r="F75" i="3"/>
  <c r="E19" i="2" s="1"/>
  <c r="H73" i="3"/>
  <c r="D94" i="8"/>
  <c r="G107" i="23"/>
  <c r="K107" i="23"/>
  <c r="O107" i="23"/>
  <c r="D107" i="23"/>
  <c r="H107" i="23"/>
  <c r="L107" i="23"/>
  <c r="E107" i="23"/>
  <c r="M107" i="23"/>
  <c r="F107" i="23"/>
  <c r="N107" i="23"/>
  <c r="I107" i="23"/>
  <c r="J107" i="23"/>
  <c r="D40" i="3"/>
  <c r="D41" i="3" s="1"/>
  <c r="G58" i="8"/>
  <c r="G64" i="8" s="1"/>
  <c r="G57" i="8"/>
  <c r="G110" i="8" s="1"/>
  <c r="E95" i="3"/>
  <c r="D100" i="3"/>
  <c r="C23" i="2" s="1"/>
  <c r="P110" i="23"/>
  <c r="H113" i="3"/>
  <c r="G118" i="3"/>
  <c r="F25" i="2" s="1"/>
  <c r="G26" i="2"/>
  <c r="I9" i="8"/>
  <c r="AT33" i="8"/>
  <c r="AT109" i="8" s="1"/>
  <c r="F26" i="2"/>
  <c r="H119" i="3"/>
  <c r="C143" i="23"/>
  <c r="P143" i="23" s="1"/>
  <c r="F58" i="10"/>
  <c r="F64" i="10" s="1"/>
  <c r="F57" i="10"/>
  <c r="D131" i="10"/>
  <c r="D136" i="10" s="1"/>
  <c r="D133" i="10"/>
  <c r="F58" i="9"/>
  <c r="F64" i="9" s="1"/>
  <c r="F57" i="9"/>
  <c r="E133" i="10"/>
  <c r="E131" i="10"/>
  <c r="E136" i="10" s="1"/>
  <c r="H133" i="9"/>
  <c r="F131" i="10"/>
  <c r="E131" i="9"/>
  <c r="E136" i="9" s="1"/>
  <c r="F128" i="24" l="1"/>
  <c r="F154" i="24"/>
  <c r="E28" i="2"/>
  <c r="E30" i="2" s="1"/>
  <c r="E117" i="22"/>
  <c r="C116" i="23"/>
  <c r="P116" i="23" s="1"/>
  <c r="C99" i="24"/>
  <c r="C35" i="24"/>
  <c r="C35" i="23"/>
  <c r="E34" i="22"/>
  <c r="C39" i="24"/>
  <c r="C39" i="23"/>
  <c r="E38" i="22"/>
  <c r="C36" i="24"/>
  <c r="C36" i="23"/>
  <c r="P36" i="23" s="1"/>
  <c r="E35" i="22"/>
  <c r="C44" i="24"/>
  <c r="C44" i="23"/>
  <c r="P44" i="23" s="1"/>
  <c r="E43" i="22"/>
  <c r="E93" i="3"/>
  <c r="E93" i="22" s="1"/>
  <c r="E124" i="22"/>
  <c r="E125" i="22" s="1"/>
  <c r="E114" i="22"/>
  <c r="C125" i="24"/>
  <c r="C37" i="24"/>
  <c r="C37" i="23"/>
  <c r="E36" i="22"/>
  <c r="C83" i="24"/>
  <c r="C82" i="23"/>
  <c r="E82" i="22"/>
  <c r="C82" i="24"/>
  <c r="C81" i="23"/>
  <c r="E81" i="22"/>
  <c r="C100" i="3"/>
  <c r="B23" i="2" s="1"/>
  <c r="D23" i="2" s="1"/>
  <c r="E98" i="22"/>
  <c r="E100" i="22" s="1"/>
  <c r="C114" i="23"/>
  <c r="P114" i="23" s="1"/>
  <c r="D124" i="23"/>
  <c r="N124" i="23"/>
  <c r="L124" i="23"/>
  <c r="K124" i="23"/>
  <c r="O124" i="23"/>
  <c r="J124" i="23"/>
  <c r="M124" i="23"/>
  <c r="H118" i="3"/>
  <c r="H126" i="3" s="1"/>
  <c r="D22" i="2"/>
  <c r="C114" i="24"/>
  <c r="C113" i="23"/>
  <c r="E113" i="22"/>
  <c r="C94" i="24"/>
  <c r="C116" i="24"/>
  <c r="C115" i="23"/>
  <c r="P115" i="23" s="1"/>
  <c r="E115" i="22"/>
  <c r="C140" i="24"/>
  <c r="C143" i="24" s="1"/>
  <c r="C150" i="24" s="1"/>
  <c r="C139" i="23"/>
  <c r="P139" i="23" s="1"/>
  <c r="E139" i="22"/>
  <c r="E142" i="22" s="1"/>
  <c r="E149" i="22" s="1"/>
  <c r="E153" i="22" s="1"/>
  <c r="C38" i="24"/>
  <c r="C38" i="23"/>
  <c r="P38" i="23" s="1"/>
  <c r="E37" i="22"/>
  <c r="C16" i="24"/>
  <c r="C16" i="23"/>
  <c r="N16" i="23" s="1"/>
  <c r="E15" i="22"/>
  <c r="D133" i="9"/>
  <c r="D136" i="9"/>
  <c r="C13" i="24"/>
  <c r="C13" i="23"/>
  <c r="E12" i="22"/>
  <c r="C92" i="24"/>
  <c r="C91" i="23"/>
  <c r="E91" i="22"/>
  <c r="I136" i="10"/>
  <c r="C46" i="24"/>
  <c r="C46" i="23"/>
  <c r="P46" i="23" s="1"/>
  <c r="E45" i="22"/>
  <c r="C43" i="24"/>
  <c r="C43" i="23"/>
  <c r="E42" i="22"/>
  <c r="C14" i="24"/>
  <c r="C14" i="23"/>
  <c r="E13" i="22"/>
  <c r="C12" i="24"/>
  <c r="C12" i="23"/>
  <c r="E11" i="22"/>
  <c r="C11" i="24"/>
  <c r="C11" i="23"/>
  <c r="E10" i="22"/>
  <c r="C9" i="24"/>
  <c r="C9" i="23"/>
  <c r="E8" i="22"/>
  <c r="C8" i="24"/>
  <c r="C8" i="23"/>
  <c r="E7" i="22"/>
  <c r="E142" i="3"/>
  <c r="E149" i="3" s="1"/>
  <c r="E153" i="3" s="1"/>
  <c r="E157" i="3" s="1"/>
  <c r="E124" i="23"/>
  <c r="H124" i="23"/>
  <c r="G124" i="23"/>
  <c r="E116" i="22"/>
  <c r="F124" i="23"/>
  <c r="I124" i="23"/>
  <c r="P39" i="23"/>
  <c r="G16" i="2"/>
  <c r="G15" i="2"/>
  <c r="D58" i="8"/>
  <c r="D64" i="8" s="1"/>
  <c r="F126" i="3"/>
  <c r="F154" i="3" s="1"/>
  <c r="I109" i="8"/>
  <c r="D133" i="15"/>
  <c r="F18" i="2"/>
  <c r="F20" i="2" s="1"/>
  <c r="G58" i="3"/>
  <c r="G76" i="3" s="1"/>
  <c r="D136" i="14"/>
  <c r="D133" i="14"/>
  <c r="O100" i="23"/>
  <c r="D28" i="23"/>
  <c r="M28" i="23"/>
  <c r="L28" i="23"/>
  <c r="K28" i="23"/>
  <c r="D29" i="23"/>
  <c r="J29" i="23"/>
  <c r="O29" i="23"/>
  <c r="H28" i="23"/>
  <c r="G28" i="23"/>
  <c r="E28" i="23"/>
  <c r="N28" i="23"/>
  <c r="O28" i="23"/>
  <c r="E29" i="23"/>
  <c r="N29" i="23"/>
  <c r="M29" i="23"/>
  <c r="L29" i="23"/>
  <c r="J28" i="23"/>
  <c r="E58" i="8"/>
  <c r="E64" i="8" s="1"/>
  <c r="E33" i="8"/>
  <c r="E109" i="8" s="1"/>
  <c r="D33" i="3"/>
  <c r="D127" i="3" s="1"/>
  <c r="E15" i="23"/>
  <c r="M15" i="23"/>
  <c r="L15" i="23"/>
  <c r="G15" i="23"/>
  <c r="J15" i="23"/>
  <c r="K15" i="23"/>
  <c r="D15" i="23"/>
  <c r="N15" i="23"/>
  <c r="H15" i="23"/>
  <c r="I15" i="23"/>
  <c r="D109" i="8"/>
  <c r="F131" i="15"/>
  <c r="F136" i="15" s="1"/>
  <c r="F131" i="14"/>
  <c r="F136" i="14" s="1"/>
  <c r="F133" i="14"/>
  <c r="C16" i="3"/>
  <c r="B12" i="2" s="1"/>
  <c r="D12" i="2" s="1"/>
  <c r="E59" i="24"/>
  <c r="E77" i="24" s="1"/>
  <c r="E58" i="24"/>
  <c r="C46" i="3"/>
  <c r="B16" i="2" s="1"/>
  <c r="D16" i="2" s="1"/>
  <c r="P37" i="23"/>
  <c r="H41" i="3"/>
  <c r="D25" i="2"/>
  <c r="E86" i="3"/>
  <c r="E92" i="3" s="1"/>
  <c r="C86" i="3"/>
  <c r="C92" i="3" s="1"/>
  <c r="B21" i="2" s="1"/>
  <c r="D21" i="2" s="1"/>
  <c r="K82" i="23"/>
  <c r="G82" i="23"/>
  <c r="H82" i="23"/>
  <c r="F98" i="23"/>
  <c r="F100" i="23" s="1"/>
  <c r="M98" i="23"/>
  <c r="M100" i="23" s="1"/>
  <c r="H98" i="23"/>
  <c r="H100" i="23" s="1"/>
  <c r="I98" i="23"/>
  <c r="I100" i="23" s="1"/>
  <c r="G98" i="23"/>
  <c r="G100" i="23" s="1"/>
  <c r="E98" i="23"/>
  <c r="E100" i="23" s="1"/>
  <c r="L100" i="23"/>
  <c r="P122" i="23"/>
  <c r="F133" i="10"/>
  <c r="P52" i="23"/>
  <c r="I108" i="8"/>
  <c r="I131" i="8" s="1"/>
  <c r="D17" i="2"/>
  <c r="F133" i="15"/>
  <c r="I136" i="11"/>
  <c r="P22" i="23"/>
  <c r="D126" i="3"/>
  <c r="D154" i="3" s="1"/>
  <c r="F108" i="8"/>
  <c r="F131" i="8" s="1"/>
  <c r="F57" i="8"/>
  <c r="P83" i="23"/>
  <c r="F110" i="8"/>
  <c r="P107" i="23"/>
  <c r="P54" i="23"/>
  <c r="P26" i="23"/>
  <c r="I133" i="12"/>
  <c r="I131" i="9"/>
  <c r="I136" i="9" s="1"/>
  <c r="I133" i="9"/>
  <c r="G24" i="23"/>
  <c r="J24" i="23"/>
  <c r="D24" i="23"/>
  <c r="L24" i="23"/>
  <c r="H24" i="23"/>
  <c r="F24" i="23"/>
  <c r="K24" i="23"/>
  <c r="N24" i="23"/>
  <c r="I24" i="23"/>
  <c r="E24" i="23"/>
  <c r="M24" i="23"/>
  <c r="D134" i="15"/>
  <c r="D131" i="15"/>
  <c r="D136" i="15" s="1"/>
  <c r="I133" i="10"/>
  <c r="C15" i="2"/>
  <c r="C18" i="2" s="1"/>
  <c r="C20" i="2" s="1"/>
  <c r="D58" i="3"/>
  <c r="D76" i="3" s="1"/>
  <c r="D57" i="3"/>
  <c r="D128" i="3" s="1"/>
  <c r="G81" i="23"/>
  <c r="K81" i="23"/>
  <c r="D81" i="23"/>
  <c r="H81" i="23"/>
  <c r="L81" i="23"/>
  <c r="J81" i="23"/>
  <c r="E81" i="23"/>
  <c r="M81" i="23"/>
  <c r="F81" i="23"/>
  <c r="N81" i="23"/>
  <c r="I81" i="23"/>
  <c r="P138" i="23"/>
  <c r="H75" i="3"/>
  <c r="H157" i="3" s="1"/>
  <c r="F74" i="24"/>
  <c r="F76" i="24" s="1"/>
  <c r="E46" i="3"/>
  <c r="P97" i="23"/>
  <c r="D119" i="23"/>
  <c r="E119" i="23"/>
  <c r="I119" i="23"/>
  <c r="M119" i="23"/>
  <c r="F119" i="23"/>
  <c r="J119" i="23"/>
  <c r="N119" i="23"/>
  <c r="G119" i="23"/>
  <c r="K119" i="23"/>
  <c r="L119" i="23"/>
  <c r="H119" i="23"/>
  <c r="E75" i="22"/>
  <c r="E48" i="23"/>
  <c r="I48" i="23"/>
  <c r="M48" i="23"/>
  <c r="C57" i="23"/>
  <c r="F48" i="23"/>
  <c r="J48" i="23"/>
  <c r="N48" i="23"/>
  <c r="G48" i="23"/>
  <c r="O48" i="23"/>
  <c r="H48" i="23"/>
  <c r="K48" i="23"/>
  <c r="D48" i="23"/>
  <c r="L48" i="23"/>
  <c r="E16" i="3"/>
  <c r="D27" i="2"/>
  <c r="G49" i="23"/>
  <c r="K49" i="23"/>
  <c r="O49" i="23"/>
  <c r="D49" i="23"/>
  <c r="H49" i="23"/>
  <c r="L49" i="23"/>
  <c r="I49" i="23"/>
  <c r="J49" i="23"/>
  <c r="E49" i="23"/>
  <c r="M49" i="23"/>
  <c r="F49" i="23"/>
  <c r="N49" i="23"/>
  <c r="E50" i="23"/>
  <c r="I50" i="23"/>
  <c r="M50" i="23"/>
  <c r="F50" i="23"/>
  <c r="J50" i="23"/>
  <c r="N50" i="23"/>
  <c r="K50" i="23"/>
  <c r="D50" i="23"/>
  <c r="L50" i="23"/>
  <c r="G50" i="23"/>
  <c r="O50" i="23"/>
  <c r="H50" i="23"/>
  <c r="P130" i="23"/>
  <c r="C132" i="23"/>
  <c r="P132" i="23" s="1"/>
  <c r="C29" i="2"/>
  <c r="D29" i="2" s="1"/>
  <c r="D157" i="3"/>
  <c r="E9" i="3"/>
  <c r="E80" i="23"/>
  <c r="I80" i="23"/>
  <c r="M80" i="23"/>
  <c r="F80" i="23"/>
  <c r="J80" i="23"/>
  <c r="N80" i="23"/>
  <c r="H80" i="23"/>
  <c r="K80" i="23"/>
  <c r="D80" i="23"/>
  <c r="L80" i="23"/>
  <c r="G80" i="23"/>
  <c r="F58" i="8"/>
  <c r="F64" i="8" s="1"/>
  <c r="G103" i="23"/>
  <c r="K103" i="23"/>
  <c r="D103" i="23"/>
  <c r="H103" i="23"/>
  <c r="L103" i="23"/>
  <c r="E103" i="23"/>
  <c r="M103" i="23"/>
  <c r="F103" i="23"/>
  <c r="N103" i="23"/>
  <c r="I103" i="23"/>
  <c r="J103" i="23"/>
  <c r="E121" i="23"/>
  <c r="I121" i="23"/>
  <c r="M121" i="23"/>
  <c r="F121" i="23"/>
  <c r="J121" i="23"/>
  <c r="N121" i="23"/>
  <c r="K121" i="23"/>
  <c r="D121" i="23"/>
  <c r="L121" i="23"/>
  <c r="G121" i="23"/>
  <c r="O121" i="23"/>
  <c r="H121" i="23"/>
  <c r="E115" i="24"/>
  <c r="D119" i="24"/>
  <c r="C126" i="24"/>
  <c r="D13" i="23"/>
  <c r="H13" i="23"/>
  <c r="L13" i="23"/>
  <c r="G13" i="23"/>
  <c r="M13" i="23"/>
  <c r="I13" i="23"/>
  <c r="N13" i="23"/>
  <c r="E13" i="23"/>
  <c r="F13" i="23"/>
  <c r="J13" i="23"/>
  <c r="K13" i="23"/>
  <c r="F64" i="11"/>
  <c r="F136" i="11" s="1"/>
  <c r="F133" i="11"/>
  <c r="F136" i="10"/>
  <c r="P95" i="23"/>
  <c r="C101" i="24"/>
  <c r="G19" i="2"/>
  <c r="G73" i="23"/>
  <c r="K73" i="23"/>
  <c r="O73" i="23"/>
  <c r="D73" i="23"/>
  <c r="H73" i="23"/>
  <c r="L73" i="23"/>
  <c r="I73" i="23"/>
  <c r="J73" i="23"/>
  <c r="E73" i="23"/>
  <c r="M73" i="23"/>
  <c r="F73" i="23"/>
  <c r="N73" i="23"/>
  <c r="G111" i="23"/>
  <c r="K111" i="23"/>
  <c r="D111" i="23"/>
  <c r="H111" i="23"/>
  <c r="L111" i="23"/>
  <c r="I111" i="23"/>
  <c r="J111" i="23"/>
  <c r="E111" i="23"/>
  <c r="M111" i="23"/>
  <c r="F111" i="23"/>
  <c r="N111" i="23"/>
  <c r="E74" i="23"/>
  <c r="I74" i="23"/>
  <c r="M74" i="23"/>
  <c r="G75" i="23"/>
  <c r="K75" i="23"/>
  <c r="O75" i="23"/>
  <c r="F74" i="23"/>
  <c r="F76" i="23" s="1"/>
  <c r="J74" i="23"/>
  <c r="J76" i="23" s="1"/>
  <c r="N74" i="23"/>
  <c r="N76" i="23" s="1"/>
  <c r="D75" i="23"/>
  <c r="H75" i="23"/>
  <c r="L75" i="23"/>
  <c r="K74" i="23"/>
  <c r="J75" i="23"/>
  <c r="D74" i="23"/>
  <c r="L74" i="23"/>
  <c r="L76" i="23" s="1"/>
  <c r="E75" i="23"/>
  <c r="M75" i="23"/>
  <c r="G74" i="23"/>
  <c r="G76" i="23" s="1"/>
  <c r="O74" i="23"/>
  <c r="O76" i="23" s="1"/>
  <c r="F75" i="23"/>
  <c r="N75" i="23"/>
  <c r="I75" i="23"/>
  <c r="H74" i="23"/>
  <c r="H76" i="23" s="1"/>
  <c r="E56" i="22"/>
  <c r="F18" i="23"/>
  <c r="J18" i="23"/>
  <c r="N18" i="23"/>
  <c r="G18" i="23"/>
  <c r="L18" i="23"/>
  <c r="H18" i="23"/>
  <c r="M18" i="23"/>
  <c r="I18" i="23"/>
  <c r="K18" i="23"/>
  <c r="D18" i="23"/>
  <c r="O18" i="23"/>
  <c r="E18" i="23"/>
  <c r="C63" i="23"/>
  <c r="P60" i="23"/>
  <c r="G25" i="2"/>
  <c r="F157" i="3"/>
  <c r="D19" i="23"/>
  <c r="H19" i="23"/>
  <c r="L19" i="23"/>
  <c r="I19" i="23"/>
  <c r="N19" i="23"/>
  <c r="E19" i="23"/>
  <c r="J19" i="23"/>
  <c r="O19" i="23"/>
  <c r="F19" i="23"/>
  <c r="G19" i="23"/>
  <c r="K19" i="23"/>
  <c r="M19" i="23"/>
  <c r="E102" i="23"/>
  <c r="I102" i="23"/>
  <c r="M102" i="23"/>
  <c r="F102" i="23"/>
  <c r="J102" i="23"/>
  <c r="N102" i="23"/>
  <c r="K102" i="23"/>
  <c r="D102" i="23"/>
  <c r="L102" i="23"/>
  <c r="G102" i="23"/>
  <c r="H102" i="23"/>
  <c r="P55" i="23"/>
  <c r="E151" i="22"/>
  <c r="C152" i="24"/>
  <c r="C151" i="23"/>
  <c r="P151" i="23" s="1"/>
  <c r="E104" i="3"/>
  <c r="C112" i="3"/>
  <c r="E86" i="22"/>
  <c r="P94" i="23"/>
  <c r="G57" i="3"/>
  <c r="G128" i="3" s="1"/>
  <c r="D42" i="6"/>
  <c r="D93" i="6" s="1"/>
  <c r="C40" i="3"/>
  <c r="E123" i="23"/>
  <c r="I123" i="23"/>
  <c r="M123" i="23"/>
  <c r="F123" i="23"/>
  <c r="J123" i="23"/>
  <c r="N123" i="23"/>
  <c r="G123" i="23"/>
  <c r="O123" i="23"/>
  <c r="H123" i="23"/>
  <c r="K123" i="23"/>
  <c r="D123" i="23"/>
  <c r="L123" i="23"/>
  <c r="G51" i="23"/>
  <c r="K51" i="23"/>
  <c r="O51" i="23"/>
  <c r="D51" i="23"/>
  <c r="H51" i="23"/>
  <c r="L51" i="23"/>
  <c r="E51" i="23"/>
  <c r="M51" i="23"/>
  <c r="F51" i="23"/>
  <c r="N51" i="23"/>
  <c r="I51" i="23"/>
  <c r="J51" i="23"/>
  <c r="F64" i="12"/>
  <c r="F136" i="12" s="1"/>
  <c r="F133" i="12"/>
  <c r="I133" i="11"/>
  <c r="G159" i="3"/>
  <c r="D27" i="23"/>
  <c r="H27" i="23"/>
  <c r="L27" i="23"/>
  <c r="I27" i="23"/>
  <c r="N27" i="23"/>
  <c r="E27" i="23"/>
  <c r="J27" i="23"/>
  <c r="O27" i="23"/>
  <c r="K27" i="23"/>
  <c r="M27" i="23"/>
  <c r="F27" i="23"/>
  <c r="G27" i="23"/>
  <c r="C24" i="2"/>
  <c r="C28" i="2" s="1"/>
  <c r="G53" i="23"/>
  <c r="K53" i="23"/>
  <c r="O53" i="23"/>
  <c r="D53" i="23"/>
  <c r="H53" i="23"/>
  <c r="L53" i="23"/>
  <c r="I53" i="23"/>
  <c r="J53" i="23"/>
  <c r="E53" i="23"/>
  <c r="M53" i="23"/>
  <c r="F53" i="23"/>
  <c r="N53" i="23"/>
  <c r="H31" i="3"/>
  <c r="H32" i="3" s="1"/>
  <c r="H33" i="3" s="1"/>
  <c r="F32" i="3"/>
  <c r="G105" i="23"/>
  <c r="K105" i="23"/>
  <c r="D105" i="23"/>
  <c r="H105" i="23"/>
  <c r="L105" i="23"/>
  <c r="I105" i="23"/>
  <c r="J105" i="23"/>
  <c r="E105" i="23"/>
  <c r="M105" i="23"/>
  <c r="F105" i="23"/>
  <c r="N105" i="23"/>
  <c r="P29" i="23"/>
  <c r="H56" i="3"/>
  <c r="F48" i="24"/>
  <c r="F57" i="24" s="1"/>
  <c r="E29" i="3"/>
  <c r="C32" i="3"/>
  <c r="F46" i="24"/>
  <c r="F47" i="24" s="1"/>
  <c r="D23" i="23"/>
  <c r="H23" i="23"/>
  <c r="L23" i="23"/>
  <c r="F23" i="23"/>
  <c r="K23" i="23"/>
  <c r="G23" i="23"/>
  <c r="M23" i="23"/>
  <c r="N23" i="23"/>
  <c r="E23" i="23"/>
  <c r="O23" i="23"/>
  <c r="I23" i="23"/>
  <c r="J23" i="23"/>
  <c r="F27" i="2"/>
  <c r="F28" i="2" s="1"/>
  <c r="G126" i="3"/>
  <c r="F64" i="13"/>
  <c r="F136" i="13" s="1"/>
  <c r="F133" i="13"/>
  <c r="F136" i="9"/>
  <c r="D21" i="23"/>
  <c r="H21" i="23"/>
  <c r="L21" i="23"/>
  <c r="G21" i="23"/>
  <c r="M21" i="23"/>
  <c r="I21" i="23"/>
  <c r="N21" i="23"/>
  <c r="J21" i="23"/>
  <c r="K21" i="23"/>
  <c r="E21" i="23"/>
  <c r="O21" i="23"/>
  <c r="F21" i="23"/>
  <c r="H46" i="3"/>
  <c r="P99" i="23"/>
  <c r="C63" i="24"/>
  <c r="C72" i="24" s="1"/>
  <c r="C76" i="24" s="1"/>
  <c r="D108" i="8"/>
  <c r="D131" i="8" s="1"/>
  <c r="F33" i="8"/>
  <c r="E118" i="3"/>
  <c r="E106" i="23"/>
  <c r="I106" i="23"/>
  <c r="M106" i="23"/>
  <c r="F106" i="23"/>
  <c r="J106" i="23"/>
  <c r="N106" i="23"/>
  <c r="K106" i="23"/>
  <c r="D106" i="23"/>
  <c r="L106" i="23"/>
  <c r="G106" i="23"/>
  <c r="H106" i="23"/>
  <c r="D76" i="23"/>
  <c r="I110" i="8"/>
  <c r="E17" i="2"/>
  <c r="G17" i="2" s="1"/>
  <c r="F58" i="3"/>
  <c r="F76" i="3" s="1"/>
  <c r="F57" i="3"/>
  <c r="F128" i="3" s="1"/>
  <c r="F160" i="3" s="1"/>
  <c r="I33" i="8"/>
  <c r="C9" i="3"/>
  <c r="B10" i="2" s="1"/>
  <c r="D25" i="23"/>
  <c r="H25" i="23"/>
  <c r="L25" i="23"/>
  <c r="E25" i="23"/>
  <c r="J25" i="23"/>
  <c r="O25" i="23"/>
  <c r="F25" i="23"/>
  <c r="K25" i="23"/>
  <c r="G25" i="23"/>
  <c r="I25" i="23"/>
  <c r="M25" i="23"/>
  <c r="N25" i="23"/>
  <c r="C87" i="24"/>
  <c r="E100" i="3"/>
  <c r="I57" i="8"/>
  <c r="I58" i="8"/>
  <c r="I64" i="8" s="1"/>
  <c r="F29" i="2"/>
  <c r="G29" i="2" s="1"/>
  <c r="G157" i="3"/>
  <c r="G120" i="23"/>
  <c r="K120" i="23"/>
  <c r="O120" i="23"/>
  <c r="D120" i="23"/>
  <c r="H120" i="23"/>
  <c r="L120" i="23"/>
  <c r="E120" i="23"/>
  <c r="I120" i="23"/>
  <c r="M120" i="23"/>
  <c r="N120" i="23"/>
  <c r="C125" i="23"/>
  <c r="F120" i="23"/>
  <c r="J120" i="23"/>
  <c r="I64" i="14"/>
  <c r="I133" i="14"/>
  <c r="I136" i="12"/>
  <c r="F133" i="9"/>
  <c r="I136" i="14"/>
  <c r="O125" i="23" l="1"/>
  <c r="N125" i="23"/>
  <c r="E118" i="22"/>
  <c r="C93" i="23"/>
  <c r="L125" i="23"/>
  <c r="C30" i="24"/>
  <c r="C30" i="23"/>
  <c r="E29" i="22"/>
  <c r="E32" i="22" s="1"/>
  <c r="M125" i="23"/>
  <c r="K125" i="23"/>
  <c r="F125" i="23"/>
  <c r="E125" i="23"/>
  <c r="C119" i="24"/>
  <c r="G125" i="23"/>
  <c r="C142" i="23"/>
  <c r="P142" i="23" s="1"/>
  <c r="P50" i="23"/>
  <c r="C17" i="23"/>
  <c r="C10" i="23"/>
  <c r="H125" i="23"/>
  <c r="P123" i="23"/>
  <c r="J125" i="23"/>
  <c r="I125" i="23"/>
  <c r="P20" i="23"/>
  <c r="P124" i="23"/>
  <c r="P23" i="23"/>
  <c r="P28" i="23"/>
  <c r="C47" i="24"/>
  <c r="D94" i="24" s="1"/>
  <c r="E94" i="24" s="1"/>
  <c r="F94" i="24" s="1"/>
  <c r="E9" i="22"/>
  <c r="E16" i="23"/>
  <c r="F109" i="8"/>
  <c r="G16" i="23"/>
  <c r="P15" i="23"/>
  <c r="J16" i="23"/>
  <c r="F16" i="23"/>
  <c r="D16" i="23"/>
  <c r="M16" i="23"/>
  <c r="L16" i="23"/>
  <c r="H16" i="23"/>
  <c r="K16" i="23"/>
  <c r="I16" i="23"/>
  <c r="C154" i="24"/>
  <c r="C126" i="3"/>
  <c r="C154" i="3" s="1"/>
  <c r="E46" i="22"/>
  <c r="P106" i="23"/>
  <c r="D162" i="3"/>
  <c r="M82" i="23"/>
  <c r="M86" i="23" s="1"/>
  <c r="M92" i="23" s="1"/>
  <c r="E82" i="23"/>
  <c r="E86" i="23" s="1"/>
  <c r="E92" i="23" s="1"/>
  <c r="I82" i="23"/>
  <c r="I86" i="23" s="1"/>
  <c r="I92" i="23" s="1"/>
  <c r="J82" i="23"/>
  <c r="L82" i="23"/>
  <c r="L86" i="23" s="1"/>
  <c r="L92" i="23" s="1"/>
  <c r="C86" i="23"/>
  <c r="C92" i="23" s="1"/>
  <c r="D82" i="23"/>
  <c r="D86" i="23" s="1"/>
  <c r="D92" i="23" s="1"/>
  <c r="F82" i="23"/>
  <c r="F86" i="23" s="1"/>
  <c r="F92" i="23" s="1"/>
  <c r="N82" i="23"/>
  <c r="C100" i="23"/>
  <c r="P100" i="23" s="1"/>
  <c r="D156" i="3"/>
  <c r="G86" i="23"/>
  <c r="G92" i="23" s="1"/>
  <c r="O86" i="23"/>
  <c r="O92" i="23" s="1"/>
  <c r="K86" i="23"/>
  <c r="K92" i="23" s="1"/>
  <c r="H86" i="23"/>
  <c r="H92" i="23" s="1"/>
  <c r="P98" i="23"/>
  <c r="P25" i="23"/>
  <c r="P53" i="23"/>
  <c r="P27" i="23"/>
  <c r="P102" i="23"/>
  <c r="G27" i="2"/>
  <c r="G28" i="2" s="1"/>
  <c r="G30" i="2" s="1"/>
  <c r="P121" i="23"/>
  <c r="P81" i="23"/>
  <c r="P24" i="23"/>
  <c r="P111" i="23"/>
  <c r="P49" i="23"/>
  <c r="P105" i="23"/>
  <c r="P51" i="23"/>
  <c r="P18" i="23"/>
  <c r="P13" i="23"/>
  <c r="P119" i="23"/>
  <c r="P21" i="23"/>
  <c r="I76" i="23"/>
  <c r="P73" i="23"/>
  <c r="P103" i="23"/>
  <c r="P75" i="23"/>
  <c r="N86" i="23"/>
  <c r="N92" i="23" s="1"/>
  <c r="F8" i="23"/>
  <c r="J8" i="23"/>
  <c r="N8" i="23"/>
  <c r="H8" i="23"/>
  <c r="M8" i="23"/>
  <c r="D8" i="23"/>
  <c r="I8" i="23"/>
  <c r="O8" i="23"/>
  <c r="K8" i="23"/>
  <c r="L8" i="23"/>
  <c r="E8" i="23"/>
  <c r="G8" i="23"/>
  <c r="F156" i="3"/>
  <c r="C93" i="24"/>
  <c r="C17" i="24"/>
  <c r="L57" i="23"/>
  <c r="H57" i="23"/>
  <c r="J57" i="23"/>
  <c r="I57" i="23"/>
  <c r="C47" i="23"/>
  <c r="P47" i="23" s="1"/>
  <c r="P43" i="23"/>
  <c r="D10" i="2"/>
  <c r="G160" i="3"/>
  <c r="H128" i="3"/>
  <c r="H160" i="3" s="1"/>
  <c r="C33" i="24"/>
  <c r="E32" i="3"/>
  <c r="E33" i="3" s="1"/>
  <c r="P35" i="23"/>
  <c r="D125" i="23"/>
  <c r="F58" i="24"/>
  <c r="F59" i="24"/>
  <c r="F77" i="24" s="1"/>
  <c r="E14" i="2"/>
  <c r="F33" i="3"/>
  <c r="F127" i="3" s="1"/>
  <c r="B24" i="2"/>
  <c r="G101" i="23"/>
  <c r="K101" i="23"/>
  <c r="D101" i="23"/>
  <c r="H101" i="23"/>
  <c r="L101" i="23"/>
  <c r="I101" i="23"/>
  <c r="J101" i="23"/>
  <c r="E101" i="23"/>
  <c r="M101" i="23"/>
  <c r="N101" i="23"/>
  <c r="F101" i="23"/>
  <c r="K76" i="23"/>
  <c r="E76" i="23"/>
  <c r="H154" i="3"/>
  <c r="J86" i="23"/>
  <c r="J92" i="23" s="1"/>
  <c r="P91" i="23"/>
  <c r="F12" i="23"/>
  <c r="J12" i="23"/>
  <c r="N12" i="23"/>
  <c r="E12" i="23"/>
  <c r="K12" i="23"/>
  <c r="G12" i="23"/>
  <c r="L12" i="23"/>
  <c r="H12" i="23"/>
  <c r="I12" i="23"/>
  <c r="M12" i="23"/>
  <c r="D12" i="23"/>
  <c r="D57" i="23"/>
  <c r="O57" i="23"/>
  <c r="F57" i="23"/>
  <c r="E57" i="23"/>
  <c r="D160" i="3"/>
  <c r="P120" i="23"/>
  <c r="F30" i="2"/>
  <c r="F33" i="2" s="1"/>
  <c r="P113" i="23"/>
  <c r="C118" i="23"/>
  <c r="P118" i="23" s="1"/>
  <c r="E40" i="3"/>
  <c r="C41" i="3"/>
  <c r="E112" i="22"/>
  <c r="C112" i="23"/>
  <c r="C113" i="24"/>
  <c r="P63" i="23"/>
  <c r="C72" i="23"/>
  <c r="P80" i="23"/>
  <c r="E92" i="22"/>
  <c r="K57" i="23"/>
  <c r="G57" i="23"/>
  <c r="H57" i="3"/>
  <c r="H58" i="3"/>
  <c r="H76" i="3" s="1"/>
  <c r="G154" i="3"/>
  <c r="G162" i="3" s="1"/>
  <c r="G156" i="3"/>
  <c r="B14" i="2"/>
  <c r="D14" i="2" s="1"/>
  <c r="C33" i="3"/>
  <c r="C127" i="3" s="1"/>
  <c r="C159" i="3" s="1"/>
  <c r="D159" i="3"/>
  <c r="F14" i="23"/>
  <c r="J14" i="23"/>
  <c r="N14" i="23"/>
  <c r="D14" i="23"/>
  <c r="I14" i="23"/>
  <c r="E14" i="23"/>
  <c r="K14" i="23"/>
  <c r="L14" i="23"/>
  <c r="M14" i="23"/>
  <c r="G14" i="23"/>
  <c r="H14" i="23"/>
  <c r="P19" i="23"/>
  <c r="E112" i="3"/>
  <c r="E126" i="3" s="1"/>
  <c r="P74" i="23"/>
  <c r="M76" i="23"/>
  <c r="D11" i="23"/>
  <c r="H11" i="23"/>
  <c r="L11" i="23"/>
  <c r="I11" i="23"/>
  <c r="N11" i="23"/>
  <c r="E11" i="23"/>
  <c r="J11" i="23"/>
  <c r="K11" i="23"/>
  <c r="M11" i="23"/>
  <c r="F11" i="23"/>
  <c r="G11" i="23"/>
  <c r="E119" i="24"/>
  <c r="F115" i="24"/>
  <c r="F119" i="24" s="1"/>
  <c r="C10" i="24"/>
  <c r="C30" i="2"/>
  <c r="C33" i="2" s="1"/>
  <c r="F162" i="3"/>
  <c r="E16" i="22"/>
  <c r="P48" i="23"/>
  <c r="N57" i="23"/>
  <c r="M57" i="23"/>
  <c r="D9" i="23"/>
  <c r="H9" i="23"/>
  <c r="L9" i="23"/>
  <c r="E9" i="23"/>
  <c r="J9" i="23"/>
  <c r="O9" i="23"/>
  <c r="F9" i="23"/>
  <c r="K9" i="23"/>
  <c r="G9" i="23"/>
  <c r="I9" i="23"/>
  <c r="M9" i="23"/>
  <c r="N9" i="23"/>
  <c r="P93" i="23" l="1"/>
  <c r="C149" i="23"/>
  <c r="C153" i="23" s="1"/>
  <c r="P153" i="23" s="1"/>
  <c r="C41" i="24"/>
  <c r="C42" i="24" s="1"/>
  <c r="C41" i="23"/>
  <c r="E40" i="22"/>
  <c r="E41" i="22" s="1"/>
  <c r="D17" i="23"/>
  <c r="P125" i="23"/>
  <c r="D129" i="24"/>
  <c r="P16" i="23"/>
  <c r="D127" i="24"/>
  <c r="D155" i="24" s="1"/>
  <c r="D156" i="24" s="1"/>
  <c r="P82" i="23"/>
  <c r="E159" i="3"/>
  <c r="I17" i="23"/>
  <c r="H162" i="3"/>
  <c r="E10" i="23"/>
  <c r="P11" i="23"/>
  <c r="N17" i="23"/>
  <c r="P9" i="23"/>
  <c r="P14" i="23"/>
  <c r="M17" i="23"/>
  <c r="J17" i="23"/>
  <c r="C127" i="24"/>
  <c r="C155" i="24" s="1"/>
  <c r="E126" i="22"/>
  <c r="E154" i="22" s="1"/>
  <c r="E154" i="3"/>
  <c r="N58" i="23"/>
  <c r="N128" i="23" s="1"/>
  <c r="D58" i="23"/>
  <c r="D128" i="23" s="1"/>
  <c r="P12" i="23"/>
  <c r="F159" i="3"/>
  <c r="H159" i="3" s="1"/>
  <c r="H127" i="3"/>
  <c r="E127" i="3"/>
  <c r="K58" i="23"/>
  <c r="K128" i="23" s="1"/>
  <c r="B15" i="2"/>
  <c r="D15" i="2" s="1"/>
  <c r="D18" i="2" s="1"/>
  <c r="D20" i="2" s="1"/>
  <c r="C57" i="3"/>
  <c r="C128" i="3" s="1"/>
  <c r="C58" i="3"/>
  <c r="E58" i="23"/>
  <c r="E128" i="23" s="1"/>
  <c r="O17" i="23"/>
  <c r="H17" i="23"/>
  <c r="K17" i="23"/>
  <c r="F17" i="23"/>
  <c r="D24" i="2"/>
  <c r="D28" i="2" s="1"/>
  <c r="D30" i="2" s="1"/>
  <c r="B28" i="2"/>
  <c r="B30" i="2" s="1"/>
  <c r="G14" i="2"/>
  <c r="G18" i="2" s="1"/>
  <c r="G20" i="2" s="1"/>
  <c r="G33" i="2" s="1"/>
  <c r="E18" i="2"/>
  <c r="E20" i="2" s="1"/>
  <c r="E33" i="2" s="1"/>
  <c r="C126" i="23"/>
  <c r="F30" i="23"/>
  <c r="F33" i="23" s="1"/>
  <c r="J30" i="23"/>
  <c r="J33" i="23" s="1"/>
  <c r="N30" i="23"/>
  <c r="N33" i="23" s="1"/>
  <c r="D30" i="23"/>
  <c r="D33" i="23" s="1"/>
  <c r="I30" i="23"/>
  <c r="I33" i="23" s="1"/>
  <c r="O33" i="23"/>
  <c r="E30" i="23"/>
  <c r="E33" i="23" s="1"/>
  <c r="K30" i="23"/>
  <c r="K33" i="23" s="1"/>
  <c r="H30" i="23"/>
  <c r="H33" i="23" s="1"/>
  <c r="L30" i="23"/>
  <c r="L33" i="23" s="1"/>
  <c r="M30" i="23"/>
  <c r="M33" i="23" s="1"/>
  <c r="G30" i="23"/>
  <c r="G33" i="23" s="1"/>
  <c r="C33" i="23"/>
  <c r="H58" i="23"/>
  <c r="L10" i="23"/>
  <c r="D10" i="23"/>
  <c r="J10" i="23"/>
  <c r="G58" i="23"/>
  <c r="G128" i="23" s="1"/>
  <c r="F129" i="24"/>
  <c r="F127" i="24"/>
  <c r="F155" i="24" s="1"/>
  <c r="F156" i="24" s="1"/>
  <c r="E41" i="3"/>
  <c r="F58" i="23"/>
  <c r="F128" i="23" s="1"/>
  <c r="L17" i="23"/>
  <c r="E17" i="23"/>
  <c r="P92" i="23"/>
  <c r="P86" i="23"/>
  <c r="P101" i="23"/>
  <c r="C34" i="24"/>
  <c r="C128" i="24" s="1"/>
  <c r="L58" i="23"/>
  <c r="L128" i="23" s="1"/>
  <c r="G10" i="23"/>
  <c r="K10" i="23"/>
  <c r="M10" i="23"/>
  <c r="F10" i="23"/>
  <c r="M58" i="23"/>
  <c r="M128" i="23" s="1"/>
  <c r="E127" i="24"/>
  <c r="E155" i="24" s="1"/>
  <c r="E156" i="24" s="1"/>
  <c r="E129" i="24"/>
  <c r="P57" i="23"/>
  <c r="P72" i="23"/>
  <c r="C76" i="23"/>
  <c r="P76" i="23" s="1"/>
  <c r="E104" i="23"/>
  <c r="E112" i="23" s="1"/>
  <c r="I104" i="23"/>
  <c r="I112" i="23" s="1"/>
  <c r="M104" i="23"/>
  <c r="M112" i="23" s="1"/>
  <c r="F104" i="23"/>
  <c r="J104" i="23"/>
  <c r="J112" i="23" s="1"/>
  <c r="N104" i="23"/>
  <c r="N112" i="23" s="1"/>
  <c r="G104" i="23"/>
  <c r="G112" i="23" s="1"/>
  <c r="O112" i="23"/>
  <c r="H104" i="23"/>
  <c r="H112" i="23" s="1"/>
  <c r="K104" i="23"/>
  <c r="K112" i="23" s="1"/>
  <c r="D104" i="23"/>
  <c r="D112" i="23" s="1"/>
  <c r="L104" i="23"/>
  <c r="L112" i="23" s="1"/>
  <c r="O58" i="23"/>
  <c r="O128" i="23" s="1"/>
  <c r="G17" i="23"/>
  <c r="H156" i="3"/>
  <c r="F112" i="23"/>
  <c r="E33" i="22"/>
  <c r="E127" i="22" s="1"/>
  <c r="I58" i="23"/>
  <c r="I128" i="23" s="1"/>
  <c r="P8" i="23"/>
  <c r="O10" i="23"/>
  <c r="H10" i="23"/>
  <c r="J58" i="23"/>
  <c r="J128" i="23" s="1"/>
  <c r="I10" i="23"/>
  <c r="N10" i="23"/>
  <c r="P149" i="23" l="1"/>
  <c r="H128" i="23"/>
  <c r="B18" i="2"/>
  <c r="B20" i="2" s="1"/>
  <c r="B33" i="2" s="1"/>
  <c r="M59" i="23"/>
  <c r="M77" i="23" s="1"/>
  <c r="M155" i="23" s="1"/>
  <c r="O59" i="23"/>
  <c r="O77" i="23" s="1"/>
  <c r="O155" i="23" s="1"/>
  <c r="G59" i="23"/>
  <c r="G77" i="23" s="1"/>
  <c r="G155" i="23" s="1"/>
  <c r="J59" i="23"/>
  <c r="J77" i="23" s="1"/>
  <c r="J155" i="23" s="1"/>
  <c r="F59" i="23"/>
  <c r="F77" i="23" s="1"/>
  <c r="F155" i="23" s="1"/>
  <c r="E34" i="23"/>
  <c r="E127" i="23" s="1"/>
  <c r="N59" i="23"/>
  <c r="N77" i="23" s="1"/>
  <c r="N155" i="23" s="1"/>
  <c r="H59" i="23"/>
  <c r="H77" i="23" s="1"/>
  <c r="H155" i="23" s="1"/>
  <c r="L34" i="23"/>
  <c r="L127" i="23" s="1"/>
  <c r="I59" i="23"/>
  <c r="I77" i="23" s="1"/>
  <c r="I155" i="23" s="1"/>
  <c r="K59" i="23"/>
  <c r="K77" i="23" s="1"/>
  <c r="K155" i="23" s="1"/>
  <c r="P112" i="23"/>
  <c r="D126" i="23"/>
  <c r="D154" i="23" s="1"/>
  <c r="G126" i="23"/>
  <c r="G154" i="23" s="1"/>
  <c r="M126" i="23"/>
  <c r="M154" i="23" s="1"/>
  <c r="K126" i="23"/>
  <c r="K154" i="23" s="1"/>
  <c r="N126" i="23"/>
  <c r="N154" i="23" s="1"/>
  <c r="I126" i="23"/>
  <c r="I154" i="23" s="1"/>
  <c r="H126" i="23"/>
  <c r="H154" i="23" s="1"/>
  <c r="J126" i="23"/>
  <c r="J154" i="23" s="1"/>
  <c r="E126" i="23"/>
  <c r="E154" i="23" s="1"/>
  <c r="L59" i="23"/>
  <c r="L77" i="23" s="1"/>
  <c r="L155" i="23" s="1"/>
  <c r="P41" i="23"/>
  <c r="C42" i="23"/>
  <c r="P10" i="23"/>
  <c r="P33" i="23"/>
  <c r="C34" i="23"/>
  <c r="H34" i="23"/>
  <c r="H127" i="23" s="1"/>
  <c r="O34" i="23"/>
  <c r="O127" i="23" s="1"/>
  <c r="J34" i="23"/>
  <c r="J127" i="23" s="1"/>
  <c r="C76" i="3"/>
  <c r="C162" i="3" s="1"/>
  <c r="C156" i="3"/>
  <c r="F126" i="23"/>
  <c r="F154" i="23" s="1"/>
  <c r="E57" i="3"/>
  <c r="E58" i="3"/>
  <c r="G34" i="23"/>
  <c r="G127" i="23" s="1"/>
  <c r="P30" i="23"/>
  <c r="I34" i="23"/>
  <c r="I127" i="23" s="1"/>
  <c r="F34" i="23"/>
  <c r="F127" i="23" s="1"/>
  <c r="C160" i="3"/>
  <c r="E128" i="3"/>
  <c r="E160" i="3" s="1"/>
  <c r="P104" i="23"/>
  <c r="P17" i="23"/>
  <c r="E57" i="22"/>
  <c r="E128" i="22" s="1"/>
  <c r="E58" i="22"/>
  <c r="E76" i="22" s="1"/>
  <c r="E155" i="22" s="1"/>
  <c r="M34" i="23"/>
  <c r="M127" i="23" s="1"/>
  <c r="K34" i="23"/>
  <c r="K127" i="23" s="1"/>
  <c r="D34" i="23"/>
  <c r="D127" i="23" s="1"/>
  <c r="C154" i="23"/>
  <c r="D33" i="2"/>
  <c r="E59" i="23"/>
  <c r="E77" i="23" s="1"/>
  <c r="E155" i="23" s="1"/>
  <c r="L126" i="23"/>
  <c r="L154" i="23" s="1"/>
  <c r="O126" i="23"/>
  <c r="O154" i="23" s="1"/>
  <c r="C59" i="24"/>
  <c r="C77" i="24" s="1"/>
  <c r="C156" i="24" s="1"/>
  <c r="C58" i="24"/>
  <c r="C129" i="24" s="1"/>
  <c r="N34" i="23"/>
  <c r="N127" i="23" s="1"/>
  <c r="D59" i="23"/>
  <c r="D77" i="23" s="1"/>
  <c r="D155" i="23" s="1"/>
  <c r="O156" i="23" l="1"/>
  <c r="J156" i="23"/>
  <c r="M156" i="23"/>
  <c r="I156" i="23"/>
  <c r="L156" i="23"/>
  <c r="G156" i="23"/>
  <c r="N156" i="23"/>
  <c r="K156" i="23"/>
  <c r="H156" i="23"/>
  <c r="F156" i="23"/>
  <c r="P126" i="23"/>
  <c r="E76" i="3"/>
  <c r="E162" i="3" s="1"/>
  <c r="E156" i="3"/>
  <c r="E156" i="23"/>
  <c r="D156" i="23"/>
  <c r="P154" i="23"/>
  <c r="P42" i="23"/>
  <c r="C58" i="23"/>
  <c r="C59" i="23" s="1"/>
  <c r="P34" i="23"/>
  <c r="C127" i="23"/>
  <c r="P127" i="23" s="1"/>
  <c r="P156" i="23" l="1"/>
  <c r="C77" i="23"/>
  <c r="P59" i="23"/>
  <c r="P58" i="23"/>
  <c r="C128" i="23"/>
  <c r="P128" i="23" s="1"/>
  <c r="P77" i="23" l="1"/>
  <c r="P155" i="23" s="1"/>
  <c r="C156" i="23"/>
</calcChain>
</file>

<file path=xl/comments1.xml><?xml version="1.0" encoding="utf-8"?>
<comments xmlns="http://schemas.openxmlformats.org/spreadsheetml/2006/main">
  <authors>
    <author/>
  </authors>
  <commentList>
    <comment ref="D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</commentList>
</comments>
</file>

<file path=xl/comments2.xml><?xml version="1.0" encoding="utf-8"?>
<comments xmlns="http://schemas.openxmlformats.org/spreadsheetml/2006/main">
  <authors>
    <author/>
    <author>Gallaci</author>
  </authors>
  <commentList>
    <comment ref="AJ29" authorId="0" shapeId="0">
      <text>
        <r>
          <rPr>
            <sz val="11"/>
            <color indexed="8"/>
            <rFont val="Calibri"/>
            <family val="2"/>
            <charset val="238"/>
          </rPr>
          <t>+ 2015 évi kollégiumi férőhely is</t>
        </r>
      </text>
    </comment>
    <comment ref="AK29" authorId="0" shapeId="0">
      <text>
        <r>
          <rPr>
            <sz val="11"/>
            <color indexed="8"/>
            <rFont val="Calibri"/>
            <family val="2"/>
            <charset val="238"/>
          </rPr>
          <t>+ 2015 évi kollégiumi férőhely is</t>
        </r>
      </text>
    </comment>
    <comment ref="AP113" authorId="1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Paktum, ASP, Szoc Városrehab Észak+Klapka</t>
        </r>
      </text>
    </comment>
    <comment ref="J114" authorId="1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Szennyvíz elkülönített számlák
</t>
        </r>
      </text>
    </comment>
  </commentList>
</comments>
</file>

<file path=xl/comments3.xml><?xml version="1.0" encoding="utf-8"?>
<comments xmlns="http://schemas.openxmlformats.org/spreadsheetml/2006/main">
  <authors>
    <author>Gallaci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>Gyerekesély 36 fő - 4 fő célfeladatos, ebből 3 középfokű
Paktum 1 fő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3 fő Gyerekesély
3+2 fő Humánszolg fejl</t>
        </r>
      </text>
    </comment>
  </commentList>
</comments>
</file>

<file path=xl/sharedStrings.xml><?xml version="1.0" encoding="utf-8"?>
<sst xmlns="http://schemas.openxmlformats.org/spreadsheetml/2006/main" count="4879" uniqueCount="938">
  <si>
    <t xml:space="preserve">Barcs Város Önkormányzata </t>
  </si>
  <si>
    <t>C Í M R E N D J E</t>
  </si>
  <si>
    <t>Barcsi Polgármesteri Hivatal</t>
  </si>
  <si>
    <t>Barcs Városi Önkormányzat Városgazdálkodási Igazgatósága</t>
  </si>
  <si>
    <t>Kistérségi Járóbetegellátó Központ</t>
  </si>
  <si>
    <t>Barcsi Szociális Központ</t>
  </si>
  <si>
    <t>Barcs Város Óvodája és Bölcsődéje</t>
  </si>
  <si>
    <t>Móricz Zsigmond Művelődési Központ és Dráva Közérdekű Muzeális kiállítóhely</t>
  </si>
  <si>
    <t>Barcsi Városi Könyvtár</t>
  </si>
  <si>
    <t>1.melléklet</t>
  </si>
  <si>
    <r>
      <t xml:space="preserve">1. melléklet </t>
    </r>
    <r>
      <rPr>
        <b/>
        <vertAlign val="superscript"/>
        <sz val="12"/>
        <color indexed="8"/>
        <rFont val="Times New Roman"/>
        <family val="1"/>
        <charset val="238"/>
      </rPr>
      <t>(1)-(2)</t>
    </r>
  </si>
  <si>
    <t>a 2/2016.(III.10.) önkormányzati rendelethez</t>
  </si>
  <si>
    <t>Eredeti előirányzat</t>
  </si>
  <si>
    <t>Módosított előirányzat</t>
  </si>
  <si>
    <t>Rovat megnevezése</t>
  </si>
  <si>
    <t>Kötelező feladatok</t>
  </si>
  <si>
    <t>Önként vállalt feladatok</t>
  </si>
  <si>
    <t>ÖSSZESEN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</si>
  <si>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</si>
  <si>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</si>
  <si>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</si>
  <si>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</si>
  <si>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</si>
  <si>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</si>
  <si>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</si>
  <si>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</si>
  <si>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</si>
  <si>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</si>
  <si>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</si>
  <si>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</si>
  <si>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</si>
  <si>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</si>
  <si>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</si>
  <si>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</si>
  <si>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</si>
  <si>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</si>
  <si>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</si>
  <si>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</si>
  <si>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</si>
  <si>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2.melléklet</t>
  </si>
  <si>
    <r>
      <t xml:space="preserve">2.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(1)-(2)</t>
    </r>
  </si>
  <si>
    <t>Rovat-szám</t>
  </si>
  <si>
    <t xml:space="preserve">Foglalkoztatottak személyi juttatásai </t>
  </si>
  <si>
    <t>K11</t>
  </si>
  <si>
    <t xml:space="preserve">Külső személyi juttatások </t>
  </si>
  <si>
    <t>K12</t>
  </si>
  <si>
    <t>Személyi juttatások összesen</t>
  </si>
  <si>
    <t>K1</t>
  </si>
  <si>
    <t xml:space="preserve">Munkaadókat terhelő járulékok és szociális hozzájárulási adó </t>
  </si>
  <si>
    <t>K2</t>
  </si>
  <si>
    <t xml:space="preserve">Készletbeszerzés </t>
  </si>
  <si>
    <t>K31</t>
  </si>
  <si>
    <t xml:space="preserve">Kommunikációs szolgáltatások </t>
  </si>
  <si>
    <t>K32</t>
  </si>
  <si>
    <t xml:space="preserve">Szolgáltatási kiadások </t>
  </si>
  <si>
    <t>K33</t>
  </si>
  <si>
    <t xml:space="preserve">Kiküldetések, reklám- és propagandakiadások </t>
  </si>
  <si>
    <t>K34</t>
  </si>
  <si>
    <t xml:space="preserve">Különféle befizetések és egyéb dologi kiadások </t>
  </si>
  <si>
    <t>K35</t>
  </si>
  <si>
    <t>Dologi kiadások összesen</t>
  </si>
  <si>
    <t>K3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</si>
  <si>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</si>
  <si>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</si>
  <si>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</si>
  <si>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</si>
  <si>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</si>
  <si>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</si>
  <si>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</si>
  <si>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</si>
  <si>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</si>
  <si>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</si>
  <si>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tám., kölcsönök törlesztése áht-n belülre</t>
  </si>
  <si>
    <t>K505</t>
  </si>
  <si>
    <t>Egyéb működési célú támogatások áht-n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</si>
  <si>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</si>
  <si>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</si>
  <si>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</si>
  <si>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</si>
  <si>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</si>
  <si>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Árkiegészítések, ártámogatások</t>
  </si>
  <si>
    <t>K509</t>
  </si>
  <si>
    <t>Kamattámogatások</t>
  </si>
  <si>
    <t>K510</t>
  </si>
  <si>
    <t>Működési célú támogatások EU-nak</t>
  </si>
  <si>
    <t>K511</t>
  </si>
  <si>
    <t>Egyéb működési célú támogatások államháztartáson kívülre</t>
  </si>
  <si>
    <t>K512</t>
  </si>
  <si>
    <t>Tartalékok-általános</t>
  </si>
  <si>
    <t>K513</t>
  </si>
  <si>
    <t>Tartalékok-cél</t>
  </si>
  <si>
    <t>Egyéb működési célú kiadások összesen</t>
  </si>
  <si>
    <t>K5</t>
  </si>
  <si>
    <t>Működési költségvetés előirányzat csoport összesen</t>
  </si>
  <si>
    <t>K1+..+K5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</si>
  <si>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</si>
  <si>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</si>
  <si>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</si>
  <si>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</si>
  <si>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</si>
  <si>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</si>
  <si>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</si>
  <si>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</si>
  <si>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</si>
  <si>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</si>
  <si>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</si>
  <si>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</si>
  <si>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</si>
  <si>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</si>
  <si>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összesen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</si>
  <si>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</si>
  <si>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</si>
  <si>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</si>
  <si>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</si>
  <si>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</si>
  <si>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</si>
  <si>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</si>
  <si>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</si>
  <si>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</si>
  <si>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összesen</t>
  </si>
  <si>
    <t>K7</t>
  </si>
  <si>
    <t>Felhalmozási célú garancia- és kezességvállalásból kifizetés áht-n belülre</t>
  </si>
  <si>
    <t>K81</t>
  </si>
  <si>
    <t>Felhalmozási célú visszatérítendő tám., kölcsönök nyújtása áht-n belülre</t>
  </si>
  <si>
    <t>K82</t>
  </si>
  <si>
    <t>Felhalmozási célú visszatérítendő tám., kölcsönök törlesztése áht-n belülre</t>
  </si>
  <si>
    <t>K83</t>
  </si>
  <si>
    <t>Egyéb felhalmozási célú támogatások áht-n belülre</t>
  </si>
  <si>
    <t>K84</t>
  </si>
  <si>
    <t>Felhalmozási célú garancia- és kezességvállalásból kifizetés áht-n kívülre</t>
  </si>
  <si>
    <t>K85</t>
  </si>
  <si>
    <t>Felhalmozási célú visszatérítendő tám., kölcsönök nyújtása áht-n kívülre</t>
  </si>
  <si>
    <t>K86</t>
  </si>
  <si>
    <t>Lakástámogatás</t>
  </si>
  <si>
    <t>K87</t>
  </si>
  <si>
    <t xml:space="preserve">Felhalmozási célú támogatások az EU-nak </t>
  </si>
  <si>
    <t>K88</t>
  </si>
  <si>
    <t xml:space="preserve">Egyéb felhalmozási célú támogatások államháztartáson kívülre </t>
  </si>
  <si>
    <t>K89</t>
  </si>
  <si>
    <t>Egyéb felhalmozási célú kiadások összesen</t>
  </si>
  <si>
    <t>K8</t>
  </si>
  <si>
    <t>Felhalmozási költségvetés előirányzat csoport összesen</t>
  </si>
  <si>
    <t>K6+..+K8</t>
  </si>
  <si>
    <t>Költségvetési kiadások összesen</t>
  </si>
  <si>
    <t>K1+..+K8</t>
  </si>
  <si>
    <t>Hosszú lejáratú hitelek, kölcsönök törlesztése FELHALMOZÁSRA</t>
  </si>
  <si>
    <t>K9111</t>
  </si>
  <si>
    <t>Likviditási célú hitelek, kölcsönök törlesztése pénzügyi vállalkozásnak</t>
  </si>
  <si>
    <t>K9112</t>
  </si>
  <si>
    <t>Rövid lejáratú hitelek, kölcsönök törlesztése MŰKÖDÉSRE</t>
  </si>
  <si>
    <t>K9113</t>
  </si>
  <si>
    <t>Hitel-, kölcsöntörlesztés államháztartáson kívülre összesen</t>
  </si>
  <si>
    <t>K911</t>
  </si>
  <si>
    <t>Belföldi értékpapírok kiadásai összesen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</si>
  <si>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</si>
  <si>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</si>
  <si>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</si>
  <si>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</si>
  <si>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</si>
  <si>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</si>
  <si>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</si>
  <si>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</si>
  <si>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</si>
  <si>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</si>
  <si>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</si>
  <si>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</si>
  <si>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</si>
  <si>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Tulajdonosi kölcsönök kiadásai</t>
  </si>
  <si>
    <t>K919</t>
  </si>
  <si>
    <t>Belföldi finanszírozás kiadásai összesen</t>
  </si>
  <si>
    <t>K91</t>
  </si>
  <si>
    <t xml:space="preserve">Külföldi finanszírozás kiadásai </t>
  </si>
  <si>
    <t>K92</t>
  </si>
  <si>
    <t>Adóssághoz nem kapcsolódó származékos ügyletek kiadásai</t>
  </si>
  <si>
    <t>K93</t>
  </si>
  <si>
    <t>Váltókiadások</t>
  </si>
  <si>
    <t>K94</t>
  </si>
  <si>
    <t>Finanszírozási kiadások összesen</t>
  </si>
  <si>
    <t>K9</t>
  </si>
  <si>
    <t xml:space="preserve">KIADÁSOK ÖSSZESEN </t>
  </si>
  <si>
    <t>K1+..+K9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</si>
  <si>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</si>
  <si>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</si>
  <si>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</si>
  <si>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</si>
  <si>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</si>
  <si>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tám.</t>
  </si>
  <si>
    <t>B113</t>
  </si>
  <si>
    <t>Települési önkormányzatok kulturális feladatainak támogatása</t>
  </si>
  <si>
    <t>B114</t>
  </si>
  <si>
    <t>Működési célú költségvetési támogatások és kiegészítések</t>
  </si>
  <si>
    <t>B115</t>
  </si>
  <si>
    <t>Elszámolásból származó bevételek</t>
  </si>
  <si>
    <t>B116</t>
  </si>
  <si>
    <t>Önkormányzatok működési támogatásai összesen</t>
  </si>
  <si>
    <t>B11</t>
  </si>
  <si>
    <t>Elvonások és befizetések bevételei</t>
  </si>
  <si>
    <t>B12</t>
  </si>
  <si>
    <t>Működési célú garancia- és kezességvállalásból megtérül. áht-n belülről</t>
  </si>
  <si>
    <t>B13</t>
  </si>
  <si>
    <t>Működési célú visszatérítendő tám., kölcsönök visszatérülése áht-n belülről</t>
  </si>
  <si>
    <t>B14</t>
  </si>
  <si>
    <t>Működési célú visszatérítendő tám., kölcsönök igénybevétele áht-n belülről</t>
  </si>
  <si>
    <t>B15</t>
  </si>
  <si>
    <t>Egyéb működési célú támogatások bevételei államháztartáson belülről</t>
  </si>
  <si>
    <t>B16</t>
  </si>
  <si>
    <t>Működési célú támogatások államháztartáson belülről összesen</t>
  </si>
  <si>
    <t>B1</t>
  </si>
  <si>
    <t xml:space="preserve">Felhalmozási célú támogatások államháztartáson belülről </t>
  </si>
  <si>
    <t>B2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</si>
  <si>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</si>
  <si>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</si>
  <si>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</si>
  <si>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</si>
  <si>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</si>
  <si>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</si>
  <si>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</si>
  <si>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</si>
  <si>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Termékek és szolgáltatások adói </t>
  </si>
  <si>
    <t>B35</t>
  </si>
  <si>
    <t xml:space="preserve">Egyéb közhatalmi bevételek </t>
  </si>
  <si>
    <t>B36</t>
  </si>
  <si>
    <t>Közhatalmi bevételek összesen</t>
  </si>
  <si>
    <t>B3</t>
  </si>
  <si>
    <t>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</si>
  <si>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</si>
  <si>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</si>
  <si>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</si>
  <si>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</si>
  <si>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</si>
  <si>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</si>
  <si>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</si>
  <si>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</si>
  <si>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</si>
  <si>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</si>
  <si>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</si>
  <si>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</si>
  <si>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</si>
  <si>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</si>
  <si>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</si>
  <si>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</si>
  <si>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</si>
  <si>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</si>
  <si>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</si>
  <si>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</si>
  <si>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</si>
  <si>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>Működési bevételek összesen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</si>
  <si>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</si>
  <si>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</si>
  <si>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</si>
  <si>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</si>
  <si>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</si>
  <si>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</si>
  <si>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</si>
  <si>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</si>
  <si>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</si>
  <si>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</si>
  <si>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</si>
  <si>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összesen</t>
  </si>
  <si>
    <t>B5</t>
  </si>
  <si>
    <t xml:space="preserve">Működési célú átvett pénzeszközök </t>
  </si>
  <si>
    <t>B6</t>
  </si>
  <si>
    <t>Felhalm.célú garancia- és kezességvállalásból megtérülések áht-n kívülről</t>
  </si>
  <si>
    <t>B71</t>
  </si>
  <si>
    <t>Felhalm.célú visszatérítendő támogatások, kölcsönök visszatérülése EU-tól</t>
  </si>
  <si>
    <t>B72</t>
  </si>
  <si>
    <t>Felhalm.célú garancia- és kezességvállalásból származó megtérülések kormánytól és más nemzetközi szervezettől</t>
  </si>
  <si>
    <t>B73</t>
  </si>
  <si>
    <t>Felhalm.célú visszatérítendő tám., kölcsönök visszatérülése áht-n kívülről</t>
  </si>
  <si>
    <t>B74</t>
  </si>
  <si>
    <t>Egyéb felhalmozási célú átvett pénzeszközök</t>
  </si>
  <si>
    <t>B75</t>
  </si>
  <si>
    <t>Felhalmozási célú átvett pénzeszközök összesen</t>
  </si>
  <si>
    <t>B7</t>
  </si>
  <si>
    <t>Költségvetési bevételek összesen</t>
  </si>
  <si>
    <t>B1+..+B7</t>
  </si>
  <si>
    <t xml:space="preserve">  MŰKÖDÉSI költségvetési egyenleg (B1+B3+B4+B6) - (K1+K2+K3+K4+K5)</t>
  </si>
  <si>
    <t xml:space="preserve">  FELHALMOZÁSI költségvetési egyenleg (B2+B5+B7) - (K6+K7+K8)</t>
  </si>
  <si>
    <t>Hosszú lejáratú hitelek, kölcsönök felvétele FELHALMOZÁSRA</t>
  </si>
  <si>
    <t>B8111</t>
  </si>
  <si>
    <t>Likviditási célú hitelek, kölcsönök felvétele pénzügyi váll.-tól FELHALMO</t>
  </si>
  <si>
    <t>B8112</t>
  </si>
  <si>
    <t>Rövid lejáratú hitelek, kölcsönök felvétele  MŰKÖDÉSRE</t>
  </si>
  <si>
    <t>B8113</t>
  </si>
  <si>
    <t>Hitel-, kölcsönfelvétel pénzügyi vállalkozástól összesen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</si>
  <si>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</si>
  <si>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</si>
  <si>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</si>
  <si>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</si>
  <si>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</si>
  <si>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 értékesítése</t>
  </si>
  <si>
    <t>B8123</t>
  </si>
  <si>
    <t>Éven túli lejáratú belföldi értékpapírok kibocsátása</t>
  </si>
  <si>
    <t>B8124</t>
  </si>
  <si>
    <t>Belföldi értékpapírok bevételei összesen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</si>
  <si>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</si>
  <si>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</si>
  <si>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</si>
  <si>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</si>
  <si>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</si>
  <si>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</si>
  <si>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</si>
  <si>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>Maradvány igénybevétele összesen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</si>
  <si>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</si>
  <si>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</si>
  <si>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</si>
  <si>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</si>
  <si>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</si>
  <si>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</si>
  <si>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</si>
  <si>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betétek megszüntetése</t>
  </si>
  <si>
    <t>B817</t>
  </si>
  <si>
    <t>Központi költségvetés sajátos finanszírozási bevételei</t>
  </si>
  <si>
    <t>B818</t>
  </si>
  <si>
    <t>Tulajdonosi kölcsönök bevételei</t>
  </si>
  <si>
    <t>B819</t>
  </si>
  <si>
    <t>Belföldi finanszírozás bevételei összesen</t>
  </si>
  <si>
    <t>B81</t>
  </si>
  <si>
    <t xml:space="preserve">Külföldi finanszírozás bevételei 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</si>
  <si>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</si>
  <si>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</si>
  <si>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</si>
  <si>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</si>
  <si>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</si>
  <si>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összesen</t>
  </si>
  <si>
    <t>B8</t>
  </si>
  <si>
    <t xml:space="preserve">BEVÉTELEK ÖSSZESEN </t>
  </si>
  <si>
    <t>B1+..+B8</t>
  </si>
  <si>
    <t>Költségvetési hiány / többlet  (B1+..B7) - (K1+..+K8)</t>
  </si>
  <si>
    <t>Finanszírozási hiány / többlet  B8 - K9</t>
  </si>
  <si>
    <t>Működési hiány / többlet  (B1+B3+B4+B6+B8134+B8113) - (K1+K2+K3+K4+K5+K9113)</t>
  </si>
  <si>
    <t>Felhalmozási hiány / többlet (B2+B5+B7+B8111) - (K6+K7+K8+K9111)</t>
  </si>
  <si>
    <t>Bevétel - Kiadás</t>
  </si>
  <si>
    <t>3.melléklet</t>
  </si>
  <si>
    <r>
      <t xml:space="preserve">3.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(1)-(2)</t>
    </r>
  </si>
  <si>
    <t>Cofog:</t>
  </si>
  <si>
    <t>011220</t>
  </si>
  <si>
    <t>2016 tény</t>
  </si>
  <si>
    <t>0934111</t>
  </si>
  <si>
    <t xml:space="preserve">építményadó </t>
  </si>
  <si>
    <t xml:space="preserve">épület után fizetett idegenforgalmi adó </t>
  </si>
  <si>
    <t>0934114</t>
  </si>
  <si>
    <t>magánszemélyek kommunális adója</t>
  </si>
  <si>
    <t>0934112</t>
  </si>
  <si>
    <t>telekadó</t>
  </si>
  <si>
    <t>Vagyoni típusú adók összesen</t>
  </si>
  <si>
    <t xml:space="preserve">Értékesítési és forgalmi adók </t>
  </si>
  <si>
    <t>B351</t>
  </si>
  <si>
    <t>09351121</t>
  </si>
  <si>
    <t>ebből: állandó jelleggel végzett iparűzési tevékenység után fizetett helyi iparűzési adó</t>
  </si>
  <si>
    <t>ebből: ideiglenes jelleggel végzett tevékenység után fizetett helyi iparűzési adó</t>
  </si>
  <si>
    <t>B354</t>
  </si>
  <si>
    <t>09354121</t>
  </si>
  <si>
    <t>ebből: külföldi gépjárművek adója</t>
  </si>
  <si>
    <t>ebből: gépjármű túlsúlydíj</t>
  </si>
  <si>
    <t xml:space="preserve">Egyéb áruhasználati és szolgáltatási adók  </t>
  </si>
  <si>
    <t>B355</t>
  </si>
  <si>
    <t>09355121</t>
  </si>
  <si>
    <t xml:space="preserve">ebből: tartózkodás után fizetett idegenforgalmi adó </t>
  </si>
  <si>
    <t>ebből: talajterhelési díj</t>
  </si>
  <si>
    <t>Termékek és szolgáltatások adói  összesen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</si>
  <si>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</si>
  <si>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</si>
  <si>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</si>
  <si>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</si>
  <si>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</si>
  <si>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</si>
  <si>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</si>
  <si>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</si>
  <si>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bírság és a közlekedési szabályszegések után kiszabott közigazgatási bírság helyi önkormányzatot megillető része</t>
  </si>
  <si>
    <t>0936127</t>
  </si>
  <si>
    <t>egyéb bírság</t>
  </si>
  <si>
    <t>Egyéb közhatalmi bevételek összesen</t>
  </si>
  <si>
    <t>018010</t>
  </si>
  <si>
    <t>Önkormányzati hivatal működési támogatása</t>
  </si>
  <si>
    <t>PH</t>
  </si>
  <si>
    <t>Települési üzemeltetéshez kapcsolódó támogatás összesen</t>
  </si>
  <si>
    <t>Összesen sor</t>
  </si>
  <si>
    <t>A zöldterület-gazdálkodással kapcsolatos feladatok ellátásának támogatása</t>
  </si>
  <si>
    <t>Vgig</t>
  </si>
  <si>
    <t>Közvilágítás fenntartásának támogatása</t>
  </si>
  <si>
    <t>Közvilágítás</t>
  </si>
  <si>
    <t>Köztemető fenntartással kapcsolatos feladatok támogatása</t>
  </si>
  <si>
    <t>Temető</t>
  </si>
  <si>
    <t>Közutak fenntartásának támogatása</t>
  </si>
  <si>
    <t>Egyéb önkormányzati feladatok támogatása</t>
  </si>
  <si>
    <t>Határátkelőhelyek fenntartásának támogatása</t>
  </si>
  <si>
    <t>Lakott külterületi feladatok támogatása</t>
  </si>
  <si>
    <t>Üdülőhelyi feladatok támogatása</t>
  </si>
  <si>
    <t>091111</t>
  </si>
  <si>
    <t>Helyi önkormányzatok működésének általános támogatása összesen</t>
  </si>
  <si>
    <t>Óvodapedagógusok bértámogatása</t>
  </si>
  <si>
    <t>Óvodapedagógusok munkáját közvetlenül segítők bértámogatása</t>
  </si>
  <si>
    <t>Óvoda működtetési támogatás</t>
  </si>
  <si>
    <t>Óvodapedagógusok kiegészítő támogatása</t>
  </si>
  <si>
    <t>091121</t>
  </si>
  <si>
    <t>Települési önkormányzatok egyes köznevelési feladatainak támogatása összesen</t>
  </si>
  <si>
    <t>Szociális feladatok egyéb támogatása</t>
  </si>
  <si>
    <t>Segélyhez</t>
  </si>
  <si>
    <t>Család- és gyermekjóléti szolgálat</t>
  </si>
  <si>
    <t>Szoci</t>
  </si>
  <si>
    <t>Család- és gyermekjóléti központ</t>
  </si>
  <si>
    <t>Szociális étkeztetés</t>
  </si>
  <si>
    <t>Házi segítségnyújtás</t>
  </si>
  <si>
    <t>Időskorúak nappali intézményi ellátása</t>
  </si>
  <si>
    <t>Demens személyek nappali intézményi ellátása</t>
  </si>
  <si>
    <t>Pszichiátriai betegek ellátásának támogatása</t>
  </si>
  <si>
    <t>Szakmai dolgozók bértámogatás</t>
  </si>
  <si>
    <t>Intézmény üzemeltetési támogatása</t>
  </si>
  <si>
    <t>Gyermekétkeztetésben dolgozók bértámogatása</t>
  </si>
  <si>
    <t>Gyermekétkeztetés üzemeltetési támogatása</t>
  </si>
  <si>
    <r>
      <t xml:space="preserve">A rászoruló gyermekek intézményen </t>
    </r>
    <r>
      <rPr>
        <sz val="11"/>
        <rFont val="Times New Roman"/>
        <family val="1"/>
        <charset val="238"/>
      </rPr>
      <t>kívüli szünidei étkeztetésének tám.</t>
    </r>
  </si>
  <si>
    <t>091131</t>
  </si>
  <si>
    <t>Települési önkormányzatok szociális és gyermekjóléti  feladatainak támogatása összesen</t>
  </si>
  <si>
    <t>Könyvtár, közművelődés támogatás</t>
  </si>
  <si>
    <t>Művház+Könyvtár</t>
  </si>
  <si>
    <t>Könyvtári célú érdekeltségnövelő támogatás</t>
  </si>
  <si>
    <t>091141</t>
  </si>
  <si>
    <t>Települési önkormányzatok kulturális feladatainak támogatása összesen</t>
  </si>
  <si>
    <t>Lakossági víz és csatornaszolgáltatás támogatása</t>
  </si>
  <si>
    <t>Bérkompenzáció</t>
  </si>
  <si>
    <t>Önkormányzatok működőképessége megőrzését szolgáló támogatás</t>
  </si>
  <si>
    <t>091151</t>
  </si>
  <si>
    <t>Működési célú költségvetési támogatások és kiegészítések összesen</t>
  </si>
  <si>
    <t>091161</t>
  </si>
  <si>
    <t xml:space="preserve"> </t>
  </si>
  <si>
    <t>Elszámolásból származó bevételek összesen</t>
  </si>
  <si>
    <t>4.melléklet</t>
  </si>
  <si>
    <r>
      <t xml:space="preserve">4.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(1)-(2)</t>
    </r>
  </si>
  <si>
    <t>Eredeti    előirányzat</t>
  </si>
  <si>
    <t>Kötelező feladat</t>
  </si>
  <si>
    <t>Önként vállalt feladat</t>
  </si>
  <si>
    <t>Működési célú visszatérítendő támogatások, kölcsönök visszatérülése államháztartáson belülről összesen</t>
  </si>
  <si>
    <t>011130</t>
  </si>
  <si>
    <t>Működési célú visszatérítendő támogatások, kölcsönök igénybevétele államháztartáson belülről összesen</t>
  </si>
  <si>
    <t>Foglalkoztatási paktum  TOP-5.1.2</t>
  </si>
  <si>
    <t>B16131</t>
  </si>
  <si>
    <t>OK</t>
  </si>
  <si>
    <t>Szociális városrehabilitáció (Észak-Nyugati városrész) SZOFT</t>
  </si>
  <si>
    <t>Humánszolgáltatások fejlesztése Barcs térségében</t>
  </si>
  <si>
    <t>Szociális városrehabilitáció (Klapka utcai városrész) SZOFT</t>
  </si>
  <si>
    <t xml:space="preserve">A Barcsi Járás Integrált gyermekprogramja </t>
  </si>
  <si>
    <t>09161311</t>
  </si>
  <si>
    <t>Fejezeti kezelésű előirányzatok EU-s programok és azok hazai társfinanszírozása összesen</t>
  </si>
  <si>
    <t>Önkormányzatok térítése Jelzőrendszeres házi segítségnyújtáshoz</t>
  </si>
  <si>
    <t>B1616</t>
  </si>
  <si>
    <t>Jelzőrendszeres házi segítségnyújtás támogatás pályázat</t>
  </si>
  <si>
    <t>0916161</t>
  </si>
  <si>
    <t>Helyi önkormányzatok és költségvetési szerveiktől összesen</t>
  </si>
  <si>
    <t>Egyéb működési célú támogatások bevételei államháztartáson belülről összesen</t>
  </si>
  <si>
    <t>0921</t>
  </si>
  <si>
    <t>B21</t>
  </si>
  <si>
    <t>Felhalmozási célú önkormányzati támogatások összesen</t>
  </si>
  <si>
    <t>Felhalmozási célú visszatérítendő támogatások, kölcsönök visszatérülése államháztartáson belülről összesen</t>
  </si>
  <si>
    <t>B23</t>
  </si>
  <si>
    <t>Felhalmozási célú visszatérítendő támogatások, kölcsönök igénybevétele államháztartáson belülről összesen</t>
  </si>
  <si>
    <t>B24</t>
  </si>
  <si>
    <t>Csillag Étterem körforgalma és a  Gárdonyi u. közötti útszakasz fejlesztése</t>
  </si>
  <si>
    <t>B251</t>
  </si>
  <si>
    <t>Barcs-Drávatamási kerékpárút fejlesztés ÖNERŐALAP támogatás</t>
  </si>
  <si>
    <t>Barcs-Drávaszentesi kerékpárút fejlesztés ÖNERŐALAP támogatás</t>
  </si>
  <si>
    <t>Barcs központú agglomeráció szennyvíztisztításának fejlesztése ÖNERŐALAP támogatás</t>
  </si>
  <si>
    <t>092511</t>
  </si>
  <si>
    <t>Központi költségvetési szervek összesen</t>
  </si>
  <si>
    <t>Barcsi Szociális Központ fejlesztése</t>
  </si>
  <si>
    <t>B252</t>
  </si>
  <si>
    <t>oK</t>
  </si>
  <si>
    <t>Barcs az élhető zöld város</t>
  </si>
  <si>
    <t>Központi konyha és étterem rekonstrukció (Gimnázium)</t>
  </si>
  <si>
    <t>Barcs Város Óvodája és Bölcsödéje Deák Ferenc utcai Tagóvodája felújítása</t>
  </si>
  <si>
    <t>Barcsi Gyógyfürdő és Rekreációs Központ gázmotoros rendszer kialakítása</t>
  </si>
  <si>
    <t>Barcs-Drávatamási kerékpárút fejlesztés</t>
  </si>
  <si>
    <t>Barcs-Drávaszentesi kerékpárút fejlesztés</t>
  </si>
  <si>
    <t>Kerékpárbarát közlekedési rendszer kialakítása</t>
  </si>
  <si>
    <t>Szociális városrehabilitáció (Észak-Nyugati városrész)</t>
  </si>
  <si>
    <t>Szociális városrehabilitáció (Klapka utcai városrész)</t>
  </si>
  <si>
    <t>TOP-7.1.1-16 Barcsi Helyi Közösség -Közös Többszörös (Színház felújítás)</t>
  </si>
  <si>
    <t>Barcs központú agglomeráció szennyvíztisztításának fejlesztése</t>
  </si>
  <si>
    <t>0925131</t>
  </si>
  <si>
    <t>Egyéb felhalmozási célú támogatások bevételei államháztartáson belülről összesen</t>
  </si>
  <si>
    <t>B25</t>
  </si>
  <si>
    <t>Felhalmozási célú támogatások államháztartáson belülről összesen</t>
  </si>
  <si>
    <t>Működési célú visszatérítendő támogatások, kölcsönök visszatérülése EU-tól összesen</t>
  </si>
  <si>
    <t>B62</t>
  </si>
  <si>
    <t>Működési célú visszatérítendő támogatások, kölcsönök visszatérülése kormánytól és más nemzetközi szervezettől összen</t>
  </si>
  <si>
    <t>B63</t>
  </si>
  <si>
    <t>Felhalmozási célú visszatérítendő támogatások, kölcsönök visszatérülése EU-tól összesen</t>
  </si>
  <si>
    <t>Felhalmozási célú visszatérítendő támogatások, kölcsönök visszatérülése kormánytól és más nemzetközi szervezettől összen</t>
  </si>
  <si>
    <t>0981311</t>
  </si>
  <si>
    <t>Előző év költségvetési maradványának igénybevétele FELHALMOZÁSRA  összesen</t>
  </si>
  <si>
    <t>Immateriális javak értékesítése összesen</t>
  </si>
  <si>
    <t>013350</t>
  </si>
  <si>
    <t>0952131 1</t>
  </si>
  <si>
    <t>Önkormányzati ingatlanok értékesítése</t>
  </si>
  <si>
    <t>0952121</t>
  </si>
  <si>
    <t>Építési telkek értékesítése</t>
  </si>
  <si>
    <t>0952131 2</t>
  </si>
  <si>
    <t>Otthonházi lakások értékesítése</t>
  </si>
  <si>
    <t>0952131 3</t>
  </si>
  <si>
    <t>Önkormányzati bérlakások értékesítése</t>
  </si>
  <si>
    <t>Ingatlanok értékesítése összesen</t>
  </si>
  <si>
    <t>095313</t>
  </si>
  <si>
    <t>Egyéb tárgyi eszközök értékesítése összesen</t>
  </si>
  <si>
    <t>Részesedések értékesítése összesen</t>
  </si>
  <si>
    <t>Részesedések megszűnéséhez kapcsolódó bevételek összesen</t>
  </si>
  <si>
    <t>Felhalmozási bevételek mindösszesen</t>
  </si>
  <si>
    <t>5.melléklet</t>
  </si>
  <si>
    <r>
      <t xml:space="preserve">5.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(1)-(2)</t>
    </r>
  </si>
  <si>
    <t>Paktum</t>
  </si>
  <si>
    <t>056111</t>
  </si>
  <si>
    <t>Immateriális javak beszerzése, létesítése összesen</t>
  </si>
  <si>
    <t>ASP</t>
  </si>
  <si>
    <t>0562133</t>
  </si>
  <si>
    <t>Ingatlanok beszerzése, létesítése  összesen</t>
  </si>
  <si>
    <t>Számítógép beszerzés (4 db)</t>
  </si>
  <si>
    <t>Informatikai eszközök beszerzése, létesítése összesen</t>
  </si>
  <si>
    <t>056411</t>
  </si>
  <si>
    <t xml:space="preserve">Barcsi Gyógyfürdő és Rekreációs Központ gázmotoros rendszer kialakítása </t>
  </si>
  <si>
    <t>Barcs Város területén közvilágítás bővítések</t>
  </si>
  <si>
    <t>A Barcsi Járás Integrált gyermekprogramja eszközbeszerzés</t>
  </si>
  <si>
    <t>Nagyterem hangosítás korszerűsítése</t>
  </si>
  <si>
    <t>Egyéb tárgyi eszközök beszerzése, létesítése összesen</t>
  </si>
  <si>
    <t>Részesedések beszerzése összesen</t>
  </si>
  <si>
    <t>Meglévő részesedések növeléséhez kapcsolódó kiadások összesen</t>
  </si>
  <si>
    <t>Számítógép beszerzés (4 db) ÁFA</t>
  </si>
  <si>
    <t>Barcs Város területén közvilágítás bővítések ÁFA</t>
  </si>
  <si>
    <t>Nagyterem hangosítás korszerűsítése ÁFA</t>
  </si>
  <si>
    <t>A Barcsi Járás Integrált gyermekprogramja eszközbeszerzés ÁFA</t>
  </si>
  <si>
    <t>056711</t>
  </si>
  <si>
    <t>Beruházási célú előzetesen felszámított általános forgalmi adó összesen</t>
  </si>
  <si>
    <t>Beruházások mindösszesen</t>
  </si>
  <si>
    <t>0571133 18</t>
  </si>
  <si>
    <t>0571133 2</t>
  </si>
  <si>
    <t>0571133 19</t>
  </si>
  <si>
    <t>0571133 20</t>
  </si>
  <si>
    <t>0571133 13</t>
  </si>
  <si>
    <t>0571133 21</t>
  </si>
  <si>
    <t>Polgármesteri Hivatal B épület csatlakoztatása geotermikus rendszerre</t>
  </si>
  <si>
    <t>Ingatlanok felújítása összesen</t>
  </si>
  <si>
    <t>Informatikai eszközök felújítása összesen</t>
  </si>
  <si>
    <t>057311</t>
  </si>
  <si>
    <t>Egyéb tárgyi eszközök felújítása összesen</t>
  </si>
  <si>
    <t>057412 19</t>
  </si>
  <si>
    <t>Kerékpárbarát közlekedési rendszer kialakítása ÁFA</t>
  </si>
  <si>
    <t>057412 2</t>
  </si>
  <si>
    <t>Barcsi Szociális Központ fejlesztése ÁFA</t>
  </si>
  <si>
    <t>057412 20</t>
  </si>
  <si>
    <t>Központi konyha és étterem rekonstrukció (Gimnázium) ÁFA</t>
  </si>
  <si>
    <t>057412 18</t>
  </si>
  <si>
    <t>Barcs az élhető zöld város ÁFA</t>
  </si>
  <si>
    <t>057412 14</t>
  </si>
  <si>
    <t>Szociális városrehabilitáció (Észak-Nyugati városrész) ÁFA</t>
  </si>
  <si>
    <t>Szociális városrehabilitáció (Klapka utcai városrész) ÁFA</t>
  </si>
  <si>
    <t>057412 16</t>
  </si>
  <si>
    <t>Barcs-Drávatamási kerékpárút fejlesztés ÁFA</t>
  </si>
  <si>
    <t>Barcs-Drávaszentesi kerékpárút fejlesztés ÁFA</t>
  </si>
  <si>
    <t>Barcs központú agglomeráció szennyvíztisztításának fejlesztése ÁFA</t>
  </si>
  <si>
    <t>Polgármesteri Hivatal B épület csatlakoztatása geotermikus rendszerre ÁFA</t>
  </si>
  <si>
    <t>057412</t>
  </si>
  <si>
    <t>Felújítási célú előzetesen felszámított  ÁFA összesen</t>
  </si>
  <si>
    <t>Felújítások mindösszesen</t>
  </si>
  <si>
    <t>Felhalmozási kiadások mindösszesen:</t>
  </si>
  <si>
    <t>K6+K7</t>
  </si>
  <si>
    <t>6.melléklet</t>
  </si>
  <si>
    <r>
      <t xml:space="preserve">6 .melléklet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(1)-(2)</t>
    </r>
  </si>
  <si>
    <t>Megnevezés</t>
  </si>
  <si>
    <t>Összesen</t>
  </si>
  <si>
    <t>0551311 1</t>
  </si>
  <si>
    <t>Önkormányzat általános gazdálkodási tartaléka működési célra</t>
  </si>
  <si>
    <t>Önkormányzat általános gazdálkodási tartaléka felhalmozási célra</t>
  </si>
  <si>
    <t>Általános tartalékok mindösszesen</t>
  </si>
  <si>
    <t>0551311 2</t>
  </si>
  <si>
    <t>Oktatási, Művelődési, Sport Bizottság</t>
  </si>
  <si>
    <t>0551311 3</t>
  </si>
  <si>
    <t>Jogi, Egészségügyi, Szociálpolitikai Bizottság</t>
  </si>
  <si>
    <t>0551311 4</t>
  </si>
  <si>
    <t xml:space="preserve">Pénzügyi, Városfejlesztési Bizottság </t>
  </si>
  <si>
    <t>0551311 7</t>
  </si>
  <si>
    <t>Polgármester saját hatáskör</t>
  </si>
  <si>
    <t xml:space="preserve"> Céltartalék működési célra összesen</t>
  </si>
  <si>
    <t xml:space="preserve"> Céltartalék felhalmozási célra összesen</t>
  </si>
  <si>
    <t>Céltartalékok mindösszesen</t>
  </si>
  <si>
    <t>0551311</t>
  </si>
  <si>
    <t>Tartalékok mindösszesen:</t>
  </si>
  <si>
    <t>7.melléklet</t>
  </si>
  <si>
    <t>Kötelező</t>
  </si>
  <si>
    <t xml:space="preserve">Önként vállalt </t>
  </si>
  <si>
    <t>Önként vállalt</t>
  </si>
  <si>
    <t>Eredeti e.i</t>
  </si>
  <si>
    <t>Módosított e.i</t>
  </si>
  <si>
    <t>Kötelező feladatok összesen</t>
  </si>
  <si>
    <t>Önként vállalt feladatok összesen</t>
  </si>
  <si>
    <t xml:space="preserve"> Mind-összesen</t>
  </si>
  <si>
    <t>011130 Önkormányzatok és önkormányzati hivatalok jogalkotó és általános igazgatási tevékenysége</t>
  </si>
  <si>
    <t>013350 Az önkormányzati vagyonnal való gazdálkodással kapcsolatos feladatok</t>
  </si>
  <si>
    <t>013320 Köztemető-fenntartás és -működtetés</t>
  </si>
  <si>
    <t>041120  Földügy igazgatása</t>
  </si>
  <si>
    <t>045160     Közutak, hidak, alagutak üzemeltetése, fenntartása</t>
  </si>
  <si>
    <t>047410 Ár- és belvízvédelemmel összefüggő tevékenységek</t>
  </si>
  <si>
    <t>051030 Nem veszélyes (települési) hulladék vegyes (ömlesztett) begyűjtése, szállítása, átrakása</t>
  </si>
  <si>
    <t>063020  Víztermelés, -kezelés, -ellátás</t>
  </si>
  <si>
    <t>066020  Város-, községgazdálkodási egyéb szolgáltatások</t>
  </si>
  <si>
    <t>064010  Közvilágítás</t>
  </si>
  <si>
    <t>081030 Sportlétesítmények, edzőtáborok működtetése és fejlesztése</t>
  </si>
  <si>
    <t>081043 Iskolai, diáksport-tevékenység és támogatása</t>
  </si>
  <si>
    <t>081045  Szabadidősport- (rekreációs sport-) tevékenység és támogatása</t>
  </si>
  <si>
    <t>094260   Hallgatói és oktatói ösztöndíjak, egyéb juttatások</t>
  </si>
  <si>
    <t>046020    Vezetékes műsorelosztás, városi és kábeltelevíziós rendszerek</t>
  </si>
  <si>
    <t>045140     Városi és elővárosi közúti személyszállítás</t>
  </si>
  <si>
    <t>011130 Pályázatok költségei</t>
  </si>
  <si>
    <t>081041 Versenysport- és utánpótlás-nevelési tevékenység és támogatása</t>
  </si>
  <si>
    <t>082091 Közművelődés – közösségi és társadalmi részvétel fejlesztése</t>
  </si>
  <si>
    <t>084020 Nemzetiségi közfeladatok ellátása és támogatása</t>
  </si>
  <si>
    <t>084031 Civil szervezetek működési támogatása</t>
  </si>
  <si>
    <t>084040  Egyházak közösségi és hitéleti tevékenységének támogatása</t>
  </si>
  <si>
    <t xml:space="preserve">Munkaadókat terhelő járulékok és szociális hozzájárulási adó                                                                            </t>
  </si>
  <si>
    <t>Műk. célú garancia- és kezességváll.-ból származó kif. áht-n belülre</t>
  </si>
  <si>
    <t>Műk. célú visszatérítendő tám., kölcsönök nyújtása áht-n belülre</t>
  </si>
  <si>
    <t>Működési célú visszatérítendő tám., kölcsönök törl. áht-n belülre</t>
  </si>
  <si>
    <t>Műk.célú garancia- és kezességváll.-ból származó kif. áht-n kívülre</t>
  </si>
  <si>
    <t>Működési célú visszatérítendő tám., kölcs. nyújtása áht-n kívülre</t>
  </si>
  <si>
    <t>Felhalm. célú garancia- és kezességváll. származó kifiz. áht-n belülre</t>
  </si>
  <si>
    <t>Felhalm. célú visszatérítendő tám., kölcsönök nyújtása áht-n belülre</t>
  </si>
  <si>
    <t>Felhalm. célú visszatérítendő tám., kölcsönök törlesztése áht-n belülre</t>
  </si>
  <si>
    <t>Felhalm. célú garancia- és kezességváll. származó kif. és áht-n kívülre</t>
  </si>
  <si>
    <t>Felhalmozási célú visszatérítendő tám., kölcs. nyújtása áht-n kívülre</t>
  </si>
  <si>
    <t xml:space="preserve">Belföldi finanszírozás kiadásai </t>
  </si>
  <si>
    <t xml:space="preserve">Önkormányzatok működési támogatásai </t>
  </si>
  <si>
    <t>Működési célú garancia- és kezességvállalásból származó megtérül. áht-n belülről</t>
  </si>
  <si>
    <t>Működési célú visszatérítendő támogatások, kölcsönök visszatérülése áht-n belülről</t>
  </si>
  <si>
    <t>Működési célú visszatérítendő támogatások, kölcsönök igénybevétele áht-n belülről</t>
  </si>
  <si>
    <t>Áru- és készletértékesítés ellenértéke</t>
  </si>
  <si>
    <t>Felhalm.célú garancia- és kezességvállalásból származó megtérülések áht-n kívülről</t>
  </si>
  <si>
    <t>Felhalm.célú visszatérítendő tám., kölcsönök visszatérülése EU-tól</t>
  </si>
  <si>
    <t>Felhalm.célú visszatérítendő támogatások, kölcsönök visszatérülése áht-n kívülről</t>
  </si>
  <si>
    <t xml:space="preserve">Hitel-, kölcsönfelvétel államháztartáson kívülről </t>
  </si>
  <si>
    <t xml:space="preserve">Belföldi értékpapírok bevételei </t>
  </si>
  <si>
    <t>Előző év költségvetési maradványának igénybevétele FELHALM.</t>
  </si>
  <si>
    <t>Előző év vállalkozási maradványának igénybevétele FELHALM.</t>
  </si>
  <si>
    <t>ebből Állami támogatás</t>
  </si>
  <si>
    <t>Önkormányzati hozzájárulás</t>
  </si>
  <si>
    <t>8.melléklet</t>
  </si>
  <si>
    <r>
      <t xml:space="preserve">8. melléklet 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(1)-(2)</t>
    </r>
  </si>
  <si>
    <t>Működési célú visszatérítendő támogatások, kölcsönök törlesztése áht-n belülre</t>
  </si>
  <si>
    <t>Működési célú támogatás EU-nak</t>
  </si>
  <si>
    <t>Felhalmozási célú garancia- és kezességvállalásból  kifizetés áht-n belülre</t>
  </si>
  <si>
    <t>Felhalmozási célú visszatérítendő támogatások, kölcsönök nyújtása áht-n belülre</t>
  </si>
  <si>
    <t>Felhalmozási célú támogatás EU-nak</t>
  </si>
  <si>
    <t>018030</t>
  </si>
  <si>
    <t>0591512 1</t>
  </si>
  <si>
    <t>ebből Állami támogatás és egyéb támogatás</t>
  </si>
  <si>
    <t>9.melléklet</t>
  </si>
  <si>
    <r>
      <t xml:space="preserve">9.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(1)-(2)</t>
    </r>
  </si>
  <si>
    <t xml:space="preserve"> Városgazdálkodási Igazgatóság</t>
  </si>
  <si>
    <t>0591512 2</t>
  </si>
  <si>
    <t>10.melléklet</t>
  </si>
  <si>
    <r>
      <t xml:space="preserve">10.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(1)-(2)</t>
    </r>
  </si>
  <si>
    <t>0591512 8</t>
  </si>
  <si>
    <t>11.melléklet</t>
  </si>
  <si>
    <r>
      <t xml:space="preserve">11.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(1)-(2)</t>
    </r>
  </si>
  <si>
    <t>0591512 3</t>
  </si>
  <si>
    <t>12.melléklet</t>
  </si>
  <si>
    <r>
      <t xml:space="preserve">12.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(1)-(2)</t>
    </r>
  </si>
  <si>
    <t>0591512 4</t>
  </si>
  <si>
    <t>13.melléklet</t>
  </si>
  <si>
    <r>
      <t xml:space="preserve">13.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(1)-(2)</t>
    </r>
  </si>
  <si>
    <t>Móricz Zsigmond Művelődési Központ és Dráva Közérdekű Múzeális kiállítóhely</t>
  </si>
  <si>
    <t>0591512 5</t>
  </si>
  <si>
    <t>14.melléklet</t>
  </si>
  <si>
    <r>
      <t xml:space="preserve">14.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(1)-(2)</t>
    </r>
  </si>
  <si>
    <t>0591512 6</t>
  </si>
  <si>
    <t>15.melléklet</t>
  </si>
  <si>
    <r>
      <t xml:space="preserve">15. melléklet </t>
    </r>
    <r>
      <rPr>
        <b/>
        <vertAlign val="superscript"/>
        <sz val="12"/>
        <color indexed="8"/>
        <rFont val="Times New Roman"/>
        <family val="1"/>
        <charset val="238"/>
      </rPr>
      <t>(1)</t>
    </r>
  </si>
  <si>
    <t>Foglalkoztatottak létszáma</t>
  </si>
  <si>
    <t xml:space="preserve">Költségvetési engedélyezett létszámkeret (álláshely) (fő) </t>
  </si>
  <si>
    <t>Sor- szám</t>
  </si>
  <si>
    <t>MEGNEVEZÉS</t>
  </si>
  <si>
    <t>Barcs Város Önkormányzata</t>
  </si>
  <si>
    <t>MINDÖSSZESEN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</si>
  <si>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</si>
  <si>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</si>
  <si>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</si>
  <si>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</si>
  <si>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 (1+..+4)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</si>
  <si>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</si>
  <si>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</si>
  <si>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</si>
  <si>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Gyakornok</t>
  </si>
  <si>
    <t>Pedagógus I.</t>
  </si>
  <si>
    <t>Pedagógus II.</t>
  </si>
  <si>
    <t>Mester pedagógus</t>
  </si>
  <si>
    <t>"A", "B" fizetési  osztály összesen</t>
  </si>
  <si>
    <t>"C", "D" fizetési osztály  összesen</t>
  </si>
  <si>
    <t>"E"-"J"  fizetési  osztály  összesen</t>
  </si>
  <si>
    <t>Pedagógus (magasabb) vezetői megbízással</t>
  </si>
  <si>
    <t>KÖZALKALMAZOTTAK ÖSSZESEN (6+..+16)</t>
  </si>
  <si>
    <t>fizikai alkalmazott, a költségvetési szerveknél foglalkoztatott egyéb munkavállaló  (fizikai alkalmazott)</t>
  </si>
  <si>
    <t>ösztöndíjas foglalkoztatott</t>
  </si>
  <si>
    <t>közfoglalkoztatott</t>
  </si>
  <si>
    <t>Munka Törvénykönyve vezetőkre vonatkozó rendelkezései alapján foglalkoztatott vezető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</si>
  <si>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</si>
  <si>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</si>
  <si>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</si>
  <si>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>ok</t>
  </si>
  <si>
    <t>16.melléklet</t>
  </si>
  <si>
    <t>16. melléklet</t>
  </si>
  <si>
    <t>Eredeti ei.</t>
  </si>
  <si>
    <t>Módosított ei.</t>
  </si>
  <si>
    <t>Települési támogatás</t>
  </si>
  <si>
    <t>0546121</t>
  </si>
  <si>
    <t xml:space="preserve">Lakhatási támogatás [Szoctv. 45. § ] </t>
  </si>
  <si>
    <t>0544121</t>
  </si>
  <si>
    <t xml:space="preserve">Ápolási díj méltányos  [Szoctv. 43/B. §]  </t>
  </si>
  <si>
    <t>0544129</t>
  </si>
  <si>
    <t>Gyógyszerkiadás támogatás</t>
  </si>
  <si>
    <t>Rendkívüli települési támogatás</t>
  </si>
  <si>
    <t>05481291</t>
  </si>
  <si>
    <t>Átmeneti segély [Szoctv. 45.§]</t>
  </si>
  <si>
    <t>05481292</t>
  </si>
  <si>
    <t>Méltányossági támogatás</t>
  </si>
  <si>
    <t>0548122</t>
  </si>
  <si>
    <t>Temetési segély [Szoctv. 46.§]</t>
  </si>
  <si>
    <t>0542121</t>
  </si>
  <si>
    <t xml:space="preserve">Rendkívüli gyermekvédelmi támogatás [Gyvt. 21.§] </t>
  </si>
  <si>
    <t>0548123</t>
  </si>
  <si>
    <t>Köztemetés [Szoctv. 48.§]</t>
  </si>
  <si>
    <t>05481293</t>
  </si>
  <si>
    <t>Közlekedési támogatás</t>
  </si>
  <si>
    <t>0546129</t>
  </si>
  <si>
    <t>Lakbértámogatás 24/2003.(XI.28) önk. Rendelet 3.§</t>
  </si>
  <si>
    <t>0542131</t>
  </si>
  <si>
    <t xml:space="preserve">Rendszeres gyermekvédelmi kedvezményben részesülők támogatása [Gyvt. 20/A.§] </t>
  </si>
  <si>
    <t>Ellátottak pénzbeli juttatásai mindösszesen</t>
  </si>
  <si>
    <t>Dologi</t>
  </si>
  <si>
    <t>051512 3</t>
  </si>
  <si>
    <t>Segély finanszírozás dologival együtt</t>
  </si>
  <si>
    <t>107060</t>
  </si>
  <si>
    <t>17.melléklet</t>
  </si>
  <si>
    <t>17. melléklet</t>
  </si>
  <si>
    <t>900060</t>
  </si>
  <si>
    <t xml:space="preserve"> Kiadások megnevezés</t>
  </si>
  <si>
    <t>05911111 1</t>
  </si>
  <si>
    <t>05911111 2</t>
  </si>
  <si>
    <t>05911111 3</t>
  </si>
  <si>
    <t>Hosszú lejáratú hitelek, kölcsönök törlesztése  összesen</t>
  </si>
  <si>
    <t>ebből: pénzügyi vállalkozás</t>
  </si>
  <si>
    <t>ebből: fedezeti ügyletek nettó kiadásai</t>
  </si>
  <si>
    <t>05911312</t>
  </si>
  <si>
    <t>Rövid lejáratú hitelek, kölcsönök törlesztése  összesen</t>
  </si>
  <si>
    <t xml:space="preserve">Forgatási célú belföldi értékpapírok vásárlása </t>
  </si>
  <si>
    <t>K9121</t>
  </si>
  <si>
    <t>ebből: befektetési jegyek</t>
  </si>
  <si>
    <t>ebből: kárpótlási jegyek</t>
  </si>
  <si>
    <t>Forgatási célú belföldi értékpapírok beváltása</t>
  </si>
  <si>
    <t>K9122</t>
  </si>
  <si>
    <t>Befektetési célú belföldi értékpapírok vásárlása</t>
  </si>
  <si>
    <t>K9123</t>
  </si>
  <si>
    <t>K9124</t>
  </si>
  <si>
    <t>Befektetési célú belföldi értékpapírok beváltása FELHALMOZÁSRA összesen</t>
  </si>
  <si>
    <t>Pénzeszközök betétként elhelyezése</t>
  </si>
  <si>
    <t>Forgatási célú külföldi értékpapírok vásárlása</t>
  </si>
  <si>
    <t>K921</t>
  </si>
  <si>
    <t>Befektetési célú külföldi értékpapírok vásárlása</t>
  </si>
  <si>
    <t>K922</t>
  </si>
  <si>
    <t xml:space="preserve">Külföldi értékpapírok beváltása </t>
  </si>
  <si>
    <t>K923</t>
  </si>
  <si>
    <t>Külföldi hitelek, kölcsönök törlesztése</t>
  </si>
  <si>
    <t>K924</t>
  </si>
  <si>
    <t>ebből: nemzetközi fejlesztési szervezetek</t>
  </si>
  <si>
    <t>ebből: más kormányok</t>
  </si>
  <si>
    <t>ebből: külföldi pénzintézetek</t>
  </si>
  <si>
    <t>Külföldi finanszírozás kiadásai összesen</t>
  </si>
  <si>
    <t>Bevételek megnevezés</t>
  </si>
  <si>
    <t>09811111 1</t>
  </si>
  <si>
    <t>09811111 2</t>
  </si>
  <si>
    <t>Hosszú lejáratú hitelek, kölcsönök felvétele FELHALMOZÁSRA összesen</t>
  </si>
  <si>
    <t>Likviditási célú hitelek, kölcsönök felvétele pénzügyi vállalkozástól</t>
  </si>
  <si>
    <t>09811312</t>
  </si>
  <si>
    <t>Rövid lejáratú hitelek, kölcsönök felvétele MŰKÖDÉSRE összesen</t>
  </si>
  <si>
    <t>Hitel-, kölcsönfelvétel államháztartáson kívülről összesen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</si>
  <si>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</si>
  <si>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</si>
  <si>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</si>
  <si>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</si>
  <si>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</si>
  <si>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</si>
  <si>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</si>
  <si>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</si>
  <si>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</si>
  <si>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</si>
  <si>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</si>
  <si>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</si>
  <si>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</si>
  <si>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</si>
  <si>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</si>
  <si>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összesen</t>
  </si>
  <si>
    <t>18. melléklet</t>
  </si>
  <si>
    <t>Kötelezettségek megnevezése</t>
  </si>
  <si>
    <t>Kötelezettség-vállalás éve</t>
  </si>
  <si>
    <t>Tárgyév előtti kifizetés</t>
  </si>
  <si>
    <t>2018. évi kifizetés</t>
  </si>
  <si>
    <t>2019. évi kifizetés</t>
  </si>
  <si>
    <t>2020. évi kifizetés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</si>
  <si>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</si>
  <si>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</si>
  <si>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</si>
  <si>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</si>
  <si>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</si>
  <si>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19. melléklet</t>
  </si>
  <si>
    <t>Az európai uniós forrásból finanszírozott támogatással megvalósuló programok, projektek kiadásai, bevételei, valamint a helyi önkormányzat ilyen projektekhez történő hozzájárulásai (E Ft)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</si>
  <si>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</si>
  <si>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</si>
  <si>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 fejezeti kezelésű előirányzatok EU-s programokra és azok hazai társfinanszírozásától</t>
  </si>
  <si>
    <t xml:space="preserve">B1-B7 Költségvetési bevételek </t>
  </si>
  <si>
    <t>B8 Finanszírozási bevételek- önkormányzat projekthez történő hozzájárulása</t>
  </si>
  <si>
    <t>Központi konyha és étterem rekonstrukció</t>
  </si>
  <si>
    <t>Kerékpárbarát közlekedési rendszer kialakítása a város területén</t>
  </si>
  <si>
    <t xml:space="preserve">Szociális városrehabilitáció (Klapka utcai városrész) </t>
  </si>
  <si>
    <t>KÖFOP-1.2.1-VEKOP-16  ASP csatlakozás</t>
  </si>
  <si>
    <t>20. melléklet</t>
  </si>
  <si>
    <t>A támogatás kedvezményezettje</t>
  </si>
  <si>
    <t>Kedvezmény</t>
  </si>
  <si>
    <t>jogcíme (jellege)</t>
  </si>
  <si>
    <t>kérelmek száma (db)</t>
  </si>
  <si>
    <t>összege (eFt)</t>
  </si>
  <si>
    <t>Tulajdonos</t>
  </si>
  <si>
    <t>Magánszemélyek kommunális adója</t>
  </si>
  <si>
    <t>Helyi rendelet, szociális helyzet (törvény alapján)</t>
  </si>
  <si>
    <t>Gépjárműadó</t>
  </si>
  <si>
    <t>Szociális helyzet (törvény alapján)</t>
  </si>
  <si>
    <t>Telekadó</t>
  </si>
  <si>
    <t>Építményadó</t>
  </si>
  <si>
    <t>Késedelmi pótlék</t>
  </si>
  <si>
    <t>Bírság</t>
  </si>
  <si>
    <t>Szemétszállítási díj</t>
  </si>
  <si>
    <t>Helyi rendeletben meghatározott mentességek alapján</t>
  </si>
  <si>
    <t>Összesen:</t>
  </si>
  <si>
    <t>21. melléklet</t>
  </si>
  <si>
    <t>A helyi önkormányzat költségvetési mérlege közgazdasági tagolásban (E Ft)</t>
  </si>
  <si>
    <t>Felhalmozási célú garancia- és kezességvállalásból származó kifizetés áht-n belülre</t>
  </si>
  <si>
    <t>Felhalmozási célú visszatérítendő támogatások, kölcsönök törlesztése áht-n belülre</t>
  </si>
  <si>
    <t>Felhalmozási célú garancia- és kezességvállalásból származó kifizetés áht-n kívülre</t>
  </si>
  <si>
    <t>Felhalmozási célú visszatérítendő támogatások, kölcsönök nyújtása áht-n kívülre</t>
  </si>
  <si>
    <t>Települési önkormányzatok szociális és gyermekjóléti  feladatainak támogatása</t>
  </si>
  <si>
    <t>22. melléklet</t>
  </si>
  <si>
    <t>Előirányzat felhasználási terv (E Ft)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</si>
  <si>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</si>
  <si>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</si>
  <si>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</si>
  <si>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</si>
  <si>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</si>
  <si>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</si>
  <si>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</si>
  <si>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</si>
  <si>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</si>
  <si>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</si>
  <si>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</si>
  <si>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</si>
  <si>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Munkaadókat terhelő járulékok és szociális hozzájárulási adó                   </t>
  </si>
  <si>
    <t>Központi, irányító szervi támogatások folyósítása működési és felhalm.célra</t>
  </si>
  <si>
    <t>23. melléklet</t>
  </si>
  <si>
    <t>2018. évi terv</t>
  </si>
  <si>
    <t>2019. évi terv</t>
  </si>
  <si>
    <t>2020. évi terv</t>
  </si>
  <si>
    <t>Ezt!</t>
  </si>
  <si>
    <t>2017 tény</t>
  </si>
  <si>
    <t>Helyi adó, egyéb közhatalmi bevételek és a működési támogatások (Ft)</t>
  </si>
  <si>
    <t>2017.évi bérkompenzáció támogatása</t>
  </si>
  <si>
    <t>Polgármesteri illetmény támogatása</t>
  </si>
  <si>
    <t>Bölcsődei üzemeltetés támogatás</t>
  </si>
  <si>
    <t>Bölcsődei dajka, nevelő,szaktanácsadók bértámogatása</t>
  </si>
  <si>
    <t>"88lakás" földszintjének megvásárlása</t>
  </si>
  <si>
    <t>"88lakás" földszintjének megvásárlása ÁFA</t>
  </si>
  <si>
    <t>Gépjármű beszerzés FORD helyett</t>
  </si>
  <si>
    <t>Kiadások - Bevételek (Ft)</t>
  </si>
  <si>
    <t>Az egységes rovatrend szerint a kiemelt kiadási és bevételi jogcímek ( Ft)</t>
  </si>
  <si>
    <t>Támogatások, kölcsönök bevételei és a felhalmozási bevételek (Ft)</t>
  </si>
  <si>
    <t>Beruházások és felújítások (Ft)</t>
  </si>
  <si>
    <t>Általános- és céltartalékok (Ft)</t>
  </si>
  <si>
    <t>Barcs Város Önkormányzata 2018. évi költségvetése</t>
  </si>
  <si>
    <t xml:space="preserve"> 2018. évi költségvetése</t>
  </si>
  <si>
    <t>vezető, igazgató, elnök, igazgató-helyettes, elnök-helyettes, hivatalvezető, hivatalvezető-helyettes, a költségvetési szerveknél foglalkoztatott egyéb munkavállaló (vezető)</t>
  </si>
  <si>
    <t>felsőfokú végzettségű, a költségvetési szerveknél foglalkoztatott egyéb munkavállaló (nem vezető)</t>
  </si>
  <si>
    <t>középfokú végzettségű, a költségvetési szerveknél foglalkoztatott egyéb munkavállaló (nem vezető)</t>
  </si>
  <si>
    <t>EGYÉB BÉRRENDSZER ÖSSZESEN (18+..+24)</t>
  </si>
  <si>
    <t>VÁLASZTOTT TISZTSÉGVISELŐK ÖSSZESEN (26+..+28)</t>
  </si>
  <si>
    <t>KÖLTSÉGVETÉSI ENGEDÉLYEZETT LÉTSZÁMKERETBE TARTOZÓ FOGLALKOZTATOTTAK LÉTSZÁMA MINDÖSSZESEN (5+17+25+29)</t>
  </si>
  <si>
    <t>2021. évi kifizetés</t>
  </si>
  <si>
    <t>2022. év utáni kifizetések</t>
  </si>
  <si>
    <t>Személygépkocsi értékesítése (Ford)</t>
  </si>
  <si>
    <t>88 lakás földszintjének megvásárlása</t>
  </si>
  <si>
    <t>Windows 10  beszerzés (4 db)</t>
  </si>
  <si>
    <t>Windows 10  beszerzés (4 db)ÁFA</t>
  </si>
  <si>
    <t>Somogyi Béla u . 14. ingatlan vásárlása</t>
  </si>
  <si>
    <t>Barcsi Gyógyfürdő és Rekreációs Központ gázmotoros rendszer  ÁFA</t>
  </si>
  <si>
    <t>Lakosságnak juttatott támogatások, szociális, rászorultsági jellegű ellátások (Ft)</t>
  </si>
  <si>
    <t>Barcs Város Önkormányzata 2018. évi közvetett támogatásai</t>
  </si>
  <si>
    <t>2021. évi terv</t>
  </si>
  <si>
    <t>Talajterhelési díj</t>
  </si>
  <si>
    <t>Barcsi Szociális Központ út, lejáró építés</t>
  </si>
  <si>
    <t>Központi konyha összekötő folyósó felújítása (Gimnázium)</t>
  </si>
  <si>
    <t>Barcsi Szociális Központ út, lejáró építésÁFA</t>
  </si>
  <si>
    <t>Járási Hivatal épületének tetőfejújítása</t>
  </si>
  <si>
    <t>Sóraktárház tető felújítása</t>
  </si>
  <si>
    <t>Iparterület infrastruktúrális fejlesztése</t>
  </si>
  <si>
    <t>Gyerekesély program infrastruktúrális hátterének biztosítása</t>
  </si>
  <si>
    <t>Gyerekesély program infrastruktúrális hátterének biztosítása ÁFA</t>
  </si>
  <si>
    <t>Sóraktárház tető felújítása ÁFA</t>
  </si>
  <si>
    <t>Humán szolgáltatások fejlesztése Barcs térségében (”Kultúrák összefogása a közösségért” )</t>
  </si>
  <si>
    <t>EFOP-2.1.2-16 A Barcsi járás integrált térségi gyerekprogramjához szükséges infrastruktúra kialakítása</t>
  </si>
  <si>
    <t>TOP-1.1.1-16-SO1 Zöldmezős iparterület infrastrukturális fejlesztése Barcson</t>
  </si>
  <si>
    <t>Humán szolgáltatások fejlesztése Barcson felújítás</t>
  </si>
  <si>
    <t>Humán szolgáltatások fejlesztése Barcson felújítás ÁFA</t>
  </si>
  <si>
    <t>Iparterület infrastruktúrális fejlesztése ÁFA</t>
  </si>
  <si>
    <t>Barcsi Helyi Közösség -Közös Többszörös (Színház felújítás)</t>
  </si>
  <si>
    <t>Csillag Étterem körforgalma és a  Gárdonyi u. közötti útszakasz fejl. ÁFA</t>
  </si>
  <si>
    <t>Barcs Város Óvodája és Bölcsödéje Deák Ferenc utcai Tagóvodája  ÁFA</t>
  </si>
  <si>
    <t>Humán szolgáltatások fejlesztése Barcson eszközbeszerzés</t>
  </si>
  <si>
    <t>2018. évi eredeti ei.</t>
  </si>
  <si>
    <t>2017. évi várható teljesítés</t>
  </si>
  <si>
    <t>2016. évi    teljesítés</t>
  </si>
  <si>
    <t>A költségvetési évet követő három év tervezett előirányzatainak keretszámai főbb csoportokban (eFt)</t>
  </si>
  <si>
    <t>A többéves kihatással járó döntések számszerűsítése évenkénti bontásban és összesítve (eFt)</t>
  </si>
  <si>
    <t>A költségvetési hiány külső finanszírozására vagy a költségvetési többlet felhasználására szolgáló finanszírozási bevételek és kiadások  (Ft)</t>
  </si>
  <si>
    <t>OK 2018.02.08</t>
  </si>
  <si>
    <t>Előző év költségvetési maradványának  FELHALMOZÁSRA</t>
  </si>
  <si>
    <t>Polgármesteri Hivatal "A" épületének tetőfejújítása</t>
  </si>
  <si>
    <t>Polgármesteri Hivatal "A" épületének tetőfejújítása ÁFA</t>
  </si>
  <si>
    <t>A belföldi gépjárművek adójának a helyi önkormányzatot megillető része</t>
  </si>
  <si>
    <t>Barcsi Helyi Közösség -Közös Többszörös (Színház , Múzeum felújítás)</t>
  </si>
  <si>
    <t>Barcsi Helyi Közösség -Közös Többszörös (Színház,  Múzeum felújítás) ÁFA</t>
  </si>
  <si>
    <t>Fogorvos letelepedési támogatása</t>
  </si>
  <si>
    <t>Ipatrerület fejlesztéséhez földterület vásárlása</t>
  </si>
  <si>
    <t>Tartalékban</t>
  </si>
  <si>
    <t>Bevétel</t>
  </si>
  <si>
    <t>Gyerekesély program</t>
  </si>
  <si>
    <t>Folyószámlahitel</t>
  </si>
  <si>
    <t>a  2/2018.(III.14.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</si>
</sst>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F_t_-;\-* #,##0.00\ _F_t_-;_-* \-??\ _F_t_-;_-@_-"/>
    <numFmt numFmtId="165" formatCode="#,###"/>
    <numFmt numFmtId="166" formatCode="\ ##########"/>
    <numFmt numFmtId="167" formatCode="0__"/>
    <numFmt numFmtId="168" formatCode="yyyy/\ mmmm;@"/>
  </numFmts>
  <fonts count="79" x14ac:knownFonts="1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b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vertAlign val="superscript"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Bookman Old Style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4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1"/>
    </font>
    <font>
      <b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u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10"/>
      <name val="Bookman Old Style"/>
      <family val="1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8"/>
      <color rgb="FF424242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indexed="24"/>
        <bgColor indexed="22"/>
      </patternFill>
    </fill>
    <fill>
      <patternFill patternType="solid">
        <fgColor rgb="FFE1E5E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rgb="FFABA9A5"/>
      </left>
      <right/>
      <top/>
      <bottom style="medium">
        <color rgb="FFABA9A5"/>
      </bottom>
      <diagonal/>
    </border>
    <border>
      <left style="medium">
        <color rgb="FFABA9A5"/>
      </left>
      <right/>
      <top style="medium">
        <color rgb="FFABA9A5"/>
      </top>
      <bottom style="medium">
        <color rgb="FFABA9A5"/>
      </bottom>
      <diagonal/>
    </border>
    <border>
      <left style="medium">
        <color rgb="FFABA9A5"/>
      </left>
      <right style="medium">
        <color rgb="FFABA9A5"/>
      </right>
      <top style="medium">
        <color rgb="FFABA9A5"/>
      </top>
      <bottom style="medium">
        <color rgb="FFABA9A5"/>
      </bottom>
      <diagonal/>
    </border>
    <border>
      <left style="medium">
        <color rgb="FFABA9A5"/>
      </left>
      <right style="medium">
        <color rgb="FFABA9A5"/>
      </right>
      <top/>
      <bottom style="medium">
        <color rgb="FFABA9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92">
    <xf numFmtId="0" fontId="0" fillId="0" borderId="0"/>
    <xf numFmtId="0" fontId="73" fillId="2" borderId="0" applyNumberFormat="0" applyBorder="0" applyAlignment="0" applyProtection="0"/>
    <xf numFmtId="0" fontId="73" fillId="3" borderId="0" applyNumberFormat="0" applyBorder="0" applyAlignment="0" applyProtection="0"/>
    <xf numFmtId="0" fontId="73" fillId="4" borderId="0" applyNumberFormat="0" applyBorder="0" applyAlignment="0" applyProtection="0"/>
    <xf numFmtId="0" fontId="73" fillId="5" borderId="0" applyNumberFormat="0" applyBorder="0" applyAlignment="0" applyProtection="0"/>
    <xf numFmtId="0" fontId="73" fillId="6" borderId="0" applyNumberFormat="0" applyBorder="0" applyAlignment="0" applyProtection="0"/>
    <xf numFmtId="0" fontId="73" fillId="7" borderId="0" applyNumberFormat="0" applyBorder="0" applyAlignment="0" applyProtection="0"/>
    <xf numFmtId="0" fontId="73" fillId="2" borderId="0" applyNumberFormat="0" applyBorder="0" applyAlignment="0" applyProtection="0"/>
    <xf numFmtId="0" fontId="73" fillId="3" borderId="0" applyNumberFormat="0" applyBorder="0" applyAlignment="0" applyProtection="0"/>
    <xf numFmtId="0" fontId="73" fillId="4" borderId="0" applyNumberFormat="0" applyBorder="0" applyAlignment="0" applyProtection="0"/>
    <xf numFmtId="0" fontId="73" fillId="5" borderId="0" applyNumberFormat="0" applyBorder="0" applyAlignment="0" applyProtection="0"/>
    <xf numFmtId="0" fontId="73" fillId="6" borderId="0" applyNumberFormat="0" applyBorder="0" applyAlignment="0" applyProtection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73" fillId="8" borderId="0" applyNumberFormat="0" applyBorder="0" applyAlignment="0" applyProtection="0"/>
    <xf numFmtId="0" fontId="7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73" fillId="8" borderId="0" applyNumberFormat="0" applyBorder="0" applyAlignment="0" applyProtection="0"/>
    <xf numFmtId="0" fontId="7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5" fillId="21" borderId="2" applyNumberFormat="0" applyAlignment="0" applyProtection="0"/>
    <xf numFmtId="0" fontId="10" fillId="0" borderId="0" applyNumberFormat="0" applyFill="0" applyBorder="0" applyAlignment="0" applyProtection="0"/>
    <xf numFmtId="164" fontId="73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7" borderId="1" applyNumberFormat="0" applyAlignment="0" applyProtection="0"/>
    <xf numFmtId="0" fontId="73" fillId="22" borderId="7" applyNumberForma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2" fillId="4" borderId="0" applyNumberFormat="0" applyBorder="0" applyAlignment="0" applyProtection="0"/>
    <xf numFmtId="0" fontId="14" fillId="20" borderId="8" applyNumberFormat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18" fillId="0" borderId="0"/>
    <xf numFmtId="0" fontId="18" fillId="0" borderId="0"/>
    <xf numFmtId="0" fontId="16" fillId="0" borderId="0"/>
    <xf numFmtId="0" fontId="19" fillId="0" borderId="0"/>
    <xf numFmtId="0" fontId="73" fillId="22" borderId="7" applyNumberFormat="0" applyAlignment="0" applyProtection="0"/>
    <xf numFmtId="0" fontId="14" fillId="20" borderId="8" applyNumberFormat="0" applyAlignment="0" applyProtection="0"/>
    <xf numFmtId="0" fontId="2" fillId="3" borderId="0" applyNumberFormat="0" applyBorder="0" applyAlignment="0" applyProtection="0"/>
    <xf numFmtId="0" fontId="15" fillId="23" borderId="0" applyNumberFormat="0" applyBorder="0" applyAlignment="0" applyProtection="0"/>
    <xf numFmtId="0" fontId="4" fillId="20" borderId="1" applyNumberFormat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20" fillId="0" borderId="9" applyNumberFormat="0" applyFill="0" applyAlignment="0" applyProtection="0"/>
  </cellStyleXfs>
  <cellXfs count="488">
    <xf numFmtId="0" fontId="0" fillId="0" borderId="0" xfId="0"/>
    <xf numFmtId="0" fontId="21" fillId="0" borderId="0" xfId="79" applyFont="1"/>
    <xf numFmtId="3" fontId="21" fillId="0" borderId="0" xfId="79" applyNumberFormat="1" applyFont="1"/>
    <xf numFmtId="3" fontId="21" fillId="0" borderId="0" xfId="79" applyNumberFormat="1" applyFont="1" applyAlignment="1">
      <alignment horizontal="right"/>
    </xf>
    <xf numFmtId="0" fontId="22" fillId="0" borderId="0" xfId="0" applyFont="1" applyBorder="1" applyAlignment="1">
      <alignment horizontal="center" wrapText="1"/>
    </xf>
    <xf numFmtId="165" fontId="23" fillId="0" borderId="0" xfId="82" applyNumberFormat="1" applyFont="1" applyFill="1" applyBorder="1" applyAlignment="1" applyProtection="1">
      <alignment horizontal="center" vertical="center"/>
    </xf>
    <xf numFmtId="0" fontId="24" fillId="0" borderId="0" xfId="79" applyFont="1"/>
    <xf numFmtId="0" fontId="21" fillId="0" borderId="0" xfId="78" applyFont="1" applyBorder="1" applyAlignment="1" applyProtection="1"/>
    <xf numFmtId="0" fontId="23" fillId="0" borderId="0" xfId="79" applyFont="1" applyAlignment="1">
      <alignment horizontal="right"/>
    </xf>
    <xf numFmtId="0" fontId="25" fillId="0" borderId="0" xfId="0" applyFont="1" applyAlignment="1">
      <alignment horizontal="justify" wrapText="1"/>
    </xf>
    <xf numFmtId="0" fontId="21" fillId="0" borderId="0" xfId="79" applyFont="1" applyAlignment="1">
      <alignment horizontal="right"/>
    </xf>
    <xf numFmtId="0" fontId="21" fillId="0" borderId="0" xfId="79" applyFont="1" applyAlignment="1">
      <alignment horizontal="left"/>
    </xf>
    <xf numFmtId="3" fontId="21" fillId="0" borderId="0" xfId="0" applyNumberFormat="1" applyFont="1" applyBorder="1" applyAlignment="1">
      <alignment horizontal="left" vertical="center"/>
    </xf>
    <xf numFmtId="0" fontId="26" fillId="0" borderId="0" xfId="0" applyFont="1"/>
    <xf numFmtId="3" fontId="26" fillId="0" borderId="0" xfId="0" applyNumberFormat="1" applyFont="1"/>
    <xf numFmtId="0" fontId="27" fillId="0" borderId="0" xfId="0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27" fillId="0" borderId="10" xfId="0" applyFont="1" applyFill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 wrapText="1"/>
    </xf>
    <xf numFmtId="3" fontId="27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10" xfId="0" applyFont="1" applyBorder="1"/>
    <xf numFmtId="3" fontId="26" fillId="0" borderId="10" xfId="0" applyNumberFormat="1" applyFont="1" applyBorder="1"/>
    <xf numFmtId="3" fontId="27" fillId="0" borderId="10" xfId="0" applyNumberFormat="1" applyFont="1" applyBorder="1"/>
    <xf numFmtId="0" fontId="27" fillId="0" borderId="10" xfId="0" applyFont="1" applyBorder="1"/>
    <xf numFmtId="0" fontId="27" fillId="0" borderId="0" xfId="0" applyFont="1"/>
    <xf numFmtId="0" fontId="27" fillId="11" borderId="10" xfId="0" applyFont="1" applyFill="1" applyBorder="1"/>
    <xf numFmtId="3" fontId="27" fillId="11" borderId="10" xfId="0" applyNumberFormat="1" applyFont="1" applyFill="1" applyBorder="1"/>
    <xf numFmtId="0" fontId="31" fillId="0" borderId="0" xfId="0" applyFont="1"/>
    <xf numFmtId="0" fontId="32" fillId="0" borderId="0" xfId="0" applyFont="1"/>
    <xf numFmtId="3" fontId="31" fillId="0" borderId="0" xfId="0" applyNumberFormat="1" applyFont="1"/>
    <xf numFmtId="3" fontId="32" fillId="0" borderId="0" xfId="0" applyNumberFormat="1" applyFont="1"/>
    <xf numFmtId="0" fontId="33" fillId="0" borderId="0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3" fontId="22" fillId="0" borderId="0" xfId="0" applyNumberFormat="1" applyFont="1" applyAlignment="1">
      <alignment wrapText="1"/>
    </xf>
    <xf numFmtId="3" fontId="26" fillId="0" borderId="0" xfId="0" applyNumberFormat="1" applyFont="1" applyAlignment="1">
      <alignment wrapText="1"/>
    </xf>
    <xf numFmtId="3" fontId="27" fillId="0" borderId="0" xfId="0" applyNumberFormat="1" applyFont="1" applyAlignment="1">
      <alignment wrapText="1"/>
    </xf>
    <xf numFmtId="0" fontId="3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3" fontId="26" fillId="0" borderId="0" xfId="0" applyNumberFormat="1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0" fontId="35" fillId="0" borderId="0" xfId="0" applyFont="1"/>
    <xf numFmtId="0" fontId="27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wrapText="1"/>
    </xf>
    <xf numFmtId="3" fontId="26" fillId="0" borderId="10" xfId="0" applyNumberFormat="1" applyFont="1" applyBorder="1" applyAlignment="1">
      <alignment horizontal="center" wrapText="1"/>
    </xf>
    <xf numFmtId="3" fontId="27" fillId="0" borderId="10" xfId="0" applyNumberFormat="1" applyFont="1" applyFill="1" applyBorder="1" applyAlignment="1">
      <alignment horizontal="center" wrapText="1"/>
    </xf>
    <xf numFmtId="0" fontId="26" fillId="0" borderId="10" xfId="0" applyFont="1" applyFill="1" applyBorder="1" applyAlignment="1">
      <alignment vertical="center" wrapText="1"/>
    </xf>
    <xf numFmtId="166" fontId="26" fillId="0" borderId="10" xfId="0" applyNumberFormat="1" applyFont="1" applyFill="1" applyBorder="1" applyAlignment="1">
      <alignment vertical="center"/>
    </xf>
    <xf numFmtId="0" fontId="26" fillId="0" borderId="10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vertical="center" wrapText="1"/>
    </xf>
    <xf numFmtId="166" fontId="27" fillId="0" borderId="10" xfId="0" applyNumberFormat="1" applyFont="1" applyFill="1" applyBorder="1" applyAlignment="1">
      <alignment vertical="center"/>
    </xf>
    <xf numFmtId="0" fontId="27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/>
    </xf>
    <xf numFmtId="0" fontId="36" fillId="24" borderId="10" xfId="0" applyFont="1" applyFill="1" applyBorder="1"/>
    <xf numFmtId="166" fontId="27" fillId="24" borderId="10" xfId="0" applyNumberFormat="1" applyFont="1" applyFill="1" applyBorder="1" applyAlignment="1">
      <alignment vertical="center"/>
    </xf>
    <xf numFmtId="3" fontId="27" fillId="24" borderId="10" xfId="0" applyNumberFormat="1" applyFont="1" applyFill="1" applyBorder="1"/>
    <xf numFmtId="167" fontId="26" fillId="0" borderId="10" xfId="0" applyNumberFormat="1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left" vertical="center"/>
    </xf>
    <xf numFmtId="0" fontId="27" fillId="0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 wrapText="1"/>
    </xf>
    <xf numFmtId="0" fontId="27" fillId="10" borderId="10" xfId="0" applyFont="1" applyFill="1" applyBorder="1" applyAlignment="1">
      <alignment horizontal="left" vertical="center"/>
    </xf>
    <xf numFmtId="166" fontId="27" fillId="10" borderId="10" xfId="0" applyNumberFormat="1" applyFont="1" applyFill="1" applyBorder="1" applyAlignment="1">
      <alignment vertical="center"/>
    </xf>
    <xf numFmtId="3" fontId="27" fillId="10" borderId="10" xfId="0" applyNumberFormat="1" applyFont="1" applyFill="1" applyBorder="1"/>
    <xf numFmtId="0" fontId="31" fillId="0" borderId="0" xfId="0" applyFont="1" applyBorder="1"/>
    <xf numFmtId="3" fontId="23" fillId="0" borderId="10" xfId="0" applyNumberFormat="1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horizontal="left" vertical="center"/>
    </xf>
    <xf numFmtId="3" fontId="23" fillId="0" borderId="10" xfId="0" applyNumberFormat="1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horizontal="left" vertical="center"/>
    </xf>
    <xf numFmtId="0" fontId="23" fillId="10" borderId="10" xfId="0" applyFont="1" applyFill="1" applyBorder="1" applyAlignment="1">
      <alignment horizontal="left" vertical="center"/>
    </xf>
    <xf numFmtId="0" fontId="27" fillId="10" borderId="10" xfId="0" applyFont="1" applyFill="1" applyBorder="1" applyAlignment="1">
      <alignment horizontal="left" vertical="center" wrapText="1"/>
    </xf>
    <xf numFmtId="3" fontId="23" fillId="10" borderId="10" xfId="0" applyNumberFormat="1" applyFont="1" applyFill="1" applyBorder="1" applyAlignment="1">
      <alignment horizontal="right" vertical="center"/>
    </xf>
    <xf numFmtId="0" fontId="26" fillId="0" borderId="0" xfId="0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23" fillId="10" borderId="10" xfId="0" applyFont="1" applyFill="1" applyBorder="1" applyAlignment="1">
      <alignment horizontal="left" vertical="center" wrapText="1"/>
    </xf>
    <xf numFmtId="0" fontId="34" fillId="5" borderId="10" xfId="0" applyFont="1" applyFill="1" applyBorder="1" applyAlignment="1">
      <alignment horizontal="left" indent="2"/>
    </xf>
    <xf numFmtId="0" fontId="34" fillId="5" borderId="10" xfId="0" applyFont="1" applyFill="1" applyBorder="1" applyAlignment="1">
      <alignment horizontal="left" vertical="center"/>
    </xf>
    <xf numFmtId="3" fontId="34" fillId="5" borderId="10" xfId="0" applyNumberFormat="1" applyFont="1" applyFill="1" applyBorder="1"/>
    <xf numFmtId="3" fontId="27" fillId="0" borderId="0" xfId="0" applyNumberFormat="1" applyFont="1"/>
    <xf numFmtId="0" fontId="27" fillId="0" borderId="0" xfId="0" applyFont="1" applyBorder="1"/>
    <xf numFmtId="0" fontId="26" fillId="0" borderId="0" xfId="0" applyFont="1" applyAlignment="1">
      <alignment horizontal="right"/>
    </xf>
    <xf numFmtId="0" fontId="26" fillId="0" borderId="0" xfId="0" applyFont="1" applyFill="1"/>
    <xf numFmtId="0" fontId="39" fillId="0" borderId="0" xfId="0" applyFont="1" applyAlignment="1">
      <alignment wrapText="1"/>
    </xf>
    <xf numFmtId="0" fontId="39" fillId="0" borderId="0" xfId="0" applyFont="1" applyAlignment="1">
      <alignment horizontal="center" wrapText="1"/>
    </xf>
    <xf numFmtId="0" fontId="34" fillId="0" borderId="0" xfId="0" applyFont="1" applyAlignment="1">
      <alignment wrapText="1"/>
    </xf>
    <xf numFmtId="0" fontId="27" fillId="0" borderId="10" xfId="0" applyFont="1" applyBorder="1" applyAlignment="1">
      <alignment horizontal="center" wrapText="1"/>
    </xf>
    <xf numFmtId="0" fontId="40" fillId="0" borderId="0" xfId="0" applyFont="1" applyAlignment="1">
      <alignment horizontal="center"/>
    </xf>
    <xf numFmtId="0" fontId="26" fillId="0" borderId="10" xfId="0" applyFont="1" applyFill="1" applyBorder="1" applyAlignment="1">
      <alignment horizontal="left" vertical="center" wrapText="1" indent="1"/>
    </xf>
    <xf numFmtId="3" fontId="40" fillId="0" borderId="0" xfId="0" applyNumberFormat="1" applyFont="1" applyAlignment="1">
      <alignment horizontal="center"/>
    </xf>
    <xf numFmtId="0" fontId="27" fillId="20" borderId="10" xfId="0" applyFont="1" applyFill="1" applyBorder="1" applyAlignment="1">
      <alignment horizontal="left" vertical="center" wrapText="1"/>
    </xf>
    <xf numFmtId="0" fontId="27" fillId="20" borderId="10" xfId="0" applyFont="1" applyFill="1" applyBorder="1" applyAlignment="1">
      <alignment horizontal="left" vertical="center"/>
    </xf>
    <xf numFmtId="3" fontId="27" fillId="20" borderId="10" xfId="0" applyNumberFormat="1" applyFont="1" applyFill="1" applyBorder="1"/>
    <xf numFmtId="3" fontId="40" fillId="20" borderId="0" xfId="0" applyNumberFormat="1" applyFont="1" applyFill="1" applyAlignment="1">
      <alignment horizontal="center"/>
    </xf>
    <xf numFmtId="0" fontId="26" fillId="20" borderId="0" xfId="0" applyFont="1" applyFill="1"/>
    <xf numFmtId="0" fontId="41" fillId="0" borderId="10" xfId="0" applyFont="1" applyFill="1" applyBorder="1" applyAlignment="1">
      <alignment horizontal="left" vertical="center" wrapText="1" indent="2"/>
    </xf>
    <xf numFmtId="0" fontId="41" fillId="0" borderId="10" xfId="0" applyFont="1" applyFill="1" applyBorder="1" applyAlignment="1">
      <alignment horizontal="left" vertical="center" wrapText="1"/>
    </xf>
    <xf numFmtId="3" fontId="40" fillId="0" borderId="10" xfId="0" applyNumberFormat="1" applyFont="1" applyBorder="1"/>
    <xf numFmtId="0" fontId="21" fillId="0" borderId="10" xfId="0" applyFont="1" applyFill="1" applyBorder="1" applyAlignment="1">
      <alignment horizontal="left" vertical="center" wrapText="1" indent="1"/>
    </xf>
    <xf numFmtId="0" fontId="40" fillId="20" borderId="0" xfId="0" applyFont="1" applyFill="1" applyAlignment="1">
      <alignment horizontal="center"/>
    </xf>
    <xf numFmtId="3" fontId="26" fillId="20" borderId="0" xfId="0" applyNumberFormat="1" applyFont="1" applyFill="1" applyAlignment="1">
      <alignment horizontal="center"/>
    </xf>
    <xf numFmtId="0" fontId="21" fillId="0" borderId="10" xfId="82" applyFont="1" applyFill="1" applyBorder="1" applyAlignment="1" applyProtection="1">
      <alignment horizontal="left" vertical="center" wrapText="1" indent="2"/>
    </xf>
    <xf numFmtId="3" fontId="26" fillId="0" borderId="10" xfId="0" applyNumberFormat="1" applyFont="1" applyBorder="1" applyAlignment="1">
      <alignment horizontal="right"/>
    </xf>
    <xf numFmtId="0" fontId="26" fillId="25" borderId="10" xfId="0" applyFont="1" applyFill="1" applyBorder="1" applyAlignment="1">
      <alignment horizontal="left" vertical="top" wrapText="1" indent="3"/>
    </xf>
    <xf numFmtId="0" fontId="27" fillId="20" borderId="10" xfId="0" applyFont="1" applyFill="1" applyBorder="1" applyAlignment="1">
      <alignment vertical="center" wrapText="1"/>
    </xf>
    <xf numFmtId="3" fontId="27" fillId="20" borderId="10" xfId="0" applyNumberFormat="1" applyFont="1" applyFill="1" applyBorder="1" applyAlignment="1">
      <alignment horizontal="right"/>
    </xf>
    <xf numFmtId="3" fontId="27" fillId="20" borderId="0" xfId="0" applyNumberFormat="1" applyFont="1" applyFill="1"/>
    <xf numFmtId="10" fontId="27" fillId="20" borderId="0" xfId="0" applyNumberFormat="1" applyFont="1" applyFill="1"/>
    <xf numFmtId="0" fontId="21" fillId="0" borderId="10" xfId="0" applyFont="1" applyBorder="1" applyAlignment="1">
      <alignment horizontal="left" indent="2"/>
    </xf>
    <xf numFmtId="0" fontId="19" fillId="0" borderId="10" xfId="82" applyFont="1" applyBorder="1" applyAlignment="1">
      <alignment horizontal="left" indent="2"/>
    </xf>
    <xf numFmtId="0" fontId="26" fillId="0" borderId="10" xfId="0" applyFont="1" applyFill="1" applyBorder="1" applyAlignment="1">
      <alignment horizontal="left" vertical="center" wrapText="1" indent="2"/>
    </xf>
    <xf numFmtId="0" fontId="26" fillId="0" borderId="10" xfId="0" applyFont="1" applyBorder="1" applyAlignment="1">
      <alignment horizontal="left" indent="2"/>
    </xf>
    <xf numFmtId="0" fontId="40" fillId="0" borderId="0" xfId="0" applyFont="1" applyFill="1"/>
    <xf numFmtId="0" fontId="41" fillId="0" borderId="10" xfId="82" applyFont="1" applyFill="1" applyBorder="1" applyAlignment="1" applyProtection="1">
      <alignment horizontal="left" vertical="center" wrapText="1" indent="2"/>
    </xf>
    <xf numFmtId="0" fontId="40" fillId="0" borderId="10" xfId="0" applyFont="1" applyFill="1" applyBorder="1" applyAlignment="1">
      <alignment horizontal="left" vertical="center"/>
    </xf>
    <xf numFmtId="3" fontId="40" fillId="0" borderId="10" xfId="0" applyNumberFormat="1" applyFont="1" applyBorder="1" applyAlignment="1">
      <alignment horizontal="right"/>
    </xf>
    <xf numFmtId="0" fontId="40" fillId="0" borderId="0" xfId="0" applyFont="1"/>
    <xf numFmtId="0" fontId="27" fillId="20" borderId="10" xfId="0" applyFont="1" applyFill="1" applyBorder="1"/>
    <xf numFmtId="3" fontId="26" fillId="20" borderId="0" xfId="0" applyNumberFormat="1" applyFont="1" applyFill="1"/>
    <xf numFmtId="3" fontId="26" fillId="0" borderId="0" xfId="0" applyNumberFormat="1" applyFont="1" applyAlignment="1">
      <alignment horizontal="right"/>
    </xf>
    <xf numFmtId="3" fontId="18" fillId="0" borderId="0" xfId="0" applyNumberFormat="1" applyFont="1" applyBorder="1" applyAlignment="1">
      <alignment horizontal="right" vertical="top" wrapText="1"/>
    </xf>
    <xf numFmtId="0" fontId="34" fillId="0" borderId="0" xfId="0" applyFont="1" applyBorder="1" applyAlignment="1">
      <alignment horizontal="center" wrapText="1"/>
    </xf>
    <xf numFmtId="0" fontId="41" fillId="0" borderId="10" xfId="0" applyFont="1" applyFill="1" applyBorder="1" applyAlignment="1">
      <alignment horizontal="left" vertical="center" wrapText="1" indent="1"/>
    </xf>
    <xf numFmtId="0" fontId="40" fillId="0" borderId="10" xfId="0" applyFont="1" applyFill="1" applyBorder="1" applyAlignment="1">
      <alignment horizontal="left" vertical="center" wrapText="1" indent="1"/>
    </xf>
    <xf numFmtId="0" fontId="43" fillId="0" borderId="0" xfId="0" applyFont="1"/>
    <xf numFmtId="0" fontId="44" fillId="20" borderId="10" xfId="0" applyFont="1" applyFill="1" applyBorder="1"/>
    <xf numFmtId="0" fontId="34" fillId="20" borderId="10" xfId="0" applyFont="1" applyFill="1" applyBorder="1" applyAlignment="1">
      <alignment horizontal="left" vertical="center"/>
    </xf>
    <xf numFmtId="3" fontId="34" fillId="20" borderId="10" xfId="0" applyNumberFormat="1" applyFont="1" applyFill="1" applyBorder="1"/>
    <xf numFmtId="0" fontId="43" fillId="20" borderId="0" xfId="0" applyFont="1" applyFill="1"/>
    <xf numFmtId="0" fontId="44" fillId="0" borderId="10" xfId="0" applyFont="1" applyBorder="1"/>
    <xf numFmtId="3" fontId="34" fillId="0" borderId="10" xfId="0" applyNumberFormat="1" applyFont="1" applyBorder="1"/>
    <xf numFmtId="0" fontId="41" fillId="0" borderId="10" xfId="82" applyFont="1" applyFill="1" applyBorder="1" applyAlignment="1" applyProtection="1">
      <alignment horizontal="left" vertical="center" wrapText="1" indent="1"/>
    </xf>
    <xf numFmtId="0" fontId="27" fillId="20" borderId="11" xfId="0" applyFont="1" applyFill="1" applyBorder="1" applyAlignment="1">
      <alignment horizontal="left" vertical="center" wrapText="1"/>
    </xf>
    <xf numFmtId="0" fontId="27" fillId="20" borderId="11" xfId="0" applyFont="1" applyFill="1" applyBorder="1" applyAlignment="1">
      <alignment horizontal="left" vertical="center"/>
    </xf>
    <xf numFmtId="3" fontId="27" fillId="20" borderId="11" xfId="0" applyNumberFormat="1" applyFont="1" applyFill="1" applyBorder="1"/>
    <xf numFmtId="0" fontId="21" fillId="0" borderId="12" xfId="0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horizontal="left" vertical="center"/>
    </xf>
    <xf numFmtId="3" fontId="26" fillId="0" borderId="12" xfId="0" applyNumberFormat="1" applyFont="1" applyBorder="1"/>
    <xf numFmtId="3" fontId="26" fillId="0" borderId="10" xfId="0" applyNumberFormat="1" applyFont="1" applyFill="1" applyBorder="1" applyAlignment="1">
      <alignment horizontal="right"/>
    </xf>
    <xf numFmtId="3" fontId="26" fillId="0" borderId="10" xfId="0" applyNumberFormat="1" applyFont="1" applyFill="1" applyBorder="1"/>
    <xf numFmtId="10" fontId="26" fillId="20" borderId="0" xfId="0" applyNumberFormat="1" applyFont="1" applyFill="1"/>
    <xf numFmtId="0" fontId="26" fillId="0" borderId="12" xfId="0" applyFont="1" applyFill="1" applyBorder="1" applyAlignment="1">
      <alignment horizontal="left" vertical="center" wrapText="1"/>
    </xf>
    <xf numFmtId="3" fontId="27" fillId="0" borderId="13" xfId="0" applyNumberFormat="1" applyFont="1" applyBorder="1"/>
    <xf numFmtId="3" fontId="27" fillId="20" borderId="13" xfId="0" applyNumberFormat="1" applyFont="1" applyFill="1" applyBorder="1"/>
    <xf numFmtId="0" fontId="40" fillId="0" borderId="10" xfId="0" applyFont="1" applyFill="1" applyBorder="1" applyAlignment="1">
      <alignment horizontal="left" vertical="center" wrapText="1"/>
    </xf>
    <xf numFmtId="0" fontId="23" fillId="20" borderId="10" xfId="0" applyFont="1" applyFill="1" applyBorder="1" applyAlignment="1">
      <alignment horizontal="left" vertical="center" wrapText="1"/>
    </xf>
    <xf numFmtId="3" fontId="21" fillId="0" borderId="10" xfId="82" applyNumberFormat="1" applyFont="1" applyFill="1" applyBorder="1" applyAlignment="1" applyProtection="1">
      <alignment horizontal="right" vertical="center" wrapText="1"/>
      <protection locked="0"/>
    </xf>
    <xf numFmtId="0" fontId="27" fillId="0" borderId="0" xfId="0" applyFont="1" applyFill="1"/>
    <xf numFmtId="0" fontId="26" fillId="0" borderId="0" xfId="0" applyFont="1" applyBorder="1" applyAlignment="1">
      <alignment wrapText="1"/>
    </xf>
    <xf numFmtId="3" fontId="26" fillId="0" borderId="0" xfId="0" applyNumberFormat="1" applyFont="1" applyBorder="1" applyAlignment="1">
      <alignment wrapText="1"/>
    </xf>
    <xf numFmtId="3" fontId="45" fillId="20" borderId="0" xfId="0" applyNumberFormat="1" applyFont="1" applyFill="1"/>
    <xf numFmtId="0" fontId="40" fillId="0" borderId="10" xfId="0" applyFont="1" applyBorder="1" applyAlignment="1">
      <alignment horizontal="left" indent="1"/>
    </xf>
    <xf numFmtId="3" fontId="26" fillId="0" borderId="0" xfId="0" applyNumberFormat="1" applyFont="1" applyFill="1"/>
    <xf numFmtId="0" fontId="34" fillId="20" borderId="10" xfId="0" applyFont="1" applyFill="1" applyBorder="1"/>
    <xf numFmtId="0" fontId="34" fillId="0" borderId="10" xfId="0" applyFont="1" applyBorder="1"/>
    <xf numFmtId="0" fontId="46" fillId="0" borderId="0" xfId="0" applyFont="1" applyFill="1"/>
    <xf numFmtId="0" fontId="46" fillId="0" borderId="0" xfId="0" applyFont="1"/>
    <xf numFmtId="0" fontId="47" fillId="0" borderId="0" xfId="0" applyFont="1" applyAlignment="1">
      <alignment horizontal="right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wrapText="1"/>
    </xf>
    <xf numFmtId="0" fontId="30" fillId="0" borderId="0" xfId="0" applyFont="1"/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/>
    </xf>
    <xf numFmtId="0" fontId="47" fillId="0" borderId="10" xfId="0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horizontal="center" wrapText="1"/>
    </xf>
    <xf numFmtId="0" fontId="47" fillId="0" borderId="10" xfId="0" applyFont="1" applyBorder="1" applyAlignment="1">
      <alignment wrapText="1"/>
    </xf>
    <xf numFmtId="0" fontId="46" fillId="20" borderId="0" xfId="0" applyFont="1" applyFill="1"/>
    <xf numFmtId="0" fontId="21" fillId="0" borderId="10" xfId="82" applyFont="1" applyFill="1" applyBorder="1" applyAlignment="1" applyProtection="1">
      <alignment horizontal="left" vertical="center" wrapText="1" indent="3"/>
    </xf>
    <xf numFmtId="0" fontId="33" fillId="20" borderId="10" xfId="0" applyFont="1" applyFill="1" applyBorder="1" applyAlignment="1">
      <alignment horizontal="left" vertical="center" wrapText="1" indent="1"/>
    </xf>
    <xf numFmtId="0" fontId="48" fillId="20" borderId="10" xfId="0" applyFont="1" applyFill="1" applyBorder="1"/>
    <xf numFmtId="3" fontId="48" fillId="20" borderId="10" xfId="0" applyNumberFormat="1" applyFont="1" applyFill="1" applyBorder="1"/>
    <xf numFmtId="0" fontId="48" fillId="20" borderId="0" xfId="0" applyFont="1" applyFill="1"/>
    <xf numFmtId="0" fontId="45" fillId="0" borderId="0" xfId="0" applyFont="1"/>
    <xf numFmtId="0" fontId="49" fillId="0" borderId="0" xfId="0" applyFont="1"/>
    <xf numFmtId="0" fontId="49" fillId="0" borderId="0" xfId="0" applyFont="1" applyAlignment="1">
      <alignment horizontal="right"/>
    </xf>
    <xf numFmtId="3" fontId="49" fillId="0" borderId="0" xfId="0" applyNumberFormat="1" applyFont="1" applyAlignment="1">
      <alignment horizontal="right"/>
    </xf>
    <xf numFmtId="0" fontId="45" fillId="0" borderId="0" xfId="0" applyFont="1" applyAlignment="1">
      <alignment horizontal="right"/>
    </xf>
    <xf numFmtId="0" fontId="50" fillId="0" borderId="0" xfId="0" applyFont="1"/>
    <xf numFmtId="0" fontId="45" fillId="0" borderId="0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45" fillId="0" borderId="10" xfId="0" applyFont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 wrapText="1"/>
    </xf>
    <xf numFmtId="0" fontId="45" fillId="0" borderId="10" xfId="0" applyFont="1" applyFill="1" applyBorder="1" applyAlignment="1">
      <alignment vertical="center" wrapText="1"/>
    </xf>
    <xf numFmtId="166" fontId="45" fillId="0" borderId="10" xfId="0" applyNumberFormat="1" applyFont="1" applyFill="1" applyBorder="1" applyAlignment="1">
      <alignment vertical="center"/>
    </xf>
    <xf numFmtId="3" fontId="45" fillId="0" borderId="10" xfId="0" applyNumberFormat="1" applyFont="1" applyBorder="1"/>
    <xf numFmtId="3" fontId="45" fillId="0" borderId="12" xfId="0" applyNumberFormat="1" applyFont="1" applyBorder="1"/>
    <xf numFmtId="3" fontId="47" fillId="0" borderId="10" xfId="0" applyNumberFormat="1" applyFont="1" applyBorder="1"/>
    <xf numFmtId="0" fontId="45" fillId="0" borderId="10" xfId="0" applyFont="1" applyBorder="1"/>
    <xf numFmtId="0" fontId="45" fillId="0" borderId="10" xfId="0" applyFont="1" applyFill="1" applyBorder="1" applyAlignment="1">
      <alignment horizontal="left" vertical="center" wrapText="1"/>
    </xf>
    <xf numFmtId="0" fontId="45" fillId="20" borderId="0" xfId="0" applyFont="1" applyFill="1"/>
    <xf numFmtId="0" fontId="47" fillId="20" borderId="10" xfId="0" applyFont="1" applyFill="1" applyBorder="1" applyAlignment="1">
      <alignment vertical="center" wrapText="1"/>
    </xf>
    <xf numFmtId="166" fontId="47" fillId="20" borderId="10" xfId="0" applyNumberFormat="1" applyFont="1" applyFill="1" applyBorder="1" applyAlignment="1">
      <alignment vertical="center"/>
    </xf>
    <xf numFmtId="3" fontId="47" fillId="20" borderId="10" xfId="0" applyNumberFormat="1" applyFont="1" applyFill="1" applyBorder="1"/>
    <xf numFmtId="0" fontId="47" fillId="20" borderId="10" xfId="0" applyFont="1" applyFill="1" applyBorder="1" applyAlignment="1">
      <alignment horizontal="left" vertical="center" wrapText="1"/>
    </xf>
    <xf numFmtId="3" fontId="45" fillId="20" borderId="10" xfId="0" applyNumberFormat="1" applyFont="1" applyFill="1" applyBorder="1"/>
    <xf numFmtId="3" fontId="45" fillId="20" borderId="12" xfId="0" applyNumberFormat="1" applyFont="1" applyFill="1" applyBorder="1"/>
    <xf numFmtId="3" fontId="45" fillId="26" borderId="10" xfId="0" applyNumberFormat="1" applyFont="1" applyFill="1" applyBorder="1"/>
    <xf numFmtId="3" fontId="45" fillId="26" borderId="12" xfId="0" applyNumberFormat="1" applyFont="1" applyFill="1" applyBorder="1"/>
    <xf numFmtId="0" fontId="51" fillId="20" borderId="10" xfId="0" applyFont="1" applyFill="1" applyBorder="1" applyAlignment="1">
      <alignment horizontal="left" vertical="center" wrapText="1"/>
    </xf>
    <xf numFmtId="0" fontId="52" fillId="0" borderId="10" xfId="0" applyFont="1" applyFill="1" applyBorder="1" applyAlignment="1">
      <alignment vertical="center" wrapText="1"/>
    </xf>
    <xf numFmtId="0" fontId="52" fillId="0" borderId="10" xfId="0" applyFont="1" applyFill="1" applyBorder="1" applyAlignment="1">
      <alignment vertical="center"/>
    </xf>
    <xf numFmtId="0" fontId="53" fillId="24" borderId="10" xfId="0" applyFont="1" applyFill="1" applyBorder="1"/>
    <xf numFmtId="166" fontId="47" fillId="24" borderId="10" xfId="0" applyNumberFormat="1" applyFont="1" applyFill="1" applyBorder="1" applyAlignment="1">
      <alignment vertical="center"/>
    </xf>
    <xf numFmtId="3" fontId="47" fillId="24" borderId="10" xfId="0" applyNumberFormat="1" applyFont="1" applyFill="1" applyBorder="1"/>
    <xf numFmtId="167" fontId="45" fillId="0" borderId="10" xfId="0" applyNumberFormat="1" applyFont="1" applyFill="1" applyBorder="1" applyAlignment="1">
      <alignment horizontal="left" vertical="center"/>
    </xf>
    <xf numFmtId="0" fontId="45" fillId="0" borderId="10" xfId="0" applyFont="1" applyFill="1" applyBorder="1" applyAlignment="1">
      <alignment horizontal="left" vertical="center"/>
    </xf>
    <xf numFmtId="0" fontId="47" fillId="20" borderId="10" xfId="0" applyFont="1" applyFill="1" applyBorder="1" applyAlignment="1">
      <alignment horizontal="left" vertical="center"/>
    </xf>
    <xf numFmtId="0" fontId="52" fillId="0" borderId="10" xfId="0" applyFont="1" applyFill="1" applyBorder="1" applyAlignment="1">
      <alignment horizontal="left" vertical="center" wrapText="1"/>
    </xf>
    <xf numFmtId="0" fontId="47" fillId="10" borderId="10" xfId="0" applyFont="1" applyFill="1" applyBorder="1" applyAlignment="1">
      <alignment horizontal="left" vertical="center"/>
    </xf>
    <xf numFmtId="166" fontId="47" fillId="10" borderId="10" xfId="0" applyNumberFormat="1" applyFont="1" applyFill="1" applyBorder="1" applyAlignment="1">
      <alignment vertical="center"/>
    </xf>
    <xf numFmtId="3" fontId="47" fillId="10" borderId="10" xfId="0" applyNumberFormat="1" applyFont="1" applyFill="1" applyBorder="1"/>
    <xf numFmtId="0" fontId="52" fillId="0" borderId="10" xfId="0" applyFont="1" applyFill="1" applyBorder="1" applyAlignment="1">
      <alignment horizontal="left" vertical="center"/>
    </xf>
    <xf numFmtId="3" fontId="51" fillId="0" borderId="10" xfId="0" applyNumberFormat="1" applyFont="1" applyFill="1" applyBorder="1" applyAlignment="1">
      <alignment horizontal="right" vertical="center"/>
    </xf>
    <xf numFmtId="3" fontId="52" fillId="0" borderId="10" xfId="0" applyNumberFormat="1" applyFont="1" applyFill="1" applyBorder="1" applyAlignment="1">
      <alignment horizontal="right" vertical="center" wrapText="1"/>
    </xf>
    <xf numFmtId="0" fontId="51" fillId="10" borderId="10" xfId="0" applyFont="1" applyFill="1" applyBorder="1" applyAlignment="1">
      <alignment horizontal="left" vertical="center"/>
    </xf>
    <xf numFmtId="0" fontId="47" fillId="10" borderId="10" xfId="0" applyFont="1" applyFill="1" applyBorder="1" applyAlignment="1">
      <alignment horizontal="left" vertical="center" wrapText="1"/>
    </xf>
    <xf numFmtId="3" fontId="51" fillId="10" borderId="10" xfId="0" applyNumberFormat="1" applyFont="1" applyFill="1" applyBorder="1" applyAlignment="1">
      <alignment horizontal="right" vertical="center"/>
    </xf>
    <xf numFmtId="0" fontId="47" fillId="11" borderId="10" xfId="0" applyFont="1" applyFill="1" applyBorder="1"/>
    <xf numFmtId="3" fontId="47" fillId="11" borderId="10" xfId="0" applyNumberFormat="1" applyFont="1" applyFill="1" applyBorder="1"/>
    <xf numFmtId="0" fontId="45" fillId="0" borderId="0" xfId="0" applyFont="1" applyFill="1" applyBorder="1"/>
    <xf numFmtId="0" fontId="47" fillId="0" borderId="0" xfId="0" applyFont="1" applyFill="1" applyBorder="1"/>
    <xf numFmtId="3" fontId="47" fillId="0" borderId="0" xfId="0" applyNumberFormat="1" applyFont="1" applyFill="1" applyBorder="1"/>
    <xf numFmtId="0" fontId="30" fillId="0" borderId="0" xfId="0" applyFont="1" applyBorder="1" applyAlignment="1">
      <alignment horizontal="center" vertical="top" wrapText="1"/>
    </xf>
    <xf numFmtId="0" fontId="45" fillId="0" borderId="0" xfId="0" applyFont="1" applyBorder="1" applyAlignment="1"/>
    <xf numFmtId="0" fontId="45" fillId="0" borderId="0" xfId="0" applyFont="1" applyBorder="1"/>
    <xf numFmtId="0" fontId="45" fillId="0" borderId="0" xfId="0" applyFont="1" applyFill="1"/>
    <xf numFmtId="3" fontId="45" fillId="0" borderId="10" xfId="0" applyNumberFormat="1" applyFont="1" applyFill="1" applyBorder="1"/>
    <xf numFmtId="3" fontId="47" fillId="20" borderId="12" xfId="0" applyNumberFormat="1" applyFont="1" applyFill="1" applyBorder="1"/>
    <xf numFmtId="0" fontId="51" fillId="10" borderId="10" xfId="0" applyFont="1" applyFill="1" applyBorder="1" applyAlignment="1">
      <alignment horizontal="left" vertical="center" wrapText="1"/>
    </xf>
    <xf numFmtId="0" fontId="54" fillId="5" borderId="10" xfId="0" applyFont="1" applyFill="1" applyBorder="1" applyAlignment="1">
      <alignment horizontal="left" indent="2"/>
    </xf>
    <xf numFmtId="0" fontId="54" fillId="5" borderId="10" xfId="0" applyFont="1" applyFill="1" applyBorder="1" applyAlignment="1">
      <alignment horizontal="left" vertical="center"/>
    </xf>
    <xf numFmtId="3" fontId="54" fillId="5" borderId="10" xfId="0" applyNumberFormat="1" applyFont="1" applyFill="1" applyBorder="1"/>
    <xf numFmtId="0" fontId="51" fillId="0" borderId="10" xfId="0" applyFont="1" applyFill="1" applyBorder="1" applyAlignment="1">
      <alignment horizontal="left" vertical="center" wrapText="1"/>
    </xf>
    <xf numFmtId="0" fontId="47" fillId="0" borderId="10" xfId="0" applyFont="1" applyFill="1" applyBorder="1" applyAlignment="1">
      <alignment horizontal="left" vertical="center" wrapText="1"/>
    </xf>
    <xf numFmtId="0" fontId="51" fillId="0" borderId="10" xfId="0" applyFont="1" applyFill="1" applyBorder="1" applyAlignment="1">
      <alignment horizontal="left" vertical="center"/>
    </xf>
    <xf numFmtId="0" fontId="55" fillId="0" borderId="10" xfId="0" applyFont="1" applyFill="1" applyBorder="1" applyAlignment="1">
      <alignment horizontal="left" vertical="center" indent="1"/>
    </xf>
    <xf numFmtId="0" fontId="55" fillId="0" borderId="10" xfId="0" applyFont="1" applyFill="1" applyBorder="1" applyAlignment="1">
      <alignment horizontal="left" vertical="center" indent="4"/>
    </xf>
    <xf numFmtId="0" fontId="56" fillId="0" borderId="0" xfId="0" applyFont="1" applyBorder="1" applyAlignment="1">
      <alignment horizontal="center" wrapText="1"/>
    </xf>
    <xf numFmtId="3" fontId="21" fillId="0" borderId="10" xfId="0" applyNumberFormat="1" applyFont="1" applyFill="1" applyBorder="1" applyAlignment="1">
      <alignment horizontal="right" vertical="center" wrapText="1"/>
    </xf>
    <xf numFmtId="0" fontId="57" fillId="0" borderId="0" xfId="0" applyFont="1" applyFill="1" applyBorder="1" applyAlignment="1">
      <alignment horizontal="left" vertical="center"/>
    </xf>
    <xf numFmtId="0" fontId="57" fillId="0" borderId="0" xfId="0" applyFont="1" applyFill="1" applyBorder="1" applyAlignment="1">
      <alignment horizontal="left" vertical="center" wrapText="1"/>
    </xf>
    <xf numFmtId="0" fontId="58" fillId="0" borderId="0" xfId="0" applyFont="1" applyFill="1" applyBorder="1" applyAlignment="1">
      <alignment horizontal="left" vertical="center"/>
    </xf>
    <xf numFmtId="0" fontId="59" fillId="0" borderId="0" xfId="0" applyFont="1"/>
    <xf numFmtId="0" fontId="41" fillId="0" borderId="10" xfId="0" applyFont="1" applyFill="1" applyBorder="1" applyAlignment="1">
      <alignment horizontal="left" vertical="center" indent="1"/>
    </xf>
    <xf numFmtId="0" fontId="41" fillId="0" borderId="10" xfId="0" applyFont="1" applyFill="1" applyBorder="1" applyAlignment="1">
      <alignment horizontal="left" vertical="center" indent="4"/>
    </xf>
    <xf numFmtId="0" fontId="30" fillId="0" borderId="0" xfId="0" applyFont="1" applyBorder="1" applyAlignment="1">
      <alignment horizontal="center" wrapText="1"/>
    </xf>
    <xf numFmtId="0" fontId="60" fillId="0" borderId="0" xfId="0" applyFont="1" applyAlignment="1">
      <alignment wrapText="1"/>
    </xf>
    <xf numFmtId="0" fontId="48" fillId="0" borderId="0" xfId="0" applyFont="1"/>
    <xf numFmtId="0" fontId="47" fillId="0" borderId="10" xfId="0" applyFont="1" applyBorder="1" applyAlignment="1">
      <alignment horizontal="center" wrapText="1"/>
    </xf>
    <xf numFmtId="0" fontId="61" fillId="0" borderId="10" xfId="0" applyFont="1" applyBorder="1" applyAlignment="1">
      <alignment horizontal="center" vertical="center" wrapText="1"/>
    </xf>
    <xf numFmtId="0" fontId="62" fillId="0" borderId="10" xfId="75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/>
    </xf>
    <xf numFmtId="0" fontId="52" fillId="0" borderId="10" xfId="75" applyFont="1" applyFill="1" applyBorder="1" applyAlignment="1">
      <alignment horizontal="left" vertical="center" wrapText="1"/>
    </xf>
    <xf numFmtId="4" fontId="52" fillId="0" borderId="10" xfId="0" applyNumberFormat="1" applyFont="1" applyFill="1" applyBorder="1" applyAlignment="1">
      <alignment horizontal="right" vertical="center" wrapText="1"/>
    </xf>
    <xf numFmtId="4" fontId="47" fillId="0" borderId="10" xfId="0" applyNumberFormat="1" applyFont="1" applyBorder="1" applyAlignment="1">
      <alignment horizontal="right"/>
    </xf>
    <xf numFmtId="0" fontId="45" fillId="20" borderId="10" xfId="0" applyFont="1" applyFill="1" applyBorder="1" applyAlignment="1">
      <alignment horizontal="center"/>
    </xf>
    <xf numFmtId="0" fontId="51" fillId="20" borderId="10" xfId="75" applyFont="1" applyFill="1" applyBorder="1" applyAlignment="1">
      <alignment horizontal="left" vertical="center" wrapText="1"/>
    </xf>
    <xf numFmtId="4" fontId="51" fillId="20" borderId="10" xfId="0" applyNumberFormat="1" applyFont="1" applyFill="1" applyBorder="1" applyAlignment="1">
      <alignment horizontal="right" vertical="center" wrapText="1"/>
    </xf>
    <xf numFmtId="4" fontId="47" fillId="20" borderId="10" xfId="0" applyNumberFormat="1" applyFont="1" applyFill="1" applyBorder="1" applyAlignment="1">
      <alignment horizontal="right" vertical="center" wrapText="1"/>
    </xf>
    <xf numFmtId="0" fontId="52" fillId="0" borderId="0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center" wrapText="1"/>
    </xf>
    <xf numFmtId="0" fontId="52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45" fillId="0" borderId="0" xfId="0" applyFont="1" applyAlignment="1">
      <alignment wrapText="1"/>
    </xf>
    <xf numFmtId="3" fontId="21" fillId="0" borderId="0" xfId="0" applyNumberFormat="1" applyFont="1"/>
    <xf numFmtId="0" fontId="66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3" fillId="0" borderId="0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wrapText="1"/>
    </xf>
    <xf numFmtId="3" fontId="41" fillId="0" borderId="0" xfId="0" applyNumberFormat="1" applyFont="1" applyAlignment="1">
      <alignment horizontal="center" wrapText="1"/>
    </xf>
    <xf numFmtId="0" fontId="66" fillId="0" borderId="0" xfId="0" applyFont="1" applyFill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left"/>
    </xf>
    <xf numFmtId="3" fontId="21" fillId="0" borderId="10" xfId="0" applyNumberFormat="1" applyFont="1" applyBorder="1"/>
    <xf numFmtId="0" fontId="21" fillId="0" borderId="16" xfId="0" applyFont="1" applyFill="1" applyBorder="1" applyAlignment="1">
      <alignment horizontal="left" vertical="center" wrapText="1" indent="1"/>
    </xf>
    <xf numFmtId="3" fontId="21" fillId="0" borderId="10" xfId="0" applyNumberFormat="1" applyFont="1" applyBorder="1" applyAlignment="1">
      <alignment horizontal="right"/>
    </xf>
    <xf numFmtId="0" fontId="21" fillId="0" borderId="16" xfId="0" applyFont="1" applyFill="1" applyBorder="1" applyAlignment="1">
      <alignment vertical="center" wrapText="1"/>
    </xf>
    <xf numFmtId="0" fontId="23" fillId="20" borderId="10" xfId="0" applyFont="1" applyFill="1" applyBorder="1" applyAlignment="1">
      <alignment vertical="center" wrapText="1"/>
    </xf>
    <xf numFmtId="3" fontId="23" fillId="20" borderId="10" xfId="0" applyNumberFormat="1" applyFont="1" applyFill="1" applyBorder="1"/>
    <xf numFmtId="0" fontId="26" fillId="0" borderId="0" xfId="0" applyFont="1" applyAlignment="1">
      <alignment horizontal="left"/>
    </xf>
    <xf numFmtId="3" fontId="23" fillId="0" borderId="0" xfId="0" applyNumberFormat="1" applyFont="1"/>
    <xf numFmtId="0" fontId="0" fillId="0" borderId="0" xfId="0" applyAlignment="1"/>
    <xf numFmtId="0" fontId="26" fillId="0" borderId="0" xfId="0" applyFont="1" applyFill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41" fillId="0" borderId="10" xfId="78" applyFont="1" applyBorder="1" applyAlignment="1">
      <alignment horizontal="left" indent="3"/>
    </xf>
    <xf numFmtId="0" fontId="40" fillId="0" borderId="10" xfId="0" applyFont="1" applyFill="1" applyBorder="1" applyAlignment="1">
      <alignment horizontal="left" vertical="center" wrapText="1" indent="3"/>
    </xf>
    <xf numFmtId="3" fontId="21" fillId="0" borderId="10" xfId="0" applyNumberFormat="1" applyFont="1" applyFill="1" applyBorder="1"/>
    <xf numFmtId="0" fontId="41" fillId="0" borderId="10" xfId="0" applyFont="1" applyFill="1" applyBorder="1" applyAlignment="1">
      <alignment horizontal="left" vertical="center" wrapText="1" indent="3"/>
    </xf>
    <xf numFmtId="0" fontId="34" fillId="0" borderId="0" xfId="0" applyFont="1" applyFill="1"/>
    <xf numFmtId="0" fontId="33" fillId="20" borderId="10" xfId="0" applyFont="1" applyFill="1" applyBorder="1" applyAlignment="1">
      <alignment vertical="center" wrapText="1"/>
    </xf>
    <xf numFmtId="0" fontId="34" fillId="20" borderId="10" xfId="0" applyFont="1" applyFill="1" applyBorder="1" applyAlignment="1">
      <alignment horizontal="left" vertical="center" wrapText="1"/>
    </xf>
    <xf numFmtId="0" fontId="34" fillId="20" borderId="0" xfId="0" applyFont="1" applyFill="1"/>
    <xf numFmtId="0" fontId="34" fillId="0" borderId="0" xfId="0" applyFont="1"/>
    <xf numFmtId="0" fontId="33" fillId="0" borderId="10" xfId="0" applyFont="1" applyFill="1" applyBorder="1" applyAlignment="1">
      <alignment vertical="center"/>
    </xf>
    <xf numFmtId="0" fontId="34" fillId="0" borderId="10" xfId="0" applyFont="1" applyFill="1" applyBorder="1" applyAlignment="1">
      <alignment horizontal="left" vertical="center" wrapText="1"/>
    </xf>
    <xf numFmtId="0" fontId="33" fillId="20" borderId="10" xfId="0" applyFont="1" applyFill="1" applyBorder="1" applyAlignment="1">
      <alignment vertical="center"/>
    </xf>
    <xf numFmtId="0" fontId="33" fillId="20" borderId="10" xfId="0" applyFont="1" applyFill="1" applyBorder="1" applyAlignment="1">
      <alignment horizontal="left" vertical="center" wrapText="1"/>
    </xf>
    <xf numFmtId="0" fontId="41" fillId="0" borderId="10" xfId="78" applyFont="1" applyBorder="1" applyAlignment="1">
      <alignment horizontal="left" indent="4"/>
    </xf>
    <xf numFmtId="0" fontId="23" fillId="2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40" fillId="0" borderId="10" xfId="0" applyFont="1" applyFill="1" applyBorder="1" applyAlignment="1">
      <alignment horizontal="left" vertical="center" wrapText="1" indent="4"/>
    </xf>
    <xf numFmtId="0" fontId="41" fillId="0" borderId="10" xfId="0" applyFont="1" applyFill="1" applyBorder="1" applyAlignment="1">
      <alignment horizontal="left" vertical="center" wrapText="1" indent="4"/>
    </xf>
    <xf numFmtId="0" fontId="23" fillId="0" borderId="10" xfId="0" applyFont="1" applyFill="1" applyBorder="1" applyAlignment="1">
      <alignment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/>
    <xf numFmtId="0" fontId="52" fillId="0" borderId="10" xfId="78" applyFont="1" applyBorder="1"/>
    <xf numFmtId="0" fontId="33" fillId="20" borderId="10" xfId="0" applyFont="1" applyFill="1" applyBorder="1"/>
    <xf numFmtId="3" fontId="33" fillId="20" borderId="10" xfId="0" applyNumberFormat="1" applyFont="1" applyFill="1" applyBorder="1"/>
    <xf numFmtId="0" fontId="23" fillId="20" borderId="10" xfId="0" applyFont="1" applyFill="1" applyBorder="1"/>
    <xf numFmtId="0" fontId="21" fillId="20" borderId="10" xfId="0" applyFont="1" applyFill="1" applyBorder="1"/>
    <xf numFmtId="0" fontId="34" fillId="0" borderId="0" xfId="0" applyFont="1" applyAlignment="1">
      <alignment horizontal="center"/>
    </xf>
    <xf numFmtId="0" fontId="33" fillId="0" borderId="10" xfId="0" applyFont="1" applyFill="1" applyBorder="1" applyAlignment="1">
      <alignment horizontal="left" vertical="center" wrapText="1" indent="1"/>
    </xf>
    <xf numFmtId="0" fontId="27" fillId="0" borderId="10" xfId="0" applyFont="1" applyFill="1" applyBorder="1"/>
    <xf numFmtId="0" fontId="26" fillId="0" borderId="10" xfId="0" applyFont="1" applyFill="1" applyBorder="1"/>
    <xf numFmtId="0" fontId="26" fillId="0" borderId="10" xfId="0" applyFont="1" applyFill="1" applyBorder="1" applyAlignment="1">
      <alignment wrapText="1"/>
    </xf>
    <xf numFmtId="3" fontId="27" fillId="0" borderId="10" xfId="0" applyNumberFormat="1" applyFont="1" applyFill="1" applyBorder="1"/>
    <xf numFmtId="3" fontId="40" fillId="0" borderId="10" xfId="0" applyNumberFormat="1" applyFont="1" applyFill="1" applyBorder="1"/>
    <xf numFmtId="0" fontId="26" fillId="0" borderId="10" xfId="0" applyFont="1" applyFill="1" applyBorder="1" applyAlignment="1">
      <alignment horizontal="left"/>
    </xf>
    <xf numFmtId="0" fontId="27" fillId="0" borderId="0" xfId="0" applyFont="1" applyFill="1" applyBorder="1"/>
    <xf numFmtId="3" fontId="27" fillId="0" borderId="0" xfId="0" applyNumberFormat="1" applyFont="1" applyFill="1" applyBorder="1"/>
    <xf numFmtId="0" fontId="34" fillId="0" borderId="10" xfId="0" applyFont="1" applyFill="1" applyBorder="1" applyAlignment="1">
      <alignment horizontal="left" vertical="center" wrapText="1" indent="1"/>
    </xf>
    <xf numFmtId="3" fontId="27" fillId="0" borderId="10" xfId="0" applyNumberFormat="1" applyFont="1" applyFill="1" applyBorder="1" applyAlignment="1">
      <alignment horizontal="right" vertical="center" wrapText="1"/>
    </xf>
    <xf numFmtId="0" fontId="52" fillId="0" borderId="0" xfId="80" applyFont="1"/>
    <xf numFmtId="0" fontId="21" fillId="0" borderId="0" xfId="80" applyFont="1"/>
    <xf numFmtId="0" fontId="52" fillId="0" borderId="0" xfId="81" applyFont="1" applyBorder="1" applyAlignment="1">
      <alignment horizontal="right"/>
    </xf>
    <xf numFmtId="0" fontId="52" fillId="0" borderId="11" xfId="81" applyFont="1" applyBorder="1" applyAlignment="1">
      <alignment horizontal="center" wrapText="1"/>
    </xf>
    <xf numFmtId="0" fontId="52" fillId="0" borderId="20" xfId="81" applyFont="1" applyBorder="1" applyAlignment="1">
      <alignment horizontal="center" wrapText="1"/>
    </xf>
    <xf numFmtId="0" fontId="52" fillId="0" borderId="17" xfId="81" applyFont="1" applyBorder="1" applyAlignment="1">
      <alignment horizontal="center"/>
    </xf>
    <xf numFmtId="0" fontId="52" fillId="0" borderId="18" xfId="81" applyFont="1" applyBorder="1" applyAlignment="1">
      <alignment horizontal="center"/>
    </xf>
    <xf numFmtId="0" fontId="52" fillId="0" borderId="21" xfId="81" applyFont="1" applyBorder="1" applyAlignment="1">
      <alignment horizontal="center"/>
    </xf>
    <xf numFmtId="0" fontId="21" fillId="0" borderId="22" xfId="81" applyFont="1" applyBorder="1" applyAlignment="1">
      <alignment horizontal="center" vertical="center"/>
    </xf>
    <xf numFmtId="0" fontId="21" fillId="0" borderId="12" xfId="81" applyFont="1" applyBorder="1" applyAlignment="1">
      <alignment horizontal="center" vertical="center" wrapText="1"/>
    </xf>
    <xf numFmtId="0" fontId="21" fillId="0" borderId="12" xfId="81" applyFont="1" applyBorder="1" applyAlignment="1">
      <alignment horizontal="center" vertical="center"/>
    </xf>
    <xf numFmtId="3" fontId="21" fillId="0" borderId="23" xfId="81" applyNumberFormat="1" applyFont="1" applyBorder="1" applyAlignment="1">
      <alignment horizontal="right" vertical="center" indent="1"/>
    </xf>
    <xf numFmtId="0" fontId="52" fillId="0" borderId="0" xfId="80" applyFont="1" applyAlignment="1">
      <alignment horizontal="center" vertical="center"/>
    </xf>
    <xf numFmtId="0" fontId="21" fillId="0" borderId="24" xfId="81" applyFont="1" applyBorder="1" applyAlignment="1">
      <alignment horizontal="center" vertical="center"/>
    </xf>
    <xf numFmtId="0" fontId="21" fillId="0" borderId="10" xfId="81" applyFont="1" applyBorder="1" applyAlignment="1">
      <alignment horizontal="center" vertical="center" wrapText="1"/>
    </xf>
    <xf numFmtId="0" fontId="21" fillId="0" borderId="10" xfId="81" applyFont="1" applyBorder="1" applyAlignment="1">
      <alignment horizontal="center" vertical="center"/>
    </xf>
    <xf numFmtId="3" fontId="21" fillId="0" borderId="25" xfId="81" applyNumberFormat="1" applyFont="1" applyBorder="1" applyAlignment="1">
      <alignment horizontal="right" vertical="center" indent="1"/>
    </xf>
    <xf numFmtId="0" fontId="52" fillId="0" borderId="24" xfId="81" applyFont="1" applyBorder="1" applyAlignment="1">
      <alignment horizontal="center" vertical="center"/>
    </xf>
    <xf numFmtId="0" fontId="52" fillId="0" borderId="26" xfId="81" applyFont="1" applyBorder="1" applyAlignment="1">
      <alignment horizontal="center" vertical="center"/>
    </xf>
    <xf numFmtId="0" fontId="21" fillId="0" borderId="27" xfId="81" applyFont="1" applyBorder="1" applyAlignment="1">
      <alignment horizontal="center" vertical="center" wrapText="1"/>
    </xf>
    <xf numFmtId="0" fontId="21" fillId="0" borderId="27" xfId="81" applyFont="1" applyBorder="1" applyAlignment="1">
      <alignment horizontal="center" vertical="center"/>
    </xf>
    <xf numFmtId="3" fontId="21" fillId="0" borderId="28" xfId="81" applyNumberFormat="1" applyFont="1" applyBorder="1" applyAlignment="1">
      <alignment horizontal="right" vertical="center" indent="1"/>
    </xf>
    <xf numFmtId="3" fontId="67" fillId="20" borderId="21" xfId="81" applyNumberFormat="1" applyFont="1" applyFill="1" applyBorder="1" applyAlignment="1">
      <alignment horizontal="right" indent="1"/>
    </xf>
    <xf numFmtId="0" fontId="39" fillId="0" borderId="0" xfId="0" applyFont="1" applyAlignment="1">
      <alignment horizontal="right" wrapText="1"/>
    </xf>
    <xf numFmtId="0" fontId="26" fillId="0" borderId="10" xfId="0" applyFont="1" applyBorder="1" applyAlignment="1">
      <alignment horizontal="right" wrapText="1"/>
    </xf>
    <xf numFmtId="166" fontId="27" fillId="20" borderId="10" xfId="0" applyNumberFormat="1" applyFont="1" applyFill="1" applyBorder="1" applyAlignment="1">
      <alignment vertical="center"/>
    </xf>
    <xf numFmtId="0" fontId="36" fillId="20" borderId="10" xfId="0" applyFont="1" applyFill="1" applyBorder="1"/>
    <xf numFmtId="3" fontId="23" fillId="20" borderId="10" xfId="0" applyNumberFormat="1" applyFont="1" applyFill="1" applyBorder="1" applyAlignment="1">
      <alignment horizontal="right" vertical="center" wrapText="1"/>
    </xf>
    <xf numFmtId="0" fontId="23" fillId="20" borderId="10" xfId="0" applyFont="1" applyFill="1" applyBorder="1" applyAlignment="1">
      <alignment horizontal="left" vertical="center"/>
    </xf>
    <xf numFmtId="3" fontId="23" fillId="20" borderId="10" xfId="0" applyNumberFormat="1" applyFont="1" applyFill="1" applyBorder="1" applyAlignment="1">
      <alignment horizontal="right" vertical="center"/>
    </xf>
    <xf numFmtId="3" fontId="26" fillId="0" borderId="0" xfId="0" applyNumberFormat="1" applyFont="1" applyBorder="1" applyAlignment="1">
      <alignment horizontal="right"/>
    </xf>
    <xf numFmtId="0" fontId="34" fillId="20" borderId="10" xfId="0" applyFont="1" applyFill="1" applyBorder="1" applyAlignment="1">
      <alignment horizontal="left" indent="2"/>
    </xf>
    <xf numFmtId="3" fontId="0" fillId="0" borderId="0" xfId="0" applyNumberFormat="1"/>
    <xf numFmtId="0" fontId="0" fillId="0" borderId="0" xfId="0" applyFont="1" applyAlignment="1">
      <alignment wrapText="1"/>
    </xf>
    <xf numFmtId="3" fontId="0" fillId="0" borderId="0" xfId="0" applyNumberFormat="1" applyFont="1" applyAlignment="1">
      <alignment wrapText="1"/>
    </xf>
    <xf numFmtId="0" fontId="68" fillId="0" borderId="0" xfId="0" applyFont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69" fillId="0" borderId="0" xfId="0" applyFont="1"/>
    <xf numFmtId="3" fontId="70" fillId="0" borderId="10" xfId="0" applyNumberFormat="1" applyFont="1" applyBorder="1" applyAlignment="1">
      <alignment horizontal="center" vertical="center"/>
    </xf>
    <xf numFmtId="168" fontId="70" fillId="0" borderId="10" xfId="0" applyNumberFormat="1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7" fillId="0" borderId="10" xfId="0" applyNumberFormat="1" applyFont="1" applyFill="1" applyBorder="1" applyAlignment="1">
      <alignment vertical="center"/>
    </xf>
    <xf numFmtId="3" fontId="71" fillId="0" borderId="10" xfId="0" applyNumberFormat="1" applyFont="1" applyBorder="1"/>
    <xf numFmtId="3" fontId="69" fillId="0" borderId="0" xfId="0" applyNumberFormat="1" applyFont="1"/>
    <xf numFmtId="3" fontId="27" fillId="20" borderId="10" xfId="0" applyNumberFormat="1" applyFont="1" applyFill="1" applyBorder="1" applyAlignment="1">
      <alignment vertical="center"/>
    </xf>
    <xf numFmtId="3" fontId="69" fillId="20" borderId="0" xfId="0" applyNumberFormat="1" applyFont="1" applyFill="1"/>
    <xf numFmtId="0" fontId="69" fillId="20" borderId="0" xfId="0" applyFont="1" applyFill="1"/>
    <xf numFmtId="0" fontId="0" fillId="20" borderId="0" xfId="0" applyFill="1"/>
    <xf numFmtId="3" fontId="69" fillId="0" borderId="0" xfId="0" applyNumberFormat="1" applyFont="1" applyFill="1"/>
    <xf numFmtId="0" fontId="69" fillId="0" borderId="0" xfId="0" applyFont="1" applyFill="1"/>
    <xf numFmtId="0" fontId="0" fillId="0" borderId="0" xfId="0" applyFill="1"/>
    <xf numFmtId="0" fontId="0" fillId="0" borderId="0" xfId="0" applyFont="1" applyFill="1"/>
    <xf numFmtId="0" fontId="0" fillId="0" borderId="0" xfId="0" applyFont="1"/>
    <xf numFmtId="0" fontId="69" fillId="0" borderId="10" xfId="0" applyFont="1" applyBorder="1"/>
    <xf numFmtId="3" fontId="69" fillId="0" borderId="10" xfId="0" applyNumberFormat="1" applyFont="1" applyBorder="1"/>
    <xf numFmtId="0" fontId="27" fillId="11" borderId="0" xfId="0" applyFont="1" applyFill="1" applyBorder="1"/>
    <xf numFmtId="3" fontId="27" fillId="11" borderId="0" xfId="0" applyNumberFormat="1" applyFont="1" applyFill="1" applyBorder="1"/>
    <xf numFmtId="3" fontId="27" fillId="20" borderId="0" xfId="0" applyNumberFormat="1" applyFont="1" applyFill="1" applyBorder="1"/>
    <xf numFmtId="0" fontId="21" fillId="0" borderId="0" xfId="0" applyFont="1"/>
    <xf numFmtId="0" fontId="21" fillId="0" borderId="0" xfId="0" applyFont="1" applyFill="1"/>
    <xf numFmtId="0" fontId="21" fillId="0" borderId="0" xfId="0" applyFont="1" applyAlignment="1">
      <alignment horizontal="center" wrapText="1"/>
    </xf>
    <xf numFmtId="0" fontId="72" fillId="0" borderId="0" xfId="0" applyFont="1"/>
    <xf numFmtId="0" fontId="27" fillId="0" borderId="0" xfId="0" applyFont="1" applyAlignment="1">
      <alignment horizontal="justify" wrapText="1"/>
    </xf>
    <xf numFmtId="168" fontId="70" fillId="0" borderId="10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justify" wrapText="1"/>
    </xf>
    <xf numFmtId="0" fontId="26" fillId="0" borderId="0" xfId="0" applyFont="1" applyAlignment="1">
      <alignment horizontal="justify" wrapText="1"/>
    </xf>
    <xf numFmtId="3" fontId="23" fillId="0" borderId="10" xfId="0" applyNumberFormat="1" applyFont="1" applyFill="1" applyBorder="1" applyAlignment="1">
      <alignment vertical="center"/>
    </xf>
    <xf numFmtId="3" fontId="26" fillId="0" borderId="10" xfId="0" applyNumberFormat="1" applyFont="1" applyFill="1" applyBorder="1" applyAlignment="1">
      <alignment vertical="center"/>
    </xf>
    <xf numFmtId="3" fontId="72" fillId="0" borderId="0" xfId="0" applyNumberFormat="1" applyFont="1"/>
    <xf numFmtId="0" fontId="48" fillId="0" borderId="0" xfId="0" applyFont="1" applyAlignment="1">
      <alignment horizontal="right"/>
    </xf>
    <xf numFmtId="0" fontId="48" fillId="0" borderId="0" xfId="0" applyFont="1" applyAlignment="1">
      <alignment wrapText="1"/>
    </xf>
    <xf numFmtId="0" fontId="48" fillId="0" borderId="0" xfId="0" applyFont="1" applyAlignment="1">
      <alignment horizontal="center" wrapText="1"/>
    </xf>
    <xf numFmtId="0" fontId="46" fillId="0" borderId="10" xfId="0" applyFont="1" applyBorder="1" applyAlignment="1">
      <alignment horizontal="center" wrapText="1"/>
    </xf>
    <xf numFmtId="0" fontId="48" fillId="0" borderId="10" xfId="0" applyFont="1" applyFill="1" applyBorder="1" applyAlignment="1">
      <alignment horizontal="center" wrapText="1"/>
    </xf>
    <xf numFmtId="3" fontId="46" fillId="0" borderId="10" xfId="0" applyNumberFormat="1" applyFont="1" applyBorder="1"/>
    <xf numFmtId="3" fontId="48" fillId="0" borderId="10" xfId="0" applyNumberFormat="1" applyFont="1" applyBorder="1"/>
    <xf numFmtId="3" fontId="48" fillId="24" borderId="10" xfId="0" applyNumberFormat="1" applyFont="1" applyFill="1" applyBorder="1"/>
    <xf numFmtId="3" fontId="48" fillId="10" borderId="10" xfId="0" applyNumberFormat="1" applyFont="1" applyFill="1" applyBorder="1"/>
    <xf numFmtId="3" fontId="74" fillId="0" borderId="10" xfId="0" applyNumberFormat="1" applyFont="1" applyFill="1" applyBorder="1" applyAlignment="1">
      <alignment horizontal="right" vertical="center" wrapText="1"/>
    </xf>
    <xf numFmtId="3" fontId="74" fillId="0" borderId="10" xfId="0" applyNumberFormat="1" applyFont="1" applyFill="1" applyBorder="1" applyAlignment="1">
      <alignment horizontal="right" vertical="center"/>
    </xf>
    <xf numFmtId="3" fontId="74" fillId="10" borderId="10" xfId="0" applyNumberFormat="1" applyFont="1" applyFill="1" applyBorder="1" applyAlignment="1">
      <alignment horizontal="right" vertical="center"/>
    </xf>
    <xf numFmtId="3" fontId="48" fillId="11" borderId="10" xfId="0" applyNumberFormat="1" applyFont="1" applyFill="1" applyBorder="1"/>
    <xf numFmtId="3" fontId="46" fillId="0" borderId="0" xfId="0" applyNumberFormat="1" applyFont="1" applyBorder="1"/>
    <xf numFmtId="3" fontId="48" fillId="0" borderId="0" xfId="0" applyNumberFormat="1" applyFont="1" applyBorder="1"/>
    <xf numFmtId="3" fontId="46" fillId="0" borderId="10" xfId="0" applyNumberFormat="1" applyFont="1" applyBorder="1" applyAlignment="1">
      <alignment horizontal="center" wrapText="1"/>
    </xf>
    <xf numFmtId="3" fontId="48" fillId="0" borderId="10" xfId="0" applyNumberFormat="1" applyFont="1" applyFill="1" applyBorder="1" applyAlignment="1">
      <alignment horizontal="center" wrapText="1"/>
    </xf>
    <xf numFmtId="3" fontId="75" fillId="5" borderId="10" xfId="0" applyNumberFormat="1" applyFont="1" applyFill="1" applyBorder="1"/>
    <xf numFmtId="3" fontId="46" fillId="0" borderId="0" xfId="0" applyNumberFormat="1" applyFont="1"/>
    <xf numFmtId="3" fontId="48" fillId="0" borderId="0" xfId="0" applyNumberFormat="1" applyFont="1"/>
    <xf numFmtId="0" fontId="20" fillId="0" borderId="0" xfId="0" applyFont="1"/>
    <xf numFmtId="0" fontId="76" fillId="27" borderId="29" xfId="0" applyFont="1" applyFill="1" applyBorder="1" applyAlignment="1">
      <alignment horizontal="left" vertical="top" wrapText="1"/>
    </xf>
    <xf numFmtId="0" fontId="76" fillId="27" borderId="30" xfId="0" applyFont="1" applyFill="1" applyBorder="1" applyAlignment="1">
      <alignment horizontal="left" vertical="top" wrapText="1"/>
    </xf>
    <xf numFmtId="0" fontId="76" fillId="27" borderId="31" xfId="0" applyFont="1" applyFill="1" applyBorder="1" applyAlignment="1">
      <alignment horizontal="center" vertical="top" wrapText="1"/>
    </xf>
    <xf numFmtId="0" fontId="76" fillId="27" borderId="32" xfId="0" applyFont="1" applyFill="1" applyBorder="1" applyAlignment="1">
      <alignment horizontal="center" vertical="top" wrapText="1"/>
    </xf>
    <xf numFmtId="4" fontId="52" fillId="0" borderId="15" xfId="0" applyNumberFormat="1" applyFont="1" applyFill="1" applyBorder="1" applyAlignment="1">
      <alignment horizontal="right" vertical="center" wrapText="1"/>
    </xf>
    <xf numFmtId="0" fontId="45" fillId="20" borderId="27" xfId="0" applyFont="1" applyFill="1" applyBorder="1" applyAlignment="1">
      <alignment horizontal="center"/>
    </xf>
    <xf numFmtId="0" fontId="51" fillId="20" borderId="27" xfId="75" applyFont="1" applyFill="1" applyBorder="1" applyAlignment="1">
      <alignment horizontal="left" vertical="center" wrapText="1"/>
    </xf>
    <xf numFmtId="4" fontId="51" fillId="20" borderId="27" xfId="0" applyNumberFormat="1" applyFont="1" applyFill="1" applyBorder="1" applyAlignment="1">
      <alignment horizontal="right" vertical="center" wrapText="1"/>
    </xf>
    <xf numFmtId="0" fontId="45" fillId="0" borderId="12" xfId="0" applyFont="1" applyBorder="1" applyAlignment="1">
      <alignment horizontal="center"/>
    </xf>
    <xf numFmtId="0" fontId="52" fillId="0" borderId="12" xfId="75" applyFont="1" applyFill="1" applyBorder="1" applyAlignment="1">
      <alignment horizontal="left" vertical="center" wrapText="1"/>
    </xf>
    <xf numFmtId="4" fontId="52" fillId="0" borderId="12" xfId="0" applyNumberFormat="1" applyFont="1" applyFill="1" applyBorder="1" applyAlignment="1">
      <alignment horizontal="right" vertical="center" wrapText="1"/>
    </xf>
    <xf numFmtId="0" fontId="45" fillId="0" borderId="33" xfId="0" applyFont="1" applyBorder="1" applyAlignment="1">
      <alignment horizontal="center"/>
    </xf>
    <xf numFmtId="0" fontId="76" fillId="28" borderId="33" xfId="0" applyFont="1" applyFill="1" applyBorder="1" applyAlignment="1">
      <alignment horizontal="left" vertical="top" wrapText="1"/>
    </xf>
    <xf numFmtId="4" fontId="52" fillId="0" borderId="33" xfId="0" applyNumberFormat="1" applyFont="1" applyFill="1" applyBorder="1" applyAlignment="1">
      <alignment horizontal="right" vertical="center" wrapText="1"/>
    </xf>
    <xf numFmtId="3" fontId="60" fillId="0" borderId="10" xfId="0" applyNumberFormat="1" applyFont="1" applyBorder="1"/>
    <xf numFmtId="0" fontId="26" fillId="0" borderId="15" xfId="0" applyFont="1" applyFill="1" applyBorder="1" applyAlignment="1">
      <alignment horizontal="left" vertical="center"/>
    </xf>
    <xf numFmtId="0" fontId="40" fillId="0" borderId="12" xfId="0" applyFont="1" applyFill="1" applyBorder="1" applyAlignment="1">
      <alignment horizontal="left" vertical="center" wrapText="1" indent="1"/>
    </xf>
    <xf numFmtId="0" fontId="40" fillId="0" borderId="27" xfId="0" applyFont="1" applyFill="1" applyBorder="1" applyAlignment="1">
      <alignment horizontal="left" vertical="center" wrapText="1" indent="1"/>
    </xf>
    <xf numFmtId="0" fontId="41" fillId="0" borderId="33" xfId="0" applyFont="1" applyFill="1" applyBorder="1" applyAlignment="1">
      <alignment horizontal="left" vertical="center" wrapText="1" indent="1"/>
    </xf>
    <xf numFmtId="3" fontId="26" fillId="0" borderId="0" xfId="0" applyNumberFormat="1" applyFont="1" applyAlignment="1">
      <alignment horizontal="left"/>
    </xf>
    <xf numFmtId="0" fontId="21" fillId="0" borderId="10" xfId="0" applyFont="1" applyFill="1" applyBorder="1" applyAlignment="1">
      <alignment horizontal="center"/>
    </xf>
    <xf numFmtId="3" fontId="26" fillId="0" borderId="34" xfId="0" applyNumberFormat="1" applyFont="1" applyBorder="1"/>
    <xf numFmtId="3" fontId="27" fillId="20" borderId="34" xfId="0" applyNumberFormat="1" applyFont="1" applyFill="1" applyBorder="1"/>
    <xf numFmtId="0" fontId="27" fillId="20" borderId="27" xfId="0" applyFont="1" applyFill="1" applyBorder="1" applyAlignment="1">
      <alignment horizontal="left" vertical="center" wrapText="1"/>
    </xf>
    <xf numFmtId="0" fontId="27" fillId="20" borderId="27" xfId="0" applyFont="1" applyFill="1" applyBorder="1" applyAlignment="1">
      <alignment horizontal="left" vertical="center"/>
    </xf>
    <xf numFmtId="3" fontId="27" fillId="20" borderId="27" xfId="0" applyNumberFormat="1" applyFont="1" applyFill="1" applyBorder="1"/>
    <xf numFmtId="0" fontId="27" fillId="0" borderId="12" xfId="0" applyFont="1" applyBorder="1"/>
    <xf numFmtId="0" fontId="27" fillId="0" borderId="12" xfId="0" applyFont="1" applyFill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center" wrapText="1"/>
    </xf>
    <xf numFmtId="0" fontId="40" fillId="0" borderId="33" xfId="0" applyFont="1" applyFill="1" applyBorder="1" applyAlignment="1">
      <alignment horizontal="left" vertical="center" wrapText="1"/>
    </xf>
    <xf numFmtId="3" fontId="26" fillId="0" borderId="33" xfId="0" applyNumberFormat="1" applyFont="1" applyBorder="1"/>
    <xf numFmtId="3" fontId="27" fillId="0" borderId="33" xfId="0" applyNumberFormat="1" applyFont="1" applyBorder="1"/>
    <xf numFmtId="0" fontId="27" fillId="20" borderId="33" xfId="0" applyFont="1" applyFill="1" applyBorder="1" applyAlignment="1">
      <alignment horizontal="left" vertical="center" wrapText="1"/>
    </xf>
    <xf numFmtId="3" fontId="27" fillId="20" borderId="33" xfId="0" applyNumberFormat="1" applyFont="1" applyFill="1" applyBorder="1"/>
    <xf numFmtId="0" fontId="22" fillId="0" borderId="0" xfId="0" applyFont="1" applyBorder="1" applyAlignment="1">
      <alignment horizontal="center" wrapText="1"/>
    </xf>
    <xf numFmtId="165" fontId="23" fillId="0" borderId="0" xfId="82" applyNumberFormat="1" applyFont="1" applyFill="1" applyBorder="1" applyAlignment="1" applyProtection="1">
      <alignment horizontal="center" vertical="center"/>
    </xf>
    <xf numFmtId="3" fontId="27" fillId="0" borderId="10" xfId="0" applyNumberFormat="1" applyFont="1" applyBorder="1" applyAlignment="1">
      <alignment horizontal="center"/>
    </xf>
    <xf numFmtId="3" fontId="48" fillId="0" borderId="10" xfId="0" applyNumberFormat="1" applyFont="1" applyBorder="1" applyAlignment="1">
      <alignment horizontal="center"/>
    </xf>
    <xf numFmtId="0" fontId="34" fillId="0" borderId="0" xfId="0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3" fontId="27" fillId="0" borderId="10" xfId="0" applyNumberFormat="1" applyFont="1" applyBorder="1" applyAlignment="1">
      <alignment horizontal="center" wrapText="1"/>
    </xf>
    <xf numFmtId="0" fontId="45" fillId="0" borderId="14" xfId="0" applyFont="1" applyBorder="1" applyAlignment="1">
      <alignment horizontal="center"/>
    </xf>
    <xf numFmtId="0" fontId="45" fillId="0" borderId="15" xfId="0" applyFont="1" applyBorder="1" applyAlignment="1">
      <alignment horizontal="center"/>
    </xf>
    <xf numFmtId="0" fontId="45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63" fillId="0" borderId="10" xfId="75" applyFont="1" applyFill="1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left" vertical="center" wrapText="1"/>
    </xf>
    <xf numFmtId="0" fontId="34" fillId="0" borderId="0" xfId="0" applyFont="1" applyBorder="1" applyAlignment="1">
      <alignment horizontal="left" wrapText="1"/>
    </xf>
    <xf numFmtId="3" fontId="27" fillId="0" borderId="10" xfId="0" applyNumberFormat="1" applyFont="1" applyBorder="1" applyAlignment="1">
      <alignment horizontal="center" vertical="center"/>
    </xf>
    <xf numFmtId="0" fontId="23" fillId="0" borderId="0" xfId="80" applyFont="1" applyBorder="1" applyAlignment="1">
      <alignment horizontal="center"/>
    </xf>
    <xf numFmtId="0" fontId="52" fillId="0" borderId="17" xfId="81" applyFont="1" applyBorder="1" applyAlignment="1">
      <alignment horizontal="center" vertical="center" wrapText="1"/>
    </xf>
    <xf numFmtId="0" fontId="52" fillId="0" borderId="18" xfId="81" applyFont="1" applyBorder="1" applyAlignment="1">
      <alignment horizontal="center" vertical="center"/>
    </xf>
    <xf numFmtId="0" fontId="52" fillId="0" borderId="19" xfId="81" applyFont="1" applyBorder="1" applyAlignment="1">
      <alignment horizontal="center"/>
    </xf>
    <xf numFmtId="0" fontId="67" fillId="20" borderId="17" xfId="81" applyFont="1" applyFill="1" applyBorder="1" applyAlignment="1">
      <alignment horizontal="center"/>
    </xf>
    <xf numFmtId="0" fontId="30" fillId="0" borderId="0" xfId="0" applyFont="1" applyBorder="1" applyAlignment="1">
      <alignment horizontal="center" wrapText="1"/>
    </xf>
  </cellXfs>
  <cellStyles count="9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Ezres 2" xfId="54"/>
    <cellStyle name="Figyelmeztetés" xfId="55" builtinId="11" customBuiltin="1"/>
    <cellStyle name="Good" xfId="56"/>
    <cellStyle name="Heading 1" xfId="57"/>
    <cellStyle name="Heading 2" xfId="58"/>
    <cellStyle name="Heading 3" xfId="59"/>
    <cellStyle name="Heading 4" xfId="60"/>
    <cellStyle name="Hivatkozott cella" xfId="61" builtinId="24" customBuiltin="1"/>
    <cellStyle name="Input" xfId="62"/>
    <cellStyle name="Jegyzet" xfId="63" builtinId="10" customBuiltin="1"/>
    <cellStyle name="Jelölőszín (1)" xfId="64"/>
    <cellStyle name="Jelölőszín (2)" xfId="65"/>
    <cellStyle name="Jelölőszín (3)" xfId="66"/>
    <cellStyle name="Jelölőszín (4)" xfId="67"/>
    <cellStyle name="Jelölőszín (5)" xfId="68"/>
    <cellStyle name="Jelölőszín (6)" xfId="69"/>
    <cellStyle name="Jó" xfId="70" builtinId="26" customBuiltin="1"/>
    <cellStyle name="Kimenet" xfId="71" builtinId="21" customBuiltin="1"/>
    <cellStyle name="Linked Cell" xfId="72"/>
    <cellStyle name="Magyarázó szöveg" xfId="73" builtinId="53" customBuiltin="1"/>
    <cellStyle name="Neutral" xfId="74"/>
    <cellStyle name="Normál" xfId="0" builtinId="0"/>
    <cellStyle name="Normál 2" xfId="76"/>
    <cellStyle name="Normál 3" xfId="77"/>
    <cellStyle name="Normál_2010. ktgvetés JÓ LESZ ÚJ" xfId="78"/>
    <cellStyle name="Normál_2013 évi ktgvetés IV név mód 2013 12 05" xfId="79"/>
    <cellStyle name="Normál_2013 évi ktgvetés melléklete 2013 12 21 egységes" xfId="80"/>
    <cellStyle name="Normál_kovetetttam2009" xfId="81"/>
    <cellStyle name="Normal_KTRSZJ" xfId="75"/>
    <cellStyle name="Normál_KVRENMUNKA" xfId="82"/>
    <cellStyle name="Note" xfId="83"/>
    <cellStyle name="Output" xfId="84"/>
    <cellStyle name="Összesen" xfId="91" builtinId="25" customBuiltin="1"/>
    <cellStyle name="Rossz" xfId="85" builtinId="27" customBuiltin="1"/>
    <cellStyle name="Semleges" xfId="86" builtinId="28" customBuiltin="1"/>
    <cellStyle name="Számítás" xfId="87" builtinId="22" customBuiltin="1"/>
    <cellStyle name="Title" xfId="88"/>
    <cellStyle name="Total" xfId="89"/>
    <cellStyle name="Warning Text" xfId="9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9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22222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view="pageBreakPreview" zoomScale="80" zoomScaleNormal="62" zoomScaleSheetLayoutView="80" workbookViewId="0">
      <selection activeCell="B34" sqref="B33:B34"/>
    </sheetView>
  </sheetViews>
  <sheetFormatPr defaultRowHeight="15.75" x14ac:dyDescent="0.25"/>
  <cols>
    <col min="1" max="1" width="7.28515625" style="1" customWidth="1"/>
    <col min="2" max="2" width="81" style="1" customWidth="1"/>
    <col min="3" max="3" width="19.42578125" style="2" customWidth="1"/>
    <col min="4" max="16384" width="9.140625" style="1"/>
  </cols>
  <sheetData>
    <row r="1" spans="1:3" x14ac:dyDescent="0.25">
      <c r="B1" s="3"/>
    </row>
    <row r="2" spans="1:3" x14ac:dyDescent="0.25">
      <c r="C2" s="1"/>
    </row>
    <row r="3" spans="1:3" ht="18.75" customHeight="1" x14ac:dyDescent="0.3">
      <c r="A3" s="464" t="s">
        <v>0</v>
      </c>
      <c r="B3" s="464"/>
      <c r="C3" s="3"/>
    </row>
    <row r="4" spans="1:3" x14ac:dyDescent="0.25">
      <c r="C4" s="3"/>
    </row>
    <row r="5" spans="1:3" ht="12.75" customHeight="1" x14ac:dyDescent="0.25"/>
    <row r="6" spans="1:3" ht="12.75" customHeight="1" x14ac:dyDescent="0.25">
      <c r="A6" s="5"/>
      <c r="B6" s="5"/>
    </row>
    <row r="7" spans="1:3" x14ac:dyDescent="0.25">
      <c r="A7" s="465" t="s">
        <v>1</v>
      </c>
      <c r="B7" s="465"/>
    </row>
    <row r="9" spans="1:3" x14ac:dyDescent="0.25">
      <c r="A9" s="6"/>
    </row>
    <row r="11" spans="1:3" x14ac:dyDescent="0.25">
      <c r="B11" s="1" t="s">
        <v>2</v>
      </c>
    </row>
    <row r="12" spans="1:3" x14ac:dyDescent="0.25">
      <c r="B12" s="1" t="s">
        <v>3</v>
      </c>
    </row>
    <row r="13" spans="1:3" x14ac:dyDescent="0.25">
      <c r="B13" s="1" t="s">
        <v>4</v>
      </c>
    </row>
    <row r="14" spans="1:3" x14ac:dyDescent="0.25">
      <c r="B14" s="1" t="s">
        <v>5</v>
      </c>
    </row>
    <row r="15" spans="1:3" x14ac:dyDescent="0.25">
      <c r="B15" s="1" t="s">
        <v>6</v>
      </c>
    </row>
    <row r="16" spans="1:3" x14ac:dyDescent="0.25">
      <c r="B16" s="1" t="s">
        <v>7</v>
      </c>
    </row>
    <row r="17" spans="1:2" x14ac:dyDescent="0.25">
      <c r="B17" s="1" t="s">
        <v>8</v>
      </c>
    </row>
    <row r="18" spans="1:2" x14ac:dyDescent="0.25">
      <c r="B18" s="7"/>
    </row>
    <row r="19" spans="1:2" x14ac:dyDescent="0.25">
      <c r="B19" s="7"/>
    </row>
    <row r="20" spans="1:2" x14ac:dyDescent="0.25">
      <c r="A20" s="6"/>
    </row>
    <row r="27" spans="1:2" x14ac:dyDescent="0.25">
      <c r="B27" s="8"/>
    </row>
    <row r="28" spans="1:2" x14ac:dyDescent="0.25">
      <c r="B28" s="9"/>
    </row>
    <row r="29" spans="1:2" x14ac:dyDescent="0.25">
      <c r="B29" s="9"/>
    </row>
    <row r="30" spans="1:2" x14ac:dyDescent="0.25">
      <c r="B30" s="9"/>
    </row>
    <row r="31" spans="1:2" x14ac:dyDescent="0.25">
      <c r="B31" s="9"/>
    </row>
    <row r="32" spans="1:2" x14ac:dyDescent="0.25">
      <c r="B32" s="9"/>
    </row>
    <row r="33" spans="2:2" x14ac:dyDescent="0.25">
      <c r="B33" s="9"/>
    </row>
    <row r="34" spans="2:2" x14ac:dyDescent="0.25">
      <c r="B34" s="9"/>
    </row>
    <row r="35" spans="2:2" x14ac:dyDescent="0.25">
      <c r="B35" s="2"/>
    </row>
    <row r="36" spans="2:2" x14ac:dyDescent="0.25">
      <c r="B36" s="9"/>
    </row>
    <row r="37" spans="2:2" x14ac:dyDescent="0.25">
      <c r="B37" s="9"/>
    </row>
    <row r="38" spans="2:2" x14ac:dyDescent="0.25">
      <c r="B38" s="9"/>
    </row>
    <row r="39" spans="2:2" x14ac:dyDescent="0.25">
      <c r="B39" s="9"/>
    </row>
    <row r="40" spans="2:2" x14ac:dyDescent="0.25">
      <c r="B40" s="9"/>
    </row>
    <row r="41" spans="2:2" x14ac:dyDescent="0.25">
      <c r="B41" s="9"/>
    </row>
    <row r="42" spans="2:2" x14ac:dyDescent="0.25">
      <c r="B42" s="9"/>
    </row>
    <row r="43" spans="2:2" x14ac:dyDescent="0.25">
      <c r="B43" s="9"/>
    </row>
    <row r="44" spans="2:2" x14ac:dyDescent="0.25">
      <c r="B44" s="9"/>
    </row>
    <row r="45" spans="2:2" x14ac:dyDescent="0.25">
      <c r="B45" s="9"/>
    </row>
    <row r="46" spans="2:2" x14ac:dyDescent="0.25">
      <c r="B46" s="9"/>
    </row>
    <row r="47" spans="2:2" x14ac:dyDescent="0.25">
      <c r="B47" s="9"/>
    </row>
    <row r="48" spans="2:2" x14ac:dyDescent="0.25">
      <c r="B48" s="9"/>
    </row>
    <row r="49" spans="2:4" x14ac:dyDescent="0.25">
      <c r="B49" s="10"/>
    </row>
    <row r="50" spans="2:4" x14ac:dyDescent="0.25">
      <c r="B50" s="10"/>
    </row>
    <row r="51" spans="2:4" x14ac:dyDescent="0.25">
      <c r="B51" s="8"/>
    </row>
    <row r="52" spans="2:4" x14ac:dyDescent="0.25">
      <c r="B52" s="10"/>
      <c r="D52" s="11"/>
    </row>
    <row r="53" spans="2:4" x14ac:dyDescent="0.25">
      <c r="D53" s="11"/>
    </row>
    <row r="54" spans="2:4" x14ac:dyDescent="0.25">
      <c r="B54" s="10"/>
      <c r="D54" s="11"/>
    </row>
    <row r="55" spans="2:4" x14ac:dyDescent="0.25">
      <c r="B55" s="10"/>
      <c r="D55" s="11"/>
    </row>
    <row r="56" spans="2:4" x14ac:dyDescent="0.25">
      <c r="D56" s="10"/>
    </row>
    <row r="57" spans="2:4" x14ac:dyDescent="0.25">
      <c r="B57" s="10"/>
      <c r="D57" s="10"/>
    </row>
    <row r="58" spans="2:4" x14ac:dyDescent="0.25">
      <c r="B58" s="10"/>
      <c r="D58" s="10"/>
    </row>
    <row r="59" spans="2:4" x14ac:dyDescent="0.25">
      <c r="B59" s="8"/>
    </row>
    <row r="60" spans="2:4" x14ac:dyDescent="0.25">
      <c r="B60" s="10"/>
    </row>
    <row r="61" spans="2:4" x14ac:dyDescent="0.25">
      <c r="B61" s="10"/>
    </row>
    <row r="62" spans="2:4" x14ac:dyDescent="0.25">
      <c r="B62" s="10"/>
    </row>
    <row r="63" spans="2:4" x14ac:dyDescent="0.25">
      <c r="B63" s="10"/>
    </row>
    <row r="64" spans="2:4" x14ac:dyDescent="0.25">
      <c r="B64" s="10"/>
    </row>
    <row r="65" spans="2:2" x14ac:dyDescent="0.25">
      <c r="B65" s="8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8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8"/>
    </row>
    <row r="80" spans="2:2" x14ac:dyDescent="0.25">
      <c r="B80" s="10"/>
    </row>
    <row r="81" spans="2:3" x14ac:dyDescent="0.25">
      <c r="B81" s="10"/>
    </row>
    <row r="82" spans="2:3" x14ac:dyDescent="0.25">
      <c r="B82" s="10"/>
    </row>
    <row r="83" spans="2:3" x14ac:dyDescent="0.25">
      <c r="B83" s="10"/>
    </row>
    <row r="84" spans="2:3" x14ac:dyDescent="0.25">
      <c r="B84" s="8"/>
    </row>
    <row r="85" spans="2:3" x14ac:dyDescent="0.25">
      <c r="B85" s="10"/>
    </row>
    <row r="86" spans="2:3" x14ac:dyDescent="0.25">
      <c r="B86" s="10"/>
    </row>
    <row r="87" spans="2:3" x14ac:dyDescent="0.25">
      <c r="B87" s="10"/>
    </row>
    <row r="88" spans="2:3" x14ac:dyDescent="0.25">
      <c r="B88" s="8"/>
    </row>
    <row r="89" spans="2:3" x14ac:dyDescent="0.25">
      <c r="B89" s="10"/>
    </row>
    <row r="90" spans="2:3" x14ac:dyDescent="0.25">
      <c r="B90" s="10"/>
      <c r="C90" s="12"/>
    </row>
    <row r="91" spans="2:3" x14ac:dyDescent="0.25">
      <c r="C91" s="12"/>
    </row>
  </sheetData>
  <sheetProtection selectLockedCells="1" selectUnlockedCells="1"/>
  <mergeCells count="2">
    <mergeCell ref="A3:B3"/>
    <mergeCell ref="A7:B7"/>
  </mergeCells>
  <printOptions horizontalCentered="1"/>
  <pageMargins left="0.78749999999999998" right="0.78749999999999998" top="0.98402777777777772" bottom="0.82708333333333328" header="0.51180555555555551" footer="0.51180555555555551"/>
  <pageSetup paperSize="9" scale="94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F2" sqref="F2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10.140625" style="30" customWidth="1"/>
    <col min="4" max="4" width="15.7109375" style="30" customWidth="1"/>
    <col min="5" max="5" width="14.28515625" style="30" customWidth="1"/>
    <col min="6" max="6" width="14.28515625" style="31" customWidth="1"/>
    <col min="7" max="8" width="0" style="30" hidden="1" customWidth="1"/>
    <col min="9" max="9" width="0" style="31" hidden="1" customWidth="1"/>
    <col min="10" max="252" width="9.140625" style="30" customWidth="1"/>
  </cols>
  <sheetData>
    <row r="1" spans="2:9" s="13" customFormat="1" ht="18.75" x14ac:dyDescent="0.25">
      <c r="F1" s="15" t="s">
        <v>651</v>
      </c>
      <c r="I1" s="15" t="s">
        <v>652</v>
      </c>
    </row>
    <row r="2" spans="2:9" s="13" customFormat="1" ht="20.25" x14ac:dyDescent="0.3">
      <c r="B2" s="250" t="s">
        <v>653</v>
      </c>
      <c r="F2" s="16" t="s">
        <v>937</v>
      </c>
      <c r="I2" s="16" t="s">
        <v>11</v>
      </c>
    </row>
    <row r="3" spans="2:9" s="13" customFormat="1" x14ac:dyDescent="0.25">
      <c r="B3" s="44" t="s">
        <v>880</v>
      </c>
      <c r="C3" s="37"/>
      <c r="D3" s="37"/>
      <c r="E3" s="37"/>
      <c r="F3" s="38"/>
      <c r="G3" s="37"/>
      <c r="H3" s="37"/>
      <c r="I3" s="38"/>
    </row>
    <row r="4" spans="2:9" s="13" customFormat="1" x14ac:dyDescent="0.25">
      <c r="B4" s="42" t="s">
        <v>874</v>
      </c>
      <c r="C4" s="43"/>
      <c r="D4" s="43"/>
      <c r="E4" s="43"/>
      <c r="F4" s="44"/>
      <c r="G4" s="43"/>
      <c r="H4" s="43"/>
      <c r="I4" s="44"/>
    </row>
    <row r="5" spans="2:9" ht="15.75" customHeight="1" x14ac:dyDescent="0.25">
      <c r="B5" s="47"/>
      <c r="D5" s="469" t="s">
        <v>12</v>
      </c>
      <c r="E5" s="469"/>
      <c r="F5" s="469"/>
      <c r="G5" s="469" t="s">
        <v>13</v>
      </c>
      <c r="H5" s="469"/>
      <c r="I5" s="469"/>
    </row>
    <row r="6" spans="2:9" ht="47.25" x14ac:dyDescent="0.25">
      <c r="B6" s="19" t="s">
        <v>14</v>
      </c>
      <c r="C6" s="48" t="s">
        <v>41</v>
      </c>
      <c r="D6" s="49" t="s">
        <v>15</v>
      </c>
      <c r="E6" s="49" t="s">
        <v>16</v>
      </c>
      <c r="F6" s="170" t="s">
        <v>566</v>
      </c>
      <c r="G6" s="49" t="s">
        <v>15</v>
      </c>
      <c r="H6" s="49" t="s">
        <v>16</v>
      </c>
      <c r="I6" s="170" t="s">
        <v>566</v>
      </c>
    </row>
    <row r="7" spans="2:9" x14ac:dyDescent="0.25">
      <c r="B7" s="52" t="s">
        <v>42</v>
      </c>
      <c r="C7" s="53" t="s">
        <v>43</v>
      </c>
      <c r="D7" s="24">
        <v>150699000</v>
      </c>
      <c r="E7" s="24">
        <v>121468000</v>
      </c>
      <c r="F7" s="25">
        <f>+D7+E7</f>
        <v>272167000</v>
      </c>
      <c r="G7" s="24">
        <v>0</v>
      </c>
      <c r="H7" s="24">
        <v>0</v>
      </c>
      <c r="I7" s="25">
        <f>+G7+H7</f>
        <v>0</v>
      </c>
    </row>
    <row r="8" spans="2:9" x14ac:dyDescent="0.25">
      <c r="B8" s="54" t="s">
        <v>44</v>
      </c>
      <c r="C8" s="53" t="s">
        <v>45</v>
      </c>
      <c r="D8" s="24">
        <v>31378000</v>
      </c>
      <c r="E8" s="24">
        <v>31867000</v>
      </c>
      <c r="F8" s="25">
        <f>+D8+E8</f>
        <v>63245000</v>
      </c>
      <c r="G8" s="24">
        <v>0</v>
      </c>
      <c r="H8" s="24"/>
      <c r="I8" s="25">
        <f>+G8+H8</f>
        <v>0</v>
      </c>
    </row>
    <row r="9" spans="2:9" x14ac:dyDescent="0.25">
      <c r="B9" s="55" t="s">
        <v>46</v>
      </c>
      <c r="C9" s="56" t="s">
        <v>47</v>
      </c>
      <c r="D9" s="25">
        <f t="shared" ref="D9:I9" si="0">SUM(D7:D8)</f>
        <v>182077000</v>
      </c>
      <c r="E9" s="25">
        <f t="shared" si="0"/>
        <v>153335000</v>
      </c>
      <c r="F9" s="25">
        <f t="shared" si="0"/>
        <v>335412000</v>
      </c>
      <c r="G9" s="25">
        <f t="shared" si="0"/>
        <v>0</v>
      </c>
      <c r="H9" s="25">
        <f t="shared" si="0"/>
        <v>0</v>
      </c>
      <c r="I9" s="25">
        <f t="shared" si="0"/>
        <v>0</v>
      </c>
    </row>
    <row r="10" spans="2:9" x14ac:dyDescent="0.25">
      <c r="B10" s="57" t="s">
        <v>48</v>
      </c>
      <c r="C10" s="56" t="s">
        <v>49</v>
      </c>
      <c r="D10" s="24">
        <v>27032000</v>
      </c>
      <c r="E10" s="24">
        <v>18966000</v>
      </c>
      <c r="F10" s="25">
        <f t="shared" ref="F10:F15" si="1">+D10+E10</f>
        <v>45998000</v>
      </c>
      <c r="G10" s="24">
        <v>0</v>
      </c>
      <c r="H10" s="24">
        <v>0</v>
      </c>
      <c r="I10" s="25">
        <f t="shared" ref="I10:I15" si="2">+G10+H10</f>
        <v>0</v>
      </c>
    </row>
    <row r="11" spans="2:9" x14ac:dyDescent="0.25">
      <c r="B11" s="54" t="s">
        <v>50</v>
      </c>
      <c r="C11" s="53" t="s">
        <v>51</v>
      </c>
      <c r="D11" s="24">
        <v>33465000</v>
      </c>
      <c r="E11" s="24">
        <v>24309000</v>
      </c>
      <c r="F11" s="25">
        <f t="shared" si="1"/>
        <v>57774000</v>
      </c>
      <c r="G11" s="24">
        <v>0</v>
      </c>
      <c r="H11" s="24">
        <v>0</v>
      </c>
      <c r="I11" s="25">
        <f t="shared" si="2"/>
        <v>0</v>
      </c>
    </row>
    <row r="12" spans="2:9" x14ac:dyDescent="0.25">
      <c r="B12" s="54" t="s">
        <v>52</v>
      </c>
      <c r="C12" s="53" t="s">
        <v>53</v>
      </c>
      <c r="D12" s="24">
        <v>865000</v>
      </c>
      <c r="E12" s="24">
        <v>638000</v>
      </c>
      <c r="F12" s="25">
        <f t="shared" si="1"/>
        <v>1503000</v>
      </c>
      <c r="G12" s="24">
        <v>0</v>
      </c>
      <c r="H12" s="24">
        <v>0</v>
      </c>
      <c r="I12" s="25">
        <f t="shared" si="2"/>
        <v>0</v>
      </c>
    </row>
    <row r="13" spans="2:9" x14ac:dyDescent="0.25">
      <c r="B13" s="54" t="s">
        <v>54</v>
      </c>
      <c r="C13" s="53" t="s">
        <v>55</v>
      </c>
      <c r="D13" s="24">
        <v>26230000</v>
      </c>
      <c r="E13" s="24">
        <v>56783000</v>
      </c>
      <c r="F13" s="25">
        <f t="shared" si="1"/>
        <v>83013000</v>
      </c>
      <c r="G13" s="24">
        <v>0</v>
      </c>
      <c r="H13" s="24">
        <v>0</v>
      </c>
      <c r="I13" s="25">
        <f t="shared" si="2"/>
        <v>0</v>
      </c>
    </row>
    <row r="14" spans="2:9" x14ac:dyDescent="0.25">
      <c r="B14" s="54" t="s">
        <v>56</v>
      </c>
      <c r="C14" s="53" t="s">
        <v>57</v>
      </c>
      <c r="D14" s="24">
        <v>0</v>
      </c>
      <c r="E14" s="24">
        <v>1978000</v>
      </c>
      <c r="F14" s="25">
        <f t="shared" si="1"/>
        <v>1978000</v>
      </c>
      <c r="G14" s="24">
        <v>0</v>
      </c>
      <c r="H14" s="24">
        <v>0</v>
      </c>
      <c r="I14" s="25">
        <f t="shared" si="2"/>
        <v>0</v>
      </c>
    </row>
    <row r="15" spans="2:9" x14ac:dyDescent="0.25">
      <c r="B15" s="54" t="s">
        <v>58</v>
      </c>
      <c r="C15" s="53" t="s">
        <v>59</v>
      </c>
      <c r="D15" s="24">
        <v>17744000</v>
      </c>
      <c r="E15" s="24">
        <v>17419000</v>
      </c>
      <c r="F15" s="25">
        <f t="shared" si="1"/>
        <v>35163000</v>
      </c>
      <c r="G15" s="24">
        <v>0</v>
      </c>
      <c r="H15" s="24">
        <v>0</v>
      </c>
      <c r="I15" s="25">
        <f t="shared" si="2"/>
        <v>0</v>
      </c>
    </row>
    <row r="16" spans="2:9" x14ac:dyDescent="0.25">
      <c r="B16" s="57" t="s">
        <v>60</v>
      </c>
      <c r="C16" s="56" t="s">
        <v>61</v>
      </c>
      <c r="D16" s="25">
        <f t="shared" ref="D16:I16" si="3">SUM(D11:D15)</f>
        <v>78304000</v>
      </c>
      <c r="E16" s="25">
        <f t="shared" si="3"/>
        <v>101127000</v>
      </c>
      <c r="F16" s="25">
        <f t="shared" si="3"/>
        <v>179431000</v>
      </c>
      <c r="G16" s="25">
        <f t="shared" si="3"/>
        <v>0</v>
      </c>
      <c r="H16" s="25">
        <f t="shared" si="3"/>
        <v>0</v>
      </c>
      <c r="I16" s="25">
        <f t="shared" si="3"/>
        <v>0</v>
      </c>
    </row>
    <row r="17" spans="2:9" x14ac:dyDescent="0.25">
      <c r="B17" s="58" t="s">
        <v>62</v>
      </c>
      <c r="C17" s="56" t="s">
        <v>63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9" t="s">
        <v>64</v>
      </c>
      <c r="C18" s="53" t="s">
        <v>65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9" t="s">
        <v>66</v>
      </c>
      <c r="C19" s="53" t="s">
        <v>67</v>
      </c>
      <c r="D19" s="24">
        <v>0</v>
      </c>
      <c r="E19" s="24">
        <v>0</v>
      </c>
      <c r="F19" s="25">
        <f t="shared" si="4"/>
        <v>0</v>
      </c>
      <c r="G19" s="24">
        <v>0</v>
      </c>
      <c r="H19" s="24">
        <v>0</v>
      </c>
      <c r="I19" s="25">
        <f t="shared" si="5"/>
        <v>0</v>
      </c>
    </row>
    <row r="20" spans="2:9" hidden="1" x14ac:dyDescent="0.25">
      <c r="B20" s="59" t="s">
        <v>68</v>
      </c>
      <c r="C20" s="53" t="s">
        <v>69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9" t="s">
        <v>70</v>
      </c>
      <c r="C21" s="53" t="s">
        <v>71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9" t="s">
        <v>643</v>
      </c>
      <c r="C22" s="53" t="s">
        <v>73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x14ac:dyDescent="0.25">
      <c r="B23" s="59" t="s">
        <v>74</v>
      </c>
      <c r="C23" s="53" t="s">
        <v>75</v>
      </c>
      <c r="D23" s="24">
        <v>0</v>
      </c>
      <c r="E23" s="24"/>
      <c r="F23" s="25">
        <f t="shared" si="4"/>
        <v>0</v>
      </c>
      <c r="G23" s="24">
        <v>0</v>
      </c>
      <c r="H23" s="24"/>
      <c r="I23" s="25">
        <f t="shared" si="5"/>
        <v>0</v>
      </c>
    </row>
    <row r="24" spans="2:9" hidden="1" x14ac:dyDescent="0.25">
      <c r="B24" s="59" t="s">
        <v>76</v>
      </c>
      <c r="C24" s="53" t="s">
        <v>77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9" t="s">
        <v>78</v>
      </c>
      <c r="C25" s="53" t="s">
        <v>79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9" t="s">
        <v>80</v>
      </c>
      <c r="C26" s="53" t="s">
        <v>81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60" t="s">
        <v>82</v>
      </c>
      <c r="C27" s="53" t="s">
        <v>83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60" t="s">
        <v>644</v>
      </c>
      <c r="C28" s="53" t="s">
        <v>85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x14ac:dyDescent="0.25">
      <c r="B29" s="59" t="s">
        <v>86</v>
      </c>
      <c r="C29" s="53" t="s">
        <v>87</v>
      </c>
      <c r="D29" s="24"/>
      <c r="E29" s="24"/>
      <c r="F29" s="25">
        <f t="shared" si="4"/>
        <v>0</v>
      </c>
      <c r="G29" s="24">
        <v>0</v>
      </c>
      <c r="H29" s="24"/>
      <c r="I29" s="25">
        <f t="shared" si="5"/>
        <v>0</v>
      </c>
    </row>
    <row r="30" spans="2:9" x14ac:dyDescent="0.25">
      <c r="B30" s="60" t="s">
        <v>88</v>
      </c>
      <c r="C30" s="53" t="s">
        <v>89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x14ac:dyDescent="0.25">
      <c r="B31" s="60" t="s">
        <v>90</v>
      </c>
      <c r="C31" s="53" t="s">
        <v>89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8" t="s">
        <v>91</v>
      </c>
      <c r="C32" s="56" t="s">
        <v>92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 t="shared" si="6"/>
        <v>0</v>
      </c>
      <c r="H32" s="25">
        <f t="shared" si="6"/>
        <v>0</v>
      </c>
      <c r="I32" s="25">
        <f t="shared" si="6"/>
        <v>0</v>
      </c>
    </row>
    <row r="33" spans="2:9" x14ac:dyDescent="0.25">
      <c r="B33" s="61" t="s">
        <v>93</v>
      </c>
      <c r="C33" s="62" t="s">
        <v>94</v>
      </c>
      <c r="D33" s="63">
        <f t="shared" ref="D33:I33" si="7">+D32+D17+D16+D10+D9</f>
        <v>287413000</v>
      </c>
      <c r="E33" s="63">
        <f t="shared" si="7"/>
        <v>273428000</v>
      </c>
      <c r="F33" s="63">
        <f t="shared" si="7"/>
        <v>560841000</v>
      </c>
      <c r="G33" s="63">
        <f t="shared" si="7"/>
        <v>0</v>
      </c>
      <c r="H33" s="63">
        <f t="shared" si="7"/>
        <v>0</v>
      </c>
      <c r="I33" s="63">
        <f t="shared" si="7"/>
        <v>0</v>
      </c>
    </row>
    <row r="34" spans="2:9" x14ac:dyDescent="0.25">
      <c r="B34" s="64" t="s">
        <v>95</v>
      </c>
      <c r="C34" s="53" t="s">
        <v>96</v>
      </c>
      <c r="D34" s="24"/>
      <c r="E34" s="24"/>
      <c r="F34" s="25">
        <f t="shared" ref="F34:F40" si="8">+D34+E34</f>
        <v>0</v>
      </c>
      <c r="G34" s="24"/>
      <c r="H34" s="24"/>
      <c r="I34" s="25">
        <f t="shared" ref="I34:I40" si="9">+G34+H34</f>
        <v>0</v>
      </c>
    </row>
    <row r="35" spans="2:9" x14ac:dyDescent="0.25">
      <c r="B35" s="64" t="s">
        <v>97</v>
      </c>
      <c r="C35" s="53" t="s">
        <v>98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4" t="s">
        <v>99</v>
      </c>
      <c r="C36" s="53" t="s">
        <v>100</v>
      </c>
      <c r="D36" s="24">
        <v>550000</v>
      </c>
      <c r="E36" s="24">
        <v>61000</v>
      </c>
      <c r="F36" s="25">
        <f t="shared" si="8"/>
        <v>611000</v>
      </c>
      <c r="G36" s="24"/>
      <c r="H36" s="24">
        <v>0</v>
      </c>
      <c r="I36" s="25">
        <f t="shared" si="9"/>
        <v>0</v>
      </c>
    </row>
    <row r="37" spans="2:9" x14ac:dyDescent="0.25">
      <c r="B37" s="64" t="s">
        <v>101</v>
      </c>
      <c r="C37" s="53" t="s">
        <v>102</v>
      </c>
      <c r="D37" s="24">
        <v>8850000</v>
      </c>
      <c r="E37" s="24">
        <v>3800000</v>
      </c>
      <c r="F37" s="25">
        <f t="shared" si="8"/>
        <v>12650000</v>
      </c>
      <c r="G37" s="24">
        <v>0</v>
      </c>
      <c r="H37" s="24">
        <v>0</v>
      </c>
      <c r="I37" s="25">
        <f t="shared" si="9"/>
        <v>0</v>
      </c>
    </row>
    <row r="38" spans="2:9" x14ac:dyDescent="0.25">
      <c r="B38" s="65" t="s">
        <v>103</v>
      </c>
      <c r="C38" s="53" t="s">
        <v>104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x14ac:dyDescent="0.25">
      <c r="B39" s="65" t="s">
        <v>105</v>
      </c>
      <c r="C39" s="53" t="s">
        <v>106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5" t="s">
        <v>107</v>
      </c>
      <c r="C40" s="53" t="s">
        <v>108</v>
      </c>
      <c r="D40" s="24">
        <v>2390000</v>
      </c>
      <c r="E40" s="24">
        <v>1024000</v>
      </c>
      <c r="F40" s="25">
        <f t="shared" si="8"/>
        <v>3414000</v>
      </c>
      <c r="G40" s="24">
        <v>0</v>
      </c>
      <c r="H40" s="24">
        <v>0</v>
      </c>
      <c r="I40" s="25">
        <f t="shared" si="9"/>
        <v>0</v>
      </c>
    </row>
    <row r="41" spans="2:9" s="31" customFormat="1" x14ac:dyDescent="0.25">
      <c r="B41" s="66" t="s">
        <v>109</v>
      </c>
      <c r="C41" s="56" t="s">
        <v>110</v>
      </c>
      <c r="D41" s="25">
        <f t="shared" ref="D41:I41" si="10">SUM(D34:D40)</f>
        <v>11790000</v>
      </c>
      <c r="E41" s="25">
        <f t="shared" si="10"/>
        <v>4885000</v>
      </c>
      <c r="F41" s="25">
        <f t="shared" si="10"/>
        <v>16675000</v>
      </c>
      <c r="G41" s="25">
        <f t="shared" si="10"/>
        <v>0</v>
      </c>
      <c r="H41" s="25">
        <f t="shared" si="10"/>
        <v>0</v>
      </c>
      <c r="I41" s="25">
        <f t="shared" si="10"/>
        <v>0</v>
      </c>
    </row>
    <row r="42" spans="2:9" x14ac:dyDescent="0.25">
      <c r="B42" s="67" t="s">
        <v>111</v>
      </c>
      <c r="C42" s="53" t="s">
        <v>112</v>
      </c>
      <c r="D42" s="24">
        <v>550000</v>
      </c>
      <c r="E42" s="24">
        <v>14000000</v>
      </c>
      <c r="F42" s="25">
        <f>+D42+E42</f>
        <v>14550000</v>
      </c>
      <c r="G42" s="24">
        <v>0</v>
      </c>
      <c r="H42" s="24">
        <v>0</v>
      </c>
      <c r="I42" s="25">
        <f>+G42+H42</f>
        <v>0</v>
      </c>
    </row>
    <row r="43" spans="2:9" x14ac:dyDescent="0.25">
      <c r="B43" s="67" t="s">
        <v>113</v>
      </c>
      <c r="C43" s="53" t="s">
        <v>114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7" t="s">
        <v>115</v>
      </c>
      <c r="C44" s="53" t="s">
        <v>116</v>
      </c>
      <c r="D44" s="24"/>
      <c r="E44" s="24"/>
      <c r="F44" s="25">
        <f>+D44+E44</f>
        <v>0</v>
      </c>
      <c r="G44" s="24">
        <v>0</v>
      </c>
      <c r="H44" s="24">
        <v>0</v>
      </c>
      <c r="I44" s="25">
        <f>+G44+H44</f>
        <v>0</v>
      </c>
    </row>
    <row r="45" spans="2:9" x14ac:dyDescent="0.25">
      <c r="B45" s="67" t="s">
        <v>117</v>
      </c>
      <c r="C45" s="53" t="s">
        <v>118</v>
      </c>
      <c r="D45" s="24">
        <v>148000</v>
      </c>
      <c r="E45" s="24">
        <v>3780000</v>
      </c>
      <c r="F45" s="25">
        <f>+D45+E45</f>
        <v>3928000</v>
      </c>
      <c r="G45" s="24">
        <v>0</v>
      </c>
      <c r="H45" s="24"/>
      <c r="I45" s="25">
        <f>+G45+H45</f>
        <v>0</v>
      </c>
    </row>
    <row r="46" spans="2:9" s="31" customFormat="1" x14ac:dyDescent="0.25">
      <c r="B46" s="57" t="s">
        <v>119</v>
      </c>
      <c r="C46" s="56" t="s">
        <v>120</v>
      </c>
      <c r="D46" s="25">
        <f t="shared" ref="D46:I46" si="11">SUM(D42:D45)</f>
        <v>698000</v>
      </c>
      <c r="E46" s="25">
        <f t="shared" si="11"/>
        <v>17780000</v>
      </c>
      <c r="F46" s="25">
        <f t="shared" si="11"/>
        <v>18478000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idden="1" x14ac:dyDescent="0.25">
      <c r="B47" s="67" t="s">
        <v>645</v>
      </c>
      <c r="C47" s="53" t="s">
        <v>122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idden="1" x14ac:dyDescent="0.25">
      <c r="B48" s="67" t="s">
        <v>646</v>
      </c>
      <c r="C48" s="53" t="s">
        <v>124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8" hidden="1" x14ac:dyDescent="0.25">
      <c r="B49" s="67" t="s">
        <v>125</v>
      </c>
      <c r="C49" s="53" t="s">
        <v>126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8" hidden="1" x14ac:dyDescent="0.25">
      <c r="B50" s="67" t="s">
        <v>127</v>
      </c>
      <c r="C50" s="53" t="s">
        <v>128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8" x14ac:dyDescent="0.25">
      <c r="B51" s="67" t="s">
        <v>129</v>
      </c>
      <c r="C51" s="53" t="s">
        <v>130</v>
      </c>
      <c r="D51" s="24">
        <v>17867000</v>
      </c>
      <c r="E51" s="24"/>
      <c r="F51" s="25">
        <f t="shared" si="12"/>
        <v>17867000</v>
      </c>
      <c r="G51" s="24"/>
      <c r="H51" s="24"/>
      <c r="I51" s="25">
        <f t="shared" si="13"/>
        <v>0</v>
      </c>
    </row>
    <row r="52" spans="2:18" hidden="1" x14ac:dyDescent="0.25">
      <c r="B52" s="67" t="s">
        <v>131</v>
      </c>
      <c r="C52" s="53" t="s">
        <v>132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8" hidden="1" x14ac:dyDescent="0.25">
      <c r="B53" s="67" t="s">
        <v>133</v>
      </c>
      <c r="C53" s="53" t="s">
        <v>134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8" hidden="1" x14ac:dyDescent="0.25">
      <c r="B54" s="60" t="s">
        <v>647</v>
      </c>
      <c r="C54" s="53" t="s">
        <v>136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8" hidden="1" x14ac:dyDescent="0.25">
      <c r="B55" s="67" t="s">
        <v>137</v>
      </c>
      <c r="C55" s="53" t="s">
        <v>138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8" s="31" customFormat="1" x14ac:dyDescent="0.25">
      <c r="B56" s="58" t="s">
        <v>139</v>
      </c>
      <c r="C56" s="56" t="s">
        <v>140</v>
      </c>
      <c r="D56" s="25">
        <f t="shared" ref="D56:I56" si="14">SUM(D47:D55)</f>
        <v>17867000</v>
      </c>
      <c r="E56" s="25">
        <f t="shared" si="14"/>
        <v>0</v>
      </c>
      <c r="F56" s="25">
        <f t="shared" si="14"/>
        <v>17867000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8" x14ac:dyDescent="0.25">
      <c r="B57" s="61" t="s">
        <v>141</v>
      </c>
      <c r="C57" s="62" t="s">
        <v>142</v>
      </c>
      <c r="D57" s="63">
        <f t="shared" ref="D57:I57" si="15">+D56+D46+D41</f>
        <v>30355000</v>
      </c>
      <c r="E57" s="63">
        <f t="shared" si="15"/>
        <v>22665000</v>
      </c>
      <c r="F57" s="63">
        <f t="shared" si="15"/>
        <v>53020000</v>
      </c>
      <c r="G57" s="63">
        <f t="shared" si="15"/>
        <v>0</v>
      </c>
      <c r="H57" s="63">
        <f t="shared" si="15"/>
        <v>0</v>
      </c>
      <c r="I57" s="63">
        <f t="shared" si="15"/>
        <v>0</v>
      </c>
    </row>
    <row r="58" spans="2:18" x14ac:dyDescent="0.25">
      <c r="B58" s="68" t="s">
        <v>143</v>
      </c>
      <c r="C58" s="69" t="s">
        <v>144</v>
      </c>
      <c r="D58" s="70">
        <f t="shared" ref="D58:I58" si="16">+D56+D46+D41+D32+D17+D16+D10+D9</f>
        <v>317768000</v>
      </c>
      <c r="E58" s="70">
        <f t="shared" si="16"/>
        <v>296093000</v>
      </c>
      <c r="F58" s="70">
        <f t="shared" si="16"/>
        <v>613861000</v>
      </c>
      <c r="G58" s="70">
        <f t="shared" si="16"/>
        <v>0</v>
      </c>
      <c r="H58" s="70">
        <f t="shared" si="16"/>
        <v>0</v>
      </c>
      <c r="I58" s="70">
        <f t="shared" si="16"/>
        <v>0</v>
      </c>
    </row>
    <row r="59" spans="2:18" hidden="1" x14ac:dyDescent="0.25">
      <c r="B59" s="73" t="s">
        <v>626</v>
      </c>
      <c r="C59" s="54" t="s">
        <v>170</v>
      </c>
      <c r="D59" s="251"/>
      <c r="E59" s="251"/>
      <c r="F59" s="24">
        <f>+D59+E59</f>
        <v>0</v>
      </c>
      <c r="G59" s="251"/>
      <c r="H59" s="251"/>
      <c r="I59" s="24">
        <f>+G59+H59</f>
        <v>0</v>
      </c>
      <c r="J59" s="252"/>
      <c r="K59" s="252"/>
      <c r="L59" s="252"/>
      <c r="M59" s="252"/>
      <c r="N59" s="252"/>
      <c r="O59" s="252"/>
      <c r="P59" s="252"/>
      <c r="Q59" s="71"/>
      <c r="R59" s="71"/>
    </row>
    <row r="60" spans="2:18" hidden="1" x14ac:dyDescent="0.25">
      <c r="B60" s="73" t="s">
        <v>171</v>
      </c>
      <c r="C60" s="54" t="s">
        <v>172</v>
      </c>
      <c r="D60" s="251"/>
      <c r="E60" s="251"/>
      <c r="F60" s="24">
        <f>+D60+E60</f>
        <v>0</v>
      </c>
      <c r="G60" s="251"/>
      <c r="H60" s="251"/>
      <c r="I60" s="24">
        <f>+G60+H60</f>
        <v>0</v>
      </c>
      <c r="J60" s="252"/>
      <c r="K60" s="252"/>
      <c r="L60" s="252"/>
      <c r="M60" s="252"/>
      <c r="N60" s="252"/>
      <c r="O60" s="252"/>
      <c r="P60" s="252"/>
      <c r="Q60" s="71"/>
      <c r="R60" s="71"/>
    </row>
    <row r="61" spans="2:18" hidden="1" x14ac:dyDescent="0.25">
      <c r="B61" s="67" t="s">
        <v>173</v>
      </c>
      <c r="C61" s="54" t="s">
        <v>174</v>
      </c>
      <c r="D61" s="251"/>
      <c r="E61" s="251"/>
      <c r="F61" s="24">
        <f>+D61+E61</f>
        <v>0</v>
      </c>
      <c r="G61" s="251"/>
      <c r="H61" s="251"/>
      <c r="I61" s="24">
        <f>+G61+H61</f>
        <v>0</v>
      </c>
      <c r="J61" s="253"/>
      <c r="K61" s="253"/>
      <c r="L61" s="253"/>
      <c r="M61" s="253"/>
      <c r="N61" s="253"/>
      <c r="O61" s="253"/>
      <c r="P61" s="253"/>
      <c r="Q61" s="71"/>
      <c r="R61" s="71"/>
    </row>
    <row r="62" spans="2:18" hidden="1" x14ac:dyDescent="0.25">
      <c r="B62" s="67" t="s">
        <v>175</v>
      </c>
      <c r="C62" s="54" t="s">
        <v>176</v>
      </c>
      <c r="D62" s="251"/>
      <c r="E62" s="251"/>
      <c r="F62" s="24">
        <f>+D62+E62</f>
        <v>0</v>
      </c>
      <c r="G62" s="251"/>
      <c r="H62" s="251"/>
      <c r="I62" s="24">
        <f>+G62+H62</f>
        <v>0</v>
      </c>
      <c r="J62" s="253"/>
      <c r="K62" s="253"/>
      <c r="L62" s="253"/>
      <c r="M62" s="253"/>
      <c r="N62" s="253"/>
      <c r="O62" s="253"/>
      <c r="P62" s="253"/>
      <c r="Q62" s="71"/>
      <c r="R62" s="71"/>
    </row>
    <row r="63" spans="2:18" x14ac:dyDescent="0.25">
      <c r="B63" s="76" t="s">
        <v>177</v>
      </c>
      <c r="C63" s="77" t="s">
        <v>178</v>
      </c>
      <c r="D63" s="78">
        <f t="shared" ref="D63:I63" si="17">+D61+D60+D59+D62</f>
        <v>0</v>
      </c>
      <c r="E63" s="78">
        <f t="shared" si="17"/>
        <v>0</v>
      </c>
      <c r="F63" s="78">
        <f t="shared" si="17"/>
        <v>0</v>
      </c>
      <c r="G63" s="78">
        <f t="shared" si="17"/>
        <v>0</v>
      </c>
      <c r="H63" s="78">
        <f t="shared" si="17"/>
        <v>0</v>
      </c>
      <c r="I63" s="78">
        <f t="shared" si="17"/>
        <v>0</v>
      </c>
      <c r="J63" s="254"/>
      <c r="K63" s="254"/>
      <c r="L63" s="254"/>
      <c r="M63" s="254"/>
      <c r="N63" s="254"/>
      <c r="O63" s="254"/>
      <c r="P63" s="254"/>
      <c r="Q63" s="71"/>
      <c r="R63" s="71"/>
    </row>
    <row r="64" spans="2:18" x14ac:dyDescent="0.25">
      <c r="B64" s="28" t="s">
        <v>179</v>
      </c>
      <c r="C64" s="28" t="s">
        <v>180</v>
      </c>
      <c r="D64" s="29">
        <f t="shared" ref="D64:I64" si="18">+D58+D63</f>
        <v>317768000</v>
      </c>
      <c r="E64" s="29">
        <f t="shared" si="18"/>
        <v>296093000</v>
      </c>
      <c r="F64" s="29">
        <f t="shared" si="18"/>
        <v>613861000</v>
      </c>
      <c r="G64" s="29">
        <f t="shared" si="18"/>
        <v>0</v>
      </c>
      <c r="H64" s="29">
        <f t="shared" si="18"/>
        <v>0</v>
      </c>
      <c r="I64" s="29">
        <f t="shared" si="18"/>
        <v>0</v>
      </c>
      <c r="J64" s="71"/>
      <c r="K64" s="71"/>
      <c r="L64" s="71"/>
      <c r="M64" s="71"/>
      <c r="N64" s="71"/>
      <c r="O64" s="71"/>
      <c r="P64" s="71"/>
      <c r="Q64" s="71"/>
      <c r="R64" s="71"/>
    </row>
    <row r="65" spans="2:18" x14ac:dyDescent="0.25">
      <c r="B65" s="13"/>
      <c r="C65" s="79"/>
      <c r="D65" s="80"/>
      <c r="E65" s="80"/>
      <c r="F65" s="81"/>
      <c r="G65" s="80"/>
      <c r="H65" s="80"/>
      <c r="I65" s="81"/>
      <c r="J65" s="71"/>
      <c r="K65" s="71"/>
      <c r="L65" s="71"/>
      <c r="M65" s="71"/>
      <c r="N65" s="71"/>
      <c r="O65" s="71"/>
      <c r="P65" s="71"/>
      <c r="Q65" s="71"/>
      <c r="R65" s="71"/>
    </row>
    <row r="66" spans="2:18" ht="15.75" hidden="1" customHeight="1" x14ac:dyDescent="0.25">
      <c r="B66" s="13"/>
      <c r="C66" s="79"/>
      <c r="D66" s="469" t="s">
        <v>13</v>
      </c>
      <c r="E66" s="469"/>
      <c r="F66" s="469"/>
      <c r="G66" s="469" t="s">
        <v>13</v>
      </c>
      <c r="H66" s="469"/>
      <c r="I66" s="469"/>
      <c r="J66" s="71"/>
      <c r="K66" s="71"/>
      <c r="L66" s="71"/>
      <c r="M66" s="71"/>
      <c r="N66" s="71"/>
      <c r="O66" s="71"/>
      <c r="P66" s="71"/>
      <c r="Q66" s="71"/>
      <c r="R66" s="71"/>
    </row>
    <row r="67" spans="2:18" ht="47.25" x14ac:dyDescent="0.25">
      <c r="B67" s="19" t="s">
        <v>14</v>
      </c>
      <c r="C67" s="48" t="s">
        <v>181</v>
      </c>
      <c r="D67" s="49" t="s">
        <v>15</v>
      </c>
      <c r="E67" s="49" t="s">
        <v>16</v>
      </c>
      <c r="F67" s="170" t="s">
        <v>566</v>
      </c>
      <c r="G67" s="49" t="s">
        <v>15</v>
      </c>
      <c r="H67" s="49" t="s">
        <v>16</v>
      </c>
      <c r="I67" s="170" t="s">
        <v>566</v>
      </c>
      <c r="J67" s="71"/>
      <c r="K67" s="71"/>
      <c r="L67" s="71"/>
      <c r="M67" s="71"/>
      <c r="N67" s="71"/>
      <c r="O67" s="71"/>
      <c r="P67" s="71"/>
      <c r="Q67" s="71"/>
      <c r="R67" s="71"/>
    </row>
    <row r="68" spans="2:18" hidden="1" x14ac:dyDescent="0.25">
      <c r="B68" s="57" t="s">
        <v>627</v>
      </c>
      <c r="C68" s="66" t="s">
        <v>195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  <c r="J68" s="71"/>
      <c r="K68" s="71"/>
      <c r="L68" s="71"/>
      <c r="M68" s="71"/>
      <c r="N68" s="71"/>
      <c r="O68" s="71"/>
      <c r="P68" s="71"/>
      <c r="Q68" s="71"/>
      <c r="R68" s="71"/>
    </row>
    <row r="69" spans="2:18" hidden="1" x14ac:dyDescent="0.25">
      <c r="B69" s="54" t="s">
        <v>196</v>
      </c>
      <c r="C69" s="65" t="s">
        <v>197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  <c r="J69" s="71"/>
      <c r="K69" s="71"/>
      <c r="L69" s="71"/>
      <c r="M69" s="71"/>
      <c r="N69" s="71"/>
      <c r="O69" s="71"/>
      <c r="P69" s="71"/>
      <c r="Q69" s="71"/>
      <c r="R69" s="71"/>
    </row>
    <row r="70" spans="2:18" ht="31.5" hidden="1" x14ac:dyDescent="0.25">
      <c r="B70" s="54" t="s">
        <v>628</v>
      </c>
      <c r="C70" s="65" t="s">
        <v>199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  <c r="J70" s="71"/>
      <c r="K70" s="71"/>
      <c r="L70" s="71"/>
      <c r="M70" s="71"/>
      <c r="N70" s="71"/>
      <c r="O70" s="71"/>
      <c r="P70" s="71"/>
      <c r="Q70" s="71"/>
      <c r="R70" s="71"/>
    </row>
    <row r="71" spans="2:18" hidden="1" x14ac:dyDescent="0.25">
      <c r="B71" s="54" t="s">
        <v>200</v>
      </c>
      <c r="C71" s="65" t="s">
        <v>201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  <c r="J71" s="71"/>
      <c r="K71" s="71"/>
      <c r="L71" s="71"/>
      <c r="M71" s="71"/>
      <c r="N71" s="71"/>
      <c r="O71" s="71"/>
      <c r="P71" s="71"/>
      <c r="Q71" s="71"/>
      <c r="R71" s="71"/>
    </row>
    <row r="72" spans="2:18" hidden="1" x14ac:dyDescent="0.25">
      <c r="B72" s="54" t="s">
        <v>202</v>
      </c>
      <c r="C72" s="65" t="s">
        <v>203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  <c r="J72" s="71"/>
      <c r="K72" s="71"/>
      <c r="L72" s="71"/>
      <c r="M72" s="71"/>
      <c r="N72" s="71"/>
      <c r="O72" s="71"/>
      <c r="P72" s="71"/>
      <c r="Q72" s="71"/>
      <c r="R72" s="71"/>
    </row>
    <row r="73" spans="2:18" x14ac:dyDescent="0.25">
      <c r="B73" s="54" t="s">
        <v>204</v>
      </c>
      <c r="C73" s="65" t="s">
        <v>205</v>
      </c>
      <c r="D73" s="24">
        <v>101626000</v>
      </c>
      <c r="E73" s="24">
        <v>78017000</v>
      </c>
      <c r="F73" s="25">
        <f t="shared" si="19"/>
        <v>179643000</v>
      </c>
      <c r="G73" s="24">
        <v>0</v>
      </c>
      <c r="H73" s="24">
        <v>0</v>
      </c>
      <c r="I73" s="25">
        <f t="shared" si="20"/>
        <v>0</v>
      </c>
      <c r="J73" s="71"/>
      <c r="K73" s="71"/>
      <c r="L73" s="71"/>
      <c r="M73" s="71"/>
      <c r="N73" s="71"/>
      <c r="O73" s="71"/>
      <c r="P73" s="71"/>
      <c r="Q73" s="71"/>
      <c r="R73" s="71"/>
    </row>
    <row r="74" spans="2:18" x14ac:dyDescent="0.25">
      <c r="B74" s="57" t="s">
        <v>206</v>
      </c>
      <c r="C74" s="66" t="s">
        <v>207</v>
      </c>
      <c r="D74" s="25">
        <f t="shared" ref="D74:I74" si="21">+D73+D72+D71+D70+D69+D68</f>
        <v>101626000</v>
      </c>
      <c r="E74" s="25">
        <f t="shared" si="21"/>
        <v>78017000</v>
      </c>
      <c r="F74" s="25">
        <f t="shared" si="21"/>
        <v>179643000</v>
      </c>
      <c r="G74" s="25">
        <f t="shared" si="21"/>
        <v>0</v>
      </c>
      <c r="H74" s="25">
        <f t="shared" si="21"/>
        <v>0</v>
      </c>
      <c r="I74" s="25">
        <f t="shared" si="21"/>
        <v>0</v>
      </c>
      <c r="J74" s="71"/>
      <c r="K74" s="71"/>
      <c r="L74" s="71"/>
      <c r="M74" s="71"/>
      <c r="N74" s="71"/>
      <c r="O74" s="71"/>
      <c r="P74" s="71"/>
      <c r="Q74" s="71"/>
      <c r="R74" s="71"/>
    </row>
    <row r="75" spans="2:18" x14ac:dyDescent="0.25">
      <c r="B75" s="57" t="s">
        <v>208</v>
      </c>
      <c r="C75" s="66" t="s">
        <v>209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  <c r="J75" s="71"/>
      <c r="K75" s="71"/>
      <c r="L75" s="71"/>
      <c r="M75" s="71"/>
      <c r="N75" s="71"/>
      <c r="O75" s="71"/>
      <c r="P75" s="71"/>
      <c r="Q75" s="71"/>
      <c r="R75" s="71"/>
    </row>
    <row r="76" spans="2:18" hidden="1" x14ac:dyDescent="0.25">
      <c r="B76" s="54" t="s">
        <v>210</v>
      </c>
      <c r="C76" s="65" t="s">
        <v>211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  <c r="J76" s="71"/>
      <c r="K76" s="71"/>
      <c r="L76" s="71"/>
      <c r="M76" s="71"/>
      <c r="N76" s="71"/>
      <c r="O76" s="71"/>
      <c r="P76" s="71"/>
      <c r="Q76" s="71"/>
      <c r="R76" s="71"/>
    </row>
    <row r="77" spans="2:18" hidden="1" x14ac:dyDescent="0.25">
      <c r="B77" s="54" t="s">
        <v>212</v>
      </c>
      <c r="C77" s="65" t="s">
        <v>213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  <c r="J77" s="71"/>
      <c r="K77" s="71"/>
      <c r="L77" s="71"/>
      <c r="M77" s="71"/>
      <c r="N77" s="71"/>
      <c r="O77" s="71"/>
      <c r="P77" s="71"/>
      <c r="Q77" s="71"/>
      <c r="R77" s="71"/>
    </row>
    <row r="78" spans="2:18" hidden="1" x14ac:dyDescent="0.25">
      <c r="B78" s="54" t="s">
        <v>214</v>
      </c>
      <c r="C78" s="65" t="s">
        <v>215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  <c r="J78" s="71"/>
      <c r="K78" s="71"/>
      <c r="L78" s="71"/>
      <c r="M78" s="71"/>
      <c r="N78" s="71"/>
      <c r="O78" s="71"/>
      <c r="P78" s="71"/>
      <c r="Q78" s="71"/>
      <c r="R78" s="71"/>
    </row>
    <row r="79" spans="2:18" hidden="1" x14ac:dyDescent="0.25">
      <c r="B79" s="54" t="s">
        <v>216</v>
      </c>
      <c r="C79" s="65" t="s">
        <v>217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  <c r="J79" s="71"/>
      <c r="K79" s="71"/>
      <c r="L79" s="71"/>
      <c r="M79" s="71"/>
      <c r="N79" s="71"/>
      <c r="O79" s="71"/>
      <c r="P79" s="71"/>
      <c r="Q79" s="71"/>
      <c r="R79" s="71"/>
    </row>
    <row r="80" spans="2:18" hidden="1" x14ac:dyDescent="0.25">
      <c r="B80" s="54" t="s">
        <v>218</v>
      </c>
      <c r="C80" s="65" t="s">
        <v>219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  <c r="J80" s="71"/>
      <c r="K80" s="71"/>
      <c r="L80" s="71"/>
      <c r="M80" s="71"/>
      <c r="N80" s="71"/>
      <c r="O80" s="71"/>
      <c r="P80" s="71"/>
      <c r="Q80" s="71"/>
      <c r="R80" s="71"/>
    </row>
    <row r="81" spans="2:18" hidden="1" x14ac:dyDescent="0.25">
      <c r="B81" s="54" t="s">
        <v>220</v>
      </c>
      <c r="C81" s="65" t="s">
        <v>221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  <c r="J81" s="71"/>
      <c r="K81" s="71"/>
      <c r="L81" s="71"/>
      <c r="M81" s="71"/>
      <c r="N81" s="71"/>
      <c r="O81" s="71"/>
      <c r="P81" s="71"/>
      <c r="Q81" s="71"/>
      <c r="R81" s="71"/>
    </row>
    <row r="82" spans="2:18" x14ac:dyDescent="0.25">
      <c r="B82" s="57" t="s">
        <v>222</v>
      </c>
      <c r="C82" s="66" t="s">
        <v>223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 t="shared" si="24"/>
        <v>0</v>
      </c>
      <c r="H82" s="25">
        <f t="shared" si="24"/>
        <v>0</v>
      </c>
      <c r="I82" s="25">
        <f t="shared" si="24"/>
        <v>0</v>
      </c>
      <c r="J82" s="71"/>
      <c r="K82" s="71"/>
      <c r="L82" s="71"/>
      <c r="M82" s="71"/>
      <c r="N82" s="71"/>
      <c r="O82" s="71"/>
      <c r="P82" s="71"/>
      <c r="Q82" s="71"/>
      <c r="R82" s="71"/>
    </row>
    <row r="83" spans="2:18" x14ac:dyDescent="0.25">
      <c r="B83" s="67" t="s">
        <v>631</v>
      </c>
      <c r="C83" s="65" t="s">
        <v>225</v>
      </c>
      <c r="D83" s="24">
        <v>473000</v>
      </c>
      <c r="E83" s="24">
        <v>411000</v>
      </c>
      <c r="F83" s="25">
        <f t="shared" ref="F83:F93" si="25">+E83+D83</f>
        <v>884000</v>
      </c>
      <c r="G83" s="24">
        <v>0</v>
      </c>
      <c r="H83" s="24"/>
      <c r="I83" s="25">
        <f t="shared" ref="I83:I93" si="26">+H83+G83</f>
        <v>0</v>
      </c>
      <c r="J83" s="71"/>
      <c r="K83" s="71"/>
      <c r="L83" s="71"/>
      <c r="M83" s="71"/>
      <c r="N83" s="71"/>
      <c r="O83" s="71"/>
      <c r="P83" s="71"/>
      <c r="Q83" s="71"/>
      <c r="R83" s="71"/>
    </row>
    <row r="84" spans="2:18" x14ac:dyDescent="0.25">
      <c r="B84" s="67" t="s">
        <v>226</v>
      </c>
      <c r="C84" s="65" t="s">
        <v>227</v>
      </c>
      <c r="D84" s="24">
        <v>32940000</v>
      </c>
      <c r="E84" s="24">
        <v>112895000</v>
      </c>
      <c r="F84" s="25">
        <f t="shared" si="25"/>
        <v>145835000</v>
      </c>
      <c r="G84" s="24">
        <v>0</v>
      </c>
      <c r="H84" s="24">
        <v>0</v>
      </c>
      <c r="I84" s="25">
        <f t="shared" si="26"/>
        <v>0</v>
      </c>
      <c r="J84" s="71"/>
      <c r="K84" s="71"/>
      <c r="L84" s="71"/>
      <c r="M84" s="71"/>
      <c r="N84" s="71"/>
      <c r="O84" s="71"/>
      <c r="P84" s="71"/>
      <c r="Q84" s="71"/>
      <c r="R84" s="71"/>
    </row>
    <row r="85" spans="2:18" x14ac:dyDescent="0.25">
      <c r="B85" s="67" t="s">
        <v>228</v>
      </c>
      <c r="C85" s="65" t="s">
        <v>229</v>
      </c>
      <c r="D85" s="24"/>
      <c r="E85" s="24">
        <v>121000</v>
      </c>
      <c r="F85" s="25">
        <f t="shared" si="25"/>
        <v>121000</v>
      </c>
      <c r="G85" s="24"/>
      <c r="H85" s="24"/>
      <c r="I85" s="25">
        <f t="shared" si="26"/>
        <v>0</v>
      </c>
      <c r="J85" s="71"/>
      <c r="K85" s="71"/>
      <c r="L85" s="71"/>
      <c r="M85" s="71"/>
      <c r="N85" s="71"/>
      <c r="O85" s="71"/>
      <c r="P85" s="71"/>
      <c r="Q85" s="71"/>
      <c r="R85" s="71"/>
    </row>
    <row r="86" spans="2:18" x14ac:dyDescent="0.25">
      <c r="B86" s="67" t="s">
        <v>230</v>
      </c>
      <c r="C86" s="65" t="s">
        <v>231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  <c r="J86" s="71"/>
      <c r="K86" s="71"/>
      <c r="L86" s="71"/>
      <c r="M86" s="71"/>
      <c r="N86" s="71"/>
      <c r="O86" s="71"/>
      <c r="P86" s="71"/>
      <c r="Q86" s="71"/>
      <c r="R86" s="71"/>
    </row>
    <row r="87" spans="2:18" x14ac:dyDescent="0.25">
      <c r="B87" s="67" t="s">
        <v>232</v>
      </c>
      <c r="C87" s="65" t="s">
        <v>233</v>
      </c>
      <c r="D87" s="24"/>
      <c r="E87" s="24"/>
      <c r="F87" s="25">
        <f t="shared" si="25"/>
        <v>0</v>
      </c>
      <c r="G87" s="24"/>
      <c r="H87" s="24"/>
      <c r="I87" s="25">
        <f t="shared" si="26"/>
        <v>0</v>
      </c>
      <c r="J87" s="71"/>
      <c r="K87" s="71"/>
      <c r="L87" s="71"/>
      <c r="M87" s="71"/>
      <c r="N87" s="71"/>
      <c r="O87" s="71"/>
      <c r="P87" s="71"/>
      <c r="Q87" s="71"/>
      <c r="R87" s="71"/>
    </row>
    <row r="88" spans="2:18" x14ac:dyDescent="0.25">
      <c r="B88" s="67" t="s">
        <v>234</v>
      </c>
      <c r="C88" s="65" t="s">
        <v>235</v>
      </c>
      <c r="D88" s="24">
        <v>128000</v>
      </c>
      <c r="E88" s="24">
        <v>27802000</v>
      </c>
      <c r="F88" s="25">
        <f t="shared" si="25"/>
        <v>27930000</v>
      </c>
      <c r="G88" s="24"/>
      <c r="H88" s="24"/>
      <c r="I88" s="25">
        <f t="shared" si="26"/>
        <v>0</v>
      </c>
      <c r="J88" s="71"/>
      <c r="K88" s="71"/>
      <c r="L88" s="71"/>
      <c r="M88" s="71"/>
      <c r="N88" s="71"/>
      <c r="O88" s="71"/>
      <c r="P88" s="71"/>
      <c r="Q88" s="71"/>
      <c r="R88" s="71"/>
    </row>
    <row r="89" spans="2:18" x14ac:dyDescent="0.25">
      <c r="B89" s="67" t="s">
        <v>236</v>
      </c>
      <c r="C89" s="65" t="s">
        <v>237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  <c r="J89" s="71"/>
      <c r="K89" s="71"/>
      <c r="L89" s="71"/>
      <c r="M89" s="71"/>
      <c r="N89" s="71"/>
      <c r="O89" s="71"/>
      <c r="P89" s="71"/>
      <c r="Q89" s="71"/>
      <c r="R89" s="71"/>
    </row>
    <row r="90" spans="2:18" x14ac:dyDescent="0.25">
      <c r="B90" s="67" t="s">
        <v>238</v>
      </c>
      <c r="C90" s="65" t="s">
        <v>239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  <c r="J90" s="71"/>
      <c r="K90" s="71"/>
      <c r="L90" s="71"/>
      <c r="M90" s="71"/>
      <c r="N90" s="71"/>
      <c r="O90" s="71"/>
      <c r="P90" s="71"/>
      <c r="Q90" s="71"/>
      <c r="R90" s="71"/>
    </row>
    <row r="91" spans="2:18" x14ac:dyDescent="0.25">
      <c r="B91" s="67" t="s">
        <v>240</v>
      </c>
      <c r="C91" s="65" t="s">
        <v>241</v>
      </c>
      <c r="D91" s="24"/>
      <c r="E91" s="24">
        <v>10000</v>
      </c>
      <c r="F91" s="25">
        <f t="shared" si="25"/>
        <v>10000</v>
      </c>
      <c r="G91" s="24"/>
      <c r="H91" s="24"/>
      <c r="I91" s="25">
        <f t="shared" si="26"/>
        <v>0</v>
      </c>
      <c r="J91" s="71"/>
      <c r="K91" s="71"/>
      <c r="L91" s="71"/>
      <c r="M91" s="71"/>
      <c r="N91" s="71"/>
      <c r="O91" s="71"/>
      <c r="P91" s="71"/>
      <c r="Q91" s="71"/>
      <c r="R91" s="71"/>
    </row>
    <row r="92" spans="2:18" x14ac:dyDescent="0.25">
      <c r="B92" s="67" t="s">
        <v>242</v>
      </c>
      <c r="C92" s="65" t="s">
        <v>243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  <c r="J92" s="71"/>
      <c r="K92" s="71"/>
      <c r="L92" s="71"/>
      <c r="M92" s="71"/>
      <c r="N92" s="71"/>
      <c r="O92" s="71"/>
      <c r="P92" s="71"/>
      <c r="Q92" s="71"/>
      <c r="R92" s="71"/>
    </row>
    <row r="93" spans="2:18" x14ac:dyDescent="0.25">
      <c r="B93" s="67" t="s">
        <v>244</v>
      </c>
      <c r="C93" s="65" t="s">
        <v>245</v>
      </c>
      <c r="D93" s="24"/>
      <c r="E93" s="24"/>
      <c r="F93" s="25">
        <f t="shared" si="25"/>
        <v>0</v>
      </c>
      <c r="G93" s="24"/>
      <c r="H93" s="24"/>
      <c r="I93" s="25">
        <f t="shared" si="26"/>
        <v>0</v>
      </c>
      <c r="J93" s="71"/>
      <c r="K93" s="71"/>
      <c r="L93" s="71"/>
      <c r="M93" s="71"/>
      <c r="N93" s="71"/>
      <c r="O93" s="71"/>
      <c r="P93" s="71"/>
      <c r="Q93" s="71"/>
      <c r="R93" s="71"/>
    </row>
    <row r="94" spans="2:18" x14ac:dyDescent="0.25">
      <c r="B94" s="58" t="s">
        <v>246</v>
      </c>
      <c r="C94" s="66" t="s">
        <v>247</v>
      </c>
      <c r="D94" s="25">
        <f t="shared" ref="D94:I94" si="27">SUM(D83:D93)</f>
        <v>33541000</v>
      </c>
      <c r="E94" s="25">
        <f t="shared" si="27"/>
        <v>141239000</v>
      </c>
      <c r="F94" s="25">
        <f t="shared" si="27"/>
        <v>174780000</v>
      </c>
      <c r="G94" s="25">
        <f t="shared" si="27"/>
        <v>0</v>
      </c>
      <c r="H94" s="25">
        <f t="shared" si="27"/>
        <v>0</v>
      </c>
      <c r="I94" s="25">
        <f t="shared" si="27"/>
        <v>0</v>
      </c>
      <c r="J94" s="71"/>
      <c r="K94" s="71"/>
      <c r="L94" s="71"/>
      <c r="M94" s="71"/>
      <c r="N94" s="71"/>
      <c r="O94" s="71"/>
      <c r="P94" s="71"/>
      <c r="Q94" s="71"/>
      <c r="R94" s="71"/>
    </row>
    <row r="95" spans="2:18" x14ac:dyDescent="0.25">
      <c r="B95" s="67" t="s">
        <v>248</v>
      </c>
      <c r="C95" s="65" t="s">
        <v>249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71"/>
      <c r="K95" s="71"/>
      <c r="L95" s="71"/>
      <c r="M95" s="71"/>
      <c r="N95" s="71"/>
      <c r="O95" s="71"/>
      <c r="P95" s="71"/>
      <c r="Q95" s="71"/>
      <c r="R95" s="71"/>
    </row>
    <row r="96" spans="2:18" x14ac:dyDescent="0.25">
      <c r="B96" s="67" t="s">
        <v>250</v>
      </c>
      <c r="C96" s="65" t="s">
        <v>251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71"/>
      <c r="K96" s="71"/>
      <c r="L96" s="71"/>
      <c r="M96" s="71"/>
      <c r="N96" s="71"/>
      <c r="O96" s="71"/>
      <c r="P96" s="71"/>
      <c r="Q96" s="71"/>
      <c r="R96" s="71"/>
    </row>
    <row r="97" spans="2:18" x14ac:dyDescent="0.25">
      <c r="B97" s="67" t="s">
        <v>252</v>
      </c>
      <c r="C97" s="65" t="s">
        <v>253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71"/>
      <c r="K97" s="71"/>
      <c r="L97" s="71"/>
      <c r="M97" s="71"/>
      <c r="N97" s="71"/>
      <c r="O97" s="71"/>
      <c r="P97" s="71"/>
      <c r="Q97" s="71"/>
      <c r="R97" s="71"/>
    </row>
    <row r="98" spans="2:18" hidden="1" x14ac:dyDescent="0.25">
      <c r="B98" s="67" t="s">
        <v>254</v>
      </c>
      <c r="C98" s="65" t="s">
        <v>255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71"/>
      <c r="K98" s="71"/>
      <c r="L98" s="71"/>
      <c r="M98" s="71"/>
      <c r="N98" s="71"/>
      <c r="O98" s="71"/>
      <c r="P98" s="71"/>
      <c r="Q98" s="71"/>
      <c r="R98" s="71"/>
    </row>
    <row r="99" spans="2:18" hidden="1" x14ac:dyDescent="0.25">
      <c r="B99" s="67" t="s">
        <v>256</v>
      </c>
      <c r="C99" s="65" t="s">
        <v>257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71"/>
      <c r="K99" s="71"/>
      <c r="L99" s="71"/>
      <c r="M99" s="71"/>
      <c r="N99" s="71"/>
      <c r="O99" s="71"/>
      <c r="P99" s="71"/>
      <c r="Q99" s="71"/>
      <c r="R99" s="71"/>
    </row>
    <row r="100" spans="2:18" x14ac:dyDescent="0.25">
      <c r="B100" s="57" t="s">
        <v>258</v>
      </c>
      <c r="C100" s="66" t="s">
        <v>259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0</v>
      </c>
      <c r="I100" s="25">
        <f t="shared" si="28"/>
        <v>0</v>
      </c>
      <c r="J100" s="71"/>
      <c r="K100" s="71"/>
      <c r="L100" s="71"/>
      <c r="M100" s="71"/>
      <c r="N100" s="71"/>
      <c r="O100" s="71"/>
      <c r="P100" s="71"/>
      <c r="Q100" s="71"/>
      <c r="R100" s="71"/>
    </row>
    <row r="101" spans="2:18" x14ac:dyDescent="0.25">
      <c r="B101" s="57" t="s">
        <v>260</v>
      </c>
      <c r="C101" s="66" t="s">
        <v>261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  <c r="J101" s="71"/>
      <c r="K101" s="71"/>
      <c r="L101" s="71"/>
      <c r="M101" s="71"/>
      <c r="N101" s="71"/>
      <c r="O101" s="71"/>
      <c r="P101" s="71"/>
      <c r="Q101" s="71"/>
      <c r="R101" s="71"/>
    </row>
    <row r="102" spans="2:18" hidden="1" x14ac:dyDescent="0.25">
      <c r="B102" s="67" t="s">
        <v>262</v>
      </c>
      <c r="C102" s="65" t="s">
        <v>263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71"/>
      <c r="K102" s="71"/>
      <c r="L102" s="71"/>
      <c r="M102" s="71"/>
      <c r="N102" s="71"/>
      <c r="O102" s="71"/>
      <c r="P102" s="71"/>
      <c r="Q102" s="71"/>
      <c r="R102" s="71"/>
    </row>
    <row r="103" spans="2:18" hidden="1" x14ac:dyDescent="0.25">
      <c r="B103" s="54" t="s">
        <v>264</v>
      </c>
      <c r="C103" s="65" t="s">
        <v>265</v>
      </c>
      <c r="D103" s="24"/>
      <c r="E103" s="24"/>
      <c r="F103" s="25"/>
      <c r="G103" s="24"/>
      <c r="H103" s="24"/>
      <c r="I103" s="25"/>
      <c r="J103" s="71"/>
      <c r="K103" s="71"/>
      <c r="L103" s="71"/>
      <c r="M103" s="71"/>
      <c r="N103" s="71"/>
      <c r="O103" s="71"/>
      <c r="P103" s="71"/>
      <c r="Q103" s="71"/>
      <c r="R103" s="71"/>
    </row>
    <row r="104" spans="2:18" ht="31.5" hidden="1" x14ac:dyDescent="0.25">
      <c r="B104" s="67" t="s">
        <v>266</v>
      </c>
      <c r="C104" s="65" t="s">
        <v>267</v>
      </c>
      <c r="D104" s="24"/>
      <c r="E104" s="24"/>
      <c r="F104" s="25"/>
      <c r="G104" s="24"/>
      <c r="H104" s="24"/>
      <c r="I104" s="25"/>
      <c r="J104" s="71"/>
      <c r="K104" s="71"/>
      <c r="L104" s="71"/>
      <c r="M104" s="71"/>
      <c r="N104" s="71"/>
      <c r="O104" s="71"/>
      <c r="P104" s="71"/>
      <c r="Q104" s="71"/>
      <c r="R104" s="71"/>
    </row>
    <row r="105" spans="2:18" hidden="1" x14ac:dyDescent="0.25">
      <c r="B105" s="67" t="s">
        <v>268</v>
      </c>
      <c r="C105" s="65" t="s">
        <v>269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71"/>
      <c r="K105" s="71"/>
      <c r="L105" s="71"/>
      <c r="M105" s="71"/>
      <c r="N105" s="71"/>
      <c r="O105" s="71"/>
      <c r="P105" s="71"/>
      <c r="Q105" s="71"/>
      <c r="R105" s="71"/>
    </row>
    <row r="106" spans="2:18" x14ac:dyDescent="0.25">
      <c r="B106" s="67" t="s">
        <v>270</v>
      </c>
      <c r="C106" s="65" t="s">
        <v>271</v>
      </c>
      <c r="D106" s="24">
        <v>4000000</v>
      </c>
      <c r="E106" s="24"/>
      <c r="F106" s="25">
        <f>+E106+D106</f>
        <v>4000000</v>
      </c>
      <c r="G106" s="24">
        <v>0</v>
      </c>
      <c r="H106" s="24"/>
      <c r="I106" s="25">
        <f>+H106+G106</f>
        <v>0</v>
      </c>
      <c r="J106" s="71"/>
      <c r="K106" s="71"/>
      <c r="L106" s="71"/>
      <c r="M106" s="71"/>
      <c r="N106" s="71"/>
      <c r="O106" s="71"/>
      <c r="P106" s="71"/>
      <c r="Q106" s="71"/>
      <c r="R106" s="71"/>
    </row>
    <row r="107" spans="2:18" x14ac:dyDescent="0.25">
      <c r="B107" s="57" t="s">
        <v>272</v>
      </c>
      <c r="C107" s="66" t="s">
        <v>273</v>
      </c>
      <c r="D107" s="25">
        <f t="shared" ref="D107:I107" si="29">SUM(D102:D106)</f>
        <v>4000000</v>
      </c>
      <c r="E107" s="25">
        <f t="shared" si="29"/>
        <v>0</v>
      </c>
      <c r="F107" s="25">
        <f t="shared" si="29"/>
        <v>4000000</v>
      </c>
      <c r="G107" s="25">
        <f t="shared" si="29"/>
        <v>0</v>
      </c>
      <c r="H107" s="25">
        <f t="shared" si="29"/>
        <v>0</v>
      </c>
      <c r="I107" s="25">
        <f t="shared" si="29"/>
        <v>0</v>
      </c>
      <c r="J107" s="71"/>
      <c r="K107" s="71"/>
      <c r="L107" s="71"/>
      <c r="M107" s="71"/>
      <c r="N107" s="71"/>
      <c r="O107" s="71"/>
      <c r="P107" s="71"/>
      <c r="Q107" s="71"/>
      <c r="R107" s="71"/>
    </row>
    <row r="108" spans="2:18" x14ac:dyDescent="0.25">
      <c r="B108" s="82" t="s">
        <v>274</v>
      </c>
      <c r="C108" s="68" t="s">
        <v>275</v>
      </c>
      <c r="D108" s="70">
        <f t="shared" ref="D108:I108" si="30">+D107+D101+D100+D94+D82+D75+D74</f>
        <v>139167000</v>
      </c>
      <c r="E108" s="70">
        <f t="shared" si="30"/>
        <v>219256000</v>
      </c>
      <c r="F108" s="70">
        <f t="shared" si="30"/>
        <v>358423000</v>
      </c>
      <c r="G108" s="70">
        <f t="shared" si="30"/>
        <v>0</v>
      </c>
      <c r="H108" s="70">
        <f t="shared" si="30"/>
        <v>0</v>
      </c>
      <c r="I108" s="70">
        <f t="shared" si="30"/>
        <v>0</v>
      </c>
      <c r="J108" s="71"/>
      <c r="K108" s="71"/>
      <c r="L108" s="71"/>
      <c r="M108" s="71"/>
      <c r="N108" s="71"/>
      <c r="O108" s="71"/>
      <c r="P108" s="71"/>
      <c r="Q108" s="71"/>
      <c r="R108" s="71"/>
    </row>
    <row r="109" spans="2:18" x14ac:dyDescent="0.25">
      <c r="B109" s="83" t="s">
        <v>276</v>
      </c>
      <c r="C109" s="84"/>
      <c r="D109" s="85">
        <f>+D101+D94+D82+D74-D33</f>
        <v>-152246000</v>
      </c>
      <c r="E109" s="85">
        <f>+E101+E94+E82+E74-E33</f>
        <v>-54172000</v>
      </c>
      <c r="F109" s="85">
        <f t="shared" ref="F109:F116" si="31">+E109+D109</f>
        <v>-206418000</v>
      </c>
      <c r="G109" s="85">
        <f>+G101+G94+G82+G74-G33</f>
        <v>0</v>
      </c>
      <c r="H109" s="85">
        <f>+H101+H94+H82+H74-H33</f>
        <v>0</v>
      </c>
      <c r="I109" s="85">
        <f t="shared" ref="I109:I116" si="32">+H109+G109</f>
        <v>0</v>
      </c>
      <c r="J109" s="71"/>
      <c r="K109" s="71"/>
      <c r="L109" s="71"/>
      <c r="M109" s="71"/>
      <c r="N109" s="71"/>
      <c r="O109" s="71"/>
      <c r="P109" s="71"/>
      <c r="Q109" s="71"/>
      <c r="R109" s="71"/>
    </row>
    <row r="110" spans="2:18" x14ac:dyDescent="0.25">
      <c r="B110" s="83" t="s">
        <v>277</v>
      </c>
      <c r="C110" s="84"/>
      <c r="D110" s="85">
        <f>+D107+D100+D75-D57</f>
        <v>-26355000</v>
      </c>
      <c r="E110" s="85">
        <f>+E107+E100+E75-E57</f>
        <v>-22665000</v>
      </c>
      <c r="F110" s="85">
        <f t="shared" si="31"/>
        <v>-49020000</v>
      </c>
      <c r="G110" s="85">
        <f>+G107+G100+G75-G57</f>
        <v>0</v>
      </c>
      <c r="H110" s="85">
        <f>+H107+H100+H75-H57</f>
        <v>0</v>
      </c>
      <c r="I110" s="85">
        <f t="shared" si="32"/>
        <v>0</v>
      </c>
      <c r="J110" s="71"/>
      <c r="K110" s="71"/>
      <c r="L110" s="71"/>
      <c r="M110" s="71"/>
      <c r="N110" s="71"/>
      <c r="O110" s="71"/>
      <c r="P110" s="71"/>
      <c r="Q110" s="71"/>
      <c r="R110" s="71"/>
    </row>
    <row r="111" spans="2:18" hidden="1" x14ac:dyDescent="0.25">
      <c r="B111" s="58" t="s">
        <v>635</v>
      </c>
      <c r="C111" s="57" t="s">
        <v>285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18" hidden="1" x14ac:dyDescent="0.25">
      <c r="B112" s="75" t="s">
        <v>636</v>
      </c>
      <c r="C112" s="57" t="s">
        <v>295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4" t="s">
        <v>296</v>
      </c>
      <c r="C113" s="54" t="s">
        <v>297</v>
      </c>
      <c r="D113" s="24">
        <v>62219000</v>
      </c>
      <c r="E113" s="24">
        <v>53369000</v>
      </c>
      <c r="F113" s="25">
        <f t="shared" si="31"/>
        <v>115588000</v>
      </c>
      <c r="G113" s="24">
        <v>0</v>
      </c>
      <c r="H113" s="24">
        <v>0</v>
      </c>
      <c r="I113" s="25">
        <f t="shared" si="32"/>
        <v>0</v>
      </c>
    </row>
    <row r="114" spans="1:9" x14ac:dyDescent="0.25">
      <c r="A114" s="89" t="s">
        <v>335</v>
      </c>
      <c r="B114" s="54" t="s">
        <v>298</v>
      </c>
      <c r="C114" s="54" t="s">
        <v>297</v>
      </c>
      <c r="D114" s="24">
        <v>16763000</v>
      </c>
      <c r="E114" s="24"/>
      <c r="F114" s="25">
        <f t="shared" si="31"/>
        <v>16763000</v>
      </c>
      <c r="G114" s="24"/>
      <c r="H114" s="24"/>
      <c r="I114" s="25">
        <f t="shared" si="32"/>
        <v>0</v>
      </c>
    </row>
    <row r="115" spans="1:9" hidden="1" x14ac:dyDescent="0.25">
      <c r="B115" s="54" t="s">
        <v>299</v>
      </c>
      <c r="C115" s="54" t="s">
        <v>300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hidden="1" x14ac:dyDescent="0.25">
      <c r="A116"/>
      <c r="B116" s="54" t="s">
        <v>301</v>
      </c>
      <c r="C116" s="54" t="s">
        <v>300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89" t="s">
        <v>648</v>
      </c>
      <c r="B117" s="57" t="s">
        <v>302</v>
      </c>
      <c r="C117" s="57" t="s">
        <v>303</v>
      </c>
      <c r="D117" s="25">
        <f t="shared" ref="D117:I117" si="33">SUM(D113:D116)</f>
        <v>78982000</v>
      </c>
      <c r="E117" s="25">
        <f t="shared" si="33"/>
        <v>53369000</v>
      </c>
      <c r="F117" s="25">
        <f t="shared" si="33"/>
        <v>132351000</v>
      </c>
      <c r="G117" s="25">
        <f t="shared" si="33"/>
        <v>0</v>
      </c>
      <c r="H117" s="25">
        <f t="shared" si="33"/>
        <v>0</v>
      </c>
      <c r="I117" s="25">
        <f t="shared" si="33"/>
        <v>0</v>
      </c>
    </row>
    <row r="118" spans="1:9" hidden="1" x14ac:dyDescent="0.25">
      <c r="A118"/>
      <c r="B118" s="73" t="s">
        <v>304</v>
      </c>
      <c r="C118" s="54" t="s">
        <v>305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3" t="s">
        <v>306</v>
      </c>
      <c r="C119" s="54" t="s">
        <v>307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654</v>
      </c>
      <c r="B120" s="73" t="s">
        <v>308</v>
      </c>
      <c r="C120" s="54" t="s">
        <v>309</v>
      </c>
      <c r="D120" s="24">
        <v>99619000</v>
      </c>
      <c r="E120" s="24">
        <v>23468000</v>
      </c>
      <c r="F120" s="25">
        <f t="shared" si="34"/>
        <v>123087000</v>
      </c>
      <c r="G120" s="24">
        <v>0</v>
      </c>
      <c r="H120" s="24">
        <v>0</v>
      </c>
      <c r="I120" s="25">
        <f t="shared" si="35"/>
        <v>0</v>
      </c>
    </row>
    <row r="121" spans="1:9" s="255" customFormat="1" x14ac:dyDescent="0.25">
      <c r="B121" s="256" t="s">
        <v>650</v>
      </c>
      <c r="C121" s="151"/>
      <c r="D121" s="104">
        <v>0</v>
      </c>
      <c r="E121" s="104">
        <v>0</v>
      </c>
      <c r="F121" s="137">
        <f t="shared" si="34"/>
        <v>0</v>
      </c>
      <c r="G121" s="104">
        <v>19339</v>
      </c>
      <c r="H121" s="104">
        <v>0</v>
      </c>
      <c r="I121" s="137">
        <f t="shared" si="35"/>
        <v>19339</v>
      </c>
    </row>
    <row r="122" spans="1:9" s="255" customFormat="1" x14ac:dyDescent="0.25">
      <c r="B122" s="257" t="s">
        <v>640</v>
      </c>
      <c r="C122" s="151"/>
      <c r="D122" s="104">
        <f>+D120-D121</f>
        <v>99619000</v>
      </c>
      <c r="E122" s="104">
        <f>+E120-E121</f>
        <v>23468000</v>
      </c>
      <c r="F122" s="137">
        <f t="shared" si="34"/>
        <v>123087000</v>
      </c>
      <c r="G122" s="24">
        <v>0</v>
      </c>
      <c r="H122" s="104">
        <f>+H120-H121</f>
        <v>0</v>
      </c>
      <c r="I122" s="137">
        <f t="shared" si="35"/>
        <v>0</v>
      </c>
    </row>
    <row r="123" spans="1:9" hidden="1" x14ac:dyDescent="0.25">
      <c r="B123" s="73" t="s">
        <v>310</v>
      </c>
      <c r="C123" s="54" t="s">
        <v>311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7" t="s">
        <v>312</v>
      </c>
      <c r="C124" s="54" t="s">
        <v>313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7" t="s">
        <v>314</v>
      </c>
      <c r="C125" s="54" t="s">
        <v>315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8" t="s">
        <v>316</v>
      </c>
      <c r="C126" s="57" t="s">
        <v>317</v>
      </c>
      <c r="D126" s="25">
        <f>SUM(D118:D125)+D117+D112+D111-D121-D122</f>
        <v>178601000</v>
      </c>
      <c r="E126" s="25">
        <f>SUM(E118:E125)+E117+E112+E111-E121-E122</f>
        <v>76837000</v>
      </c>
      <c r="F126" s="25">
        <f>SUM(F118:F124)+F117+F112+F111-F121-F122</f>
        <v>255438000</v>
      </c>
      <c r="G126" s="25">
        <f>SUM(G118:G125)+G117+G112+G111-G121-G122</f>
        <v>0</v>
      </c>
      <c r="H126" s="25">
        <f>SUM(H118:H125)+H117+H112+H111-H121-H122</f>
        <v>0</v>
      </c>
      <c r="I126" s="25">
        <f>SUM(I118:I124)+I117+I112+I111-I121-I122</f>
        <v>0</v>
      </c>
    </row>
    <row r="127" spans="1:9" hidden="1" x14ac:dyDescent="0.25">
      <c r="B127" s="73" t="s">
        <v>318</v>
      </c>
      <c r="C127" s="54" t="s">
        <v>319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7" t="s">
        <v>320</v>
      </c>
      <c r="C128" s="54" t="s">
        <v>321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7" t="s">
        <v>322</v>
      </c>
      <c r="C129" s="54" t="s">
        <v>323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6" t="s">
        <v>324</v>
      </c>
      <c r="C130" s="77" t="s">
        <v>325</v>
      </c>
      <c r="D130" s="70">
        <f>+D128+D127+D126+D129</f>
        <v>178601000</v>
      </c>
      <c r="E130" s="70">
        <f>+E128+E127+E126+E129</f>
        <v>76837000</v>
      </c>
      <c r="F130" s="70">
        <f>+F129+F127+F126</f>
        <v>255438000</v>
      </c>
      <c r="G130" s="70">
        <f>+G128+G127+G126+G129</f>
        <v>0</v>
      </c>
      <c r="H130" s="70">
        <f>+H128+H127+H126+H129</f>
        <v>0</v>
      </c>
      <c r="I130" s="70">
        <f>+I129+I127+I126</f>
        <v>0</v>
      </c>
    </row>
    <row r="131" spans="2:9" x14ac:dyDescent="0.25">
      <c r="B131" s="28" t="s">
        <v>326</v>
      </c>
      <c r="C131" s="28" t="s">
        <v>327</v>
      </c>
      <c r="D131" s="29">
        <f t="shared" ref="D131:I131" si="36">+D108+D130</f>
        <v>317768000</v>
      </c>
      <c r="E131" s="29">
        <f t="shared" si="36"/>
        <v>296093000</v>
      </c>
      <c r="F131" s="29">
        <f t="shared" si="36"/>
        <v>613861000</v>
      </c>
      <c r="G131" s="29">
        <f t="shared" si="36"/>
        <v>0</v>
      </c>
      <c r="H131" s="29">
        <f t="shared" si="36"/>
        <v>0</v>
      </c>
      <c r="I131" s="29">
        <f t="shared" si="36"/>
        <v>0</v>
      </c>
    </row>
    <row r="132" spans="2:9" x14ac:dyDescent="0.25">
      <c r="B132" s="13"/>
      <c r="C132" s="13"/>
      <c r="D132" s="14"/>
      <c r="E132" s="14"/>
      <c r="F132" s="86"/>
      <c r="G132" s="14"/>
      <c r="H132" s="14"/>
      <c r="I132" s="86"/>
    </row>
    <row r="133" spans="2:9" x14ac:dyDescent="0.25">
      <c r="B133" s="26" t="s">
        <v>328</v>
      </c>
      <c r="C133" s="26"/>
      <c r="D133" s="25">
        <f t="shared" ref="D133:I133" si="37">+D108-D58</f>
        <v>-178601000</v>
      </c>
      <c r="E133" s="25">
        <f t="shared" si="37"/>
        <v>-76837000</v>
      </c>
      <c r="F133" s="25">
        <f t="shared" si="37"/>
        <v>-255438000</v>
      </c>
      <c r="G133" s="25">
        <f t="shared" si="37"/>
        <v>0</v>
      </c>
      <c r="H133" s="25">
        <f t="shared" si="37"/>
        <v>0</v>
      </c>
      <c r="I133" s="25">
        <f t="shared" si="37"/>
        <v>0</v>
      </c>
    </row>
    <row r="134" spans="2:9" x14ac:dyDescent="0.25">
      <c r="B134" s="26" t="s">
        <v>329</v>
      </c>
      <c r="C134" s="26"/>
      <c r="D134" s="25">
        <f t="shared" ref="D134:I134" si="38">+D130-D63</f>
        <v>178601000</v>
      </c>
      <c r="E134" s="25">
        <f t="shared" si="38"/>
        <v>76837000</v>
      </c>
      <c r="F134" s="25">
        <f t="shared" si="38"/>
        <v>255438000</v>
      </c>
      <c r="G134" s="25">
        <f t="shared" si="38"/>
        <v>0</v>
      </c>
      <c r="H134" s="25">
        <f t="shared" si="38"/>
        <v>0</v>
      </c>
      <c r="I134" s="25">
        <f t="shared" si="38"/>
        <v>0</v>
      </c>
    </row>
    <row r="135" spans="2:9" x14ac:dyDescent="0.25">
      <c r="B135" s="13"/>
      <c r="C135" s="13"/>
      <c r="D135" s="14"/>
      <c r="E135" s="14"/>
      <c r="F135" s="86"/>
      <c r="G135" s="14"/>
      <c r="H135" s="14"/>
      <c r="I135" s="86"/>
    </row>
    <row r="136" spans="2:9" x14ac:dyDescent="0.25">
      <c r="B136" s="88" t="s">
        <v>332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0</v>
      </c>
      <c r="H136" s="14">
        <f t="shared" si="39"/>
        <v>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86"/>
      <c r="G137" s="14"/>
      <c r="H137" s="14"/>
      <c r="I137" s="86"/>
    </row>
    <row r="138" spans="2:9" x14ac:dyDescent="0.25">
      <c r="B138" s="13"/>
      <c r="C138" s="13"/>
      <c r="D138" s="14"/>
      <c r="E138" s="14"/>
      <c r="F138" s="86"/>
      <c r="G138" s="14"/>
      <c r="H138" s="14"/>
      <c r="I138" s="86"/>
    </row>
    <row r="139" spans="2:9" x14ac:dyDescent="0.25">
      <c r="B139" s="13"/>
      <c r="C139" s="13"/>
      <c r="D139" s="14"/>
      <c r="E139" s="14"/>
      <c r="F139" s="86"/>
      <c r="G139" s="14"/>
      <c r="H139" s="14"/>
      <c r="I139" s="86"/>
    </row>
    <row r="140" spans="2:9" x14ac:dyDescent="0.25">
      <c r="B140" s="13"/>
      <c r="C140" s="13"/>
      <c r="D140" s="14"/>
      <c r="E140" s="14"/>
      <c r="F140" s="86"/>
      <c r="G140" s="14"/>
      <c r="H140" s="14"/>
      <c r="I140" s="86"/>
    </row>
    <row r="141" spans="2:9" x14ac:dyDescent="0.25">
      <c r="B141" s="13"/>
      <c r="C141" s="13"/>
      <c r="D141" s="14"/>
      <c r="E141" s="14"/>
      <c r="F141" s="86"/>
      <c r="G141" s="14"/>
      <c r="H141" s="14"/>
      <c r="I141" s="86"/>
    </row>
    <row r="142" spans="2:9" x14ac:dyDescent="0.25">
      <c r="B142" s="13"/>
      <c r="C142" s="13"/>
      <c r="D142" s="14"/>
      <c r="E142" s="14"/>
      <c r="F142" s="86"/>
      <c r="G142" s="14"/>
      <c r="H142" s="14"/>
      <c r="I142" s="86"/>
    </row>
    <row r="143" spans="2:9" x14ac:dyDescent="0.25">
      <c r="B143" s="13"/>
      <c r="C143" s="13"/>
      <c r="D143" s="14"/>
      <c r="E143" s="14"/>
      <c r="F143" s="86"/>
      <c r="G143" s="14"/>
      <c r="H143" s="14"/>
      <c r="I143" s="86"/>
    </row>
    <row r="144" spans="2:9" x14ac:dyDescent="0.25">
      <c r="B144" s="13"/>
      <c r="C144" s="13"/>
      <c r="D144" s="14"/>
      <c r="E144" s="14"/>
      <c r="F144" s="86"/>
      <c r="G144" s="14"/>
      <c r="H144" s="14"/>
      <c r="I144" s="86"/>
    </row>
    <row r="145" spans="2:9" x14ac:dyDescent="0.25">
      <c r="B145" s="13"/>
      <c r="C145" s="13"/>
      <c r="D145" s="14"/>
      <c r="E145" s="14"/>
      <c r="F145" s="86"/>
      <c r="G145" s="14"/>
      <c r="H145" s="14"/>
      <c r="I145" s="86"/>
    </row>
    <row r="146" spans="2:9" x14ac:dyDescent="0.25">
      <c r="B146" s="13"/>
      <c r="C146" s="13"/>
      <c r="D146" s="14"/>
      <c r="E146" s="14"/>
      <c r="F146" s="86"/>
      <c r="G146" s="14"/>
      <c r="H146" s="14"/>
      <c r="I146" s="86"/>
    </row>
    <row r="147" spans="2:9" x14ac:dyDescent="0.25">
      <c r="B147" s="13"/>
      <c r="C147" s="13"/>
      <c r="D147" s="14"/>
      <c r="E147" s="14"/>
      <c r="F147" s="86"/>
      <c r="G147" s="14"/>
      <c r="H147" s="14"/>
      <c r="I147" s="86"/>
    </row>
    <row r="148" spans="2:9" x14ac:dyDescent="0.25">
      <c r="B148" s="13"/>
      <c r="C148" s="13"/>
      <c r="D148" s="14"/>
      <c r="E148" s="14"/>
      <c r="F148" s="86"/>
      <c r="G148" s="14"/>
      <c r="H148" s="14"/>
      <c r="I148" s="86"/>
    </row>
    <row r="149" spans="2:9" x14ac:dyDescent="0.25">
      <c r="B149" s="13"/>
      <c r="C149" s="13"/>
      <c r="D149" s="14"/>
      <c r="E149" s="14"/>
      <c r="F149" s="86"/>
      <c r="G149" s="14"/>
      <c r="H149" s="14"/>
      <c r="I149" s="86"/>
    </row>
    <row r="150" spans="2:9" x14ac:dyDescent="0.25">
      <c r="B150" s="13"/>
      <c r="C150" s="13"/>
      <c r="D150" s="14"/>
      <c r="E150" s="14"/>
      <c r="F150" s="86"/>
      <c r="G150" s="14"/>
      <c r="H150" s="14"/>
      <c r="I150" s="86"/>
    </row>
    <row r="151" spans="2:9" x14ac:dyDescent="0.25">
      <c r="B151" s="13"/>
      <c r="C151" s="13"/>
      <c r="D151" s="14"/>
      <c r="E151" s="14"/>
      <c r="F151" s="86"/>
      <c r="G151" s="14"/>
      <c r="H151" s="14"/>
      <c r="I151" s="86"/>
    </row>
    <row r="152" spans="2:9" x14ac:dyDescent="0.25">
      <c r="B152" s="13"/>
      <c r="C152" s="13"/>
      <c r="D152" s="14"/>
      <c r="E152" s="14"/>
      <c r="F152" s="86"/>
      <c r="G152" s="14"/>
      <c r="H152" s="14"/>
      <c r="I152" s="86"/>
    </row>
    <row r="153" spans="2:9" x14ac:dyDescent="0.25">
      <c r="B153" s="13"/>
      <c r="C153" s="13"/>
      <c r="D153" s="14"/>
      <c r="E153" s="14"/>
      <c r="F153" s="86"/>
      <c r="G153" s="14"/>
      <c r="H153" s="14"/>
      <c r="I153" s="86"/>
    </row>
    <row r="154" spans="2:9" x14ac:dyDescent="0.25">
      <c r="B154" s="13"/>
      <c r="C154" s="13"/>
      <c r="D154" s="14"/>
      <c r="E154" s="14"/>
      <c r="F154" s="86"/>
      <c r="G154" s="14"/>
      <c r="H154" s="14"/>
      <c r="I154" s="86"/>
    </row>
    <row r="155" spans="2:9" x14ac:dyDescent="0.25">
      <c r="B155" s="13"/>
      <c r="C155" s="13"/>
      <c r="D155" s="14"/>
      <c r="E155" s="14"/>
      <c r="F155" s="86"/>
      <c r="G155" s="14"/>
      <c r="H155" s="14"/>
      <c r="I155" s="86"/>
    </row>
    <row r="156" spans="2:9" x14ac:dyDescent="0.25">
      <c r="B156" s="13"/>
      <c r="C156" s="13"/>
      <c r="D156" s="14"/>
      <c r="E156" s="14"/>
      <c r="F156" s="86"/>
      <c r="G156" s="14"/>
      <c r="H156" s="14"/>
      <c r="I156" s="86"/>
    </row>
    <row r="157" spans="2:9" x14ac:dyDescent="0.25">
      <c r="B157" s="13"/>
      <c r="C157" s="13"/>
      <c r="D157" s="14"/>
      <c r="E157" s="14"/>
      <c r="F157" s="86"/>
      <c r="G157" s="14"/>
      <c r="H157" s="14"/>
      <c r="I157" s="86"/>
    </row>
    <row r="158" spans="2:9" x14ac:dyDescent="0.25">
      <c r="B158" s="13"/>
      <c r="C158" s="13"/>
      <c r="D158" s="14"/>
      <c r="E158" s="14"/>
      <c r="F158" s="86"/>
      <c r="G158" s="14"/>
      <c r="H158" s="14"/>
      <c r="I158" s="86"/>
    </row>
    <row r="159" spans="2:9" x14ac:dyDescent="0.25">
      <c r="B159" s="13"/>
      <c r="C159" s="13"/>
      <c r="D159" s="14"/>
      <c r="E159" s="14"/>
      <c r="F159" s="86"/>
      <c r="G159" s="14"/>
      <c r="H159" s="14"/>
      <c r="I159" s="86"/>
    </row>
    <row r="160" spans="2:9" x14ac:dyDescent="0.25">
      <c r="B160" s="13"/>
      <c r="C160" s="13"/>
      <c r="D160" s="14"/>
      <c r="E160" s="14"/>
      <c r="F160" s="86"/>
      <c r="G160" s="14"/>
      <c r="H160" s="14"/>
      <c r="I160" s="86"/>
    </row>
    <row r="161" spans="2:9" x14ac:dyDescent="0.25">
      <c r="B161" s="13"/>
      <c r="C161" s="13"/>
      <c r="D161" s="14"/>
      <c r="E161" s="14"/>
      <c r="F161" s="86"/>
      <c r="G161" s="14"/>
      <c r="H161" s="14"/>
      <c r="I161" s="86"/>
    </row>
    <row r="162" spans="2:9" x14ac:dyDescent="0.25">
      <c r="B162" s="13"/>
      <c r="C162" s="13"/>
      <c r="D162" s="14"/>
      <c r="E162" s="14"/>
      <c r="F162" s="86"/>
      <c r="G162" s="14"/>
      <c r="H162" s="14"/>
      <c r="I162" s="86"/>
    </row>
    <row r="163" spans="2:9" x14ac:dyDescent="0.25">
      <c r="B163" s="13"/>
      <c r="C163" s="13"/>
      <c r="D163" s="14"/>
      <c r="E163" s="14"/>
      <c r="F163" s="86"/>
      <c r="G163" s="14"/>
      <c r="H163" s="14"/>
      <c r="I163" s="86"/>
    </row>
    <row r="164" spans="2:9" x14ac:dyDescent="0.25">
      <c r="B164" s="13"/>
      <c r="C164" s="13"/>
      <c r="D164" s="14"/>
      <c r="E164" s="14"/>
      <c r="F164" s="86"/>
      <c r="G164" s="14"/>
      <c r="H164" s="14"/>
      <c r="I164" s="86"/>
    </row>
    <row r="165" spans="2:9" x14ac:dyDescent="0.25">
      <c r="B165" s="13"/>
      <c r="C165" s="13"/>
      <c r="D165" s="14"/>
      <c r="E165" s="14"/>
      <c r="F165" s="86"/>
      <c r="G165" s="14"/>
      <c r="H165" s="14"/>
      <c r="I165" s="86"/>
    </row>
    <row r="166" spans="2:9" x14ac:dyDescent="0.25">
      <c r="B166" s="13"/>
      <c r="C166" s="13"/>
      <c r="D166" s="14"/>
      <c r="E166" s="14"/>
      <c r="F166" s="86"/>
      <c r="G166" s="14"/>
      <c r="H166" s="14"/>
      <c r="I166" s="86"/>
    </row>
    <row r="167" spans="2:9" x14ac:dyDescent="0.25">
      <c r="B167" s="13"/>
      <c r="C167" s="13"/>
      <c r="D167" s="14"/>
      <c r="E167" s="14"/>
      <c r="F167" s="86"/>
      <c r="G167" s="14"/>
      <c r="H167" s="14"/>
      <c r="I167" s="86"/>
    </row>
    <row r="168" spans="2:9" x14ac:dyDescent="0.25">
      <c r="B168" s="13"/>
      <c r="C168" s="13"/>
      <c r="D168" s="14"/>
      <c r="E168" s="14"/>
      <c r="F168" s="86"/>
      <c r="G168" s="14"/>
      <c r="H168" s="14"/>
      <c r="I168" s="86"/>
    </row>
    <row r="169" spans="2:9" x14ac:dyDescent="0.25">
      <c r="B169" s="13"/>
      <c r="C169" s="13"/>
      <c r="D169" s="14"/>
      <c r="E169" s="14"/>
      <c r="F169" s="86"/>
      <c r="G169" s="14"/>
      <c r="H169" s="14"/>
      <c r="I169" s="86"/>
    </row>
    <row r="170" spans="2:9" x14ac:dyDescent="0.25">
      <c r="B170" s="13"/>
      <c r="C170" s="13"/>
      <c r="D170" s="14"/>
      <c r="E170" s="14"/>
      <c r="F170" s="86"/>
      <c r="G170" s="14"/>
      <c r="H170" s="14"/>
      <c r="I170" s="86"/>
    </row>
    <row r="171" spans="2:9" x14ac:dyDescent="0.25">
      <c r="B171" s="13"/>
      <c r="C171" s="13"/>
      <c r="D171" s="14"/>
      <c r="E171" s="14"/>
      <c r="F171" s="86"/>
      <c r="G171" s="14"/>
      <c r="H171" s="14"/>
      <c r="I171" s="86"/>
    </row>
    <row r="172" spans="2:9" x14ac:dyDescent="0.25">
      <c r="B172" s="13"/>
      <c r="C172" s="13"/>
      <c r="D172" s="14"/>
      <c r="E172" s="14"/>
      <c r="F172" s="86"/>
      <c r="G172" s="14"/>
      <c r="H172" s="14"/>
      <c r="I172" s="86"/>
    </row>
    <row r="173" spans="2:9" x14ac:dyDescent="0.25">
      <c r="B173" s="13"/>
      <c r="C173" s="13"/>
      <c r="D173" s="14"/>
      <c r="E173" s="14"/>
      <c r="F173" s="86"/>
      <c r="G173" s="14"/>
      <c r="H173" s="14"/>
      <c r="I173" s="86"/>
    </row>
    <row r="174" spans="2:9" x14ac:dyDescent="0.25">
      <c r="B174" s="13"/>
      <c r="C174" s="13"/>
      <c r="D174" s="14"/>
      <c r="E174" s="14"/>
      <c r="F174" s="86"/>
      <c r="G174" s="14"/>
      <c r="H174" s="14"/>
      <c r="I174" s="86"/>
    </row>
    <row r="175" spans="2:9" x14ac:dyDescent="0.25">
      <c r="B175" s="13"/>
      <c r="C175" s="13"/>
      <c r="D175" s="14"/>
      <c r="E175" s="14"/>
      <c r="F175" s="86"/>
      <c r="G175" s="14"/>
      <c r="H175" s="14"/>
      <c r="I175" s="86"/>
    </row>
    <row r="176" spans="2:9" x14ac:dyDescent="0.25">
      <c r="B176" s="13"/>
      <c r="C176" s="13"/>
      <c r="D176" s="14"/>
      <c r="E176" s="14"/>
      <c r="F176" s="86"/>
      <c r="G176" s="14"/>
      <c r="H176" s="14"/>
      <c r="I176" s="86"/>
    </row>
    <row r="177" spans="2:9" x14ac:dyDescent="0.25">
      <c r="B177" s="13"/>
      <c r="C177" s="13"/>
      <c r="D177" s="14"/>
      <c r="E177" s="14"/>
      <c r="F177" s="86"/>
      <c r="G177" s="14"/>
      <c r="H177" s="14"/>
      <c r="I177" s="86"/>
    </row>
    <row r="178" spans="2:9" x14ac:dyDescent="0.25">
      <c r="B178" s="13"/>
      <c r="C178" s="13"/>
      <c r="D178" s="14"/>
      <c r="E178" s="14"/>
      <c r="F178" s="86"/>
      <c r="G178" s="14"/>
      <c r="H178" s="14"/>
      <c r="I178" s="86"/>
    </row>
    <row r="179" spans="2:9" x14ac:dyDescent="0.25">
      <c r="B179" s="13"/>
      <c r="C179" s="13"/>
      <c r="D179" s="14"/>
      <c r="E179" s="14"/>
      <c r="F179" s="86"/>
      <c r="G179" s="14"/>
      <c r="H179" s="14"/>
      <c r="I179" s="86"/>
    </row>
    <row r="180" spans="2:9" x14ac:dyDescent="0.25">
      <c r="B180" s="13"/>
      <c r="C180" s="13"/>
      <c r="D180" s="14"/>
      <c r="E180" s="14"/>
      <c r="F180" s="86"/>
      <c r="G180" s="14"/>
      <c r="H180" s="14"/>
      <c r="I180" s="86"/>
    </row>
    <row r="181" spans="2:9" x14ac:dyDescent="0.25">
      <c r="B181" s="13"/>
      <c r="C181" s="13"/>
      <c r="D181" s="14"/>
      <c r="E181" s="14"/>
      <c r="F181" s="86"/>
      <c r="G181" s="14"/>
      <c r="H181" s="14"/>
      <c r="I181" s="86"/>
    </row>
    <row r="182" spans="2:9" x14ac:dyDescent="0.25">
      <c r="B182" s="13"/>
      <c r="C182" s="13"/>
      <c r="D182" s="14"/>
      <c r="E182" s="14"/>
      <c r="F182" s="86"/>
      <c r="G182" s="14"/>
      <c r="H182" s="14"/>
      <c r="I182" s="86"/>
    </row>
    <row r="183" spans="2:9" x14ac:dyDescent="0.25">
      <c r="B183" s="13"/>
      <c r="C183" s="13"/>
      <c r="D183" s="14"/>
      <c r="E183" s="14"/>
      <c r="F183" s="86"/>
      <c r="G183" s="14"/>
      <c r="H183" s="14"/>
      <c r="I183" s="86"/>
    </row>
    <row r="184" spans="2:9" x14ac:dyDescent="0.25">
      <c r="B184" s="13"/>
      <c r="C184" s="13"/>
      <c r="D184" s="14"/>
      <c r="E184" s="14"/>
      <c r="F184" s="86"/>
      <c r="G184" s="14"/>
      <c r="H184" s="14"/>
      <c r="I184" s="86"/>
    </row>
    <row r="185" spans="2:9" x14ac:dyDescent="0.25">
      <c r="B185" s="13"/>
      <c r="C185" s="13"/>
      <c r="D185" s="14"/>
      <c r="E185" s="14"/>
      <c r="F185" s="86"/>
      <c r="G185" s="14"/>
      <c r="H185" s="14"/>
      <c r="I185" s="86"/>
    </row>
    <row r="186" spans="2:9" x14ac:dyDescent="0.25">
      <c r="B186" s="13"/>
      <c r="C186" s="13"/>
      <c r="D186" s="14"/>
      <c r="E186" s="14"/>
      <c r="F186" s="86"/>
      <c r="G186" s="14"/>
      <c r="H186" s="14"/>
      <c r="I186" s="86"/>
    </row>
    <row r="187" spans="2:9" x14ac:dyDescent="0.25">
      <c r="B187" s="13"/>
      <c r="C187" s="13"/>
      <c r="D187" s="14"/>
      <c r="E187" s="14"/>
      <c r="F187" s="86"/>
      <c r="G187" s="14"/>
      <c r="H187" s="14"/>
      <c r="I187" s="86"/>
    </row>
    <row r="188" spans="2:9" x14ac:dyDescent="0.25">
      <c r="B188" s="13"/>
      <c r="C188" s="13"/>
      <c r="D188" s="14"/>
      <c r="E188" s="14"/>
      <c r="F188" s="86"/>
      <c r="G188" s="14"/>
      <c r="H188" s="14"/>
      <c r="I188" s="86"/>
    </row>
    <row r="189" spans="2:9" x14ac:dyDescent="0.25">
      <c r="B189" s="13"/>
      <c r="C189" s="13"/>
      <c r="D189" s="14"/>
      <c r="E189" s="14"/>
      <c r="F189" s="86"/>
      <c r="G189" s="14"/>
      <c r="H189" s="14"/>
      <c r="I189" s="86"/>
    </row>
    <row r="190" spans="2:9" x14ac:dyDescent="0.25">
      <c r="B190" s="13"/>
      <c r="C190" s="13"/>
      <c r="D190" s="14"/>
      <c r="E190" s="14"/>
      <c r="F190" s="86"/>
      <c r="G190" s="14"/>
      <c r="H190" s="14"/>
      <c r="I190" s="86"/>
    </row>
    <row r="191" spans="2:9" x14ac:dyDescent="0.25">
      <c r="B191" s="13"/>
      <c r="C191" s="13"/>
      <c r="D191" s="14"/>
      <c r="E191" s="14"/>
      <c r="F191" s="86"/>
      <c r="G191" s="14"/>
      <c r="H191" s="14"/>
      <c r="I191" s="86"/>
    </row>
    <row r="192" spans="2:9" x14ac:dyDescent="0.25">
      <c r="B192" s="13"/>
      <c r="C192" s="13"/>
      <c r="D192" s="14"/>
      <c r="E192" s="14"/>
      <c r="F192" s="86"/>
      <c r="G192" s="14"/>
      <c r="H192" s="14"/>
      <c r="I192" s="86"/>
    </row>
    <row r="193" spans="2:9" x14ac:dyDescent="0.25">
      <c r="B193" s="13"/>
      <c r="C193" s="13"/>
      <c r="D193" s="14"/>
      <c r="E193" s="14"/>
      <c r="F193" s="86"/>
      <c r="G193" s="14"/>
      <c r="H193" s="14"/>
      <c r="I193" s="86"/>
    </row>
    <row r="194" spans="2:9" x14ac:dyDescent="0.25">
      <c r="B194" s="13"/>
      <c r="C194" s="13"/>
      <c r="D194" s="14"/>
      <c r="E194" s="14"/>
      <c r="F194" s="86"/>
      <c r="G194" s="14"/>
      <c r="H194" s="14"/>
      <c r="I194" s="86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60972222222222228" right="0.24513888888888888" top="0.59027777777777779" bottom="0.51180555555555551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F2" sqref="F2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9.85546875" style="30" customWidth="1"/>
    <col min="4" max="5" width="14.5703125" style="30" customWidth="1"/>
    <col min="6" max="6" width="14.5703125" style="31" customWidth="1"/>
    <col min="7" max="8" width="0" style="30" hidden="1" customWidth="1"/>
    <col min="9" max="9" width="0" style="31" hidden="1" customWidth="1"/>
    <col min="10" max="252" width="9.140625" style="30" customWidth="1"/>
  </cols>
  <sheetData>
    <row r="1" spans="2:9" s="13" customFormat="1" ht="18.75" x14ac:dyDescent="0.25">
      <c r="F1" s="15" t="s">
        <v>655</v>
      </c>
      <c r="I1" s="15" t="s">
        <v>656</v>
      </c>
    </row>
    <row r="2" spans="2:9" s="13" customFormat="1" ht="20.25" x14ac:dyDescent="0.3">
      <c r="B2" s="250" t="s">
        <v>4</v>
      </c>
      <c r="F2" s="16" t="s">
        <v>937</v>
      </c>
      <c r="I2" s="16" t="s">
        <v>11</v>
      </c>
    </row>
    <row r="3" spans="2:9" s="13" customFormat="1" x14ac:dyDescent="0.25">
      <c r="B3" s="44" t="s">
        <v>880</v>
      </c>
      <c r="C3" s="37"/>
      <c r="D3" s="37"/>
      <c r="E3" s="37"/>
      <c r="F3" s="38"/>
      <c r="G3" s="37"/>
      <c r="H3" s="37"/>
      <c r="I3" s="38"/>
    </row>
    <row r="4" spans="2:9" s="13" customFormat="1" x14ac:dyDescent="0.25">
      <c r="B4" s="42" t="s">
        <v>874</v>
      </c>
      <c r="C4" s="43"/>
      <c r="D4" s="43"/>
      <c r="E4" s="43"/>
      <c r="F4" s="44"/>
      <c r="G4" s="43"/>
      <c r="H4" s="43"/>
      <c r="I4" s="44"/>
    </row>
    <row r="5" spans="2:9" ht="15.75" customHeight="1" x14ac:dyDescent="0.25">
      <c r="B5" s="47"/>
      <c r="D5" s="469" t="s">
        <v>12</v>
      </c>
      <c r="E5" s="469"/>
      <c r="F5" s="469"/>
      <c r="G5" s="469" t="s">
        <v>13</v>
      </c>
      <c r="H5" s="469"/>
      <c r="I5" s="469"/>
    </row>
    <row r="6" spans="2:9" ht="47.25" x14ac:dyDescent="0.25">
      <c r="B6" s="19" t="s">
        <v>14</v>
      </c>
      <c r="C6" s="48" t="s">
        <v>41</v>
      </c>
      <c r="D6" s="49" t="s">
        <v>15</v>
      </c>
      <c r="E6" s="49" t="s">
        <v>16</v>
      </c>
      <c r="F6" s="170" t="s">
        <v>566</v>
      </c>
      <c r="G6" s="49" t="s">
        <v>15</v>
      </c>
      <c r="H6" s="49" t="s">
        <v>16</v>
      </c>
      <c r="I6" s="170" t="s">
        <v>566</v>
      </c>
    </row>
    <row r="7" spans="2:9" x14ac:dyDescent="0.25">
      <c r="B7" s="52" t="s">
        <v>42</v>
      </c>
      <c r="C7" s="53" t="s">
        <v>43</v>
      </c>
      <c r="D7" s="24">
        <v>27760000</v>
      </c>
      <c r="E7" s="24">
        <v>169896000</v>
      </c>
      <c r="F7" s="25">
        <f>+D7+E7</f>
        <v>197656000</v>
      </c>
      <c r="G7" s="24">
        <v>0</v>
      </c>
      <c r="H7" s="24">
        <v>0</v>
      </c>
      <c r="I7" s="25">
        <f>+G7+H7</f>
        <v>0</v>
      </c>
    </row>
    <row r="8" spans="2:9" x14ac:dyDescent="0.25">
      <c r="B8" s="54" t="s">
        <v>44</v>
      </c>
      <c r="C8" s="53" t="s">
        <v>45</v>
      </c>
      <c r="D8" s="24"/>
      <c r="E8" s="24">
        <v>4300000</v>
      </c>
      <c r="F8" s="25">
        <f>+D8+E8</f>
        <v>4300000</v>
      </c>
      <c r="G8" s="24"/>
      <c r="H8" s="24">
        <v>0</v>
      </c>
      <c r="I8" s="25">
        <f>+G8+H8</f>
        <v>0</v>
      </c>
    </row>
    <row r="9" spans="2:9" x14ac:dyDescent="0.25">
      <c r="B9" s="55" t="s">
        <v>46</v>
      </c>
      <c r="C9" s="56" t="s">
        <v>47</v>
      </c>
      <c r="D9" s="25">
        <f t="shared" ref="D9:I9" si="0">SUM(D7:D8)</f>
        <v>27760000</v>
      </c>
      <c r="E9" s="25">
        <f t="shared" si="0"/>
        <v>174196000</v>
      </c>
      <c r="F9" s="25">
        <f t="shared" si="0"/>
        <v>201956000</v>
      </c>
      <c r="G9" s="25">
        <f t="shared" si="0"/>
        <v>0</v>
      </c>
      <c r="H9" s="25">
        <f t="shared" si="0"/>
        <v>0</v>
      </c>
      <c r="I9" s="25">
        <f t="shared" si="0"/>
        <v>0</v>
      </c>
    </row>
    <row r="10" spans="2:9" x14ac:dyDescent="0.25">
      <c r="B10" s="57" t="s">
        <v>48</v>
      </c>
      <c r="C10" s="56" t="s">
        <v>49</v>
      </c>
      <c r="D10" s="24">
        <v>5507000</v>
      </c>
      <c r="E10" s="24">
        <v>33974000</v>
      </c>
      <c r="F10" s="25">
        <f t="shared" ref="F10:F15" si="1">+D10+E10</f>
        <v>39481000</v>
      </c>
      <c r="G10" s="24">
        <v>0</v>
      </c>
      <c r="H10" s="24">
        <v>0</v>
      </c>
      <c r="I10" s="25">
        <f t="shared" ref="I10:I15" si="2">+G10+H10</f>
        <v>0</v>
      </c>
    </row>
    <row r="11" spans="2:9" x14ac:dyDescent="0.25">
      <c r="B11" s="54" t="s">
        <v>50</v>
      </c>
      <c r="C11" s="53" t="s">
        <v>51</v>
      </c>
      <c r="D11" s="24">
        <v>600000</v>
      </c>
      <c r="E11" s="24">
        <v>48501000</v>
      </c>
      <c r="F11" s="25">
        <f t="shared" si="1"/>
        <v>49101000</v>
      </c>
      <c r="G11" s="24">
        <v>0</v>
      </c>
      <c r="H11" s="24">
        <v>0</v>
      </c>
      <c r="I11" s="25">
        <f t="shared" si="2"/>
        <v>0</v>
      </c>
    </row>
    <row r="12" spans="2:9" x14ac:dyDescent="0.25">
      <c r="B12" s="54" t="s">
        <v>52</v>
      </c>
      <c r="C12" s="53" t="s">
        <v>53</v>
      </c>
      <c r="D12" s="24">
        <v>200000</v>
      </c>
      <c r="E12" s="24">
        <v>7730000</v>
      </c>
      <c r="F12" s="25">
        <f t="shared" si="1"/>
        <v>7930000</v>
      </c>
      <c r="G12" s="24">
        <v>0</v>
      </c>
      <c r="H12" s="24">
        <v>0</v>
      </c>
      <c r="I12" s="25">
        <f t="shared" si="2"/>
        <v>0</v>
      </c>
    </row>
    <row r="13" spans="2:9" x14ac:dyDescent="0.25">
      <c r="B13" s="54" t="s">
        <v>54</v>
      </c>
      <c r="C13" s="53" t="s">
        <v>55</v>
      </c>
      <c r="D13" s="24">
        <v>7833000</v>
      </c>
      <c r="E13" s="24">
        <v>160257000</v>
      </c>
      <c r="F13" s="25">
        <f t="shared" si="1"/>
        <v>168090000</v>
      </c>
      <c r="G13" s="24">
        <v>0</v>
      </c>
      <c r="H13" s="24">
        <v>0</v>
      </c>
      <c r="I13" s="25">
        <f t="shared" si="2"/>
        <v>0</v>
      </c>
    </row>
    <row r="14" spans="2:9" x14ac:dyDescent="0.25">
      <c r="B14" s="54" t="s">
        <v>56</v>
      </c>
      <c r="C14" s="53" t="s">
        <v>57</v>
      </c>
      <c r="D14" s="24">
        <v>100000</v>
      </c>
      <c r="E14" s="24">
        <v>1238000</v>
      </c>
      <c r="F14" s="25">
        <f t="shared" si="1"/>
        <v>1338000</v>
      </c>
      <c r="G14" s="24">
        <v>0</v>
      </c>
      <c r="H14" s="24">
        <v>0</v>
      </c>
      <c r="I14" s="25">
        <f t="shared" si="2"/>
        <v>0</v>
      </c>
    </row>
    <row r="15" spans="2:9" x14ac:dyDescent="0.25">
      <c r="B15" s="54" t="s">
        <v>58</v>
      </c>
      <c r="C15" s="53" t="s">
        <v>59</v>
      </c>
      <c r="D15" s="24">
        <v>500000</v>
      </c>
      <c r="E15" s="24">
        <v>24223000</v>
      </c>
      <c r="F15" s="25">
        <f t="shared" si="1"/>
        <v>24723000</v>
      </c>
      <c r="G15" s="24">
        <v>0</v>
      </c>
      <c r="H15" s="24">
        <v>0</v>
      </c>
      <c r="I15" s="25">
        <f t="shared" si="2"/>
        <v>0</v>
      </c>
    </row>
    <row r="16" spans="2:9" x14ac:dyDescent="0.25">
      <c r="B16" s="57" t="s">
        <v>60</v>
      </c>
      <c r="C16" s="56" t="s">
        <v>61</v>
      </c>
      <c r="D16" s="25">
        <f t="shared" ref="D16:I16" si="3">SUM(D11:D15)</f>
        <v>9233000</v>
      </c>
      <c r="E16" s="25">
        <f t="shared" si="3"/>
        <v>241949000</v>
      </c>
      <c r="F16" s="25">
        <f t="shared" si="3"/>
        <v>251182000</v>
      </c>
      <c r="G16" s="25">
        <f t="shared" si="3"/>
        <v>0</v>
      </c>
      <c r="H16" s="25">
        <f t="shared" si="3"/>
        <v>0</v>
      </c>
      <c r="I16" s="25">
        <f t="shared" si="3"/>
        <v>0</v>
      </c>
    </row>
    <row r="17" spans="2:9" x14ac:dyDescent="0.25">
      <c r="B17" s="58" t="s">
        <v>62</v>
      </c>
      <c r="C17" s="56" t="s">
        <v>63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x14ac:dyDescent="0.25">
      <c r="B18" s="59" t="s">
        <v>64</v>
      </c>
      <c r="C18" s="53" t="s">
        <v>65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x14ac:dyDescent="0.25">
      <c r="B19" s="59" t="s">
        <v>66</v>
      </c>
      <c r="C19" s="53" t="s">
        <v>67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9" t="s">
        <v>68</v>
      </c>
      <c r="C20" s="53" t="s">
        <v>69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9" t="s">
        <v>70</v>
      </c>
      <c r="C21" s="53" t="s">
        <v>71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9" t="s">
        <v>643</v>
      </c>
      <c r="C22" s="53" t="s">
        <v>73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9" t="s">
        <v>74</v>
      </c>
      <c r="C23" s="53" t="s">
        <v>75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9" t="s">
        <v>76</v>
      </c>
      <c r="C24" s="53" t="s">
        <v>77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9" t="s">
        <v>78</v>
      </c>
      <c r="C25" s="53" t="s">
        <v>79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9" t="s">
        <v>80</v>
      </c>
      <c r="C26" s="53" t="s">
        <v>81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60" t="s">
        <v>82</v>
      </c>
      <c r="C27" s="53" t="s">
        <v>83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60" t="s">
        <v>644</v>
      </c>
      <c r="C28" s="53" t="s">
        <v>85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9" t="s">
        <v>86</v>
      </c>
      <c r="C29" s="53" t="s">
        <v>87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60" t="s">
        <v>88</v>
      </c>
      <c r="C30" s="53" t="s">
        <v>89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60" t="s">
        <v>90</v>
      </c>
      <c r="C31" s="53" t="s">
        <v>89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8" t="s">
        <v>91</v>
      </c>
      <c r="C32" s="56" t="s">
        <v>92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 t="shared" si="6"/>
        <v>0</v>
      </c>
      <c r="H32" s="25">
        <f t="shared" si="6"/>
        <v>0</v>
      </c>
      <c r="I32" s="25">
        <f t="shared" si="6"/>
        <v>0</v>
      </c>
    </row>
    <row r="33" spans="2:9" x14ac:dyDescent="0.25">
      <c r="B33" s="61" t="s">
        <v>93</v>
      </c>
      <c r="C33" s="62" t="s">
        <v>94</v>
      </c>
      <c r="D33" s="63">
        <f t="shared" ref="D33:I33" si="7">+D32+D17+D16+D10+D9</f>
        <v>42500000</v>
      </c>
      <c r="E33" s="63">
        <f t="shared" si="7"/>
        <v>450119000</v>
      </c>
      <c r="F33" s="63">
        <f t="shared" si="7"/>
        <v>492619000</v>
      </c>
      <c r="G33" s="63">
        <f t="shared" si="7"/>
        <v>0</v>
      </c>
      <c r="H33" s="63">
        <f t="shared" si="7"/>
        <v>0</v>
      </c>
      <c r="I33" s="63">
        <f t="shared" si="7"/>
        <v>0</v>
      </c>
    </row>
    <row r="34" spans="2:9" x14ac:dyDescent="0.25">
      <c r="B34" s="64" t="s">
        <v>95</v>
      </c>
      <c r="C34" s="53" t="s">
        <v>96</v>
      </c>
      <c r="D34" s="24"/>
      <c r="E34" s="24"/>
      <c r="F34" s="25">
        <f t="shared" ref="F34:F40" si="8">+D34+E34</f>
        <v>0</v>
      </c>
      <c r="G34" s="24"/>
      <c r="H34" s="24"/>
      <c r="I34" s="25">
        <f t="shared" ref="I34:I40" si="9">+G34+H34</f>
        <v>0</v>
      </c>
    </row>
    <row r="35" spans="2:9" x14ac:dyDescent="0.25">
      <c r="B35" s="64" t="s">
        <v>97</v>
      </c>
      <c r="C35" s="53" t="s">
        <v>98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4" t="s">
        <v>99</v>
      </c>
      <c r="C36" s="53" t="s">
        <v>100</v>
      </c>
      <c r="D36" s="24"/>
      <c r="E36" s="24">
        <v>100000</v>
      </c>
      <c r="F36" s="25">
        <f t="shared" si="8"/>
        <v>100000</v>
      </c>
      <c r="G36" s="24"/>
      <c r="H36" s="24">
        <v>0</v>
      </c>
      <c r="I36" s="25">
        <f t="shared" si="9"/>
        <v>0</v>
      </c>
    </row>
    <row r="37" spans="2:9" x14ac:dyDescent="0.25">
      <c r="B37" s="64" t="s">
        <v>101</v>
      </c>
      <c r="C37" s="53" t="s">
        <v>102</v>
      </c>
      <c r="D37" s="24"/>
      <c r="E37" s="24">
        <v>65585000</v>
      </c>
      <c r="F37" s="25">
        <f t="shared" si="8"/>
        <v>65585000</v>
      </c>
      <c r="G37" s="24"/>
      <c r="H37" s="24">
        <v>0</v>
      </c>
      <c r="I37" s="25">
        <f t="shared" si="9"/>
        <v>0</v>
      </c>
    </row>
    <row r="38" spans="2:9" x14ac:dyDescent="0.25">
      <c r="B38" s="65" t="s">
        <v>103</v>
      </c>
      <c r="C38" s="53" t="s">
        <v>104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x14ac:dyDescent="0.25">
      <c r="B39" s="65" t="s">
        <v>105</v>
      </c>
      <c r="C39" s="53" t="s">
        <v>106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5" t="s">
        <v>107</v>
      </c>
      <c r="C40" s="53" t="s">
        <v>108</v>
      </c>
      <c r="D40" s="24"/>
      <c r="E40" s="24">
        <v>17843000</v>
      </c>
      <c r="F40" s="25">
        <f t="shared" si="8"/>
        <v>17843000</v>
      </c>
      <c r="G40" s="24"/>
      <c r="H40" s="24">
        <v>0</v>
      </c>
      <c r="I40" s="25">
        <f t="shared" si="9"/>
        <v>0</v>
      </c>
    </row>
    <row r="41" spans="2:9" s="31" customFormat="1" x14ac:dyDescent="0.25">
      <c r="B41" s="66" t="s">
        <v>109</v>
      </c>
      <c r="C41" s="56" t="s">
        <v>110</v>
      </c>
      <c r="D41" s="25">
        <f t="shared" ref="D41:I41" si="10">SUM(D34:D40)</f>
        <v>0</v>
      </c>
      <c r="E41" s="25">
        <f t="shared" si="10"/>
        <v>83528000</v>
      </c>
      <c r="F41" s="25">
        <f t="shared" si="10"/>
        <v>83528000</v>
      </c>
      <c r="G41" s="25">
        <f t="shared" si="10"/>
        <v>0</v>
      </c>
      <c r="H41" s="25">
        <f t="shared" si="10"/>
        <v>0</v>
      </c>
      <c r="I41" s="25">
        <f t="shared" si="10"/>
        <v>0</v>
      </c>
    </row>
    <row r="42" spans="2:9" x14ac:dyDescent="0.25">
      <c r="B42" s="67" t="s">
        <v>111</v>
      </c>
      <c r="C42" s="53" t="s">
        <v>112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7" t="s">
        <v>113</v>
      </c>
      <c r="C43" s="53" t="s">
        <v>114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7" t="s">
        <v>115</v>
      </c>
      <c r="C44" s="53" t="s">
        <v>116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7" t="s">
        <v>117</v>
      </c>
      <c r="C45" s="53" t="s">
        <v>118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7" t="s">
        <v>119</v>
      </c>
      <c r="C46" s="56" t="s">
        <v>120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idden="1" x14ac:dyDescent="0.25">
      <c r="B47" s="67" t="s">
        <v>645</v>
      </c>
      <c r="C47" s="53" t="s">
        <v>122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idden="1" x14ac:dyDescent="0.25">
      <c r="B48" s="67" t="s">
        <v>646</v>
      </c>
      <c r="C48" s="53" t="s">
        <v>124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8" hidden="1" x14ac:dyDescent="0.25">
      <c r="B49" s="67" t="s">
        <v>125</v>
      </c>
      <c r="C49" s="53" t="s">
        <v>126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8" hidden="1" x14ac:dyDescent="0.25">
      <c r="B50" s="67" t="s">
        <v>127</v>
      </c>
      <c r="C50" s="53" t="s">
        <v>128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8" hidden="1" x14ac:dyDescent="0.25">
      <c r="B51" s="67" t="s">
        <v>129</v>
      </c>
      <c r="C51" s="53" t="s">
        <v>130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8" hidden="1" x14ac:dyDescent="0.25">
      <c r="B52" s="67" t="s">
        <v>131</v>
      </c>
      <c r="C52" s="53" t="s">
        <v>132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8" hidden="1" x14ac:dyDescent="0.25">
      <c r="B53" s="67" t="s">
        <v>133</v>
      </c>
      <c r="C53" s="53" t="s">
        <v>134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8" hidden="1" x14ac:dyDescent="0.25">
      <c r="B54" s="60" t="s">
        <v>647</v>
      </c>
      <c r="C54" s="53" t="s">
        <v>136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8" hidden="1" x14ac:dyDescent="0.25">
      <c r="B55" s="67" t="s">
        <v>137</v>
      </c>
      <c r="C55" s="53" t="s">
        <v>138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8" s="31" customFormat="1" x14ac:dyDescent="0.25">
      <c r="B56" s="58" t="s">
        <v>139</v>
      </c>
      <c r="C56" s="56" t="s">
        <v>140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8" x14ac:dyDescent="0.25">
      <c r="B57" s="61" t="s">
        <v>141</v>
      </c>
      <c r="C57" s="62" t="s">
        <v>142</v>
      </c>
      <c r="D57" s="63">
        <f t="shared" ref="D57:I57" si="15">+D56+D46+D41</f>
        <v>0</v>
      </c>
      <c r="E57" s="63">
        <f t="shared" si="15"/>
        <v>83528000</v>
      </c>
      <c r="F57" s="63">
        <f t="shared" si="15"/>
        <v>83528000</v>
      </c>
      <c r="G57" s="63">
        <f t="shared" si="15"/>
        <v>0</v>
      </c>
      <c r="H57" s="63">
        <f t="shared" si="15"/>
        <v>0</v>
      </c>
      <c r="I57" s="63">
        <f t="shared" si="15"/>
        <v>0</v>
      </c>
    </row>
    <row r="58" spans="2:18" x14ac:dyDescent="0.25">
      <c r="B58" s="68" t="s">
        <v>143</v>
      </c>
      <c r="C58" s="69" t="s">
        <v>144</v>
      </c>
      <c r="D58" s="70">
        <f t="shared" ref="D58:I58" si="16">+D56+D46+D41+D32+D17+D16+D10+D9</f>
        <v>42500000</v>
      </c>
      <c r="E58" s="70">
        <f t="shared" si="16"/>
        <v>533647000</v>
      </c>
      <c r="F58" s="70">
        <f t="shared" si="16"/>
        <v>576147000</v>
      </c>
      <c r="G58" s="70">
        <f t="shared" si="16"/>
        <v>0</v>
      </c>
      <c r="H58" s="70">
        <f t="shared" si="16"/>
        <v>0</v>
      </c>
      <c r="I58" s="70">
        <f t="shared" si="16"/>
        <v>0</v>
      </c>
    </row>
    <row r="59" spans="2:18" hidden="1" x14ac:dyDescent="0.25">
      <c r="B59" s="73" t="s">
        <v>626</v>
      </c>
      <c r="C59" s="54" t="s">
        <v>170</v>
      </c>
      <c r="D59" s="251"/>
      <c r="E59" s="251"/>
      <c r="F59" s="24">
        <f>+D59+E59</f>
        <v>0</v>
      </c>
      <c r="G59" s="251"/>
      <c r="H59" s="251"/>
      <c r="I59" s="24">
        <f>+G59+H59</f>
        <v>0</v>
      </c>
      <c r="J59" s="252"/>
      <c r="K59" s="252"/>
      <c r="L59" s="252"/>
      <c r="M59" s="252"/>
      <c r="N59" s="252"/>
      <c r="O59" s="252"/>
      <c r="P59" s="252"/>
      <c r="Q59" s="71"/>
      <c r="R59" s="71"/>
    </row>
    <row r="60" spans="2:18" hidden="1" x14ac:dyDescent="0.25">
      <c r="B60" s="73" t="s">
        <v>171</v>
      </c>
      <c r="C60" s="54" t="s">
        <v>172</v>
      </c>
      <c r="D60" s="251"/>
      <c r="E60" s="251"/>
      <c r="F60" s="24">
        <f>+D60+E60</f>
        <v>0</v>
      </c>
      <c r="G60" s="251"/>
      <c r="H60" s="251"/>
      <c r="I60" s="24">
        <f>+G60+H60</f>
        <v>0</v>
      </c>
      <c r="J60" s="252"/>
      <c r="K60" s="252"/>
      <c r="L60" s="252"/>
      <c r="M60" s="252"/>
      <c r="N60" s="252"/>
      <c r="O60" s="252"/>
      <c r="P60" s="252"/>
      <c r="Q60" s="71"/>
      <c r="R60" s="71"/>
    </row>
    <row r="61" spans="2:18" hidden="1" x14ac:dyDescent="0.25">
      <c r="B61" s="67" t="s">
        <v>173</v>
      </c>
      <c r="C61" s="54" t="s">
        <v>174</v>
      </c>
      <c r="D61" s="251"/>
      <c r="E61" s="251"/>
      <c r="F61" s="24">
        <f>+D61+E61</f>
        <v>0</v>
      </c>
      <c r="G61" s="251"/>
      <c r="H61" s="251"/>
      <c r="I61" s="24">
        <f>+G61+H61</f>
        <v>0</v>
      </c>
      <c r="J61" s="253"/>
      <c r="K61" s="253"/>
      <c r="L61" s="253"/>
      <c r="M61" s="253"/>
      <c r="N61" s="253"/>
      <c r="O61" s="253"/>
      <c r="P61" s="253"/>
      <c r="Q61" s="71"/>
      <c r="R61" s="71"/>
    </row>
    <row r="62" spans="2:18" hidden="1" x14ac:dyDescent="0.25">
      <c r="B62" s="67" t="s">
        <v>175</v>
      </c>
      <c r="C62" s="54" t="s">
        <v>176</v>
      </c>
      <c r="D62" s="251"/>
      <c r="E62" s="251"/>
      <c r="F62" s="24">
        <f>+D62+E62</f>
        <v>0</v>
      </c>
      <c r="G62" s="251"/>
      <c r="H62" s="251"/>
      <c r="I62" s="24">
        <f>+G62+H62</f>
        <v>0</v>
      </c>
      <c r="J62" s="253"/>
      <c r="K62" s="253"/>
      <c r="L62" s="253"/>
      <c r="M62" s="253"/>
      <c r="N62" s="253"/>
      <c r="O62" s="253"/>
      <c r="P62" s="253"/>
      <c r="Q62" s="71"/>
      <c r="R62" s="71"/>
    </row>
    <row r="63" spans="2:18" x14ac:dyDescent="0.25">
      <c r="B63" s="76" t="s">
        <v>177</v>
      </c>
      <c r="C63" s="77" t="s">
        <v>178</v>
      </c>
      <c r="D63" s="78">
        <f t="shared" ref="D63:I63" si="17">+D61+D60+D59+D62</f>
        <v>0</v>
      </c>
      <c r="E63" s="78">
        <f t="shared" si="17"/>
        <v>0</v>
      </c>
      <c r="F63" s="78">
        <f t="shared" si="17"/>
        <v>0</v>
      </c>
      <c r="G63" s="78">
        <f t="shared" si="17"/>
        <v>0</v>
      </c>
      <c r="H63" s="78">
        <f t="shared" si="17"/>
        <v>0</v>
      </c>
      <c r="I63" s="78">
        <f t="shared" si="17"/>
        <v>0</v>
      </c>
      <c r="J63" s="254"/>
      <c r="K63" s="254"/>
      <c r="L63" s="254"/>
      <c r="M63" s="254"/>
      <c r="N63" s="254"/>
      <c r="O63" s="254"/>
      <c r="P63" s="254"/>
      <c r="Q63" s="71"/>
      <c r="R63" s="71"/>
    </row>
    <row r="64" spans="2:18" x14ac:dyDescent="0.25">
      <c r="B64" s="28" t="s">
        <v>179</v>
      </c>
      <c r="C64" s="28" t="s">
        <v>180</v>
      </c>
      <c r="D64" s="29">
        <f t="shared" ref="D64:I64" si="18">+D58+D63</f>
        <v>42500000</v>
      </c>
      <c r="E64" s="29">
        <f t="shared" si="18"/>
        <v>533647000</v>
      </c>
      <c r="F64" s="29">
        <f t="shared" si="18"/>
        <v>576147000</v>
      </c>
      <c r="G64" s="29">
        <f t="shared" si="18"/>
        <v>0</v>
      </c>
      <c r="H64" s="29">
        <f t="shared" si="18"/>
        <v>0</v>
      </c>
      <c r="I64" s="29">
        <f t="shared" si="18"/>
        <v>0</v>
      </c>
      <c r="J64" s="71"/>
      <c r="K64" s="71"/>
      <c r="L64" s="71"/>
      <c r="M64" s="71"/>
      <c r="N64" s="71"/>
      <c r="O64" s="71"/>
      <c r="P64" s="71"/>
      <c r="Q64" s="71"/>
      <c r="R64" s="71"/>
    </row>
    <row r="65" spans="2:18" x14ac:dyDescent="0.25">
      <c r="B65" s="13"/>
      <c r="C65" s="79"/>
      <c r="D65" s="80"/>
      <c r="E65" s="80"/>
      <c r="F65" s="81"/>
      <c r="G65" s="80"/>
      <c r="H65" s="80"/>
      <c r="I65" s="81"/>
      <c r="J65" s="71"/>
      <c r="K65" s="71"/>
      <c r="L65" s="71"/>
      <c r="M65" s="71"/>
      <c r="N65" s="71"/>
      <c r="O65" s="71"/>
      <c r="P65" s="71"/>
      <c r="Q65" s="71"/>
      <c r="R65" s="71"/>
    </row>
    <row r="66" spans="2:18" ht="15.75" hidden="1" customHeight="1" x14ac:dyDescent="0.25">
      <c r="B66" s="13"/>
      <c r="C66" s="79"/>
      <c r="D66" s="469" t="s">
        <v>13</v>
      </c>
      <c r="E66" s="469"/>
      <c r="F66" s="469"/>
      <c r="G66" s="469" t="s">
        <v>13</v>
      </c>
      <c r="H66" s="469"/>
      <c r="I66" s="469"/>
      <c r="J66" s="71"/>
      <c r="K66" s="71"/>
      <c r="L66" s="71"/>
      <c r="M66" s="71"/>
      <c r="N66" s="71"/>
      <c r="O66" s="71"/>
      <c r="P66" s="71"/>
      <c r="Q66" s="71"/>
      <c r="R66" s="71"/>
    </row>
    <row r="67" spans="2:18" ht="47.25" x14ac:dyDescent="0.25">
      <c r="B67" s="19" t="s">
        <v>14</v>
      </c>
      <c r="C67" s="48" t="s">
        <v>181</v>
      </c>
      <c r="D67" s="49" t="s">
        <v>15</v>
      </c>
      <c r="E67" s="49" t="s">
        <v>16</v>
      </c>
      <c r="F67" s="170" t="s">
        <v>566</v>
      </c>
      <c r="G67" s="49" t="s">
        <v>15</v>
      </c>
      <c r="H67" s="49" t="s">
        <v>16</v>
      </c>
      <c r="I67" s="170" t="s">
        <v>566</v>
      </c>
      <c r="J67" s="71"/>
      <c r="K67" s="71"/>
      <c r="L67" s="71"/>
      <c r="M67" s="71"/>
      <c r="N67" s="71"/>
      <c r="O67" s="71"/>
      <c r="P67" s="71"/>
      <c r="Q67" s="71"/>
      <c r="R67" s="71"/>
    </row>
    <row r="68" spans="2:18" hidden="1" x14ac:dyDescent="0.25">
      <c r="B68" s="57" t="s">
        <v>627</v>
      </c>
      <c r="C68" s="66" t="s">
        <v>195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  <c r="J68" s="71"/>
      <c r="K68" s="71"/>
      <c r="L68" s="71"/>
      <c r="M68" s="71"/>
      <c r="N68" s="71"/>
      <c r="O68" s="71"/>
      <c r="P68" s="71"/>
      <c r="Q68" s="71"/>
      <c r="R68" s="71"/>
    </row>
    <row r="69" spans="2:18" hidden="1" x14ac:dyDescent="0.25">
      <c r="B69" s="54" t="s">
        <v>196</v>
      </c>
      <c r="C69" s="65" t="s">
        <v>197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  <c r="J69" s="71"/>
      <c r="K69" s="71"/>
      <c r="L69" s="71"/>
      <c r="M69" s="71"/>
      <c r="N69" s="71"/>
      <c r="O69" s="71"/>
      <c r="P69" s="71"/>
      <c r="Q69" s="71"/>
      <c r="R69" s="71"/>
    </row>
    <row r="70" spans="2:18" ht="31.5" hidden="1" x14ac:dyDescent="0.25">
      <c r="B70" s="54" t="s">
        <v>628</v>
      </c>
      <c r="C70" s="65" t="s">
        <v>199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  <c r="J70" s="71"/>
      <c r="K70" s="71"/>
      <c r="L70" s="71"/>
      <c r="M70" s="71"/>
      <c r="N70" s="71"/>
      <c r="O70" s="71"/>
      <c r="P70" s="71"/>
      <c r="Q70" s="71"/>
      <c r="R70" s="71"/>
    </row>
    <row r="71" spans="2:18" hidden="1" x14ac:dyDescent="0.25">
      <c r="B71" s="54" t="s">
        <v>200</v>
      </c>
      <c r="C71" s="65" t="s">
        <v>201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  <c r="J71" s="71"/>
      <c r="K71" s="71"/>
      <c r="L71" s="71"/>
      <c r="M71" s="71"/>
      <c r="N71" s="71"/>
      <c r="O71" s="71"/>
      <c r="P71" s="71"/>
      <c r="Q71" s="71"/>
      <c r="R71" s="71"/>
    </row>
    <row r="72" spans="2:18" hidden="1" x14ac:dyDescent="0.25">
      <c r="B72" s="54" t="s">
        <v>202</v>
      </c>
      <c r="C72" s="65" t="s">
        <v>203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  <c r="J72" s="71"/>
      <c r="K72" s="71"/>
      <c r="L72" s="71"/>
      <c r="M72" s="71"/>
      <c r="N72" s="71"/>
      <c r="O72" s="71"/>
      <c r="P72" s="71"/>
      <c r="Q72" s="71"/>
      <c r="R72" s="71"/>
    </row>
    <row r="73" spans="2:18" x14ac:dyDescent="0.25">
      <c r="B73" s="54" t="s">
        <v>204</v>
      </c>
      <c r="C73" s="65" t="s">
        <v>205</v>
      </c>
      <c r="D73" s="24">
        <v>42500000</v>
      </c>
      <c r="E73" s="24">
        <v>501893000</v>
      </c>
      <c r="F73" s="25">
        <f t="shared" si="19"/>
        <v>544393000</v>
      </c>
      <c r="G73" s="24">
        <v>0</v>
      </c>
      <c r="H73" s="24">
        <v>0</v>
      </c>
      <c r="I73" s="25">
        <f t="shared" si="20"/>
        <v>0</v>
      </c>
      <c r="J73" s="71"/>
      <c r="K73" s="71"/>
      <c r="L73" s="71"/>
      <c r="M73" s="71"/>
      <c r="N73" s="71"/>
      <c r="O73" s="71"/>
      <c r="P73" s="71"/>
      <c r="Q73" s="71"/>
      <c r="R73" s="71"/>
    </row>
    <row r="74" spans="2:18" x14ac:dyDescent="0.25">
      <c r="B74" s="57" t="s">
        <v>206</v>
      </c>
      <c r="C74" s="66" t="s">
        <v>207</v>
      </c>
      <c r="D74" s="25">
        <f t="shared" ref="D74:I74" si="21">+D73+D72+D71+D70+D69+D68</f>
        <v>42500000</v>
      </c>
      <c r="E74" s="25">
        <f t="shared" si="21"/>
        <v>501893000</v>
      </c>
      <c r="F74" s="25">
        <f t="shared" si="21"/>
        <v>544393000</v>
      </c>
      <c r="G74" s="25">
        <f t="shared" si="21"/>
        <v>0</v>
      </c>
      <c r="H74" s="25">
        <f t="shared" si="21"/>
        <v>0</v>
      </c>
      <c r="I74" s="25">
        <f t="shared" si="21"/>
        <v>0</v>
      </c>
      <c r="J74" s="71"/>
      <c r="K74" s="71"/>
      <c r="L74" s="71"/>
      <c r="M74" s="71"/>
      <c r="N74" s="71"/>
      <c r="O74" s="71"/>
      <c r="P74" s="71"/>
      <c r="Q74" s="71"/>
      <c r="R74" s="71"/>
    </row>
    <row r="75" spans="2:18" x14ac:dyDescent="0.25">
      <c r="B75" s="57" t="s">
        <v>208</v>
      </c>
      <c r="C75" s="66" t="s">
        <v>209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  <c r="J75" s="71"/>
      <c r="K75" s="71"/>
      <c r="L75" s="71"/>
      <c r="M75" s="71"/>
      <c r="N75" s="71"/>
      <c r="O75" s="71"/>
      <c r="P75" s="71"/>
      <c r="Q75" s="71"/>
      <c r="R75" s="71"/>
    </row>
    <row r="76" spans="2:18" hidden="1" x14ac:dyDescent="0.25">
      <c r="B76" s="54" t="s">
        <v>210</v>
      </c>
      <c r="C76" s="65" t="s">
        <v>211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  <c r="J76" s="71"/>
      <c r="K76" s="71"/>
      <c r="L76" s="71"/>
      <c r="M76" s="71"/>
      <c r="N76" s="71"/>
      <c r="O76" s="71"/>
      <c r="P76" s="71"/>
      <c r="Q76" s="71"/>
      <c r="R76" s="71"/>
    </row>
    <row r="77" spans="2:18" hidden="1" x14ac:dyDescent="0.25">
      <c r="B77" s="54" t="s">
        <v>212</v>
      </c>
      <c r="C77" s="65" t="s">
        <v>213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  <c r="J77" s="71"/>
      <c r="K77" s="71"/>
      <c r="L77" s="71"/>
      <c r="M77" s="71"/>
      <c r="N77" s="71"/>
      <c r="O77" s="71"/>
      <c r="P77" s="71"/>
      <c r="Q77" s="71"/>
      <c r="R77" s="71"/>
    </row>
    <row r="78" spans="2:18" hidden="1" x14ac:dyDescent="0.25">
      <c r="B78" s="54" t="s">
        <v>214</v>
      </c>
      <c r="C78" s="65" t="s">
        <v>215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  <c r="J78" s="71"/>
      <c r="K78" s="71"/>
      <c r="L78" s="71"/>
      <c r="M78" s="71"/>
      <c r="N78" s="71"/>
      <c r="O78" s="71"/>
      <c r="P78" s="71"/>
      <c r="Q78" s="71"/>
      <c r="R78" s="71"/>
    </row>
    <row r="79" spans="2:18" hidden="1" x14ac:dyDescent="0.25">
      <c r="B79" s="54" t="s">
        <v>216</v>
      </c>
      <c r="C79" s="65" t="s">
        <v>217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  <c r="J79" s="71"/>
      <c r="K79" s="71"/>
      <c r="L79" s="71"/>
      <c r="M79" s="71"/>
      <c r="N79" s="71"/>
      <c r="O79" s="71"/>
      <c r="P79" s="71"/>
      <c r="Q79" s="71"/>
      <c r="R79" s="71"/>
    </row>
    <row r="80" spans="2:18" hidden="1" x14ac:dyDescent="0.25">
      <c r="B80" s="54" t="s">
        <v>218</v>
      </c>
      <c r="C80" s="65" t="s">
        <v>219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  <c r="J80" s="71"/>
      <c r="K80" s="71"/>
      <c r="L80" s="71"/>
      <c r="M80" s="71"/>
      <c r="N80" s="71"/>
      <c r="O80" s="71"/>
      <c r="P80" s="71"/>
      <c r="Q80" s="71"/>
      <c r="R80" s="71"/>
    </row>
    <row r="81" spans="2:18" hidden="1" x14ac:dyDescent="0.25">
      <c r="B81" s="54" t="s">
        <v>220</v>
      </c>
      <c r="C81" s="65" t="s">
        <v>221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  <c r="J81" s="71"/>
      <c r="K81" s="71"/>
      <c r="L81" s="71"/>
      <c r="M81" s="71"/>
      <c r="N81" s="71"/>
      <c r="O81" s="71"/>
      <c r="P81" s="71"/>
      <c r="Q81" s="71"/>
      <c r="R81" s="71"/>
    </row>
    <row r="82" spans="2:18" x14ac:dyDescent="0.25">
      <c r="B82" s="57" t="s">
        <v>222</v>
      </c>
      <c r="C82" s="66" t="s">
        <v>223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 t="shared" si="24"/>
        <v>0</v>
      </c>
      <c r="H82" s="25">
        <f t="shared" si="24"/>
        <v>0</v>
      </c>
      <c r="I82" s="25">
        <f t="shared" si="24"/>
        <v>0</v>
      </c>
      <c r="J82" s="71"/>
      <c r="K82" s="71"/>
      <c r="L82" s="71"/>
      <c r="M82" s="71"/>
      <c r="N82" s="71"/>
      <c r="O82" s="71"/>
      <c r="P82" s="71"/>
      <c r="Q82" s="71"/>
      <c r="R82" s="71"/>
    </row>
    <row r="83" spans="2:18" x14ac:dyDescent="0.25">
      <c r="B83" s="67" t="s">
        <v>631</v>
      </c>
      <c r="C83" s="65" t="s">
        <v>225</v>
      </c>
      <c r="D83" s="24"/>
      <c r="E83" s="24">
        <v>72000</v>
      </c>
      <c r="F83" s="25">
        <f t="shared" ref="F83:F93" si="25">+E83+D83</f>
        <v>72000</v>
      </c>
      <c r="G83" s="24"/>
      <c r="H83" s="24">
        <v>0</v>
      </c>
      <c r="I83" s="25">
        <f t="shared" ref="I83:I93" si="26">+H83+G83</f>
        <v>0</v>
      </c>
      <c r="J83" s="71"/>
      <c r="K83" s="71"/>
      <c r="L83" s="71"/>
      <c r="M83" s="71"/>
      <c r="N83" s="71"/>
      <c r="O83" s="71"/>
      <c r="P83" s="71"/>
      <c r="Q83" s="71"/>
      <c r="R83" s="71"/>
    </row>
    <row r="84" spans="2:18" x14ac:dyDescent="0.25">
      <c r="B84" s="67" t="s">
        <v>226</v>
      </c>
      <c r="C84" s="65" t="s">
        <v>227</v>
      </c>
      <c r="D84" s="24"/>
      <c r="E84" s="24">
        <v>26560000</v>
      </c>
      <c r="F84" s="25">
        <f t="shared" si="25"/>
        <v>26560000</v>
      </c>
      <c r="G84" s="24"/>
      <c r="H84" s="24">
        <v>0</v>
      </c>
      <c r="I84" s="25">
        <f t="shared" si="26"/>
        <v>0</v>
      </c>
      <c r="J84" s="71"/>
      <c r="K84" s="71"/>
      <c r="L84" s="71"/>
      <c r="M84" s="71"/>
      <c r="N84" s="71"/>
      <c r="O84" s="71"/>
      <c r="P84" s="71"/>
      <c r="Q84" s="71"/>
      <c r="R84" s="71"/>
    </row>
    <row r="85" spans="2:18" x14ac:dyDescent="0.25">
      <c r="B85" s="67" t="s">
        <v>228</v>
      </c>
      <c r="C85" s="65" t="s">
        <v>229</v>
      </c>
      <c r="D85" s="24"/>
      <c r="E85" s="24">
        <v>5100000</v>
      </c>
      <c r="F85" s="25">
        <f t="shared" si="25"/>
        <v>5100000</v>
      </c>
      <c r="G85" s="24"/>
      <c r="H85" s="24">
        <v>0</v>
      </c>
      <c r="I85" s="25">
        <f t="shared" si="26"/>
        <v>0</v>
      </c>
      <c r="J85" s="71"/>
      <c r="K85" s="71"/>
      <c r="L85" s="71"/>
      <c r="M85" s="71"/>
      <c r="N85" s="71"/>
      <c r="O85" s="71"/>
      <c r="P85" s="71"/>
      <c r="Q85" s="71"/>
      <c r="R85" s="71"/>
    </row>
    <row r="86" spans="2:18" x14ac:dyDescent="0.25">
      <c r="B86" s="67" t="s">
        <v>230</v>
      </c>
      <c r="C86" s="65" t="s">
        <v>231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  <c r="J86" s="71"/>
      <c r="K86" s="71"/>
      <c r="L86" s="71"/>
      <c r="M86" s="71"/>
      <c r="N86" s="71"/>
      <c r="O86" s="71"/>
      <c r="P86" s="71"/>
      <c r="Q86" s="71"/>
      <c r="R86" s="71"/>
    </row>
    <row r="87" spans="2:18" x14ac:dyDescent="0.25">
      <c r="B87" s="67" t="s">
        <v>232</v>
      </c>
      <c r="C87" s="65" t="s">
        <v>233</v>
      </c>
      <c r="D87" s="24"/>
      <c r="E87" s="24"/>
      <c r="F87" s="25">
        <f t="shared" si="25"/>
        <v>0</v>
      </c>
      <c r="G87" s="24"/>
      <c r="H87" s="24"/>
      <c r="I87" s="25">
        <f t="shared" si="26"/>
        <v>0</v>
      </c>
      <c r="J87" s="71"/>
      <c r="K87" s="71"/>
      <c r="L87" s="71"/>
      <c r="M87" s="71"/>
      <c r="N87" s="71"/>
      <c r="O87" s="71"/>
      <c r="P87" s="71"/>
      <c r="Q87" s="71"/>
      <c r="R87" s="71"/>
    </row>
    <row r="88" spans="2:18" x14ac:dyDescent="0.25">
      <c r="B88" s="67" t="s">
        <v>234</v>
      </c>
      <c r="C88" s="65" t="s">
        <v>235</v>
      </c>
      <c r="D88" s="24"/>
      <c r="E88" s="24"/>
      <c r="F88" s="25">
        <f t="shared" si="25"/>
        <v>0</v>
      </c>
      <c r="G88" s="24"/>
      <c r="H88" s="24">
        <v>0</v>
      </c>
      <c r="I88" s="25">
        <f t="shared" si="26"/>
        <v>0</v>
      </c>
      <c r="J88" s="71"/>
      <c r="K88" s="71"/>
      <c r="L88" s="71"/>
      <c r="M88" s="71"/>
      <c r="N88" s="71"/>
      <c r="O88" s="71"/>
      <c r="P88" s="71"/>
      <c r="Q88" s="71"/>
      <c r="R88" s="71"/>
    </row>
    <row r="89" spans="2:18" x14ac:dyDescent="0.25">
      <c r="B89" s="67" t="s">
        <v>236</v>
      </c>
      <c r="C89" s="65" t="s">
        <v>237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  <c r="J89" s="71"/>
      <c r="K89" s="71"/>
      <c r="L89" s="71"/>
      <c r="M89" s="71"/>
      <c r="N89" s="71"/>
      <c r="O89" s="71"/>
      <c r="P89" s="71"/>
      <c r="Q89" s="71"/>
      <c r="R89" s="71"/>
    </row>
    <row r="90" spans="2:18" x14ac:dyDescent="0.25">
      <c r="B90" s="67" t="s">
        <v>238</v>
      </c>
      <c r="C90" s="65" t="s">
        <v>239</v>
      </c>
      <c r="D90" s="24"/>
      <c r="E90" s="24">
        <v>22000</v>
      </c>
      <c r="F90" s="25">
        <f t="shared" si="25"/>
        <v>22000</v>
      </c>
      <c r="G90" s="24"/>
      <c r="H90" s="24">
        <v>0</v>
      </c>
      <c r="I90" s="25">
        <f t="shared" si="26"/>
        <v>0</v>
      </c>
      <c r="J90" s="71"/>
      <c r="K90" s="71"/>
      <c r="L90" s="71"/>
      <c r="M90" s="71"/>
      <c r="N90" s="71"/>
      <c r="O90" s="71"/>
      <c r="P90" s="71"/>
      <c r="Q90" s="71"/>
      <c r="R90" s="71"/>
    </row>
    <row r="91" spans="2:18" x14ac:dyDescent="0.25">
      <c r="B91" s="67" t="s">
        <v>240</v>
      </c>
      <c r="C91" s="65" t="s">
        <v>241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  <c r="J91" s="71"/>
      <c r="K91" s="71"/>
      <c r="L91" s="71"/>
      <c r="M91" s="71"/>
      <c r="N91" s="71"/>
      <c r="O91" s="71"/>
      <c r="P91" s="71"/>
      <c r="Q91" s="71"/>
      <c r="R91" s="71"/>
    </row>
    <row r="92" spans="2:18" x14ac:dyDescent="0.25">
      <c r="B92" s="67" t="s">
        <v>242</v>
      </c>
      <c r="C92" s="65" t="s">
        <v>243</v>
      </c>
      <c r="D92" s="24"/>
      <c r="E92" s="24"/>
      <c r="F92" s="25">
        <f t="shared" si="25"/>
        <v>0</v>
      </c>
      <c r="G92" s="24"/>
      <c r="H92" s="24">
        <v>0</v>
      </c>
      <c r="I92" s="25">
        <f t="shared" si="26"/>
        <v>0</v>
      </c>
      <c r="J92" s="71"/>
      <c r="K92" s="71"/>
      <c r="L92" s="71"/>
      <c r="M92" s="71"/>
      <c r="N92" s="71"/>
      <c r="O92" s="71"/>
      <c r="P92" s="71"/>
      <c r="Q92" s="71"/>
      <c r="R92" s="71"/>
    </row>
    <row r="93" spans="2:18" x14ac:dyDescent="0.25">
      <c r="B93" s="67" t="s">
        <v>244</v>
      </c>
      <c r="C93" s="65" t="s">
        <v>245</v>
      </c>
      <c r="D93" s="24"/>
      <c r="E93" s="24"/>
      <c r="F93" s="25">
        <f t="shared" si="25"/>
        <v>0</v>
      </c>
      <c r="G93" s="24"/>
      <c r="H93" s="24">
        <v>0</v>
      </c>
      <c r="I93" s="25">
        <f t="shared" si="26"/>
        <v>0</v>
      </c>
      <c r="J93" s="71"/>
      <c r="K93" s="71"/>
      <c r="L93" s="71"/>
      <c r="M93" s="71"/>
      <c r="N93" s="71"/>
      <c r="O93" s="71"/>
      <c r="P93" s="71"/>
      <c r="Q93" s="71"/>
      <c r="R93" s="71"/>
    </row>
    <row r="94" spans="2:18" x14ac:dyDescent="0.25">
      <c r="B94" s="58" t="s">
        <v>246</v>
      </c>
      <c r="C94" s="66" t="s">
        <v>247</v>
      </c>
      <c r="D94" s="25">
        <f t="shared" ref="D94:I94" si="27">SUM(D83:D93)</f>
        <v>0</v>
      </c>
      <c r="E94" s="25">
        <f t="shared" si="27"/>
        <v>31754000</v>
      </c>
      <c r="F94" s="25">
        <f t="shared" si="27"/>
        <v>31754000</v>
      </c>
      <c r="G94" s="25">
        <f t="shared" si="27"/>
        <v>0</v>
      </c>
      <c r="H94" s="25">
        <f t="shared" si="27"/>
        <v>0</v>
      </c>
      <c r="I94" s="25">
        <f t="shared" si="27"/>
        <v>0</v>
      </c>
      <c r="J94" s="71"/>
      <c r="K94" s="71"/>
      <c r="L94" s="71"/>
      <c r="M94" s="71"/>
      <c r="N94" s="71"/>
      <c r="O94" s="71"/>
      <c r="P94" s="71"/>
      <c r="Q94" s="71"/>
      <c r="R94" s="71"/>
    </row>
    <row r="95" spans="2:18" x14ac:dyDescent="0.25">
      <c r="B95" s="67" t="s">
        <v>248</v>
      </c>
      <c r="C95" s="65" t="s">
        <v>249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71"/>
      <c r="K95" s="71"/>
      <c r="L95" s="71"/>
      <c r="M95" s="71"/>
      <c r="N95" s="71"/>
      <c r="O95" s="71"/>
      <c r="P95" s="71"/>
      <c r="Q95" s="71"/>
      <c r="R95" s="71"/>
    </row>
    <row r="96" spans="2:18" x14ac:dyDescent="0.25">
      <c r="B96" s="67" t="s">
        <v>250</v>
      </c>
      <c r="C96" s="65" t="s">
        <v>251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71"/>
      <c r="K96" s="71"/>
      <c r="L96" s="71"/>
      <c r="M96" s="71"/>
      <c r="N96" s="71"/>
      <c r="O96" s="71"/>
      <c r="P96" s="71"/>
      <c r="Q96" s="71"/>
      <c r="R96" s="71"/>
    </row>
    <row r="97" spans="2:18" x14ac:dyDescent="0.25">
      <c r="B97" s="67" t="s">
        <v>252</v>
      </c>
      <c r="C97" s="65" t="s">
        <v>253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71"/>
      <c r="K97" s="71"/>
      <c r="L97" s="71"/>
      <c r="M97" s="71"/>
      <c r="N97" s="71"/>
      <c r="O97" s="71"/>
      <c r="P97" s="71"/>
      <c r="Q97" s="71"/>
      <c r="R97" s="71"/>
    </row>
    <row r="98" spans="2:18" x14ac:dyDescent="0.25">
      <c r="B98" s="67" t="s">
        <v>254</v>
      </c>
      <c r="C98" s="65" t="s">
        <v>255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71"/>
      <c r="K98" s="71"/>
      <c r="L98" s="71"/>
      <c r="M98" s="71"/>
      <c r="N98" s="71"/>
      <c r="O98" s="71"/>
      <c r="P98" s="71"/>
      <c r="Q98" s="71"/>
      <c r="R98" s="71"/>
    </row>
    <row r="99" spans="2:18" x14ac:dyDescent="0.25">
      <c r="B99" s="67" t="s">
        <v>256</v>
      </c>
      <c r="C99" s="65" t="s">
        <v>257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71"/>
      <c r="K99" s="71"/>
      <c r="L99" s="71"/>
      <c r="M99" s="71"/>
      <c r="N99" s="71"/>
      <c r="O99" s="71"/>
      <c r="P99" s="71"/>
      <c r="Q99" s="71"/>
      <c r="R99" s="71"/>
    </row>
    <row r="100" spans="2:18" x14ac:dyDescent="0.25">
      <c r="B100" s="57" t="s">
        <v>258</v>
      </c>
      <c r="C100" s="66" t="s">
        <v>259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0</v>
      </c>
      <c r="I100" s="25">
        <f t="shared" si="28"/>
        <v>0</v>
      </c>
      <c r="J100" s="71"/>
      <c r="K100" s="71"/>
      <c r="L100" s="71"/>
      <c r="M100" s="71"/>
      <c r="N100" s="71"/>
      <c r="O100" s="71"/>
      <c r="P100" s="71"/>
      <c r="Q100" s="71"/>
      <c r="R100" s="71"/>
    </row>
    <row r="101" spans="2:18" x14ac:dyDescent="0.25">
      <c r="B101" s="57" t="s">
        <v>260</v>
      </c>
      <c r="C101" s="66" t="s">
        <v>261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  <c r="J101" s="71"/>
      <c r="K101" s="71"/>
      <c r="L101" s="71"/>
      <c r="M101" s="71"/>
      <c r="N101" s="71"/>
      <c r="O101" s="71"/>
      <c r="P101" s="71"/>
      <c r="Q101" s="71"/>
      <c r="R101" s="71"/>
    </row>
    <row r="102" spans="2:18" hidden="1" x14ac:dyDescent="0.25">
      <c r="B102" s="67" t="s">
        <v>262</v>
      </c>
      <c r="C102" s="65" t="s">
        <v>263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71"/>
      <c r="K102" s="71"/>
      <c r="L102" s="71"/>
      <c r="M102" s="71"/>
      <c r="N102" s="71"/>
      <c r="O102" s="71"/>
      <c r="P102" s="71"/>
      <c r="Q102" s="71"/>
      <c r="R102" s="71"/>
    </row>
    <row r="103" spans="2:18" hidden="1" x14ac:dyDescent="0.25">
      <c r="B103" s="54" t="s">
        <v>264</v>
      </c>
      <c r="C103" s="65" t="s">
        <v>265</v>
      </c>
      <c r="D103" s="24"/>
      <c r="E103" s="24"/>
      <c r="F103" s="25"/>
      <c r="G103" s="24"/>
      <c r="H103" s="24"/>
      <c r="I103" s="25"/>
      <c r="J103" s="71"/>
      <c r="K103" s="71"/>
      <c r="L103" s="71"/>
      <c r="M103" s="71"/>
      <c r="N103" s="71"/>
      <c r="O103" s="71"/>
      <c r="P103" s="71"/>
      <c r="Q103" s="71"/>
      <c r="R103" s="71"/>
    </row>
    <row r="104" spans="2:18" ht="31.5" hidden="1" x14ac:dyDescent="0.25">
      <c r="B104" s="67" t="s">
        <v>266</v>
      </c>
      <c r="C104" s="65" t="s">
        <v>267</v>
      </c>
      <c r="D104" s="24"/>
      <c r="E104" s="24"/>
      <c r="F104" s="25"/>
      <c r="G104" s="24"/>
      <c r="H104" s="24"/>
      <c r="I104" s="25"/>
      <c r="J104" s="71"/>
      <c r="K104" s="71"/>
      <c r="L104" s="71"/>
      <c r="M104" s="71"/>
      <c r="N104" s="71"/>
      <c r="O104" s="71"/>
      <c r="P104" s="71"/>
      <c r="Q104" s="71"/>
      <c r="R104" s="71"/>
    </row>
    <row r="105" spans="2:18" hidden="1" x14ac:dyDescent="0.25">
      <c r="B105" s="67" t="s">
        <v>268</v>
      </c>
      <c r="C105" s="65" t="s">
        <v>269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71"/>
      <c r="K105" s="71"/>
      <c r="L105" s="71"/>
      <c r="M105" s="71"/>
      <c r="N105" s="71"/>
      <c r="O105" s="71"/>
      <c r="P105" s="71"/>
      <c r="Q105" s="71"/>
      <c r="R105" s="71"/>
    </row>
    <row r="106" spans="2:18" x14ac:dyDescent="0.25">
      <c r="B106" s="67" t="s">
        <v>270</v>
      </c>
      <c r="C106" s="65" t="s">
        <v>271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  <c r="J106" s="71"/>
      <c r="K106" s="71"/>
      <c r="L106" s="71"/>
      <c r="M106" s="71"/>
      <c r="N106" s="71"/>
      <c r="O106" s="71"/>
      <c r="P106" s="71"/>
      <c r="Q106" s="71"/>
      <c r="R106" s="71"/>
    </row>
    <row r="107" spans="2:18" x14ac:dyDescent="0.25">
      <c r="B107" s="57" t="s">
        <v>272</v>
      </c>
      <c r="C107" s="66" t="s">
        <v>273</v>
      </c>
      <c r="D107" s="25">
        <f t="shared" ref="D107:I107" si="29">SUM(D102:D106)</f>
        <v>0</v>
      </c>
      <c r="E107" s="25">
        <f t="shared" si="29"/>
        <v>0</v>
      </c>
      <c r="F107" s="25">
        <f t="shared" si="29"/>
        <v>0</v>
      </c>
      <c r="G107" s="25">
        <f t="shared" si="29"/>
        <v>0</v>
      </c>
      <c r="H107" s="25">
        <f t="shared" si="29"/>
        <v>0</v>
      </c>
      <c r="I107" s="25">
        <f t="shared" si="29"/>
        <v>0</v>
      </c>
      <c r="J107" s="71"/>
      <c r="K107" s="71"/>
      <c r="L107" s="71"/>
      <c r="M107" s="71"/>
      <c r="N107" s="71"/>
      <c r="O107" s="71"/>
      <c r="P107" s="71"/>
      <c r="Q107" s="71"/>
      <c r="R107" s="71"/>
    </row>
    <row r="108" spans="2:18" x14ac:dyDescent="0.25">
      <c r="B108" s="82" t="s">
        <v>274</v>
      </c>
      <c r="C108" s="68" t="s">
        <v>275</v>
      </c>
      <c r="D108" s="70">
        <f t="shared" ref="D108:I108" si="30">+D107+D101+D100+D94+D82+D75+D74</f>
        <v>42500000</v>
      </c>
      <c r="E108" s="70">
        <f t="shared" si="30"/>
        <v>533647000</v>
      </c>
      <c r="F108" s="70">
        <f t="shared" si="30"/>
        <v>576147000</v>
      </c>
      <c r="G108" s="70">
        <f t="shared" si="30"/>
        <v>0</v>
      </c>
      <c r="H108" s="70">
        <f t="shared" si="30"/>
        <v>0</v>
      </c>
      <c r="I108" s="70">
        <f t="shared" si="30"/>
        <v>0</v>
      </c>
      <c r="J108" s="71"/>
      <c r="K108" s="71"/>
      <c r="L108" s="71"/>
      <c r="M108" s="71"/>
      <c r="N108" s="71"/>
      <c r="O108" s="71"/>
      <c r="P108" s="71"/>
      <c r="Q108" s="71"/>
      <c r="R108" s="71"/>
    </row>
    <row r="109" spans="2:18" x14ac:dyDescent="0.25">
      <c r="B109" s="83" t="s">
        <v>276</v>
      </c>
      <c r="C109" s="84"/>
      <c r="D109" s="85">
        <f>+D101+D94+D82+D74-D33</f>
        <v>0</v>
      </c>
      <c r="E109" s="85">
        <f>+E101+E94+E82+E74-E33</f>
        <v>83528000</v>
      </c>
      <c r="F109" s="85">
        <f t="shared" ref="F109:F116" si="31">+E109+D109</f>
        <v>83528000</v>
      </c>
      <c r="G109" s="85">
        <f>+G101+G94+G82+G74-G33</f>
        <v>0</v>
      </c>
      <c r="H109" s="85">
        <f>+H101+H94+H82+H74-H33</f>
        <v>0</v>
      </c>
      <c r="I109" s="85">
        <f t="shared" ref="I109:I116" si="32">+H109+G109</f>
        <v>0</v>
      </c>
      <c r="J109" s="71"/>
      <c r="K109" s="71"/>
      <c r="L109" s="71"/>
      <c r="M109" s="71"/>
      <c r="N109" s="71"/>
      <c r="O109" s="71"/>
      <c r="P109" s="71"/>
      <c r="Q109" s="71"/>
      <c r="R109" s="71"/>
    </row>
    <row r="110" spans="2:18" x14ac:dyDescent="0.25">
      <c r="B110" s="83" t="s">
        <v>277</v>
      </c>
      <c r="C110" s="84"/>
      <c r="D110" s="85">
        <f>+D107+D100+D75-D57</f>
        <v>0</v>
      </c>
      <c r="E110" s="85">
        <f>+E107+E100+E75-E57</f>
        <v>-83528000</v>
      </c>
      <c r="F110" s="85">
        <f t="shared" si="31"/>
        <v>-83528000</v>
      </c>
      <c r="G110" s="85">
        <f>+G107+G100+G75-G57</f>
        <v>0</v>
      </c>
      <c r="H110" s="85">
        <f>+H107+H100+H75-H57</f>
        <v>0</v>
      </c>
      <c r="I110" s="85">
        <f t="shared" si="32"/>
        <v>0</v>
      </c>
      <c r="J110" s="71"/>
      <c r="K110" s="71"/>
      <c r="L110" s="71"/>
      <c r="M110" s="71"/>
      <c r="N110" s="71"/>
      <c r="O110" s="71"/>
      <c r="P110" s="71"/>
      <c r="Q110" s="71"/>
      <c r="R110" s="71"/>
    </row>
    <row r="111" spans="2:18" hidden="1" x14ac:dyDescent="0.25">
      <c r="B111" s="58" t="s">
        <v>635</v>
      </c>
      <c r="C111" s="57" t="s">
        <v>285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18" hidden="1" x14ac:dyDescent="0.25">
      <c r="B112" s="75" t="s">
        <v>636</v>
      </c>
      <c r="C112" s="57" t="s">
        <v>295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4" t="s">
        <v>296</v>
      </c>
      <c r="C113" s="54" t="s">
        <v>297</v>
      </c>
      <c r="D113" s="24"/>
      <c r="E113" s="24"/>
      <c r="F113" s="25">
        <f t="shared" si="31"/>
        <v>0</v>
      </c>
      <c r="G113" s="24"/>
      <c r="H113" s="24">
        <v>0</v>
      </c>
      <c r="I113" s="25">
        <f t="shared" si="32"/>
        <v>0</v>
      </c>
    </row>
    <row r="114" spans="1:9" x14ac:dyDescent="0.25">
      <c r="A114" s="89" t="s">
        <v>335</v>
      </c>
      <c r="B114" s="54" t="s">
        <v>298</v>
      </c>
      <c r="C114" s="54" t="s">
        <v>297</v>
      </c>
      <c r="D114" s="24"/>
      <c r="E114" s="24"/>
      <c r="F114" s="25">
        <f t="shared" si="31"/>
        <v>0</v>
      </c>
      <c r="G114" s="24"/>
      <c r="H114" s="24"/>
      <c r="I114" s="25">
        <f t="shared" si="32"/>
        <v>0</v>
      </c>
    </row>
    <row r="115" spans="1:9" hidden="1" x14ac:dyDescent="0.25">
      <c r="B115" s="54" t="s">
        <v>299</v>
      </c>
      <c r="C115" s="54" t="s">
        <v>300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hidden="1" x14ac:dyDescent="0.25">
      <c r="A116"/>
      <c r="B116" s="54" t="s">
        <v>301</v>
      </c>
      <c r="C116" s="54" t="s">
        <v>300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89" t="s">
        <v>648</v>
      </c>
      <c r="B117" s="57" t="s">
        <v>302</v>
      </c>
      <c r="C117" s="57" t="s">
        <v>303</v>
      </c>
      <c r="D117" s="25">
        <f t="shared" ref="D117:I117" si="33">SUM(D113:D116)</f>
        <v>0</v>
      </c>
      <c r="E117" s="25">
        <f t="shared" si="33"/>
        <v>0</v>
      </c>
      <c r="F117" s="25">
        <f t="shared" si="33"/>
        <v>0</v>
      </c>
      <c r="G117" s="25">
        <f t="shared" si="33"/>
        <v>0</v>
      </c>
      <c r="H117" s="25">
        <f t="shared" si="33"/>
        <v>0</v>
      </c>
      <c r="I117" s="25">
        <f t="shared" si="33"/>
        <v>0</v>
      </c>
    </row>
    <row r="118" spans="1:9" hidden="1" x14ac:dyDescent="0.25">
      <c r="A118"/>
      <c r="B118" s="73" t="s">
        <v>304</v>
      </c>
      <c r="C118" s="54" t="s">
        <v>305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3" t="s">
        <v>306</v>
      </c>
      <c r="C119" s="54" t="s">
        <v>307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657</v>
      </c>
      <c r="B120" s="73" t="s">
        <v>308</v>
      </c>
      <c r="C120" s="54" t="s">
        <v>309</v>
      </c>
      <c r="D120" s="24"/>
      <c r="E120" s="24"/>
      <c r="F120" s="25">
        <f t="shared" si="34"/>
        <v>0</v>
      </c>
      <c r="G120" s="24"/>
      <c r="H120" s="24">
        <v>0</v>
      </c>
      <c r="I120" s="25">
        <f t="shared" si="35"/>
        <v>0</v>
      </c>
    </row>
    <row r="121" spans="1:9" s="255" customFormat="1" x14ac:dyDescent="0.25">
      <c r="B121" s="256" t="s">
        <v>650</v>
      </c>
      <c r="C121" s="151"/>
      <c r="D121" s="104"/>
      <c r="E121" s="104"/>
      <c r="F121" s="137">
        <f t="shared" si="34"/>
        <v>0</v>
      </c>
      <c r="G121" s="104"/>
      <c r="H121" s="104">
        <v>2550</v>
      </c>
      <c r="I121" s="137">
        <f t="shared" si="35"/>
        <v>2550</v>
      </c>
    </row>
    <row r="122" spans="1:9" s="255" customFormat="1" x14ac:dyDescent="0.25">
      <c r="B122" s="257" t="s">
        <v>640</v>
      </c>
      <c r="C122" s="151"/>
      <c r="D122" s="104">
        <f>+D120-D121</f>
        <v>0</v>
      </c>
      <c r="E122" s="104">
        <f>+E120-E121</f>
        <v>0</v>
      </c>
      <c r="F122" s="137">
        <f t="shared" si="34"/>
        <v>0</v>
      </c>
      <c r="G122" s="104">
        <f>+G120-G121</f>
        <v>0</v>
      </c>
      <c r="H122" s="24">
        <v>0</v>
      </c>
      <c r="I122" s="137">
        <f t="shared" si="35"/>
        <v>0</v>
      </c>
    </row>
    <row r="123" spans="1:9" hidden="1" x14ac:dyDescent="0.25">
      <c r="B123" s="73" t="s">
        <v>310</v>
      </c>
      <c r="C123" s="54" t="s">
        <v>311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7" t="s">
        <v>312</v>
      </c>
      <c r="C124" s="54" t="s">
        <v>313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7" t="s">
        <v>314</v>
      </c>
      <c r="C125" s="54" t="s">
        <v>315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8" t="s">
        <v>316</v>
      </c>
      <c r="C126" s="57" t="s">
        <v>317</v>
      </c>
      <c r="D126" s="25">
        <f>SUM(D118:D125)+D117+D112+D111-D121-D122</f>
        <v>0</v>
      </c>
      <c r="E126" s="25">
        <f>SUM(E118:E125)+E117+E112+E111-E121-E122</f>
        <v>0</v>
      </c>
      <c r="F126" s="25">
        <f>SUM(F118:F124)+F117+F112+F111-F121-F122</f>
        <v>0</v>
      </c>
      <c r="G126" s="25">
        <f>SUM(G118:G125)+G117+G112+G111-G121-G122</f>
        <v>0</v>
      </c>
      <c r="H126" s="25">
        <f>SUM(H118:H125)+H117+H112+H111-H121-H122</f>
        <v>0</v>
      </c>
      <c r="I126" s="25">
        <f>SUM(I118:I124)+I117+I112+I111-I121-I122</f>
        <v>0</v>
      </c>
    </row>
    <row r="127" spans="1:9" hidden="1" x14ac:dyDescent="0.25">
      <c r="B127" s="73" t="s">
        <v>318</v>
      </c>
      <c r="C127" s="54" t="s">
        <v>319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7" t="s">
        <v>320</v>
      </c>
      <c r="C128" s="54" t="s">
        <v>321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7" t="s">
        <v>322</v>
      </c>
      <c r="C129" s="54" t="s">
        <v>323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6" t="s">
        <v>324</v>
      </c>
      <c r="C130" s="77" t="s">
        <v>325</v>
      </c>
      <c r="D130" s="70">
        <f>+D128+D127+D126+D129</f>
        <v>0</v>
      </c>
      <c r="E130" s="70">
        <f>+E128+E127+E126+E129</f>
        <v>0</v>
      </c>
      <c r="F130" s="70">
        <f>+F129+F127+F126</f>
        <v>0</v>
      </c>
      <c r="G130" s="70">
        <f>+G128+G127+G126+G129</f>
        <v>0</v>
      </c>
      <c r="H130" s="70">
        <f>+H128+H127+H126+H129</f>
        <v>0</v>
      </c>
      <c r="I130" s="70">
        <f>+I129+I127+I126</f>
        <v>0</v>
      </c>
    </row>
    <row r="131" spans="2:9" x14ac:dyDescent="0.25">
      <c r="B131" s="28" t="s">
        <v>326</v>
      </c>
      <c r="C131" s="28" t="s">
        <v>327</v>
      </c>
      <c r="D131" s="29">
        <f t="shared" ref="D131:I131" si="36">+D108+D130</f>
        <v>42500000</v>
      </c>
      <c r="E131" s="29">
        <f t="shared" si="36"/>
        <v>533647000</v>
      </c>
      <c r="F131" s="29">
        <f t="shared" si="36"/>
        <v>576147000</v>
      </c>
      <c r="G131" s="29">
        <f t="shared" si="36"/>
        <v>0</v>
      </c>
      <c r="H131" s="29">
        <f t="shared" si="36"/>
        <v>0</v>
      </c>
      <c r="I131" s="29">
        <f t="shared" si="36"/>
        <v>0</v>
      </c>
    </row>
    <row r="132" spans="2:9" x14ac:dyDescent="0.25">
      <c r="B132" s="13"/>
      <c r="C132" s="13"/>
      <c r="D132" s="14"/>
      <c r="E132" s="14"/>
      <c r="F132" s="86"/>
      <c r="G132" s="14"/>
      <c r="H132" s="14"/>
      <c r="I132" s="86"/>
    </row>
    <row r="133" spans="2:9" x14ac:dyDescent="0.25">
      <c r="B133" s="26" t="s">
        <v>328</v>
      </c>
      <c r="C133" s="26"/>
      <c r="D133" s="25">
        <f t="shared" ref="D133:I133" si="37">+D108-D58</f>
        <v>0</v>
      </c>
      <c r="E133" s="25">
        <f t="shared" si="37"/>
        <v>0</v>
      </c>
      <c r="F133" s="25">
        <f t="shared" si="37"/>
        <v>0</v>
      </c>
      <c r="G133" s="25">
        <f t="shared" si="37"/>
        <v>0</v>
      </c>
      <c r="H133" s="25">
        <f t="shared" si="37"/>
        <v>0</v>
      </c>
      <c r="I133" s="25">
        <f t="shared" si="37"/>
        <v>0</v>
      </c>
    </row>
    <row r="134" spans="2:9" x14ac:dyDescent="0.25">
      <c r="B134" s="26" t="s">
        <v>329</v>
      </c>
      <c r="C134" s="26"/>
      <c r="D134" s="25">
        <f t="shared" ref="D134:I134" si="38">+D130-D63</f>
        <v>0</v>
      </c>
      <c r="E134" s="25">
        <f t="shared" si="38"/>
        <v>0</v>
      </c>
      <c r="F134" s="25">
        <f t="shared" si="38"/>
        <v>0</v>
      </c>
      <c r="G134" s="25">
        <f t="shared" si="38"/>
        <v>0</v>
      </c>
      <c r="H134" s="25">
        <f t="shared" si="38"/>
        <v>0</v>
      </c>
      <c r="I134" s="25">
        <f t="shared" si="38"/>
        <v>0</v>
      </c>
    </row>
    <row r="135" spans="2:9" x14ac:dyDescent="0.25">
      <c r="B135" s="13"/>
      <c r="C135" s="13"/>
      <c r="D135" s="14"/>
      <c r="E135" s="14"/>
      <c r="F135" s="86"/>
      <c r="G135" s="14"/>
      <c r="H135" s="14"/>
      <c r="I135" s="86"/>
    </row>
    <row r="136" spans="2:9" x14ac:dyDescent="0.25">
      <c r="B136" s="88" t="s">
        <v>332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0</v>
      </c>
      <c r="H136" s="14">
        <f t="shared" si="39"/>
        <v>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86"/>
      <c r="G137" s="14"/>
      <c r="H137" s="14"/>
      <c r="I137" s="86"/>
    </row>
    <row r="138" spans="2:9" x14ac:dyDescent="0.25">
      <c r="B138" s="13"/>
      <c r="C138" s="13"/>
      <c r="D138" s="14"/>
      <c r="E138" s="14"/>
      <c r="F138" s="86"/>
      <c r="G138" s="14"/>
      <c r="H138" s="14"/>
      <c r="I138" s="86"/>
    </row>
    <row r="139" spans="2:9" x14ac:dyDescent="0.25">
      <c r="B139" s="13"/>
      <c r="C139" s="13"/>
      <c r="D139" s="14"/>
      <c r="E139" s="14"/>
      <c r="F139" s="86"/>
      <c r="G139" s="14"/>
      <c r="H139" s="14"/>
      <c r="I139" s="86"/>
    </row>
    <row r="140" spans="2:9" x14ac:dyDescent="0.25">
      <c r="B140" s="13"/>
      <c r="C140" s="13"/>
      <c r="D140" s="14"/>
      <c r="E140" s="14"/>
      <c r="F140" s="86"/>
      <c r="G140" s="14"/>
      <c r="H140" s="14"/>
      <c r="I140" s="86"/>
    </row>
    <row r="141" spans="2:9" x14ac:dyDescent="0.25">
      <c r="B141" s="13"/>
      <c r="C141" s="13"/>
      <c r="D141" s="14"/>
      <c r="E141" s="14"/>
      <c r="F141" s="86"/>
      <c r="G141" s="14"/>
      <c r="H141" s="14"/>
      <c r="I141" s="86"/>
    </row>
    <row r="142" spans="2:9" x14ac:dyDescent="0.25">
      <c r="B142" s="13"/>
      <c r="C142" s="13"/>
      <c r="D142" s="14"/>
      <c r="E142" s="14"/>
      <c r="F142" s="86"/>
      <c r="G142" s="14"/>
      <c r="H142" s="14"/>
      <c r="I142" s="86"/>
    </row>
    <row r="143" spans="2:9" x14ac:dyDescent="0.25">
      <c r="B143" s="13"/>
      <c r="C143" s="13"/>
      <c r="D143" s="14"/>
      <c r="E143" s="14"/>
      <c r="F143" s="86"/>
      <c r="G143" s="14"/>
      <c r="H143" s="14"/>
      <c r="I143" s="86"/>
    </row>
    <row r="144" spans="2:9" x14ac:dyDescent="0.25">
      <c r="B144" s="13"/>
      <c r="C144" s="13"/>
      <c r="D144" s="14"/>
      <c r="E144" s="14"/>
      <c r="F144" s="86"/>
      <c r="G144" s="14"/>
      <c r="H144" s="14"/>
      <c r="I144" s="86"/>
    </row>
    <row r="145" spans="2:9" x14ac:dyDescent="0.25">
      <c r="B145" s="13"/>
      <c r="C145" s="13"/>
      <c r="D145" s="14"/>
      <c r="E145" s="14"/>
      <c r="F145" s="86"/>
      <c r="G145" s="14"/>
      <c r="H145" s="14"/>
      <c r="I145" s="86"/>
    </row>
    <row r="146" spans="2:9" x14ac:dyDescent="0.25">
      <c r="B146" s="13"/>
      <c r="C146" s="13"/>
      <c r="D146" s="14"/>
      <c r="E146" s="14"/>
      <c r="F146" s="86"/>
      <c r="G146" s="14"/>
      <c r="H146" s="14"/>
      <c r="I146" s="86"/>
    </row>
    <row r="147" spans="2:9" x14ac:dyDescent="0.25">
      <c r="B147" s="13"/>
      <c r="C147" s="13"/>
      <c r="D147" s="14"/>
      <c r="E147" s="14"/>
      <c r="F147" s="86"/>
      <c r="G147" s="14"/>
      <c r="H147" s="14"/>
      <c r="I147" s="86"/>
    </row>
    <row r="148" spans="2:9" x14ac:dyDescent="0.25">
      <c r="B148" s="13"/>
      <c r="C148" s="13"/>
      <c r="D148" s="14"/>
      <c r="E148" s="14"/>
      <c r="F148" s="86"/>
      <c r="G148" s="14"/>
      <c r="H148" s="14"/>
      <c r="I148" s="86"/>
    </row>
    <row r="149" spans="2:9" x14ac:dyDescent="0.25">
      <c r="B149" s="13"/>
      <c r="C149" s="13"/>
      <c r="D149" s="14"/>
      <c r="E149" s="14"/>
      <c r="F149" s="86"/>
      <c r="G149" s="14"/>
      <c r="H149" s="14"/>
      <c r="I149" s="86"/>
    </row>
    <row r="150" spans="2:9" x14ac:dyDescent="0.25">
      <c r="B150" s="13"/>
      <c r="C150" s="13"/>
      <c r="D150" s="14"/>
      <c r="E150" s="14"/>
      <c r="F150" s="86"/>
      <c r="G150" s="14"/>
      <c r="H150" s="14"/>
      <c r="I150" s="86"/>
    </row>
    <row r="151" spans="2:9" x14ac:dyDescent="0.25">
      <c r="B151" s="13"/>
      <c r="C151" s="13"/>
      <c r="D151" s="14"/>
      <c r="E151" s="14"/>
      <c r="F151" s="86"/>
      <c r="G151" s="14"/>
      <c r="H151" s="14"/>
      <c r="I151" s="86"/>
    </row>
    <row r="152" spans="2:9" x14ac:dyDescent="0.25">
      <c r="B152" s="13"/>
      <c r="C152" s="13"/>
      <c r="D152" s="14"/>
      <c r="E152" s="14"/>
      <c r="F152" s="86"/>
      <c r="G152" s="14"/>
      <c r="H152" s="14"/>
      <c r="I152" s="86"/>
    </row>
    <row r="153" spans="2:9" x14ac:dyDescent="0.25">
      <c r="B153" s="13"/>
      <c r="C153" s="13"/>
      <c r="D153" s="14"/>
      <c r="E153" s="14"/>
      <c r="F153" s="86"/>
      <c r="G153" s="14"/>
      <c r="H153" s="14"/>
      <c r="I153" s="86"/>
    </row>
    <row r="154" spans="2:9" x14ac:dyDescent="0.25">
      <c r="B154" s="13"/>
      <c r="C154" s="13"/>
      <c r="D154" s="14"/>
      <c r="E154" s="14"/>
      <c r="F154" s="86"/>
      <c r="G154" s="14"/>
      <c r="H154" s="14"/>
      <c r="I154" s="86"/>
    </row>
    <row r="155" spans="2:9" x14ac:dyDescent="0.25">
      <c r="B155" s="13"/>
      <c r="C155" s="13"/>
      <c r="D155" s="14"/>
      <c r="E155" s="14"/>
      <c r="F155" s="86"/>
      <c r="G155" s="14"/>
      <c r="H155" s="14"/>
      <c r="I155" s="86"/>
    </row>
    <row r="156" spans="2:9" x14ac:dyDescent="0.25">
      <c r="B156" s="13"/>
      <c r="C156" s="13"/>
      <c r="D156" s="14"/>
      <c r="E156" s="14"/>
      <c r="F156" s="86"/>
      <c r="G156" s="14"/>
      <c r="H156" s="14"/>
      <c r="I156" s="86"/>
    </row>
    <row r="157" spans="2:9" x14ac:dyDescent="0.25">
      <c r="B157" s="13"/>
      <c r="C157" s="13"/>
      <c r="D157" s="14"/>
      <c r="E157" s="14"/>
      <c r="F157" s="86"/>
      <c r="G157" s="14"/>
      <c r="H157" s="14"/>
      <c r="I157" s="86"/>
    </row>
    <row r="158" spans="2:9" x14ac:dyDescent="0.25">
      <c r="B158" s="13"/>
      <c r="C158" s="13"/>
      <c r="D158" s="14"/>
      <c r="E158" s="14"/>
      <c r="F158" s="86"/>
      <c r="G158" s="14"/>
      <c r="H158" s="14"/>
      <c r="I158" s="86"/>
    </row>
    <row r="159" spans="2:9" x14ac:dyDescent="0.25">
      <c r="B159" s="13"/>
      <c r="C159" s="13"/>
      <c r="D159" s="14"/>
      <c r="E159" s="14"/>
      <c r="F159" s="86"/>
      <c r="G159" s="14"/>
      <c r="H159" s="14"/>
      <c r="I159" s="86"/>
    </row>
    <row r="160" spans="2:9" x14ac:dyDescent="0.25">
      <c r="B160" s="13"/>
      <c r="C160" s="13"/>
      <c r="D160" s="14"/>
      <c r="E160" s="14"/>
      <c r="F160" s="86"/>
      <c r="G160" s="14"/>
      <c r="H160" s="14"/>
      <c r="I160" s="86"/>
    </row>
    <row r="161" spans="2:9" x14ac:dyDescent="0.25">
      <c r="B161" s="13"/>
      <c r="C161" s="13"/>
      <c r="D161" s="14"/>
      <c r="E161" s="14"/>
      <c r="F161" s="86"/>
      <c r="G161" s="14"/>
      <c r="H161" s="14"/>
      <c r="I161" s="86"/>
    </row>
    <row r="162" spans="2:9" x14ac:dyDescent="0.25">
      <c r="B162" s="13"/>
      <c r="C162" s="13"/>
      <c r="D162" s="14"/>
      <c r="E162" s="14"/>
      <c r="F162" s="86"/>
      <c r="G162" s="14"/>
      <c r="H162" s="14"/>
      <c r="I162" s="86"/>
    </row>
    <row r="163" spans="2:9" x14ac:dyDescent="0.25">
      <c r="B163" s="13"/>
      <c r="C163" s="13"/>
      <c r="D163" s="14"/>
      <c r="E163" s="14"/>
      <c r="F163" s="86"/>
      <c r="G163" s="14"/>
      <c r="H163" s="14"/>
      <c r="I163" s="86"/>
    </row>
    <row r="164" spans="2:9" x14ac:dyDescent="0.25">
      <c r="B164" s="13"/>
      <c r="C164" s="13"/>
      <c r="D164" s="14"/>
      <c r="E164" s="14"/>
      <c r="F164" s="86"/>
      <c r="G164" s="14"/>
      <c r="H164" s="14"/>
      <c r="I164" s="86"/>
    </row>
    <row r="165" spans="2:9" x14ac:dyDescent="0.25">
      <c r="B165" s="13"/>
      <c r="C165" s="13"/>
      <c r="D165" s="14"/>
      <c r="E165" s="14"/>
      <c r="F165" s="86"/>
      <c r="G165" s="14"/>
      <c r="H165" s="14"/>
      <c r="I165" s="86"/>
    </row>
    <row r="166" spans="2:9" x14ac:dyDescent="0.25">
      <c r="B166" s="13"/>
      <c r="C166" s="13"/>
      <c r="D166" s="14"/>
      <c r="E166" s="14"/>
      <c r="F166" s="86"/>
      <c r="G166" s="14"/>
      <c r="H166" s="14"/>
      <c r="I166" s="86"/>
    </row>
    <row r="167" spans="2:9" x14ac:dyDescent="0.25">
      <c r="B167" s="13"/>
      <c r="C167" s="13"/>
      <c r="D167" s="14"/>
      <c r="E167" s="14"/>
      <c r="F167" s="86"/>
      <c r="G167" s="14"/>
      <c r="H167" s="14"/>
      <c r="I167" s="86"/>
    </row>
    <row r="168" spans="2:9" x14ac:dyDescent="0.25">
      <c r="B168" s="13"/>
      <c r="C168" s="13"/>
      <c r="D168" s="14"/>
      <c r="E168" s="14"/>
      <c r="F168" s="86"/>
      <c r="G168" s="14"/>
      <c r="H168" s="14"/>
      <c r="I168" s="86"/>
    </row>
    <row r="169" spans="2:9" x14ac:dyDescent="0.25">
      <c r="B169" s="13"/>
      <c r="C169" s="13"/>
      <c r="D169" s="14"/>
      <c r="E169" s="14"/>
      <c r="F169" s="86"/>
      <c r="G169" s="14"/>
      <c r="H169" s="14"/>
      <c r="I169" s="86"/>
    </row>
    <row r="170" spans="2:9" x14ac:dyDescent="0.25">
      <c r="B170" s="13"/>
      <c r="C170" s="13"/>
      <c r="D170" s="14"/>
      <c r="E170" s="14"/>
      <c r="F170" s="86"/>
      <c r="G170" s="14"/>
      <c r="H170" s="14"/>
      <c r="I170" s="86"/>
    </row>
    <row r="171" spans="2:9" x14ac:dyDescent="0.25">
      <c r="B171" s="13"/>
      <c r="C171" s="13"/>
      <c r="D171" s="14"/>
      <c r="E171" s="14"/>
      <c r="F171" s="86"/>
      <c r="G171" s="14"/>
      <c r="H171" s="14"/>
      <c r="I171" s="86"/>
    </row>
    <row r="172" spans="2:9" x14ac:dyDescent="0.25">
      <c r="B172" s="13"/>
      <c r="C172" s="13"/>
      <c r="D172" s="14"/>
      <c r="E172" s="14"/>
      <c r="F172" s="86"/>
      <c r="G172" s="14"/>
      <c r="H172" s="14"/>
      <c r="I172" s="86"/>
    </row>
    <row r="173" spans="2:9" x14ac:dyDescent="0.25">
      <c r="B173" s="13"/>
      <c r="C173" s="13"/>
      <c r="D173" s="14"/>
      <c r="E173" s="14"/>
      <c r="F173" s="86"/>
      <c r="G173" s="14"/>
      <c r="H173" s="14"/>
      <c r="I173" s="86"/>
    </row>
    <row r="174" spans="2:9" x14ac:dyDescent="0.25">
      <c r="B174" s="13"/>
      <c r="C174" s="13"/>
      <c r="D174" s="14"/>
      <c r="E174" s="14"/>
      <c r="F174" s="86"/>
      <c r="G174" s="14"/>
      <c r="H174" s="14"/>
      <c r="I174" s="86"/>
    </row>
    <row r="175" spans="2:9" x14ac:dyDescent="0.25">
      <c r="B175" s="13"/>
      <c r="C175" s="13"/>
      <c r="D175" s="14"/>
      <c r="E175" s="14"/>
      <c r="F175" s="86"/>
      <c r="G175" s="14"/>
      <c r="H175" s="14"/>
      <c r="I175" s="86"/>
    </row>
    <row r="176" spans="2:9" x14ac:dyDescent="0.25">
      <c r="B176" s="13"/>
      <c r="C176" s="13"/>
      <c r="D176" s="14"/>
      <c r="E176" s="14"/>
      <c r="F176" s="86"/>
      <c r="G176" s="14"/>
      <c r="H176" s="14"/>
      <c r="I176" s="86"/>
    </row>
    <row r="177" spans="2:9" x14ac:dyDescent="0.25">
      <c r="B177" s="13"/>
      <c r="C177" s="13"/>
      <c r="D177" s="14"/>
      <c r="E177" s="14"/>
      <c r="F177" s="86"/>
      <c r="G177" s="14"/>
      <c r="H177" s="14"/>
      <c r="I177" s="86"/>
    </row>
    <row r="178" spans="2:9" x14ac:dyDescent="0.25">
      <c r="B178" s="13"/>
      <c r="C178" s="13"/>
      <c r="D178" s="14"/>
      <c r="E178" s="14"/>
      <c r="F178" s="86"/>
      <c r="G178" s="14"/>
      <c r="H178" s="14"/>
      <c r="I178" s="86"/>
    </row>
    <row r="179" spans="2:9" x14ac:dyDescent="0.25">
      <c r="B179" s="13"/>
      <c r="C179" s="13"/>
      <c r="D179" s="14"/>
      <c r="E179" s="14"/>
      <c r="F179" s="86"/>
      <c r="G179" s="14"/>
      <c r="H179" s="14"/>
      <c r="I179" s="86"/>
    </row>
    <row r="180" spans="2:9" x14ac:dyDescent="0.25">
      <c r="B180" s="13"/>
      <c r="C180" s="13"/>
      <c r="D180" s="14"/>
      <c r="E180" s="14"/>
      <c r="F180" s="86"/>
      <c r="G180" s="14"/>
      <c r="H180" s="14"/>
      <c r="I180" s="86"/>
    </row>
    <row r="181" spans="2:9" x14ac:dyDescent="0.25">
      <c r="B181" s="13"/>
      <c r="C181" s="13"/>
      <c r="D181" s="14"/>
      <c r="E181" s="14"/>
      <c r="F181" s="86"/>
      <c r="G181" s="14"/>
      <c r="H181" s="14"/>
      <c r="I181" s="86"/>
    </row>
    <row r="182" spans="2:9" x14ac:dyDescent="0.25">
      <c r="B182" s="13"/>
      <c r="C182" s="13"/>
      <c r="D182" s="14"/>
      <c r="E182" s="14"/>
      <c r="F182" s="86"/>
      <c r="G182" s="14"/>
      <c r="H182" s="14"/>
      <c r="I182" s="86"/>
    </row>
    <row r="183" spans="2:9" x14ac:dyDescent="0.25">
      <c r="B183" s="13"/>
      <c r="C183" s="13"/>
      <c r="D183" s="14"/>
      <c r="E183" s="14"/>
      <c r="F183" s="86"/>
      <c r="G183" s="14"/>
      <c r="H183" s="14"/>
      <c r="I183" s="86"/>
    </row>
    <row r="184" spans="2:9" x14ac:dyDescent="0.25">
      <c r="B184" s="13"/>
      <c r="C184" s="13"/>
      <c r="D184" s="14"/>
      <c r="E184" s="14"/>
      <c r="F184" s="86"/>
      <c r="G184" s="14"/>
      <c r="H184" s="14"/>
      <c r="I184" s="86"/>
    </row>
    <row r="185" spans="2:9" x14ac:dyDescent="0.25">
      <c r="B185" s="13"/>
      <c r="C185" s="13"/>
      <c r="D185" s="14"/>
      <c r="E185" s="14"/>
      <c r="F185" s="86"/>
      <c r="G185" s="14"/>
      <c r="H185" s="14"/>
      <c r="I185" s="86"/>
    </row>
    <row r="186" spans="2:9" x14ac:dyDescent="0.25">
      <c r="B186" s="13"/>
      <c r="C186" s="13"/>
      <c r="D186" s="14"/>
      <c r="E186" s="14"/>
      <c r="F186" s="86"/>
      <c r="G186" s="14"/>
      <c r="H186" s="14"/>
      <c r="I186" s="86"/>
    </row>
    <row r="187" spans="2:9" x14ac:dyDescent="0.25">
      <c r="B187" s="13"/>
      <c r="C187" s="13"/>
      <c r="D187" s="14"/>
      <c r="E187" s="14"/>
      <c r="F187" s="86"/>
      <c r="G187" s="14"/>
      <c r="H187" s="14"/>
      <c r="I187" s="86"/>
    </row>
    <row r="188" spans="2:9" x14ac:dyDescent="0.25">
      <c r="B188" s="13"/>
      <c r="C188" s="13"/>
      <c r="D188" s="14"/>
      <c r="E188" s="14"/>
      <c r="F188" s="86"/>
      <c r="G188" s="14"/>
      <c r="H188" s="14"/>
      <c r="I188" s="86"/>
    </row>
    <row r="189" spans="2:9" x14ac:dyDescent="0.25">
      <c r="B189" s="13"/>
      <c r="C189" s="13"/>
      <c r="D189" s="14"/>
      <c r="E189" s="14"/>
      <c r="F189" s="86"/>
      <c r="G189" s="14"/>
      <c r="H189" s="14"/>
      <c r="I189" s="86"/>
    </row>
    <row r="190" spans="2:9" x14ac:dyDescent="0.25">
      <c r="B190" s="13"/>
      <c r="C190" s="13"/>
      <c r="D190" s="14"/>
      <c r="E190" s="14"/>
      <c r="F190" s="86"/>
      <c r="G190" s="14"/>
      <c r="H190" s="14"/>
      <c r="I190" s="86"/>
    </row>
    <row r="191" spans="2:9" x14ac:dyDescent="0.25">
      <c r="B191" s="13"/>
      <c r="C191" s="13"/>
      <c r="D191" s="14"/>
      <c r="E191" s="14"/>
      <c r="F191" s="86"/>
      <c r="G191" s="14"/>
      <c r="H191" s="14"/>
      <c r="I191" s="86"/>
    </row>
    <row r="192" spans="2:9" x14ac:dyDescent="0.25">
      <c r="B192" s="13"/>
      <c r="C192" s="13"/>
      <c r="D192" s="14"/>
      <c r="E192" s="14"/>
      <c r="F192" s="86"/>
      <c r="G192" s="14"/>
      <c r="H192" s="14"/>
      <c r="I192" s="86"/>
    </row>
    <row r="193" spans="2:9" x14ac:dyDescent="0.25">
      <c r="B193" s="13"/>
      <c r="C193" s="13"/>
      <c r="D193" s="14"/>
      <c r="E193" s="14"/>
      <c r="F193" s="86"/>
      <c r="G193" s="14"/>
      <c r="H193" s="14"/>
      <c r="I193" s="86"/>
    </row>
    <row r="194" spans="2:9" x14ac:dyDescent="0.25">
      <c r="B194" s="13"/>
      <c r="C194" s="13"/>
      <c r="D194" s="14"/>
      <c r="E194" s="14"/>
      <c r="F194" s="86"/>
      <c r="G194" s="14"/>
      <c r="H194" s="14"/>
      <c r="I194" s="86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4513888888888888" top="0.54027777777777775" bottom="0.51180555555555551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F2" sqref="F2"/>
    </sheetView>
  </sheetViews>
  <sheetFormatPr defaultColWidth="11.5703125" defaultRowHeight="15.75" x14ac:dyDescent="0.25"/>
  <cols>
    <col min="1" max="1" width="10.7109375" style="30" customWidth="1"/>
    <col min="2" max="2" width="72.42578125" style="30" customWidth="1"/>
    <col min="3" max="3" width="9.7109375" style="30" customWidth="1"/>
    <col min="4" max="4" width="14.28515625" style="30" customWidth="1"/>
    <col min="5" max="5" width="13.42578125" style="30" customWidth="1"/>
    <col min="6" max="6" width="14.85546875" style="31" customWidth="1"/>
    <col min="7" max="8" width="0" style="30" hidden="1" customWidth="1"/>
    <col min="9" max="9" width="0" style="31" hidden="1" customWidth="1"/>
    <col min="10" max="252" width="9.140625" style="30" customWidth="1"/>
  </cols>
  <sheetData>
    <row r="1" spans="2:9" s="13" customFormat="1" ht="18.75" x14ac:dyDescent="0.25">
      <c r="F1" s="15" t="s">
        <v>658</v>
      </c>
      <c r="I1" s="15" t="s">
        <v>659</v>
      </c>
    </row>
    <row r="2" spans="2:9" s="13" customFormat="1" ht="20.25" x14ac:dyDescent="0.3">
      <c r="B2" s="250" t="s">
        <v>5</v>
      </c>
      <c r="F2" s="16" t="s">
        <v>937</v>
      </c>
      <c r="I2" s="16" t="s">
        <v>11</v>
      </c>
    </row>
    <row r="3" spans="2:9" s="13" customFormat="1" x14ac:dyDescent="0.25">
      <c r="B3" s="44" t="s">
        <v>880</v>
      </c>
      <c r="C3" s="37"/>
      <c r="D3" s="37"/>
      <c r="E3" s="37"/>
      <c r="F3" s="38"/>
      <c r="G3" s="37"/>
      <c r="H3" s="37"/>
      <c r="I3" s="38"/>
    </row>
    <row r="4" spans="2:9" s="13" customFormat="1" x14ac:dyDescent="0.25">
      <c r="B4" s="42" t="s">
        <v>874</v>
      </c>
      <c r="C4" s="43"/>
      <c r="D4" s="43"/>
      <c r="E4" s="43"/>
      <c r="F4" s="44"/>
      <c r="G4" s="43"/>
      <c r="H4" s="43"/>
      <c r="I4" s="44"/>
    </row>
    <row r="5" spans="2:9" ht="15.75" customHeight="1" x14ac:dyDescent="0.25">
      <c r="B5" s="47"/>
      <c r="D5" s="469" t="s">
        <v>12</v>
      </c>
      <c r="E5" s="469"/>
      <c r="F5" s="469"/>
      <c r="G5" s="469" t="s">
        <v>13</v>
      </c>
      <c r="H5" s="469"/>
      <c r="I5" s="469"/>
    </row>
    <row r="6" spans="2:9" ht="47.25" x14ac:dyDescent="0.25">
      <c r="B6" s="19" t="s">
        <v>14</v>
      </c>
      <c r="C6" s="48" t="s">
        <v>41</v>
      </c>
      <c r="D6" s="49" t="s">
        <v>15</v>
      </c>
      <c r="E6" s="49" t="s">
        <v>16</v>
      </c>
      <c r="F6" s="170" t="s">
        <v>566</v>
      </c>
      <c r="G6" s="49" t="s">
        <v>15</v>
      </c>
      <c r="H6" s="49" t="s">
        <v>16</v>
      </c>
      <c r="I6" s="170" t="s">
        <v>566</v>
      </c>
    </row>
    <row r="7" spans="2:9" x14ac:dyDescent="0.25">
      <c r="B7" s="52" t="s">
        <v>42</v>
      </c>
      <c r="C7" s="53" t="s">
        <v>43</v>
      </c>
      <c r="D7" s="24">
        <v>256424000</v>
      </c>
      <c r="E7" s="24">
        <v>5898000</v>
      </c>
      <c r="F7" s="25">
        <f>+D7+E7</f>
        <v>262322000</v>
      </c>
      <c r="G7" s="24">
        <v>0</v>
      </c>
      <c r="H7" s="24">
        <v>0</v>
      </c>
      <c r="I7" s="25">
        <f>+G7+H7</f>
        <v>0</v>
      </c>
    </row>
    <row r="8" spans="2:9" x14ac:dyDescent="0.25">
      <c r="B8" s="54" t="s">
        <v>44</v>
      </c>
      <c r="C8" s="53" t="s">
        <v>45</v>
      </c>
      <c r="D8" s="24">
        <v>8131000</v>
      </c>
      <c r="E8" s="24"/>
      <c r="F8" s="25">
        <f>+D8+E8</f>
        <v>8131000</v>
      </c>
      <c r="G8" s="24">
        <v>0</v>
      </c>
      <c r="H8" s="24"/>
      <c r="I8" s="25">
        <f>+G8+H8</f>
        <v>0</v>
      </c>
    </row>
    <row r="9" spans="2:9" x14ac:dyDescent="0.25">
      <c r="B9" s="55" t="s">
        <v>46</v>
      </c>
      <c r="C9" s="56" t="s">
        <v>47</v>
      </c>
      <c r="D9" s="25">
        <f t="shared" ref="D9:I9" si="0">SUM(D7:D8)</f>
        <v>264555000</v>
      </c>
      <c r="E9" s="25">
        <f t="shared" si="0"/>
        <v>5898000</v>
      </c>
      <c r="F9" s="25">
        <f t="shared" si="0"/>
        <v>270453000</v>
      </c>
      <c r="G9" s="25">
        <f t="shared" si="0"/>
        <v>0</v>
      </c>
      <c r="H9" s="25">
        <f t="shared" si="0"/>
        <v>0</v>
      </c>
      <c r="I9" s="25">
        <f t="shared" si="0"/>
        <v>0</v>
      </c>
    </row>
    <row r="10" spans="2:9" x14ac:dyDescent="0.25">
      <c r="B10" s="57" t="s">
        <v>48</v>
      </c>
      <c r="C10" s="56" t="s">
        <v>49</v>
      </c>
      <c r="D10" s="24">
        <v>50422000</v>
      </c>
      <c r="E10" s="24">
        <v>685000</v>
      </c>
      <c r="F10" s="25">
        <f t="shared" ref="F10:F15" si="1">+D10+E10</f>
        <v>51107000</v>
      </c>
      <c r="G10" s="24">
        <v>0</v>
      </c>
      <c r="H10" s="24">
        <v>0</v>
      </c>
      <c r="I10" s="25">
        <f t="shared" ref="I10:I15" si="2">+G10+H10</f>
        <v>0</v>
      </c>
    </row>
    <row r="11" spans="2:9" x14ac:dyDescent="0.25">
      <c r="B11" s="54" t="s">
        <v>50</v>
      </c>
      <c r="C11" s="53" t="s">
        <v>51</v>
      </c>
      <c r="D11" s="24">
        <v>55475000</v>
      </c>
      <c r="E11" s="24">
        <v>815000</v>
      </c>
      <c r="F11" s="25">
        <f t="shared" si="1"/>
        <v>56290000</v>
      </c>
      <c r="G11" s="24">
        <v>0</v>
      </c>
      <c r="H11" s="24">
        <v>0</v>
      </c>
      <c r="I11" s="25">
        <f t="shared" si="2"/>
        <v>0</v>
      </c>
    </row>
    <row r="12" spans="2:9" x14ac:dyDescent="0.25">
      <c r="B12" s="54" t="s">
        <v>52</v>
      </c>
      <c r="C12" s="53" t="s">
        <v>53</v>
      </c>
      <c r="D12" s="24">
        <v>1312000</v>
      </c>
      <c r="E12" s="24">
        <v>0</v>
      </c>
      <c r="F12" s="25">
        <f t="shared" si="1"/>
        <v>1312000</v>
      </c>
      <c r="G12" s="24">
        <v>0</v>
      </c>
      <c r="H12" s="24">
        <v>0</v>
      </c>
      <c r="I12" s="25">
        <f t="shared" si="2"/>
        <v>0</v>
      </c>
    </row>
    <row r="13" spans="2:9" x14ac:dyDescent="0.25">
      <c r="B13" s="54" t="s">
        <v>54</v>
      </c>
      <c r="C13" s="53" t="s">
        <v>55</v>
      </c>
      <c r="D13" s="24">
        <v>41982000</v>
      </c>
      <c r="E13" s="24">
        <v>375000</v>
      </c>
      <c r="F13" s="25">
        <f t="shared" si="1"/>
        <v>42357000</v>
      </c>
      <c r="G13" s="24">
        <v>0</v>
      </c>
      <c r="H13" s="24">
        <v>0</v>
      </c>
      <c r="I13" s="25">
        <f t="shared" si="2"/>
        <v>0</v>
      </c>
    </row>
    <row r="14" spans="2:9" x14ac:dyDescent="0.25">
      <c r="B14" s="54" t="s">
        <v>56</v>
      </c>
      <c r="C14" s="53" t="s">
        <v>57</v>
      </c>
      <c r="D14" s="24">
        <v>105000</v>
      </c>
      <c r="E14" s="24">
        <v>0</v>
      </c>
      <c r="F14" s="25">
        <f t="shared" si="1"/>
        <v>105000</v>
      </c>
      <c r="G14" s="24">
        <v>0</v>
      </c>
      <c r="H14" s="24">
        <v>0</v>
      </c>
      <c r="I14" s="25">
        <f t="shared" si="2"/>
        <v>0</v>
      </c>
    </row>
    <row r="15" spans="2:9" x14ac:dyDescent="0.25">
      <c r="B15" s="54" t="s">
        <v>58</v>
      </c>
      <c r="C15" s="53" t="s">
        <v>59</v>
      </c>
      <c r="D15" s="24">
        <v>26083000</v>
      </c>
      <c r="E15" s="24">
        <v>628000</v>
      </c>
      <c r="F15" s="25">
        <f t="shared" si="1"/>
        <v>26711000</v>
      </c>
      <c r="G15" s="24">
        <v>0</v>
      </c>
      <c r="H15" s="24">
        <v>0</v>
      </c>
      <c r="I15" s="25">
        <f t="shared" si="2"/>
        <v>0</v>
      </c>
    </row>
    <row r="16" spans="2:9" x14ac:dyDescent="0.25">
      <c r="B16" s="57" t="s">
        <v>60</v>
      </c>
      <c r="C16" s="56" t="s">
        <v>61</v>
      </c>
      <c r="D16" s="25">
        <f t="shared" ref="D16:I16" si="3">SUM(D11:D15)</f>
        <v>124957000</v>
      </c>
      <c r="E16" s="25">
        <f t="shared" si="3"/>
        <v>1818000</v>
      </c>
      <c r="F16" s="25">
        <f t="shared" si="3"/>
        <v>126775000</v>
      </c>
      <c r="G16" s="25">
        <f t="shared" si="3"/>
        <v>0</v>
      </c>
      <c r="H16" s="25">
        <f t="shared" si="3"/>
        <v>0</v>
      </c>
      <c r="I16" s="25">
        <f t="shared" si="3"/>
        <v>0</v>
      </c>
    </row>
    <row r="17" spans="2:9" x14ac:dyDescent="0.25">
      <c r="B17" s="58" t="s">
        <v>62</v>
      </c>
      <c r="C17" s="56" t="s">
        <v>63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9" t="s">
        <v>64</v>
      </c>
      <c r="C18" s="53" t="s">
        <v>65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9" t="s">
        <v>66</v>
      </c>
      <c r="C19" s="53" t="s">
        <v>67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9" t="s">
        <v>68</v>
      </c>
      <c r="C20" s="53" t="s">
        <v>69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9" t="s">
        <v>70</v>
      </c>
      <c r="C21" s="53" t="s">
        <v>71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9" t="s">
        <v>643</v>
      </c>
      <c r="C22" s="53" t="s">
        <v>73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9" t="s">
        <v>74</v>
      </c>
      <c r="C23" s="53" t="s">
        <v>75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9" t="s">
        <v>76</v>
      </c>
      <c r="C24" s="53" t="s">
        <v>77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9" t="s">
        <v>78</v>
      </c>
      <c r="C25" s="53" t="s">
        <v>79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9" t="s">
        <v>80</v>
      </c>
      <c r="C26" s="53" t="s">
        <v>81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60" t="s">
        <v>82</v>
      </c>
      <c r="C27" s="53" t="s">
        <v>83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60" t="s">
        <v>644</v>
      </c>
      <c r="C28" s="53" t="s">
        <v>85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9" t="s">
        <v>86</v>
      </c>
      <c r="C29" s="53" t="s">
        <v>87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60" t="s">
        <v>88</v>
      </c>
      <c r="C30" s="53" t="s">
        <v>89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60" t="s">
        <v>90</v>
      </c>
      <c r="C31" s="53" t="s">
        <v>89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8" t="s">
        <v>91</v>
      </c>
      <c r="C32" s="56" t="s">
        <v>92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 t="shared" si="6"/>
        <v>0</v>
      </c>
      <c r="H32" s="25">
        <f t="shared" si="6"/>
        <v>0</v>
      </c>
      <c r="I32" s="25">
        <f t="shared" si="6"/>
        <v>0</v>
      </c>
    </row>
    <row r="33" spans="2:9" x14ac:dyDescent="0.25">
      <c r="B33" s="61" t="s">
        <v>93</v>
      </c>
      <c r="C33" s="62" t="s">
        <v>94</v>
      </c>
      <c r="D33" s="63">
        <f t="shared" ref="D33:I33" si="7">+D32+D17+D16+D10+D9</f>
        <v>439934000</v>
      </c>
      <c r="E33" s="63">
        <f t="shared" si="7"/>
        <v>8401000</v>
      </c>
      <c r="F33" s="63">
        <f t="shared" si="7"/>
        <v>448335000</v>
      </c>
      <c r="G33" s="63">
        <f t="shared" si="7"/>
        <v>0</v>
      </c>
      <c r="H33" s="63">
        <f t="shared" si="7"/>
        <v>0</v>
      </c>
      <c r="I33" s="63">
        <f t="shared" si="7"/>
        <v>0</v>
      </c>
    </row>
    <row r="34" spans="2:9" x14ac:dyDescent="0.25">
      <c r="B34" s="64" t="s">
        <v>95</v>
      </c>
      <c r="C34" s="53" t="s">
        <v>96</v>
      </c>
      <c r="D34" s="24"/>
      <c r="E34" s="24"/>
      <c r="F34" s="25">
        <f t="shared" ref="F34:F40" si="8">+D34+E34</f>
        <v>0</v>
      </c>
      <c r="G34" s="24"/>
      <c r="H34" s="24"/>
      <c r="I34" s="25">
        <f t="shared" ref="I34:I40" si="9">+G34+H34</f>
        <v>0</v>
      </c>
    </row>
    <row r="35" spans="2:9" x14ac:dyDescent="0.25">
      <c r="B35" s="64" t="s">
        <v>97</v>
      </c>
      <c r="C35" s="53" t="s">
        <v>98</v>
      </c>
      <c r="D35" s="24"/>
      <c r="E35" s="24"/>
      <c r="F35" s="25">
        <f t="shared" si="8"/>
        <v>0</v>
      </c>
      <c r="G35" s="24">
        <v>0</v>
      </c>
      <c r="H35" s="24"/>
      <c r="I35" s="25">
        <f t="shared" si="9"/>
        <v>0</v>
      </c>
    </row>
    <row r="36" spans="2:9" x14ac:dyDescent="0.25">
      <c r="B36" s="64" t="s">
        <v>99</v>
      </c>
      <c r="C36" s="53" t="s">
        <v>100</v>
      </c>
      <c r="D36" s="24"/>
      <c r="E36" s="24"/>
      <c r="F36" s="25">
        <f t="shared" si="8"/>
        <v>0</v>
      </c>
      <c r="G36" s="24">
        <v>0</v>
      </c>
      <c r="H36" s="24"/>
      <c r="I36" s="25">
        <f t="shared" si="9"/>
        <v>0</v>
      </c>
    </row>
    <row r="37" spans="2:9" x14ac:dyDescent="0.25">
      <c r="B37" s="64" t="s">
        <v>101</v>
      </c>
      <c r="C37" s="53" t="s">
        <v>102</v>
      </c>
      <c r="D37" s="24">
        <v>5905000</v>
      </c>
      <c r="E37" s="24"/>
      <c r="F37" s="25">
        <f t="shared" si="8"/>
        <v>5905000</v>
      </c>
      <c r="G37" s="24">
        <v>0</v>
      </c>
      <c r="H37" s="24"/>
      <c r="I37" s="25">
        <f t="shared" si="9"/>
        <v>0</v>
      </c>
    </row>
    <row r="38" spans="2:9" x14ac:dyDescent="0.25">
      <c r="B38" s="65" t="s">
        <v>103</v>
      </c>
      <c r="C38" s="53" t="s">
        <v>104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x14ac:dyDescent="0.25">
      <c r="B39" s="65" t="s">
        <v>105</v>
      </c>
      <c r="C39" s="53" t="s">
        <v>106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5" t="s">
        <v>107</v>
      </c>
      <c r="C40" s="53" t="s">
        <v>108</v>
      </c>
      <c r="D40" s="24">
        <v>1595000</v>
      </c>
      <c r="E40" s="24"/>
      <c r="F40" s="25">
        <f t="shared" si="8"/>
        <v>1595000</v>
      </c>
      <c r="G40" s="24">
        <v>0</v>
      </c>
      <c r="H40" s="24"/>
      <c r="I40" s="25">
        <f t="shared" si="9"/>
        <v>0</v>
      </c>
    </row>
    <row r="41" spans="2:9" s="31" customFormat="1" x14ac:dyDescent="0.25">
      <c r="B41" s="66" t="s">
        <v>109</v>
      </c>
      <c r="C41" s="56" t="s">
        <v>110</v>
      </c>
      <c r="D41" s="25">
        <f t="shared" ref="D41:I41" si="10">SUM(D34:D40)</f>
        <v>7500000</v>
      </c>
      <c r="E41" s="25">
        <f t="shared" si="10"/>
        <v>0</v>
      </c>
      <c r="F41" s="25">
        <f t="shared" si="10"/>
        <v>7500000</v>
      </c>
      <c r="G41" s="25">
        <f t="shared" si="10"/>
        <v>0</v>
      </c>
      <c r="H41" s="25">
        <f t="shared" si="10"/>
        <v>0</v>
      </c>
      <c r="I41" s="25">
        <f t="shared" si="10"/>
        <v>0</v>
      </c>
    </row>
    <row r="42" spans="2:9" x14ac:dyDescent="0.25">
      <c r="B42" s="67" t="s">
        <v>111</v>
      </c>
      <c r="C42" s="53" t="s">
        <v>112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7" t="s">
        <v>113</v>
      </c>
      <c r="C43" s="53" t="s">
        <v>114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7" t="s">
        <v>115</v>
      </c>
      <c r="C44" s="53" t="s">
        <v>116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7" t="s">
        <v>117</v>
      </c>
      <c r="C45" s="53" t="s">
        <v>118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7" t="s">
        <v>119</v>
      </c>
      <c r="C46" s="56" t="s">
        <v>120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idden="1" x14ac:dyDescent="0.25">
      <c r="B47" s="67" t="s">
        <v>645</v>
      </c>
      <c r="C47" s="53" t="s">
        <v>122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idden="1" x14ac:dyDescent="0.25">
      <c r="B48" s="67" t="s">
        <v>646</v>
      </c>
      <c r="C48" s="53" t="s">
        <v>124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8" hidden="1" x14ac:dyDescent="0.25">
      <c r="B49" s="67" t="s">
        <v>125</v>
      </c>
      <c r="C49" s="53" t="s">
        <v>126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8" hidden="1" x14ac:dyDescent="0.25">
      <c r="B50" s="67" t="s">
        <v>127</v>
      </c>
      <c r="C50" s="53" t="s">
        <v>128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8" hidden="1" x14ac:dyDescent="0.25">
      <c r="B51" s="67" t="s">
        <v>129</v>
      </c>
      <c r="C51" s="53" t="s">
        <v>130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8" hidden="1" x14ac:dyDescent="0.25">
      <c r="B52" s="67" t="s">
        <v>131</v>
      </c>
      <c r="C52" s="53" t="s">
        <v>132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8" hidden="1" x14ac:dyDescent="0.25">
      <c r="B53" s="67" t="s">
        <v>133</v>
      </c>
      <c r="C53" s="53" t="s">
        <v>134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8" hidden="1" x14ac:dyDescent="0.25">
      <c r="B54" s="60" t="s">
        <v>647</v>
      </c>
      <c r="C54" s="53" t="s">
        <v>136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8" hidden="1" x14ac:dyDescent="0.25">
      <c r="B55" s="67" t="s">
        <v>137</v>
      </c>
      <c r="C55" s="53" t="s">
        <v>138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8" s="31" customFormat="1" x14ac:dyDescent="0.25">
      <c r="B56" s="58" t="s">
        <v>139</v>
      </c>
      <c r="C56" s="56" t="s">
        <v>140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8" x14ac:dyDescent="0.25">
      <c r="B57" s="61" t="s">
        <v>141</v>
      </c>
      <c r="C57" s="62" t="s">
        <v>142</v>
      </c>
      <c r="D57" s="63">
        <f t="shared" ref="D57:I57" si="15">+D56+D46+D41</f>
        <v>7500000</v>
      </c>
      <c r="E57" s="63">
        <f t="shared" si="15"/>
        <v>0</v>
      </c>
      <c r="F57" s="63">
        <f t="shared" si="15"/>
        <v>7500000</v>
      </c>
      <c r="G57" s="63">
        <f t="shared" si="15"/>
        <v>0</v>
      </c>
      <c r="H57" s="63">
        <f t="shared" si="15"/>
        <v>0</v>
      </c>
      <c r="I57" s="63">
        <f t="shared" si="15"/>
        <v>0</v>
      </c>
    </row>
    <row r="58" spans="2:18" x14ac:dyDescent="0.25">
      <c r="B58" s="68" t="s">
        <v>143</v>
      </c>
      <c r="C58" s="69" t="s">
        <v>144</v>
      </c>
      <c r="D58" s="70">
        <f t="shared" ref="D58:I58" si="16">+D56+D46+D41+D32+D17+D16+D10+D9</f>
        <v>447434000</v>
      </c>
      <c r="E58" s="70">
        <f t="shared" si="16"/>
        <v>8401000</v>
      </c>
      <c r="F58" s="70">
        <f t="shared" si="16"/>
        <v>455835000</v>
      </c>
      <c r="G58" s="70">
        <f t="shared" si="16"/>
        <v>0</v>
      </c>
      <c r="H58" s="70">
        <f t="shared" si="16"/>
        <v>0</v>
      </c>
      <c r="I58" s="70">
        <f t="shared" si="16"/>
        <v>0</v>
      </c>
    </row>
    <row r="59" spans="2:18" hidden="1" x14ac:dyDescent="0.25">
      <c r="B59" s="73" t="s">
        <v>626</v>
      </c>
      <c r="C59" s="54" t="s">
        <v>170</v>
      </c>
      <c r="D59" s="251"/>
      <c r="E59" s="251"/>
      <c r="F59" s="24">
        <f>+D59+E59</f>
        <v>0</v>
      </c>
      <c r="G59" s="251"/>
      <c r="H59" s="251"/>
      <c r="I59" s="24">
        <f>+G59+H59</f>
        <v>0</v>
      </c>
      <c r="J59" s="252"/>
      <c r="K59" s="252"/>
      <c r="L59" s="252"/>
      <c r="M59" s="252"/>
      <c r="N59" s="252"/>
      <c r="O59" s="252"/>
      <c r="P59" s="252"/>
      <c r="Q59" s="71"/>
      <c r="R59" s="71"/>
    </row>
    <row r="60" spans="2:18" hidden="1" x14ac:dyDescent="0.25">
      <c r="B60" s="73" t="s">
        <v>171</v>
      </c>
      <c r="C60" s="54" t="s">
        <v>172</v>
      </c>
      <c r="D60" s="251"/>
      <c r="E60" s="251"/>
      <c r="F60" s="24">
        <f>+D60+E60</f>
        <v>0</v>
      </c>
      <c r="G60" s="251"/>
      <c r="H60" s="251"/>
      <c r="I60" s="24">
        <f>+G60+H60</f>
        <v>0</v>
      </c>
      <c r="J60" s="252"/>
      <c r="K60" s="252"/>
      <c r="L60" s="252"/>
      <c r="M60" s="252"/>
      <c r="N60" s="252"/>
      <c r="O60" s="252"/>
      <c r="P60" s="252"/>
      <c r="Q60" s="71"/>
      <c r="R60" s="71"/>
    </row>
    <row r="61" spans="2:18" hidden="1" x14ac:dyDescent="0.25">
      <c r="B61" s="67" t="s">
        <v>173</v>
      </c>
      <c r="C61" s="54" t="s">
        <v>174</v>
      </c>
      <c r="D61" s="251"/>
      <c r="E61" s="251"/>
      <c r="F61" s="24">
        <f>+D61+E61</f>
        <v>0</v>
      </c>
      <c r="G61" s="251"/>
      <c r="H61" s="251"/>
      <c r="I61" s="24">
        <f>+G61+H61</f>
        <v>0</v>
      </c>
      <c r="J61" s="253"/>
      <c r="K61" s="253"/>
      <c r="L61" s="253"/>
      <c r="M61" s="253"/>
      <c r="N61" s="253"/>
      <c r="O61" s="253"/>
      <c r="P61" s="253"/>
      <c r="Q61" s="71"/>
      <c r="R61" s="71"/>
    </row>
    <row r="62" spans="2:18" hidden="1" x14ac:dyDescent="0.25">
      <c r="B62" s="67" t="s">
        <v>175</v>
      </c>
      <c r="C62" s="54" t="s">
        <v>176</v>
      </c>
      <c r="D62" s="251"/>
      <c r="E62" s="251"/>
      <c r="F62" s="24">
        <f>+D62+E62</f>
        <v>0</v>
      </c>
      <c r="G62" s="251"/>
      <c r="H62" s="251"/>
      <c r="I62" s="24">
        <f>+G62+H62</f>
        <v>0</v>
      </c>
      <c r="J62" s="253"/>
      <c r="K62" s="253"/>
      <c r="L62" s="253"/>
      <c r="M62" s="253"/>
      <c r="N62" s="253"/>
      <c r="O62" s="253"/>
      <c r="P62" s="253"/>
      <c r="Q62" s="71"/>
      <c r="R62" s="71"/>
    </row>
    <row r="63" spans="2:18" x14ac:dyDescent="0.25">
      <c r="B63" s="76" t="s">
        <v>177</v>
      </c>
      <c r="C63" s="77" t="s">
        <v>178</v>
      </c>
      <c r="D63" s="78">
        <f t="shared" ref="D63:I63" si="17">+D61+D60+D59+D62</f>
        <v>0</v>
      </c>
      <c r="E63" s="78">
        <f t="shared" si="17"/>
        <v>0</v>
      </c>
      <c r="F63" s="78">
        <f t="shared" si="17"/>
        <v>0</v>
      </c>
      <c r="G63" s="78">
        <f t="shared" si="17"/>
        <v>0</v>
      </c>
      <c r="H63" s="78">
        <f t="shared" si="17"/>
        <v>0</v>
      </c>
      <c r="I63" s="78">
        <f t="shared" si="17"/>
        <v>0</v>
      </c>
      <c r="J63" s="254"/>
      <c r="K63" s="254"/>
      <c r="L63" s="254"/>
      <c r="M63" s="254"/>
      <c r="N63" s="254"/>
      <c r="O63" s="254"/>
      <c r="P63" s="254"/>
      <c r="Q63" s="71"/>
      <c r="R63" s="71"/>
    </row>
    <row r="64" spans="2:18" x14ac:dyDescent="0.25">
      <c r="B64" s="28" t="s">
        <v>179</v>
      </c>
      <c r="C64" s="28" t="s">
        <v>180</v>
      </c>
      <c r="D64" s="29">
        <f t="shared" ref="D64:I64" si="18">+D58+D63</f>
        <v>447434000</v>
      </c>
      <c r="E64" s="29">
        <f t="shared" si="18"/>
        <v>8401000</v>
      </c>
      <c r="F64" s="29">
        <f t="shared" si="18"/>
        <v>455835000</v>
      </c>
      <c r="G64" s="29">
        <f t="shared" si="18"/>
        <v>0</v>
      </c>
      <c r="H64" s="29">
        <f t="shared" si="18"/>
        <v>0</v>
      </c>
      <c r="I64" s="29">
        <f t="shared" si="18"/>
        <v>0</v>
      </c>
      <c r="J64" s="71"/>
      <c r="K64" s="71"/>
      <c r="L64" s="71"/>
      <c r="M64" s="71"/>
      <c r="N64" s="71"/>
      <c r="O64" s="71"/>
      <c r="P64" s="71"/>
      <c r="Q64" s="71"/>
      <c r="R64" s="71"/>
    </row>
    <row r="65" spans="2:18" x14ac:dyDescent="0.25">
      <c r="B65" s="13"/>
      <c r="C65" s="79"/>
      <c r="D65" s="80"/>
      <c r="E65" s="80"/>
      <c r="F65" s="81"/>
      <c r="G65" s="80"/>
      <c r="H65" s="80"/>
      <c r="I65" s="81"/>
      <c r="J65" s="71"/>
      <c r="K65" s="71"/>
      <c r="L65" s="71"/>
      <c r="M65" s="71"/>
      <c r="N65" s="71"/>
      <c r="O65" s="71"/>
      <c r="P65" s="71"/>
      <c r="Q65" s="71"/>
      <c r="R65" s="71"/>
    </row>
    <row r="66" spans="2:18" ht="15.75" hidden="1" customHeight="1" x14ac:dyDescent="0.25">
      <c r="B66" s="13"/>
      <c r="C66" s="79"/>
      <c r="D66" s="469" t="s">
        <v>13</v>
      </c>
      <c r="E66" s="469"/>
      <c r="F66" s="469"/>
      <c r="G66" s="469" t="s">
        <v>13</v>
      </c>
      <c r="H66" s="469"/>
      <c r="I66" s="469"/>
      <c r="J66" s="71"/>
      <c r="K66" s="71"/>
      <c r="L66" s="71"/>
      <c r="M66" s="71"/>
      <c r="N66" s="71"/>
      <c r="O66" s="71"/>
      <c r="P66" s="71"/>
      <c r="Q66" s="71"/>
      <c r="R66" s="71"/>
    </row>
    <row r="67" spans="2:18" ht="47.25" x14ac:dyDescent="0.25">
      <c r="B67" s="19" t="s">
        <v>14</v>
      </c>
      <c r="C67" s="48" t="s">
        <v>181</v>
      </c>
      <c r="D67" s="49" t="s">
        <v>15</v>
      </c>
      <c r="E67" s="49" t="s">
        <v>16</v>
      </c>
      <c r="F67" s="170" t="s">
        <v>566</v>
      </c>
      <c r="G67" s="49" t="s">
        <v>15</v>
      </c>
      <c r="H67" s="49" t="s">
        <v>16</v>
      </c>
      <c r="I67" s="170" t="s">
        <v>566</v>
      </c>
      <c r="J67" s="71"/>
      <c r="K67" s="71"/>
      <c r="L67" s="71"/>
      <c r="M67" s="71"/>
      <c r="N67" s="71"/>
      <c r="O67" s="71"/>
      <c r="P67" s="71"/>
      <c r="Q67" s="71"/>
      <c r="R67" s="71"/>
    </row>
    <row r="68" spans="2:18" hidden="1" x14ac:dyDescent="0.25">
      <c r="B68" s="57" t="s">
        <v>627</v>
      </c>
      <c r="C68" s="66" t="s">
        <v>195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  <c r="J68" s="71"/>
      <c r="K68" s="71"/>
      <c r="L68" s="71"/>
      <c r="M68" s="71"/>
      <c r="N68" s="71"/>
      <c r="O68" s="71"/>
      <c r="P68" s="71"/>
      <c r="Q68" s="71"/>
      <c r="R68" s="71"/>
    </row>
    <row r="69" spans="2:18" hidden="1" x14ac:dyDescent="0.25">
      <c r="B69" s="54" t="s">
        <v>196</v>
      </c>
      <c r="C69" s="65" t="s">
        <v>197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  <c r="J69" s="71"/>
      <c r="K69" s="71"/>
      <c r="L69" s="71"/>
      <c r="M69" s="71"/>
      <c r="N69" s="71"/>
      <c r="O69" s="71"/>
      <c r="P69" s="71"/>
      <c r="Q69" s="71"/>
      <c r="R69" s="71"/>
    </row>
    <row r="70" spans="2:18" ht="31.5" hidden="1" x14ac:dyDescent="0.25">
      <c r="B70" s="54" t="s">
        <v>628</v>
      </c>
      <c r="C70" s="65" t="s">
        <v>199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  <c r="J70" s="71"/>
      <c r="K70" s="71"/>
      <c r="L70" s="71"/>
      <c r="M70" s="71"/>
      <c r="N70" s="71"/>
      <c r="O70" s="71"/>
      <c r="P70" s="71"/>
      <c r="Q70" s="71"/>
      <c r="R70" s="71"/>
    </row>
    <row r="71" spans="2:18" hidden="1" x14ac:dyDescent="0.25">
      <c r="B71" s="54" t="s">
        <v>200</v>
      </c>
      <c r="C71" s="65" t="s">
        <v>201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  <c r="J71" s="71"/>
      <c r="K71" s="71"/>
      <c r="L71" s="71"/>
      <c r="M71" s="71"/>
      <c r="N71" s="71"/>
      <c r="O71" s="71"/>
      <c r="P71" s="71"/>
      <c r="Q71" s="71"/>
      <c r="R71" s="71"/>
    </row>
    <row r="72" spans="2:18" hidden="1" x14ac:dyDescent="0.25">
      <c r="B72" s="54" t="s">
        <v>202</v>
      </c>
      <c r="C72" s="65" t="s">
        <v>203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  <c r="J72" s="71"/>
      <c r="K72" s="71"/>
      <c r="L72" s="71"/>
      <c r="M72" s="71"/>
      <c r="N72" s="71"/>
      <c r="O72" s="71"/>
      <c r="P72" s="71"/>
      <c r="Q72" s="71"/>
      <c r="R72" s="71"/>
    </row>
    <row r="73" spans="2:18" x14ac:dyDescent="0.25">
      <c r="B73" s="54" t="s">
        <v>204</v>
      </c>
      <c r="C73" s="65" t="s">
        <v>205</v>
      </c>
      <c r="D73" s="24"/>
      <c r="E73" s="24">
        <v>5485000</v>
      </c>
      <c r="F73" s="25">
        <f t="shared" si="19"/>
        <v>5485000</v>
      </c>
      <c r="G73" s="24"/>
      <c r="H73" s="24">
        <v>0</v>
      </c>
      <c r="I73" s="25">
        <f t="shared" si="20"/>
        <v>0</v>
      </c>
      <c r="J73" s="71"/>
      <c r="K73" s="71"/>
      <c r="L73" s="71"/>
      <c r="M73" s="71"/>
      <c r="N73" s="71"/>
      <c r="O73" s="71"/>
      <c r="P73" s="71"/>
      <c r="Q73" s="71"/>
      <c r="R73" s="71"/>
    </row>
    <row r="74" spans="2:18" x14ac:dyDescent="0.25">
      <c r="B74" s="57" t="s">
        <v>206</v>
      </c>
      <c r="C74" s="66" t="s">
        <v>207</v>
      </c>
      <c r="D74" s="25">
        <f t="shared" ref="D74:I74" si="21">+D73+D72+D71+D70+D69+D68</f>
        <v>0</v>
      </c>
      <c r="E74" s="25">
        <f t="shared" si="21"/>
        <v>5485000</v>
      </c>
      <c r="F74" s="25">
        <f t="shared" si="21"/>
        <v>5485000</v>
      </c>
      <c r="G74" s="25">
        <f t="shared" si="21"/>
        <v>0</v>
      </c>
      <c r="H74" s="25">
        <f t="shared" si="21"/>
        <v>0</v>
      </c>
      <c r="I74" s="25">
        <f t="shared" si="21"/>
        <v>0</v>
      </c>
      <c r="J74" s="71"/>
      <c r="K74" s="71"/>
      <c r="L74" s="71"/>
      <c r="M74" s="71"/>
      <c r="N74" s="71"/>
      <c r="O74" s="71"/>
      <c r="P74" s="71"/>
      <c r="Q74" s="71"/>
      <c r="R74" s="71"/>
    </row>
    <row r="75" spans="2:18" x14ac:dyDescent="0.25">
      <c r="B75" s="57" t="s">
        <v>208</v>
      </c>
      <c r="C75" s="66" t="s">
        <v>209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  <c r="J75" s="71"/>
      <c r="K75" s="71"/>
      <c r="L75" s="71"/>
      <c r="M75" s="71"/>
      <c r="N75" s="71"/>
      <c r="O75" s="71"/>
      <c r="P75" s="71"/>
      <c r="Q75" s="71"/>
      <c r="R75" s="71"/>
    </row>
    <row r="76" spans="2:18" hidden="1" x14ac:dyDescent="0.25">
      <c r="B76" s="54" t="s">
        <v>210</v>
      </c>
      <c r="C76" s="65" t="s">
        <v>211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  <c r="J76" s="71"/>
      <c r="K76" s="71"/>
      <c r="L76" s="71"/>
      <c r="M76" s="71"/>
      <c r="N76" s="71"/>
      <c r="O76" s="71"/>
      <c r="P76" s="71"/>
      <c r="Q76" s="71"/>
      <c r="R76" s="71"/>
    </row>
    <row r="77" spans="2:18" hidden="1" x14ac:dyDescent="0.25">
      <c r="B77" s="54" t="s">
        <v>212</v>
      </c>
      <c r="C77" s="65" t="s">
        <v>213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  <c r="J77" s="71"/>
      <c r="K77" s="71"/>
      <c r="L77" s="71"/>
      <c r="M77" s="71"/>
      <c r="N77" s="71"/>
      <c r="O77" s="71"/>
      <c r="P77" s="71"/>
      <c r="Q77" s="71"/>
      <c r="R77" s="71"/>
    </row>
    <row r="78" spans="2:18" hidden="1" x14ac:dyDescent="0.25">
      <c r="B78" s="54" t="s">
        <v>214</v>
      </c>
      <c r="C78" s="65" t="s">
        <v>215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  <c r="J78" s="71"/>
      <c r="K78" s="71"/>
      <c r="L78" s="71"/>
      <c r="M78" s="71"/>
      <c r="N78" s="71"/>
      <c r="O78" s="71"/>
      <c r="P78" s="71"/>
      <c r="Q78" s="71"/>
      <c r="R78" s="71"/>
    </row>
    <row r="79" spans="2:18" hidden="1" x14ac:dyDescent="0.25">
      <c r="B79" s="54" t="s">
        <v>216</v>
      </c>
      <c r="C79" s="65" t="s">
        <v>217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  <c r="J79" s="71"/>
      <c r="K79" s="71"/>
      <c r="L79" s="71"/>
      <c r="M79" s="71"/>
      <c r="N79" s="71"/>
      <c r="O79" s="71"/>
      <c r="P79" s="71"/>
      <c r="Q79" s="71"/>
      <c r="R79" s="71"/>
    </row>
    <row r="80" spans="2:18" hidden="1" x14ac:dyDescent="0.25">
      <c r="B80" s="54" t="s">
        <v>218</v>
      </c>
      <c r="C80" s="65" t="s">
        <v>219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  <c r="J80" s="71"/>
      <c r="K80" s="71"/>
      <c r="L80" s="71"/>
      <c r="M80" s="71"/>
      <c r="N80" s="71"/>
      <c r="O80" s="71"/>
      <c r="P80" s="71"/>
      <c r="Q80" s="71"/>
      <c r="R80" s="71"/>
    </row>
    <row r="81" spans="2:18" hidden="1" x14ac:dyDescent="0.25">
      <c r="B81" s="54" t="s">
        <v>220</v>
      </c>
      <c r="C81" s="65" t="s">
        <v>221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  <c r="J81" s="71"/>
      <c r="K81" s="71"/>
      <c r="L81" s="71"/>
      <c r="M81" s="71"/>
      <c r="N81" s="71"/>
      <c r="O81" s="71"/>
      <c r="P81" s="71"/>
      <c r="Q81" s="71"/>
      <c r="R81" s="71"/>
    </row>
    <row r="82" spans="2:18" x14ac:dyDescent="0.25">
      <c r="B82" s="57" t="s">
        <v>222</v>
      </c>
      <c r="C82" s="66" t="s">
        <v>223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 t="shared" si="24"/>
        <v>0</v>
      </c>
      <c r="H82" s="25">
        <f t="shared" si="24"/>
        <v>0</v>
      </c>
      <c r="I82" s="25">
        <f t="shared" si="24"/>
        <v>0</v>
      </c>
      <c r="J82" s="71"/>
      <c r="K82" s="71"/>
      <c r="L82" s="71"/>
      <c r="M82" s="71"/>
      <c r="N82" s="71"/>
      <c r="O82" s="71"/>
      <c r="P82" s="71"/>
      <c r="Q82" s="71"/>
      <c r="R82" s="71"/>
    </row>
    <row r="83" spans="2:18" x14ac:dyDescent="0.25">
      <c r="B83" s="67" t="s">
        <v>631</v>
      </c>
      <c r="C83" s="65" t="s">
        <v>225</v>
      </c>
      <c r="D83" s="24"/>
      <c r="E83" s="24"/>
      <c r="F83" s="25">
        <f t="shared" ref="F83:F93" si="25">+E83+D83</f>
        <v>0</v>
      </c>
      <c r="G83" s="24"/>
      <c r="H83" s="24"/>
      <c r="I83" s="25">
        <f t="shared" ref="I83:I93" si="26">+H83+G83</f>
        <v>0</v>
      </c>
      <c r="J83" s="71"/>
      <c r="K83" s="71"/>
      <c r="L83" s="71"/>
      <c r="M83" s="71"/>
      <c r="N83" s="71"/>
      <c r="O83" s="71"/>
      <c r="P83" s="71"/>
      <c r="Q83" s="71"/>
      <c r="R83" s="71"/>
    </row>
    <row r="84" spans="2:18" x14ac:dyDescent="0.25">
      <c r="B84" s="67" t="s">
        <v>226</v>
      </c>
      <c r="C84" s="65" t="s">
        <v>227</v>
      </c>
      <c r="D84" s="24">
        <v>0</v>
      </c>
      <c r="E84" s="24">
        <v>2300000</v>
      </c>
      <c r="F84" s="25">
        <f t="shared" si="25"/>
        <v>2300000</v>
      </c>
      <c r="G84" s="24">
        <v>0</v>
      </c>
      <c r="H84" s="24">
        <v>0</v>
      </c>
      <c r="I84" s="25">
        <f t="shared" si="26"/>
        <v>0</v>
      </c>
      <c r="J84" s="71"/>
      <c r="K84" s="71"/>
      <c r="L84" s="71"/>
      <c r="M84" s="71"/>
      <c r="N84" s="71"/>
      <c r="O84" s="71"/>
      <c r="P84" s="71"/>
      <c r="Q84" s="71"/>
      <c r="R84" s="71"/>
    </row>
    <row r="85" spans="2:18" x14ac:dyDescent="0.25">
      <c r="B85" s="67" t="s">
        <v>228</v>
      </c>
      <c r="C85" s="65" t="s">
        <v>229</v>
      </c>
      <c r="D85" s="24"/>
      <c r="E85" s="24"/>
      <c r="F85" s="25">
        <f t="shared" si="25"/>
        <v>0</v>
      </c>
      <c r="G85" s="24"/>
      <c r="H85" s="24"/>
      <c r="I85" s="25">
        <f t="shared" si="26"/>
        <v>0</v>
      </c>
      <c r="J85" s="71"/>
      <c r="K85" s="71"/>
      <c r="L85" s="71"/>
      <c r="M85" s="71"/>
      <c r="N85" s="71"/>
      <c r="O85" s="71"/>
      <c r="P85" s="71"/>
      <c r="Q85" s="71"/>
      <c r="R85" s="71"/>
    </row>
    <row r="86" spans="2:18" x14ac:dyDescent="0.25">
      <c r="B86" s="67" t="s">
        <v>230</v>
      </c>
      <c r="C86" s="65" t="s">
        <v>231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  <c r="J86" s="71"/>
      <c r="K86" s="71"/>
      <c r="L86" s="71"/>
      <c r="M86" s="71"/>
      <c r="N86" s="71"/>
      <c r="O86" s="71"/>
      <c r="P86" s="71"/>
      <c r="Q86" s="71"/>
      <c r="R86" s="71"/>
    </row>
    <row r="87" spans="2:18" x14ac:dyDescent="0.25">
      <c r="B87" s="67" t="s">
        <v>232</v>
      </c>
      <c r="C87" s="65" t="s">
        <v>233</v>
      </c>
      <c r="D87" s="24">
        <v>122340000</v>
      </c>
      <c r="E87" s="24"/>
      <c r="F87" s="25">
        <f t="shared" si="25"/>
        <v>122340000</v>
      </c>
      <c r="G87" s="24">
        <v>0</v>
      </c>
      <c r="H87" s="24">
        <v>0</v>
      </c>
      <c r="I87" s="25">
        <f t="shared" si="26"/>
        <v>0</v>
      </c>
      <c r="J87" s="71"/>
      <c r="K87" s="71"/>
      <c r="L87" s="71"/>
      <c r="M87" s="71"/>
      <c r="N87" s="71"/>
      <c r="O87" s="71"/>
      <c r="P87" s="71"/>
      <c r="Q87" s="71"/>
      <c r="R87" s="71"/>
    </row>
    <row r="88" spans="2:18" x14ac:dyDescent="0.25">
      <c r="B88" s="67" t="s">
        <v>234</v>
      </c>
      <c r="C88" s="65" t="s">
        <v>235</v>
      </c>
      <c r="D88" s="24">
        <v>3044000</v>
      </c>
      <c r="E88" s="24">
        <v>616000</v>
      </c>
      <c r="F88" s="25">
        <f t="shared" si="25"/>
        <v>3660000</v>
      </c>
      <c r="G88" s="24">
        <v>0</v>
      </c>
      <c r="H88" s="24">
        <v>0</v>
      </c>
      <c r="I88" s="25">
        <f t="shared" si="26"/>
        <v>0</v>
      </c>
      <c r="J88" s="71"/>
      <c r="K88" s="71"/>
      <c r="L88" s="71"/>
      <c r="M88" s="71"/>
      <c r="N88" s="71"/>
      <c r="O88" s="71"/>
      <c r="P88" s="71"/>
      <c r="Q88" s="71"/>
      <c r="R88" s="71"/>
    </row>
    <row r="89" spans="2:18" x14ac:dyDescent="0.25">
      <c r="B89" s="67" t="s">
        <v>236</v>
      </c>
      <c r="C89" s="65" t="s">
        <v>237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  <c r="J89" s="71"/>
      <c r="K89" s="71"/>
      <c r="L89" s="71"/>
      <c r="M89" s="71"/>
      <c r="N89" s="71"/>
      <c r="O89" s="71"/>
      <c r="P89" s="71"/>
      <c r="Q89" s="71"/>
      <c r="R89" s="71"/>
    </row>
    <row r="90" spans="2:18" x14ac:dyDescent="0.25">
      <c r="B90" s="67" t="s">
        <v>238</v>
      </c>
      <c r="C90" s="65" t="s">
        <v>239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  <c r="J90" s="71"/>
      <c r="K90" s="71"/>
      <c r="L90" s="71"/>
      <c r="M90" s="71"/>
      <c r="N90" s="71"/>
      <c r="O90" s="71"/>
      <c r="P90" s="71"/>
      <c r="Q90" s="71"/>
      <c r="R90" s="71"/>
    </row>
    <row r="91" spans="2:18" x14ac:dyDescent="0.25">
      <c r="B91" s="67" t="s">
        <v>240</v>
      </c>
      <c r="C91" s="65" t="s">
        <v>241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  <c r="J91" s="71"/>
      <c r="K91" s="71"/>
      <c r="L91" s="71"/>
      <c r="M91" s="71"/>
      <c r="N91" s="71"/>
      <c r="O91" s="71"/>
      <c r="P91" s="71"/>
      <c r="Q91" s="71"/>
      <c r="R91" s="71"/>
    </row>
    <row r="92" spans="2:18" x14ac:dyDescent="0.25">
      <c r="B92" s="67" t="s">
        <v>242</v>
      </c>
      <c r="C92" s="65" t="s">
        <v>243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  <c r="J92" s="71"/>
      <c r="K92" s="71"/>
      <c r="L92" s="71"/>
      <c r="M92" s="71"/>
      <c r="N92" s="71"/>
      <c r="O92" s="71"/>
      <c r="P92" s="71"/>
      <c r="Q92" s="71"/>
      <c r="R92" s="71"/>
    </row>
    <row r="93" spans="2:18" x14ac:dyDescent="0.25">
      <c r="B93" s="67" t="s">
        <v>244</v>
      </c>
      <c r="C93" s="65" t="s">
        <v>245</v>
      </c>
      <c r="D93" s="24">
        <v>0</v>
      </c>
      <c r="E93" s="24"/>
      <c r="F93" s="25">
        <f t="shared" si="25"/>
        <v>0</v>
      </c>
      <c r="G93" s="24">
        <v>0</v>
      </c>
      <c r="H93" s="24"/>
      <c r="I93" s="25">
        <f t="shared" si="26"/>
        <v>0</v>
      </c>
      <c r="J93" s="71"/>
      <c r="K93" s="71"/>
      <c r="L93" s="71"/>
      <c r="M93" s="71"/>
      <c r="N93" s="71"/>
      <c r="O93" s="71"/>
      <c r="P93" s="71"/>
      <c r="Q93" s="71"/>
      <c r="R93" s="71"/>
    </row>
    <row r="94" spans="2:18" x14ac:dyDescent="0.25">
      <c r="B94" s="58" t="s">
        <v>246</v>
      </c>
      <c r="C94" s="66" t="s">
        <v>247</v>
      </c>
      <c r="D94" s="25">
        <f t="shared" ref="D94:I94" si="27">SUM(D83:D93)</f>
        <v>125384000</v>
      </c>
      <c r="E94" s="25">
        <f t="shared" si="27"/>
        <v>2916000</v>
      </c>
      <c r="F94" s="25">
        <f t="shared" si="27"/>
        <v>128300000</v>
      </c>
      <c r="G94" s="25">
        <f t="shared" si="27"/>
        <v>0</v>
      </c>
      <c r="H94" s="25">
        <f t="shared" si="27"/>
        <v>0</v>
      </c>
      <c r="I94" s="25">
        <f t="shared" si="27"/>
        <v>0</v>
      </c>
      <c r="J94" s="71"/>
      <c r="K94" s="71"/>
      <c r="L94" s="71"/>
      <c r="M94" s="71"/>
      <c r="N94" s="71"/>
      <c r="O94" s="71"/>
      <c r="P94" s="71"/>
      <c r="Q94" s="71"/>
      <c r="R94" s="71"/>
    </row>
    <row r="95" spans="2:18" x14ac:dyDescent="0.25">
      <c r="B95" s="67" t="s">
        <v>248</v>
      </c>
      <c r="C95" s="65" t="s">
        <v>249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71"/>
      <c r="K95" s="71"/>
      <c r="L95" s="71"/>
      <c r="M95" s="71"/>
      <c r="N95" s="71"/>
      <c r="O95" s="71"/>
      <c r="P95" s="71"/>
      <c r="Q95" s="71"/>
      <c r="R95" s="71"/>
    </row>
    <row r="96" spans="2:18" x14ac:dyDescent="0.25">
      <c r="B96" s="67" t="s">
        <v>250</v>
      </c>
      <c r="C96" s="65" t="s">
        <v>251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71"/>
      <c r="K96" s="71"/>
      <c r="L96" s="71"/>
      <c r="M96" s="71"/>
      <c r="N96" s="71"/>
      <c r="O96" s="71"/>
      <c r="P96" s="71"/>
      <c r="Q96" s="71"/>
      <c r="R96" s="71"/>
    </row>
    <row r="97" spans="2:18" x14ac:dyDescent="0.25">
      <c r="B97" s="67" t="s">
        <v>252</v>
      </c>
      <c r="C97" s="65" t="s">
        <v>253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71"/>
      <c r="K97" s="71"/>
      <c r="L97" s="71"/>
      <c r="M97" s="71"/>
      <c r="N97" s="71"/>
      <c r="O97" s="71"/>
      <c r="P97" s="71"/>
      <c r="Q97" s="71"/>
      <c r="R97" s="71"/>
    </row>
    <row r="98" spans="2:18" hidden="1" x14ac:dyDescent="0.25">
      <c r="B98" s="67" t="s">
        <v>254</v>
      </c>
      <c r="C98" s="65" t="s">
        <v>255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71"/>
      <c r="K98" s="71"/>
      <c r="L98" s="71"/>
      <c r="M98" s="71"/>
      <c r="N98" s="71"/>
      <c r="O98" s="71"/>
      <c r="P98" s="71"/>
      <c r="Q98" s="71"/>
      <c r="R98" s="71"/>
    </row>
    <row r="99" spans="2:18" hidden="1" x14ac:dyDescent="0.25">
      <c r="B99" s="67" t="s">
        <v>256</v>
      </c>
      <c r="C99" s="65" t="s">
        <v>257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71"/>
      <c r="K99" s="71"/>
      <c r="L99" s="71"/>
      <c r="M99" s="71"/>
      <c r="N99" s="71"/>
      <c r="O99" s="71"/>
      <c r="P99" s="71"/>
      <c r="Q99" s="71"/>
      <c r="R99" s="71"/>
    </row>
    <row r="100" spans="2:18" x14ac:dyDescent="0.25">
      <c r="B100" s="57" t="s">
        <v>258</v>
      </c>
      <c r="C100" s="66" t="s">
        <v>259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0</v>
      </c>
      <c r="I100" s="25">
        <f t="shared" si="28"/>
        <v>0</v>
      </c>
      <c r="J100" s="71"/>
      <c r="K100" s="71"/>
      <c r="L100" s="71"/>
      <c r="M100" s="71"/>
      <c r="N100" s="71"/>
      <c r="O100" s="71"/>
      <c r="P100" s="71"/>
      <c r="Q100" s="71"/>
      <c r="R100" s="71"/>
    </row>
    <row r="101" spans="2:18" x14ac:dyDescent="0.25">
      <c r="B101" s="57" t="s">
        <v>260</v>
      </c>
      <c r="C101" s="66" t="s">
        <v>261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  <c r="J101" s="71"/>
      <c r="K101" s="71"/>
      <c r="L101" s="71"/>
      <c r="M101" s="71"/>
      <c r="N101" s="71"/>
      <c r="O101" s="71"/>
      <c r="P101" s="71"/>
      <c r="Q101" s="71"/>
      <c r="R101" s="71"/>
    </row>
    <row r="102" spans="2:18" hidden="1" x14ac:dyDescent="0.25">
      <c r="B102" s="67" t="s">
        <v>262</v>
      </c>
      <c r="C102" s="65" t="s">
        <v>263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71"/>
      <c r="K102" s="71"/>
      <c r="L102" s="71"/>
      <c r="M102" s="71"/>
      <c r="N102" s="71"/>
      <c r="O102" s="71"/>
      <c r="P102" s="71"/>
      <c r="Q102" s="71"/>
      <c r="R102" s="71"/>
    </row>
    <row r="103" spans="2:18" hidden="1" x14ac:dyDescent="0.25">
      <c r="B103" s="54" t="s">
        <v>264</v>
      </c>
      <c r="C103" s="65" t="s">
        <v>265</v>
      </c>
      <c r="D103" s="24"/>
      <c r="E103" s="24"/>
      <c r="F103" s="25"/>
      <c r="G103" s="24"/>
      <c r="H103" s="24"/>
      <c r="I103" s="25"/>
      <c r="J103" s="71"/>
      <c r="K103" s="71"/>
      <c r="L103" s="71"/>
      <c r="M103" s="71"/>
      <c r="N103" s="71"/>
      <c r="O103" s="71"/>
      <c r="P103" s="71"/>
      <c r="Q103" s="71"/>
      <c r="R103" s="71"/>
    </row>
    <row r="104" spans="2:18" ht="31.5" hidden="1" x14ac:dyDescent="0.25">
      <c r="B104" s="67" t="s">
        <v>266</v>
      </c>
      <c r="C104" s="65" t="s">
        <v>267</v>
      </c>
      <c r="D104" s="24"/>
      <c r="E104" s="24"/>
      <c r="F104" s="25"/>
      <c r="G104" s="24"/>
      <c r="H104" s="24"/>
      <c r="I104" s="25"/>
      <c r="J104" s="71"/>
      <c r="K104" s="71"/>
      <c r="L104" s="71"/>
      <c r="M104" s="71"/>
      <c r="N104" s="71"/>
      <c r="O104" s="71"/>
      <c r="P104" s="71"/>
      <c r="Q104" s="71"/>
      <c r="R104" s="71"/>
    </row>
    <row r="105" spans="2:18" hidden="1" x14ac:dyDescent="0.25">
      <c r="B105" s="67" t="s">
        <v>268</v>
      </c>
      <c r="C105" s="65" t="s">
        <v>269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71"/>
      <c r="K105" s="71"/>
      <c r="L105" s="71"/>
      <c r="M105" s="71"/>
      <c r="N105" s="71"/>
      <c r="O105" s="71"/>
      <c r="P105" s="71"/>
      <c r="Q105" s="71"/>
      <c r="R105" s="71"/>
    </row>
    <row r="106" spans="2:18" x14ac:dyDescent="0.25">
      <c r="B106" s="67" t="s">
        <v>270</v>
      </c>
      <c r="C106" s="65" t="s">
        <v>271</v>
      </c>
      <c r="D106" s="24">
        <v>0</v>
      </c>
      <c r="E106" s="24"/>
      <c r="F106" s="25">
        <f>+E106+D106</f>
        <v>0</v>
      </c>
      <c r="G106" s="24">
        <v>0</v>
      </c>
      <c r="H106" s="24"/>
      <c r="I106" s="25">
        <f>+H106+G106</f>
        <v>0</v>
      </c>
      <c r="J106" s="71"/>
      <c r="K106" s="71"/>
      <c r="L106" s="71"/>
      <c r="M106" s="71"/>
      <c r="N106" s="71"/>
      <c r="O106" s="71"/>
      <c r="P106" s="71"/>
      <c r="Q106" s="71"/>
      <c r="R106" s="71"/>
    </row>
    <row r="107" spans="2:18" x14ac:dyDescent="0.25">
      <c r="B107" s="57" t="s">
        <v>272</v>
      </c>
      <c r="C107" s="66" t="s">
        <v>273</v>
      </c>
      <c r="D107" s="25">
        <f t="shared" ref="D107:I107" si="29">SUM(D102:D106)</f>
        <v>0</v>
      </c>
      <c r="E107" s="25">
        <f t="shared" si="29"/>
        <v>0</v>
      </c>
      <c r="F107" s="25">
        <f t="shared" si="29"/>
        <v>0</v>
      </c>
      <c r="G107" s="25">
        <f t="shared" si="29"/>
        <v>0</v>
      </c>
      <c r="H107" s="25">
        <f t="shared" si="29"/>
        <v>0</v>
      </c>
      <c r="I107" s="25">
        <f t="shared" si="29"/>
        <v>0</v>
      </c>
      <c r="J107" s="71"/>
      <c r="K107" s="71"/>
      <c r="L107" s="71"/>
      <c r="M107" s="71"/>
      <c r="N107" s="71"/>
      <c r="O107" s="71"/>
      <c r="P107" s="71"/>
      <c r="Q107" s="71"/>
      <c r="R107" s="71"/>
    </row>
    <row r="108" spans="2:18" x14ac:dyDescent="0.25">
      <c r="B108" s="82" t="s">
        <v>274</v>
      </c>
      <c r="C108" s="68" t="s">
        <v>275</v>
      </c>
      <c r="D108" s="70">
        <f t="shared" ref="D108:I108" si="30">+D107+D101+D100+D94+D82+D75+D74</f>
        <v>125384000</v>
      </c>
      <c r="E108" s="70">
        <f t="shared" si="30"/>
        <v>8401000</v>
      </c>
      <c r="F108" s="70">
        <f t="shared" si="30"/>
        <v>133785000</v>
      </c>
      <c r="G108" s="70">
        <f t="shared" si="30"/>
        <v>0</v>
      </c>
      <c r="H108" s="70">
        <f t="shared" si="30"/>
        <v>0</v>
      </c>
      <c r="I108" s="70">
        <f t="shared" si="30"/>
        <v>0</v>
      </c>
      <c r="J108" s="71"/>
      <c r="K108" s="71"/>
      <c r="L108" s="71"/>
      <c r="M108" s="71"/>
      <c r="N108" s="71"/>
      <c r="O108" s="71"/>
      <c r="P108" s="71"/>
      <c r="Q108" s="71"/>
      <c r="R108" s="71"/>
    </row>
    <row r="109" spans="2:18" x14ac:dyDescent="0.25">
      <c r="B109" s="83" t="s">
        <v>276</v>
      </c>
      <c r="C109" s="84"/>
      <c r="D109" s="85">
        <f>+D101+D94+D82+D74-D33</f>
        <v>-314550000</v>
      </c>
      <c r="E109" s="85">
        <f>+E101+E94+E82+E74-E33</f>
        <v>0</v>
      </c>
      <c r="F109" s="85">
        <f t="shared" ref="F109:F116" si="31">+E109+D109</f>
        <v>-314550000</v>
      </c>
      <c r="G109" s="85">
        <f>+G101+G94+G82+G74-G33</f>
        <v>0</v>
      </c>
      <c r="H109" s="85">
        <f>+H101+H94+H82+H74-H33</f>
        <v>0</v>
      </c>
      <c r="I109" s="85">
        <f t="shared" ref="I109:I116" si="32">+H109+G109</f>
        <v>0</v>
      </c>
      <c r="J109" s="71"/>
      <c r="K109" s="71"/>
      <c r="L109" s="71"/>
      <c r="M109" s="71"/>
      <c r="N109" s="71"/>
      <c r="O109" s="71"/>
      <c r="P109" s="71"/>
      <c r="Q109" s="71"/>
      <c r="R109" s="71"/>
    </row>
    <row r="110" spans="2:18" x14ac:dyDescent="0.25">
      <c r="B110" s="83" t="s">
        <v>277</v>
      </c>
      <c r="C110" s="84"/>
      <c r="D110" s="85">
        <f>+D107+D100+D75-D57</f>
        <v>-7500000</v>
      </c>
      <c r="E110" s="85">
        <f>+E107+E100+E75-E57</f>
        <v>0</v>
      </c>
      <c r="F110" s="85">
        <f t="shared" si="31"/>
        <v>-7500000</v>
      </c>
      <c r="G110" s="85">
        <f>+G107+G100+G75-G57</f>
        <v>0</v>
      </c>
      <c r="H110" s="85">
        <f>+H107+H100+H75-H57</f>
        <v>0</v>
      </c>
      <c r="I110" s="85">
        <f t="shared" si="32"/>
        <v>0</v>
      </c>
      <c r="J110" s="71"/>
      <c r="K110" s="71"/>
      <c r="L110" s="71"/>
      <c r="M110" s="71"/>
      <c r="N110" s="71"/>
      <c r="O110" s="71"/>
      <c r="P110" s="71"/>
      <c r="Q110" s="71"/>
      <c r="R110" s="71"/>
    </row>
    <row r="111" spans="2:18" ht="15.95" hidden="1" customHeight="1" x14ac:dyDescent="0.25">
      <c r="B111" s="58" t="s">
        <v>635</v>
      </c>
      <c r="C111" s="57" t="s">
        <v>285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18" hidden="1" x14ac:dyDescent="0.25">
      <c r="B112" s="75" t="s">
        <v>636</v>
      </c>
      <c r="C112" s="57" t="s">
        <v>295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4" t="s">
        <v>296</v>
      </c>
      <c r="C113" s="54" t="s">
        <v>297</v>
      </c>
      <c r="D113" s="24"/>
      <c r="E113" s="24"/>
      <c r="F113" s="25">
        <f t="shared" si="31"/>
        <v>0</v>
      </c>
      <c r="G113" s="24">
        <v>0</v>
      </c>
      <c r="H113" s="24"/>
      <c r="I113" s="25">
        <f t="shared" si="32"/>
        <v>0</v>
      </c>
    </row>
    <row r="114" spans="1:9" x14ac:dyDescent="0.25">
      <c r="A114" s="89" t="s">
        <v>335</v>
      </c>
      <c r="B114" s="54" t="s">
        <v>298</v>
      </c>
      <c r="C114" s="54" t="s">
        <v>297</v>
      </c>
      <c r="D114" s="24"/>
      <c r="E114" s="24"/>
      <c r="F114" s="25">
        <f t="shared" si="31"/>
        <v>0</v>
      </c>
      <c r="G114" s="24">
        <v>0</v>
      </c>
      <c r="H114" s="24"/>
      <c r="I114" s="25">
        <f t="shared" si="32"/>
        <v>0</v>
      </c>
    </row>
    <row r="115" spans="1:9" hidden="1" x14ac:dyDescent="0.25">
      <c r="B115" s="54" t="s">
        <v>299</v>
      </c>
      <c r="C115" s="54" t="s">
        <v>300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hidden="1" x14ac:dyDescent="0.25">
      <c r="A116" s="89" t="s">
        <v>335</v>
      </c>
      <c r="B116" s="54" t="s">
        <v>301</v>
      </c>
      <c r="C116" s="54" t="s">
        <v>300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89" t="s">
        <v>648</v>
      </c>
      <c r="B117" s="57" t="s">
        <v>302</v>
      </c>
      <c r="C117" s="57" t="s">
        <v>303</v>
      </c>
      <c r="D117" s="25">
        <f t="shared" ref="D117:I117" si="33">SUM(D113:D116)</f>
        <v>0</v>
      </c>
      <c r="E117" s="25">
        <f t="shared" si="33"/>
        <v>0</v>
      </c>
      <c r="F117" s="25">
        <f t="shared" si="33"/>
        <v>0</v>
      </c>
      <c r="G117" s="25">
        <f t="shared" si="33"/>
        <v>0</v>
      </c>
      <c r="H117" s="25">
        <f t="shared" si="33"/>
        <v>0</v>
      </c>
      <c r="I117" s="25">
        <f t="shared" si="33"/>
        <v>0</v>
      </c>
    </row>
    <row r="118" spans="1:9" hidden="1" x14ac:dyDescent="0.25">
      <c r="A118"/>
      <c r="B118" s="73" t="s">
        <v>304</v>
      </c>
      <c r="C118" s="54" t="s">
        <v>305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3" t="s">
        <v>306</v>
      </c>
      <c r="C119" s="54" t="s">
        <v>307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660</v>
      </c>
      <c r="B120" s="73" t="s">
        <v>308</v>
      </c>
      <c r="C120" s="54" t="s">
        <v>309</v>
      </c>
      <c r="D120" s="24">
        <v>322050000</v>
      </c>
      <c r="E120" s="24">
        <v>0</v>
      </c>
      <c r="F120" s="25">
        <f t="shared" si="34"/>
        <v>322050000</v>
      </c>
      <c r="G120" s="24">
        <v>0</v>
      </c>
      <c r="H120" s="24">
        <v>0</v>
      </c>
      <c r="I120" s="25">
        <f t="shared" si="35"/>
        <v>0</v>
      </c>
    </row>
    <row r="121" spans="1:9" s="255" customFormat="1" x14ac:dyDescent="0.25">
      <c r="B121" s="256" t="s">
        <v>650</v>
      </c>
      <c r="C121" s="151"/>
      <c r="D121" s="444">
        <v>245637000</v>
      </c>
      <c r="E121" s="104">
        <v>0</v>
      </c>
      <c r="F121" s="137">
        <f t="shared" si="34"/>
        <v>245637000</v>
      </c>
      <c r="G121" s="104">
        <f>+G120-G122</f>
        <v>0</v>
      </c>
      <c r="H121" s="104">
        <v>0</v>
      </c>
      <c r="I121" s="137">
        <f t="shared" si="35"/>
        <v>0</v>
      </c>
    </row>
    <row r="122" spans="1:9" s="255" customFormat="1" x14ac:dyDescent="0.25">
      <c r="B122" s="257" t="s">
        <v>640</v>
      </c>
      <c r="C122" s="151"/>
      <c r="D122" s="444">
        <f>+D120-D121</f>
        <v>76413000</v>
      </c>
      <c r="E122" s="104">
        <f>+E120-E121</f>
        <v>0</v>
      </c>
      <c r="F122" s="137">
        <f t="shared" si="34"/>
        <v>76413000</v>
      </c>
      <c r="G122" s="24">
        <v>0</v>
      </c>
      <c r="H122" s="104">
        <f>+H120-H121</f>
        <v>0</v>
      </c>
      <c r="I122" s="137">
        <f t="shared" si="35"/>
        <v>0</v>
      </c>
    </row>
    <row r="123" spans="1:9" hidden="1" x14ac:dyDescent="0.25">
      <c r="B123" s="73" t="s">
        <v>310</v>
      </c>
      <c r="C123" s="54" t="s">
        <v>311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7" t="s">
        <v>312</v>
      </c>
      <c r="C124" s="54" t="s">
        <v>313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7" t="s">
        <v>314</v>
      </c>
      <c r="C125" s="54" t="s">
        <v>315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8" t="s">
        <v>316</v>
      </c>
      <c r="C126" s="57" t="s">
        <v>317</v>
      </c>
      <c r="D126" s="25">
        <f>SUM(D118:D125)+D117+D112+D111-D121-D122</f>
        <v>322050000</v>
      </c>
      <c r="E126" s="25">
        <f>SUM(E118:E125)+E117+E112+E111-E121-E122</f>
        <v>0</v>
      </c>
      <c r="F126" s="25">
        <f>SUM(F118:F124)+F117+F112+F111-F121-F122</f>
        <v>322050000</v>
      </c>
      <c r="G126" s="25">
        <f>SUM(G118:G125)+G117+G112+G111-G121-G122</f>
        <v>0</v>
      </c>
      <c r="H126" s="25">
        <f>SUM(H118:H125)+H117+H112+H111-H121-H122</f>
        <v>0</v>
      </c>
      <c r="I126" s="25">
        <f>SUM(I118:I124)+I117+I112+I111-I121-I122</f>
        <v>0</v>
      </c>
    </row>
    <row r="127" spans="1:9" hidden="1" x14ac:dyDescent="0.25">
      <c r="B127" s="73" t="s">
        <v>318</v>
      </c>
      <c r="C127" s="54" t="s">
        <v>319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7" t="s">
        <v>320</v>
      </c>
      <c r="C128" s="54" t="s">
        <v>321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7" t="s">
        <v>322</v>
      </c>
      <c r="C129" s="54" t="s">
        <v>323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6" t="s">
        <v>324</v>
      </c>
      <c r="C130" s="77" t="s">
        <v>325</v>
      </c>
      <c r="D130" s="70">
        <f>+D128+D127+D126+D129</f>
        <v>322050000</v>
      </c>
      <c r="E130" s="70">
        <f>+E128+E127+E126+E129</f>
        <v>0</v>
      </c>
      <c r="F130" s="70">
        <f>+F129+F127+F126</f>
        <v>322050000</v>
      </c>
      <c r="G130" s="70">
        <f>+G128+G127+G126+G129</f>
        <v>0</v>
      </c>
      <c r="H130" s="70">
        <f>+H128+H127+H126+H129</f>
        <v>0</v>
      </c>
      <c r="I130" s="70">
        <f>+I129+I127+I126</f>
        <v>0</v>
      </c>
    </row>
    <row r="131" spans="2:9" x14ac:dyDescent="0.25">
      <c r="B131" s="28" t="s">
        <v>326</v>
      </c>
      <c r="C131" s="28" t="s">
        <v>327</v>
      </c>
      <c r="D131" s="29">
        <f t="shared" ref="D131:I131" si="36">+D108+D130</f>
        <v>447434000</v>
      </c>
      <c r="E131" s="29">
        <f t="shared" si="36"/>
        <v>8401000</v>
      </c>
      <c r="F131" s="29">
        <f t="shared" si="36"/>
        <v>455835000</v>
      </c>
      <c r="G131" s="29">
        <f t="shared" si="36"/>
        <v>0</v>
      </c>
      <c r="H131" s="29">
        <f t="shared" si="36"/>
        <v>0</v>
      </c>
      <c r="I131" s="29">
        <f t="shared" si="36"/>
        <v>0</v>
      </c>
    </row>
    <row r="132" spans="2:9" x14ac:dyDescent="0.25">
      <c r="B132" s="13"/>
      <c r="C132" s="13"/>
      <c r="D132" s="14"/>
      <c r="E132" s="14"/>
      <c r="F132" s="86"/>
      <c r="G132" s="14"/>
      <c r="H132" s="14"/>
      <c r="I132" s="86"/>
    </row>
    <row r="133" spans="2:9" x14ac:dyDescent="0.25">
      <c r="B133" s="26" t="s">
        <v>328</v>
      </c>
      <c r="C133" s="26"/>
      <c r="D133" s="25">
        <f t="shared" ref="D133:I133" si="37">+D108-D58</f>
        <v>-322050000</v>
      </c>
      <c r="E133" s="25">
        <f t="shared" si="37"/>
        <v>0</v>
      </c>
      <c r="F133" s="25">
        <f t="shared" si="37"/>
        <v>-322050000</v>
      </c>
      <c r="G133" s="25">
        <f t="shared" si="37"/>
        <v>0</v>
      </c>
      <c r="H133" s="25">
        <f t="shared" si="37"/>
        <v>0</v>
      </c>
      <c r="I133" s="25">
        <f t="shared" si="37"/>
        <v>0</v>
      </c>
    </row>
    <row r="134" spans="2:9" x14ac:dyDescent="0.25">
      <c r="B134" s="26" t="s">
        <v>329</v>
      </c>
      <c r="C134" s="26"/>
      <c r="D134" s="25">
        <f t="shared" ref="D134:I134" si="38">+D130-D63</f>
        <v>322050000</v>
      </c>
      <c r="E134" s="25">
        <f t="shared" si="38"/>
        <v>0</v>
      </c>
      <c r="F134" s="25">
        <f t="shared" si="38"/>
        <v>322050000</v>
      </c>
      <c r="G134" s="25">
        <f t="shared" si="38"/>
        <v>0</v>
      </c>
      <c r="H134" s="25">
        <f t="shared" si="38"/>
        <v>0</v>
      </c>
      <c r="I134" s="25">
        <f t="shared" si="38"/>
        <v>0</v>
      </c>
    </row>
    <row r="135" spans="2:9" x14ac:dyDescent="0.25">
      <c r="B135" s="13"/>
      <c r="C135" s="13"/>
      <c r="D135" s="14"/>
      <c r="E135" s="14"/>
      <c r="F135" s="86"/>
      <c r="G135" s="14"/>
      <c r="H135" s="14"/>
      <c r="I135" s="86"/>
    </row>
    <row r="136" spans="2:9" x14ac:dyDescent="0.25">
      <c r="B136" s="88" t="s">
        <v>332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0</v>
      </c>
      <c r="H136" s="14">
        <f t="shared" si="39"/>
        <v>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86"/>
      <c r="G137" s="14"/>
      <c r="H137" s="14"/>
      <c r="I137" s="86"/>
    </row>
    <row r="138" spans="2:9" x14ac:dyDescent="0.25">
      <c r="B138" s="13"/>
      <c r="C138" s="13"/>
      <c r="D138" s="14"/>
      <c r="E138" s="14"/>
      <c r="F138" s="86"/>
      <c r="G138" s="14"/>
      <c r="H138" s="14"/>
      <c r="I138" s="86"/>
    </row>
    <row r="139" spans="2:9" x14ac:dyDescent="0.25">
      <c r="B139" s="13"/>
      <c r="C139" s="13"/>
      <c r="D139" s="14"/>
      <c r="E139" s="14"/>
      <c r="F139" s="86"/>
      <c r="G139" s="14"/>
      <c r="H139" s="14"/>
      <c r="I139" s="86"/>
    </row>
    <row r="140" spans="2:9" x14ac:dyDescent="0.25">
      <c r="B140" s="13"/>
      <c r="C140" s="13"/>
      <c r="D140" s="14"/>
      <c r="E140" s="14"/>
      <c r="F140" s="86"/>
      <c r="G140" s="14"/>
      <c r="H140" s="14"/>
      <c r="I140" s="86"/>
    </row>
    <row r="141" spans="2:9" x14ac:dyDescent="0.25">
      <c r="B141" s="13"/>
      <c r="C141" s="13"/>
      <c r="D141" s="14"/>
      <c r="E141" s="14"/>
      <c r="F141" s="86"/>
      <c r="G141" s="14"/>
      <c r="H141" s="14"/>
      <c r="I141" s="86"/>
    </row>
    <row r="142" spans="2:9" x14ac:dyDescent="0.25">
      <c r="B142" s="13"/>
      <c r="C142" s="13"/>
      <c r="D142" s="14"/>
      <c r="E142" s="14"/>
      <c r="F142" s="86"/>
      <c r="G142" s="14"/>
      <c r="H142" s="14"/>
      <c r="I142" s="86"/>
    </row>
    <row r="143" spans="2:9" x14ac:dyDescent="0.25">
      <c r="B143" s="13"/>
      <c r="C143" s="13"/>
      <c r="D143" s="14"/>
      <c r="E143" s="14"/>
      <c r="F143" s="86"/>
      <c r="G143" s="14"/>
      <c r="H143" s="14"/>
      <c r="I143" s="86"/>
    </row>
    <row r="144" spans="2:9" x14ac:dyDescent="0.25">
      <c r="B144" s="13"/>
      <c r="C144" s="13"/>
      <c r="D144" s="14"/>
      <c r="E144" s="14"/>
      <c r="F144" s="86"/>
      <c r="G144" s="14"/>
      <c r="H144" s="14"/>
      <c r="I144" s="86"/>
    </row>
    <row r="145" spans="2:9" x14ac:dyDescent="0.25">
      <c r="B145" s="13"/>
      <c r="C145" s="13"/>
      <c r="D145" s="14"/>
      <c r="E145" s="14"/>
      <c r="F145" s="86"/>
      <c r="G145" s="14"/>
      <c r="H145" s="14"/>
      <c r="I145" s="86"/>
    </row>
    <row r="146" spans="2:9" x14ac:dyDescent="0.25">
      <c r="B146" s="13"/>
      <c r="C146" s="13"/>
      <c r="D146" s="14"/>
      <c r="E146" s="14"/>
      <c r="F146" s="86"/>
      <c r="G146" s="14"/>
      <c r="H146" s="14"/>
      <c r="I146" s="86"/>
    </row>
    <row r="147" spans="2:9" x14ac:dyDescent="0.25">
      <c r="B147" s="13"/>
      <c r="C147" s="13"/>
      <c r="D147" s="14"/>
      <c r="E147" s="14"/>
      <c r="F147" s="86"/>
      <c r="G147" s="14"/>
      <c r="H147" s="14"/>
      <c r="I147" s="86"/>
    </row>
    <row r="148" spans="2:9" x14ac:dyDescent="0.25">
      <c r="B148" s="13"/>
      <c r="C148" s="13"/>
      <c r="D148" s="14"/>
      <c r="E148" s="14"/>
      <c r="F148" s="86"/>
      <c r="G148" s="14"/>
      <c r="H148" s="14"/>
      <c r="I148" s="86"/>
    </row>
    <row r="149" spans="2:9" x14ac:dyDescent="0.25">
      <c r="B149" s="13"/>
      <c r="C149" s="13"/>
      <c r="D149" s="14"/>
      <c r="E149" s="14"/>
      <c r="F149" s="86"/>
      <c r="G149" s="14"/>
      <c r="H149" s="14"/>
      <c r="I149" s="86"/>
    </row>
    <row r="150" spans="2:9" x14ac:dyDescent="0.25">
      <c r="B150" s="13"/>
      <c r="C150" s="13"/>
      <c r="D150" s="14"/>
      <c r="E150" s="14"/>
      <c r="F150" s="86"/>
      <c r="G150" s="14"/>
      <c r="H150" s="14"/>
      <c r="I150" s="86"/>
    </row>
    <row r="151" spans="2:9" x14ac:dyDescent="0.25">
      <c r="B151" s="13"/>
      <c r="C151" s="13"/>
      <c r="D151" s="14"/>
      <c r="E151" s="14"/>
      <c r="F151" s="86"/>
      <c r="G151" s="14"/>
      <c r="H151" s="14"/>
      <c r="I151" s="86"/>
    </row>
    <row r="152" spans="2:9" x14ac:dyDescent="0.25">
      <c r="B152" s="13"/>
      <c r="C152" s="13"/>
      <c r="D152" s="14"/>
      <c r="E152" s="14"/>
      <c r="F152" s="86"/>
      <c r="G152" s="14"/>
      <c r="H152" s="14"/>
      <c r="I152" s="86"/>
    </row>
    <row r="153" spans="2:9" x14ac:dyDescent="0.25">
      <c r="B153" s="13"/>
      <c r="C153" s="13"/>
      <c r="D153" s="14"/>
      <c r="E153" s="14"/>
      <c r="F153" s="86"/>
      <c r="G153" s="14"/>
      <c r="H153" s="14"/>
      <c r="I153" s="86"/>
    </row>
    <row r="154" spans="2:9" x14ac:dyDescent="0.25">
      <c r="B154" s="13"/>
      <c r="C154" s="13"/>
      <c r="D154" s="14"/>
      <c r="E154" s="14"/>
      <c r="F154" s="86"/>
      <c r="G154" s="14"/>
      <c r="H154" s="14"/>
      <c r="I154" s="86"/>
    </row>
    <row r="155" spans="2:9" x14ac:dyDescent="0.25">
      <c r="B155" s="13"/>
      <c r="C155" s="13"/>
      <c r="D155" s="14"/>
      <c r="E155" s="14"/>
      <c r="F155" s="86"/>
      <c r="G155" s="14"/>
      <c r="H155" s="14"/>
      <c r="I155" s="86"/>
    </row>
    <row r="156" spans="2:9" x14ac:dyDescent="0.25">
      <c r="B156" s="13"/>
      <c r="C156" s="13"/>
      <c r="D156" s="14"/>
      <c r="E156" s="14"/>
      <c r="F156" s="86"/>
      <c r="G156" s="14"/>
      <c r="H156" s="14"/>
      <c r="I156" s="86"/>
    </row>
    <row r="157" spans="2:9" x14ac:dyDescent="0.25">
      <c r="B157" s="13"/>
      <c r="C157" s="13"/>
      <c r="D157" s="14"/>
      <c r="E157" s="14"/>
      <c r="F157" s="86"/>
      <c r="G157" s="14"/>
      <c r="H157" s="14"/>
      <c r="I157" s="86"/>
    </row>
    <row r="158" spans="2:9" x14ac:dyDescent="0.25">
      <c r="B158" s="13"/>
      <c r="C158" s="13"/>
      <c r="D158" s="14"/>
      <c r="E158" s="14"/>
      <c r="F158" s="86"/>
      <c r="G158" s="14"/>
      <c r="H158" s="14"/>
      <c r="I158" s="86"/>
    </row>
    <row r="159" spans="2:9" x14ac:dyDescent="0.25">
      <c r="B159" s="13"/>
      <c r="C159" s="13"/>
      <c r="D159" s="14"/>
      <c r="E159" s="14"/>
      <c r="F159" s="86"/>
      <c r="G159" s="14"/>
      <c r="H159" s="14"/>
      <c r="I159" s="86"/>
    </row>
    <row r="160" spans="2:9" x14ac:dyDescent="0.25">
      <c r="B160" s="13"/>
      <c r="C160" s="13"/>
      <c r="D160" s="14"/>
      <c r="E160" s="14"/>
      <c r="F160" s="86"/>
      <c r="G160" s="14"/>
      <c r="H160" s="14"/>
      <c r="I160" s="86"/>
    </row>
    <row r="161" spans="2:9" x14ac:dyDescent="0.25">
      <c r="B161" s="13"/>
      <c r="C161" s="13"/>
      <c r="D161" s="14"/>
      <c r="E161" s="14"/>
      <c r="F161" s="86"/>
      <c r="G161" s="14"/>
      <c r="H161" s="14"/>
      <c r="I161" s="86"/>
    </row>
    <row r="162" spans="2:9" x14ac:dyDescent="0.25">
      <c r="B162" s="13"/>
      <c r="C162" s="13"/>
      <c r="D162" s="14"/>
      <c r="E162" s="14"/>
      <c r="F162" s="86"/>
      <c r="G162" s="14"/>
      <c r="H162" s="14"/>
      <c r="I162" s="86"/>
    </row>
    <row r="163" spans="2:9" x14ac:dyDescent="0.25">
      <c r="B163" s="13"/>
      <c r="C163" s="13"/>
      <c r="D163" s="14"/>
      <c r="E163" s="14"/>
      <c r="F163" s="86"/>
      <c r="G163" s="14"/>
      <c r="H163" s="14"/>
      <c r="I163" s="86"/>
    </row>
    <row r="164" spans="2:9" x14ac:dyDescent="0.25">
      <c r="B164" s="13"/>
      <c r="C164" s="13"/>
      <c r="D164" s="14"/>
      <c r="E164" s="14"/>
      <c r="F164" s="86"/>
      <c r="G164" s="14"/>
      <c r="H164" s="14"/>
      <c r="I164" s="86"/>
    </row>
    <row r="165" spans="2:9" x14ac:dyDescent="0.25">
      <c r="B165" s="13"/>
      <c r="C165" s="13"/>
      <c r="D165" s="14"/>
      <c r="E165" s="14"/>
      <c r="F165" s="86"/>
      <c r="G165" s="14"/>
      <c r="H165" s="14"/>
      <c r="I165" s="86"/>
    </row>
    <row r="166" spans="2:9" x14ac:dyDescent="0.25">
      <c r="B166" s="13"/>
      <c r="C166" s="13"/>
      <c r="D166" s="14"/>
      <c r="E166" s="14"/>
      <c r="F166" s="86"/>
      <c r="G166" s="14"/>
      <c r="H166" s="14"/>
      <c r="I166" s="86"/>
    </row>
    <row r="167" spans="2:9" x14ac:dyDescent="0.25">
      <c r="B167" s="13"/>
      <c r="C167" s="13"/>
      <c r="D167" s="14"/>
      <c r="E167" s="14"/>
      <c r="F167" s="86"/>
      <c r="G167" s="14"/>
      <c r="H167" s="14"/>
      <c r="I167" s="86"/>
    </row>
    <row r="168" spans="2:9" x14ac:dyDescent="0.25">
      <c r="B168" s="13"/>
      <c r="C168" s="13"/>
      <c r="D168" s="14"/>
      <c r="E168" s="14"/>
      <c r="F168" s="86"/>
      <c r="G168" s="14"/>
      <c r="H168" s="14"/>
      <c r="I168" s="86"/>
    </row>
    <row r="169" spans="2:9" x14ac:dyDescent="0.25">
      <c r="B169" s="13"/>
      <c r="C169" s="13"/>
      <c r="D169" s="14"/>
      <c r="E169" s="14"/>
      <c r="F169" s="86"/>
      <c r="G169" s="14"/>
      <c r="H169" s="14"/>
      <c r="I169" s="86"/>
    </row>
    <row r="170" spans="2:9" x14ac:dyDescent="0.25">
      <c r="B170" s="13"/>
      <c r="C170" s="13"/>
      <c r="D170" s="14"/>
      <c r="E170" s="14"/>
      <c r="F170" s="86"/>
      <c r="G170" s="14"/>
      <c r="H170" s="14"/>
      <c r="I170" s="86"/>
    </row>
    <row r="171" spans="2:9" x14ac:dyDescent="0.25">
      <c r="B171" s="13"/>
      <c r="C171" s="13"/>
      <c r="D171" s="14"/>
      <c r="E171" s="14"/>
      <c r="F171" s="86"/>
      <c r="G171" s="14"/>
      <c r="H171" s="14"/>
      <c r="I171" s="86"/>
    </row>
    <row r="172" spans="2:9" x14ac:dyDescent="0.25">
      <c r="B172" s="13"/>
      <c r="C172" s="13"/>
      <c r="D172" s="14"/>
      <c r="E172" s="14"/>
      <c r="F172" s="86"/>
      <c r="G172" s="14"/>
      <c r="H172" s="14"/>
      <c r="I172" s="86"/>
    </row>
    <row r="173" spans="2:9" x14ac:dyDescent="0.25">
      <c r="B173" s="13"/>
      <c r="C173" s="13"/>
      <c r="D173" s="14"/>
      <c r="E173" s="14"/>
      <c r="F173" s="86"/>
      <c r="G173" s="14"/>
      <c r="H173" s="14"/>
      <c r="I173" s="86"/>
    </row>
    <row r="174" spans="2:9" x14ac:dyDescent="0.25">
      <c r="B174" s="13"/>
      <c r="C174" s="13"/>
      <c r="D174" s="14"/>
      <c r="E174" s="14"/>
      <c r="F174" s="86"/>
      <c r="G174" s="14"/>
      <c r="H174" s="14"/>
      <c r="I174" s="86"/>
    </row>
    <row r="175" spans="2:9" x14ac:dyDescent="0.25">
      <c r="B175" s="13"/>
      <c r="C175" s="13"/>
      <c r="D175" s="14"/>
      <c r="E175" s="14"/>
      <c r="F175" s="86"/>
      <c r="G175" s="14"/>
      <c r="H175" s="14"/>
      <c r="I175" s="86"/>
    </row>
    <row r="176" spans="2:9" x14ac:dyDescent="0.25">
      <c r="B176" s="13"/>
      <c r="C176" s="13"/>
      <c r="D176" s="14"/>
      <c r="E176" s="14"/>
      <c r="F176" s="86"/>
      <c r="G176" s="14"/>
      <c r="H176" s="14"/>
      <c r="I176" s="86"/>
    </row>
    <row r="177" spans="2:9" x14ac:dyDescent="0.25">
      <c r="B177" s="13"/>
      <c r="C177" s="13"/>
      <c r="D177" s="14"/>
      <c r="E177" s="14"/>
      <c r="F177" s="86"/>
      <c r="G177" s="14"/>
      <c r="H177" s="14"/>
      <c r="I177" s="86"/>
    </row>
    <row r="178" spans="2:9" x14ac:dyDescent="0.25">
      <c r="B178" s="13"/>
      <c r="C178" s="13"/>
      <c r="D178" s="14"/>
      <c r="E178" s="14"/>
      <c r="F178" s="86"/>
      <c r="G178" s="14"/>
      <c r="H178" s="14"/>
      <c r="I178" s="86"/>
    </row>
    <row r="179" spans="2:9" x14ac:dyDescent="0.25">
      <c r="B179" s="13"/>
      <c r="C179" s="13"/>
      <c r="D179" s="14"/>
      <c r="E179" s="14"/>
      <c r="F179" s="86"/>
      <c r="G179" s="14"/>
      <c r="H179" s="14"/>
      <c r="I179" s="86"/>
    </row>
    <row r="180" spans="2:9" x14ac:dyDescent="0.25">
      <c r="B180" s="13"/>
      <c r="C180" s="13"/>
      <c r="D180" s="14"/>
      <c r="E180" s="14"/>
      <c r="F180" s="86"/>
      <c r="G180" s="14"/>
      <c r="H180" s="14"/>
      <c r="I180" s="86"/>
    </row>
    <row r="181" spans="2:9" x14ac:dyDescent="0.25">
      <c r="B181" s="13"/>
      <c r="C181" s="13"/>
      <c r="D181" s="14"/>
      <c r="E181" s="14"/>
      <c r="F181" s="86"/>
      <c r="G181" s="14"/>
      <c r="H181" s="14"/>
      <c r="I181" s="86"/>
    </row>
    <row r="182" spans="2:9" x14ac:dyDescent="0.25">
      <c r="B182" s="13"/>
      <c r="C182" s="13"/>
      <c r="D182" s="14"/>
      <c r="E182" s="14"/>
      <c r="F182" s="86"/>
      <c r="G182" s="14"/>
      <c r="H182" s="14"/>
      <c r="I182" s="86"/>
    </row>
    <row r="183" spans="2:9" x14ac:dyDescent="0.25">
      <c r="B183" s="13"/>
      <c r="C183" s="13"/>
      <c r="D183" s="14"/>
      <c r="E183" s="14"/>
      <c r="F183" s="86"/>
      <c r="G183" s="14"/>
      <c r="H183" s="14"/>
      <c r="I183" s="86"/>
    </row>
    <row r="184" spans="2:9" x14ac:dyDescent="0.25">
      <c r="B184" s="13"/>
      <c r="C184" s="13"/>
      <c r="D184" s="14"/>
      <c r="E184" s="14"/>
      <c r="F184" s="86"/>
      <c r="G184" s="14"/>
      <c r="H184" s="14"/>
      <c r="I184" s="86"/>
    </row>
    <row r="185" spans="2:9" x14ac:dyDescent="0.25">
      <c r="B185" s="13"/>
      <c r="C185" s="13"/>
      <c r="D185" s="14"/>
      <c r="E185" s="14"/>
      <c r="F185" s="86"/>
      <c r="G185" s="14"/>
      <c r="H185" s="14"/>
      <c r="I185" s="86"/>
    </row>
    <row r="186" spans="2:9" x14ac:dyDescent="0.25">
      <c r="B186" s="13"/>
      <c r="C186" s="13"/>
      <c r="D186" s="14"/>
      <c r="E186" s="14"/>
      <c r="F186" s="86"/>
      <c r="G186" s="14"/>
      <c r="H186" s="14"/>
      <c r="I186" s="86"/>
    </row>
    <row r="187" spans="2:9" x14ac:dyDescent="0.25">
      <c r="B187" s="13"/>
      <c r="C187" s="13"/>
      <c r="D187" s="14"/>
      <c r="E187" s="14"/>
      <c r="F187" s="86"/>
      <c r="G187" s="14"/>
      <c r="H187" s="14"/>
      <c r="I187" s="86"/>
    </row>
    <row r="188" spans="2:9" x14ac:dyDescent="0.25">
      <c r="B188" s="13"/>
      <c r="C188" s="13"/>
      <c r="D188" s="14"/>
      <c r="E188" s="14"/>
      <c r="F188" s="86"/>
      <c r="G188" s="14"/>
      <c r="H188" s="14"/>
      <c r="I188" s="86"/>
    </row>
    <row r="189" spans="2:9" x14ac:dyDescent="0.25">
      <c r="B189" s="13"/>
      <c r="C189" s="13"/>
      <c r="D189" s="14"/>
      <c r="E189" s="14"/>
      <c r="F189" s="86"/>
      <c r="G189" s="14"/>
      <c r="H189" s="14"/>
      <c r="I189" s="86"/>
    </row>
    <row r="190" spans="2:9" x14ac:dyDescent="0.25">
      <c r="B190" s="13"/>
      <c r="C190" s="13"/>
      <c r="D190" s="14"/>
      <c r="E190" s="14"/>
      <c r="F190" s="86"/>
      <c r="G190" s="14"/>
      <c r="H190" s="14"/>
      <c r="I190" s="86"/>
    </row>
    <row r="191" spans="2:9" x14ac:dyDescent="0.25">
      <c r="B191" s="13"/>
      <c r="C191" s="13"/>
      <c r="D191" s="14"/>
      <c r="E191" s="14"/>
      <c r="F191" s="86"/>
      <c r="G191" s="14"/>
      <c r="H191" s="14"/>
      <c r="I191" s="86"/>
    </row>
    <row r="192" spans="2:9" x14ac:dyDescent="0.25">
      <c r="B192" s="13"/>
      <c r="C192" s="13"/>
      <c r="D192" s="14"/>
      <c r="E192" s="14"/>
      <c r="F192" s="86"/>
      <c r="G192" s="14"/>
      <c r="H192" s="14"/>
      <c r="I192" s="86"/>
    </row>
    <row r="193" spans="2:9" x14ac:dyDescent="0.25">
      <c r="B193" s="13"/>
      <c r="C193" s="13"/>
      <c r="D193" s="14"/>
      <c r="E193" s="14"/>
      <c r="F193" s="86"/>
      <c r="G193" s="14"/>
      <c r="H193" s="14"/>
      <c r="I193" s="86"/>
    </row>
    <row r="194" spans="2:9" x14ac:dyDescent="0.25">
      <c r="B194" s="13"/>
      <c r="C194" s="13"/>
      <c r="D194" s="14"/>
      <c r="E194" s="14"/>
      <c r="F194" s="86"/>
      <c r="G194" s="14"/>
      <c r="H194" s="14"/>
      <c r="I194" s="86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8402777777777781" right="0.31319444444444444" top="0.59027777777777779" bottom="0.51180555555555551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F2" sqref="F2"/>
    </sheetView>
  </sheetViews>
  <sheetFormatPr defaultColWidth="11.5703125" defaultRowHeight="15.75" x14ac:dyDescent="0.25"/>
  <cols>
    <col min="1" max="1" width="11" style="30" customWidth="1"/>
    <col min="2" max="2" width="72.5703125" style="30" customWidth="1"/>
    <col min="3" max="3" width="10.28515625" style="30" customWidth="1"/>
    <col min="4" max="5" width="14.7109375" style="30" customWidth="1"/>
    <col min="6" max="6" width="14.7109375" style="31" customWidth="1"/>
    <col min="7" max="8" width="0" style="30" hidden="1" customWidth="1"/>
    <col min="9" max="9" width="0" style="31" hidden="1" customWidth="1"/>
    <col min="10" max="252" width="9.140625" style="30" customWidth="1"/>
  </cols>
  <sheetData>
    <row r="1" spans="2:9" s="13" customFormat="1" ht="18.75" x14ac:dyDescent="0.25">
      <c r="F1" s="15" t="s">
        <v>661</v>
      </c>
      <c r="I1" s="15" t="s">
        <v>662</v>
      </c>
    </row>
    <row r="2" spans="2:9" s="13" customFormat="1" ht="20.25" x14ac:dyDescent="0.3">
      <c r="B2" s="250" t="s">
        <v>6</v>
      </c>
      <c r="F2" s="16" t="s">
        <v>937</v>
      </c>
      <c r="I2" s="16" t="s">
        <v>11</v>
      </c>
    </row>
    <row r="3" spans="2:9" s="13" customFormat="1" x14ac:dyDescent="0.25">
      <c r="B3" s="44" t="s">
        <v>880</v>
      </c>
      <c r="C3" s="37"/>
      <c r="D3" s="37"/>
      <c r="E3" s="37"/>
      <c r="F3" s="38"/>
      <c r="G3" s="37"/>
      <c r="H3" s="37"/>
      <c r="I3" s="38"/>
    </row>
    <row r="4" spans="2:9" s="13" customFormat="1" x14ac:dyDescent="0.25">
      <c r="B4" s="42" t="s">
        <v>874</v>
      </c>
      <c r="C4" s="43"/>
      <c r="D4" s="43"/>
      <c r="E4" s="43"/>
      <c r="F4" s="44"/>
      <c r="G4" s="43"/>
      <c r="H4" s="43"/>
      <c r="I4" s="44"/>
    </row>
    <row r="5" spans="2:9" ht="15.75" customHeight="1" x14ac:dyDescent="0.25">
      <c r="B5" s="47"/>
      <c r="D5" s="469" t="s">
        <v>12</v>
      </c>
      <c r="E5" s="469"/>
      <c r="F5" s="469"/>
      <c r="G5" s="469" t="s">
        <v>13</v>
      </c>
      <c r="H5" s="469"/>
      <c r="I5" s="469"/>
    </row>
    <row r="6" spans="2:9" ht="47.25" x14ac:dyDescent="0.25">
      <c r="B6" s="19" t="s">
        <v>14</v>
      </c>
      <c r="C6" s="48" t="s">
        <v>41</v>
      </c>
      <c r="D6" s="49" t="s">
        <v>15</v>
      </c>
      <c r="E6" s="49" t="s">
        <v>16</v>
      </c>
      <c r="F6" s="170" t="s">
        <v>566</v>
      </c>
      <c r="G6" s="49" t="s">
        <v>15</v>
      </c>
      <c r="H6" s="49" t="s">
        <v>16</v>
      </c>
      <c r="I6" s="170" t="s">
        <v>566</v>
      </c>
    </row>
    <row r="7" spans="2:9" x14ac:dyDescent="0.25">
      <c r="B7" s="52" t="s">
        <v>42</v>
      </c>
      <c r="C7" s="53" t="s">
        <v>43</v>
      </c>
      <c r="D7" s="24">
        <v>299100891</v>
      </c>
      <c r="E7" s="24"/>
      <c r="F7" s="25">
        <f>+D7+E7</f>
        <v>299100891</v>
      </c>
      <c r="G7" s="24">
        <v>0</v>
      </c>
      <c r="H7" s="24"/>
      <c r="I7" s="25">
        <f>+G7+H7</f>
        <v>0</v>
      </c>
    </row>
    <row r="8" spans="2:9" x14ac:dyDescent="0.25">
      <c r="B8" s="54" t="s">
        <v>44</v>
      </c>
      <c r="C8" s="53" t="s">
        <v>45</v>
      </c>
      <c r="D8" s="24">
        <v>780000</v>
      </c>
      <c r="E8" s="24"/>
      <c r="F8" s="25">
        <f>+D8+E8</f>
        <v>780000</v>
      </c>
      <c r="G8" s="24">
        <v>0</v>
      </c>
      <c r="H8" s="24"/>
      <c r="I8" s="25">
        <f>+G8+H8</f>
        <v>0</v>
      </c>
    </row>
    <row r="9" spans="2:9" x14ac:dyDescent="0.25">
      <c r="B9" s="55" t="s">
        <v>46</v>
      </c>
      <c r="C9" s="56" t="s">
        <v>47</v>
      </c>
      <c r="D9" s="25">
        <f t="shared" ref="D9:I9" si="0">SUM(D7:D8)</f>
        <v>299880891</v>
      </c>
      <c r="E9" s="25">
        <f t="shared" si="0"/>
        <v>0</v>
      </c>
      <c r="F9" s="25">
        <f t="shared" si="0"/>
        <v>299880891</v>
      </c>
      <c r="G9" s="25">
        <f t="shared" si="0"/>
        <v>0</v>
      </c>
      <c r="H9" s="25">
        <f t="shared" si="0"/>
        <v>0</v>
      </c>
      <c r="I9" s="25">
        <f t="shared" si="0"/>
        <v>0</v>
      </c>
    </row>
    <row r="10" spans="2:9" x14ac:dyDescent="0.25">
      <c r="B10" s="57" t="s">
        <v>48</v>
      </c>
      <c r="C10" s="56" t="s">
        <v>49</v>
      </c>
      <c r="D10" s="24">
        <v>57631739</v>
      </c>
      <c r="E10" s="24"/>
      <c r="F10" s="25">
        <f t="shared" ref="F10:F15" si="1">+D10+E10</f>
        <v>57631739</v>
      </c>
      <c r="G10" s="24">
        <v>0</v>
      </c>
      <c r="H10" s="24"/>
      <c r="I10" s="25">
        <f t="shared" ref="I10:I15" si="2">+G10+H10</f>
        <v>0</v>
      </c>
    </row>
    <row r="11" spans="2:9" x14ac:dyDescent="0.25">
      <c r="B11" s="54" t="s">
        <v>50</v>
      </c>
      <c r="C11" s="53" t="s">
        <v>51</v>
      </c>
      <c r="D11" s="24">
        <v>96253120</v>
      </c>
      <c r="E11" s="24"/>
      <c r="F11" s="25">
        <f t="shared" si="1"/>
        <v>96253120</v>
      </c>
      <c r="G11" s="24">
        <v>0</v>
      </c>
      <c r="H11" s="24"/>
      <c r="I11" s="25">
        <f t="shared" si="2"/>
        <v>0</v>
      </c>
    </row>
    <row r="12" spans="2:9" x14ac:dyDescent="0.25">
      <c r="B12" s="54" t="s">
        <v>52</v>
      </c>
      <c r="C12" s="53" t="s">
        <v>53</v>
      </c>
      <c r="D12" s="24">
        <v>1042960</v>
      </c>
      <c r="E12" s="24"/>
      <c r="F12" s="25">
        <f t="shared" si="1"/>
        <v>1042960</v>
      </c>
      <c r="G12" s="24">
        <v>0</v>
      </c>
      <c r="H12" s="24"/>
      <c r="I12" s="25">
        <f t="shared" si="2"/>
        <v>0</v>
      </c>
    </row>
    <row r="13" spans="2:9" x14ac:dyDescent="0.25">
      <c r="B13" s="54" t="s">
        <v>54</v>
      </c>
      <c r="C13" s="53" t="s">
        <v>55</v>
      </c>
      <c r="D13" s="24">
        <v>35626036</v>
      </c>
      <c r="E13" s="24"/>
      <c r="F13" s="25">
        <f t="shared" si="1"/>
        <v>35626036</v>
      </c>
      <c r="G13" s="24">
        <v>0</v>
      </c>
      <c r="H13" s="24"/>
      <c r="I13" s="25">
        <f t="shared" si="2"/>
        <v>0</v>
      </c>
    </row>
    <row r="14" spans="2:9" x14ac:dyDescent="0.25">
      <c r="B14" s="54" t="s">
        <v>56</v>
      </c>
      <c r="C14" s="53" t="s">
        <v>57</v>
      </c>
      <c r="D14" s="24">
        <v>70000</v>
      </c>
      <c r="E14" s="24"/>
      <c r="F14" s="25">
        <f t="shared" si="1"/>
        <v>70000</v>
      </c>
      <c r="G14" s="24">
        <v>0</v>
      </c>
      <c r="H14" s="24"/>
      <c r="I14" s="25">
        <f t="shared" si="2"/>
        <v>0</v>
      </c>
    </row>
    <row r="15" spans="2:9" x14ac:dyDescent="0.25">
      <c r="B15" s="54" t="s">
        <v>58</v>
      </c>
      <c r="C15" s="53" t="s">
        <v>59</v>
      </c>
      <c r="D15" s="24">
        <v>35475577</v>
      </c>
      <c r="E15" s="24"/>
      <c r="F15" s="25">
        <f t="shared" si="1"/>
        <v>35475577</v>
      </c>
      <c r="G15" s="24">
        <v>0</v>
      </c>
      <c r="H15" s="24"/>
      <c r="I15" s="25">
        <f t="shared" si="2"/>
        <v>0</v>
      </c>
    </row>
    <row r="16" spans="2:9" x14ac:dyDescent="0.25">
      <c r="B16" s="57" t="s">
        <v>60</v>
      </c>
      <c r="C16" s="56" t="s">
        <v>61</v>
      </c>
      <c r="D16" s="25">
        <f t="shared" ref="D16:I16" si="3">SUM(D11:D15)</f>
        <v>168467693</v>
      </c>
      <c r="E16" s="25">
        <f t="shared" si="3"/>
        <v>0</v>
      </c>
      <c r="F16" s="25">
        <f t="shared" si="3"/>
        <v>168467693</v>
      </c>
      <c r="G16" s="25">
        <f t="shared" si="3"/>
        <v>0</v>
      </c>
      <c r="H16" s="25">
        <f t="shared" si="3"/>
        <v>0</v>
      </c>
      <c r="I16" s="25">
        <f t="shared" si="3"/>
        <v>0</v>
      </c>
    </row>
    <row r="17" spans="2:9" x14ac:dyDescent="0.25">
      <c r="B17" s="58" t="s">
        <v>62</v>
      </c>
      <c r="C17" s="56" t="s">
        <v>63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9" t="s">
        <v>64</v>
      </c>
      <c r="C18" s="53" t="s">
        <v>65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9" t="s">
        <v>66</v>
      </c>
      <c r="C19" s="53" t="s">
        <v>67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9" t="s">
        <v>68</v>
      </c>
      <c r="C20" s="53" t="s">
        <v>69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9" t="s">
        <v>70</v>
      </c>
      <c r="C21" s="53" t="s">
        <v>71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9" t="s">
        <v>643</v>
      </c>
      <c r="C22" s="53" t="s">
        <v>73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9" t="s">
        <v>74</v>
      </c>
      <c r="C23" s="53" t="s">
        <v>75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9" t="s">
        <v>76</v>
      </c>
      <c r="C24" s="53" t="s">
        <v>77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9" t="s">
        <v>78</v>
      </c>
      <c r="C25" s="53" t="s">
        <v>79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9" t="s">
        <v>80</v>
      </c>
      <c r="C26" s="53" t="s">
        <v>81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60" t="s">
        <v>82</v>
      </c>
      <c r="C27" s="53" t="s">
        <v>83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60" t="s">
        <v>644</v>
      </c>
      <c r="C28" s="53" t="s">
        <v>85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9" t="s">
        <v>86</v>
      </c>
      <c r="C29" s="53" t="s">
        <v>87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60" t="s">
        <v>88</v>
      </c>
      <c r="C30" s="53" t="s">
        <v>89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60" t="s">
        <v>90</v>
      </c>
      <c r="C31" s="53" t="s">
        <v>89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8" t="s">
        <v>91</v>
      </c>
      <c r="C32" s="56" t="s">
        <v>92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 t="shared" si="6"/>
        <v>0</v>
      </c>
      <c r="H32" s="25">
        <f t="shared" si="6"/>
        <v>0</v>
      </c>
      <c r="I32" s="25">
        <f t="shared" si="6"/>
        <v>0</v>
      </c>
    </row>
    <row r="33" spans="2:9" x14ac:dyDescent="0.25">
      <c r="B33" s="61" t="s">
        <v>93</v>
      </c>
      <c r="C33" s="62" t="s">
        <v>94</v>
      </c>
      <c r="D33" s="63">
        <f t="shared" ref="D33:I33" si="7">+D32+D17+D16+D10+D9</f>
        <v>525980323</v>
      </c>
      <c r="E33" s="63">
        <f t="shared" si="7"/>
        <v>0</v>
      </c>
      <c r="F33" s="63">
        <f t="shared" si="7"/>
        <v>525980323</v>
      </c>
      <c r="G33" s="63">
        <f t="shared" si="7"/>
        <v>0</v>
      </c>
      <c r="H33" s="63">
        <f t="shared" si="7"/>
        <v>0</v>
      </c>
      <c r="I33" s="63">
        <f t="shared" si="7"/>
        <v>0</v>
      </c>
    </row>
    <row r="34" spans="2:9" x14ac:dyDescent="0.25">
      <c r="B34" s="64" t="s">
        <v>95</v>
      </c>
      <c r="C34" s="53" t="s">
        <v>96</v>
      </c>
      <c r="D34" s="24">
        <v>0</v>
      </c>
      <c r="E34" s="24"/>
      <c r="F34" s="25">
        <f t="shared" ref="F34:F40" si="8">+D34+E34</f>
        <v>0</v>
      </c>
      <c r="G34" s="24">
        <v>0</v>
      </c>
      <c r="H34" s="24"/>
      <c r="I34" s="25">
        <f t="shared" ref="I34:I40" si="9">+G34+H34</f>
        <v>0</v>
      </c>
    </row>
    <row r="35" spans="2:9" x14ac:dyDescent="0.25">
      <c r="B35" s="64" t="s">
        <v>97</v>
      </c>
      <c r="C35" s="53" t="s">
        <v>98</v>
      </c>
      <c r="D35" s="24">
        <v>5236800</v>
      </c>
      <c r="E35" s="24"/>
      <c r="F35" s="25">
        <f t="shared" si="8"/>
        <v>5236800</v>
      </c>
      <c r="G35" s="24"/>
      <c r="H35" s="24"/>
      <c r="I35" s="25">
        <f t="shared" si="9"/>
        <v>0</v>
      </c>
    </row>
    <row r="36" spans="2:9" x14ac:dyDescent="0.25">
      <c r="B36" s="64" t="s">
        <v>99</v>
      </c>
      <c r="C36" s="53" t="s">
        <v>100</v>
      </c>
      <c r="D36" s="24">
        <v>168000</v>
      </c>
      <c r="E36" s="24"/>
      <c r="F36" s="25">
        <f t="shared" si="8"/>
        <v>168000</v>
      </c>
      <c r="G36" s="24">
        <v>0</v>
      </c>
      <c r="H36" s="24"/>
      <c r="I36" s="25">
        <f t="shared" si="9"/>
        <v>0</v>
      </c>
    </row>
    <row r="37" spans="2:9" x14ac:dyDescent="0.25">
      <c r="B37" s="64" t="s">
        <v>101</v>
      </c>
      <c r="C37" s="53" t="s">
        <v>102</v>
      </c>
      <c r="D37" s="24">
        <v>1906000</v>
      </c>
      <c r="E37" s="24"/>
      <c r="F37" s="25">
        <f t="shared" si="8"/>
        <v>1906000</v>
      </c>
      <c r="G37" s="24">
        <v>0</v>
      </c>
      <c r="H37" s="24"/>
      <c r="I37" s="25">
        <f t="shared" si="9"/>
        <v>0</v>
      </c>
    </row>
    <row r="38" spans="2:9" hidden="1" x14ac:dyDescent="0.25">
      <c r="B38" s="65" t="s">
        <v>103</v>
      </c>
      <c r="C38" s="53" t="s">
        <v>104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hidden="1" x14ac:dyDescent="0.25">
      <c r="B39" s="65" t="s">
        <v>105</v>
      </c>
      <c r="C39" s="53" t="s">
        <v>106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5" t="s">
        <v>107</v>
      </c>
      <c r="C40" s="53" t="s">
        <v>108</v>
      </c>
      <c r="D40" s="24">
        <v>1974936</v>
      </c>
      <c r="E40" s="24"/>
      <c r="F40" s="25">
        <f t="shared" si="8"/>
        <v>1974936</v>
      </c>
      <c r="G40" s="24">
        <v>0</v>
      </c>
      <c r="H40" s="24"/>
      <c r="I40" s="25">
        <f t="shared" si="9"/>
        <v>0</v>
      </c>
    </row>
    <row r="41" spans="2:9" s="31" customFormat="1" x14ac:dyDescent="0.25">
      <c r="B41" s="66" t="s">
        <v>109</v>
      </c>
      <c r="C41" s="56" t="s">
        <v>110</v>
      </c>
      <c r="D41" s="25">
        <f t="shared" ref="D41:I41" si="10">SUM(D34:D40)</f>
        <v>9285736</v>
      </c>
      <c r="E41" s="25">
        <f t="shared" si="10"/>
        <v>0</v>
      </c>
      <c r="F41" s="25">
        <f t="shared" si="10"/>
        <v>9285736</v>
      </c>
      <c r="G41" s="25">
        <f t="shared" si="10"/>
        <v>0</v>
      </c>
      <c r="H41" s="25">
        <f t="shared" si="10"/>
        <v>0</v>
      </c>
      <c r="I41" s="25">
        <f t="shared" si="10"/>
        <v>0</v>
      </c>
    </row>
    <row r="42" spans="2:9" x14ac:dyDescent="0.25">
      <c r="B42" s="67" t="s">
        <v>111</v>
      </c>
      <c r="C42" s="53" t="s">
        <v>112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7" t="s">
        <v>113</v>
      </c>
      <c r="C43" s="53" t="s">
        <v>114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7" t="s">
        <v>115</v>
      </c>
      <c r="C44" s="53" t="s">
        <v>116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7" t="s">
        <v>117</v>
      </c>
      <c r="C45" s="53" t="s">
        <v>118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7" t="s">
        <v>119</v>
      </c>
      <c r="C46" s="56" t="s">
        <v>120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idden="1" x14ac:dyDescent="0.25">
      <c r="B47" s="67" t="s">
        <v>645</v>
      </c>
      <c r="C47" s="53" t="s">
        <v>122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idden="1" x14ac:dyDescent="0.25">
      <c r="B48" s="67" t="s">
        <v>646</v>
      </c>
      <c r="C48" s="53" t="s">
        <v>124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8" hidden="1" x14ac:dyDescent="0.25">
      <c r="B49" s="67" t="s">
        <v>125</v>
      </c>
      <c r="C49" s="53" t="s">
        <v>126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8" hidden="1" x14ac:dyDescent="0.25">
      <c r="B50" s="67" t="s">
        <v>127</v>
      </c>
      <c r="C50" s="53" t="s">
        <v>128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8" hidden="1" x14ac:dyDescent="0.25">
      <c r="B51" s="67" t="s">
        <v>129</v>
      </c>
      <c r="C51" s="53" t="s">
        <v>130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8" hidden="1" x14ac:dyDescent="0.25">
      <c r="B52" s="67" t="s">
        <v>131</v>
      </c>
      <c r="C52" s="53" t="s">
        <v>132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8" hidden="1" x14ac:dyDescent="0.25">
      <c r="B53" s="67" t="s">
        <v>133</v>
      </c>
      <c r="C53" s="53" t="s">
        <v>134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8" hidden="1" x14ac:dyDescent="0.25">
      <c r="B54" s="60" t="s">
        <v>647</v>
      </c>
      <c r="C54" s="53" t="s">
        <v>136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8" hidden="1" x14ac:dyDescent="0.25">
      <c r="B55" s="67" t="s">
        <v>137</v>
      </c>
      <c r="C55" s="53" t="s">
        <v>138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8" s="31" customFormat="1" x14ac:dyDescent="0.25">
      <c r="B56" s="58" t="s">
        <v>139</v>
      </c>
      <c r="C56" s="56" t="s">
        <v>140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8" x14ac:dyDescent="0.25">
      <c r="B57" s="61" t="s">
        <v>141</v>
      </c>
      <c r="C57" s="62" t="s">
        <v>142</v>
      </c>
      <c r="D57" s="63">
        <f t="shared" ref="D57:I57" si="15">+D56+D46+D41</f>
        <v>9285736</v>
      </c>
      <c r="E57" s="63">
        <f t="shared" si="15"/>
        <v>0</v>
      </c>
      <c r="F57" s="63">
        <f t="shared" si="15"/>
        <v>9285736</v>
      </c>
      <c r="G57" s="63">
        <f t="shared" si="15"/>
        <v>0</v>
      </c>
      <c r="H57" s="63">
        <f t="shared" si="15"/>
        <v>0</v>
      </c>
      <c r="I57" s="63">
        <f t="shared" si="15"/>
        <v>0</v>
      </c>
    </row>
    <row r="58" spans="2:18" x14ac:dyDescent="0.25">
      <c r="B58" s="68" t="s">
        <v>143</v>
      </c>
      <c r="C58" s="69" t="s">
        <v>144</v>
      </c>
      <c r="D58" s="70">
        <f t="shared" ref="D58:I58" si="16">+D56+D46+D41+D32+D17+D16+D10+D9</f>
        <v>535266059</v>
      </c>
      <c r="E58" s="70">
        <f t="shared" si="16"/>
        <v>0</v>
      </c>
      <c r="F58" s="70">
        <f t="shared" si="16"/>
        <v>535266059</v>
      </c>
      <c r="G58" s="70">
        <f t="shared" si="16"/>
        <v>0</v>
      </c>
      <c r="H58" s="70">
        <f t="shared" si="16"/>
        <v>0</v>
      </c>
      <c r="I58" s="70">
        <f t="shared" si="16"/>
        <v>0</v>
      </c>
    </row>
    <row r="59" spans="2:18" hidden="1" x14ac:dyDescent="0.25">
      <c r="B59" s="73" t="s">
        <v>626</v>
      </c>
      <c r="C59" s="54" t="s">
        <v>170</v>
      </c>
      <c r="D59" s="251"/>
      <c r="E59" s="251"/>
      <c r="F59" s="24">
        <f>+D59+E59</f>
        <v>0</v>
      </c>
      <c r="G59" s="251"/>
      <c r="H59" s="251"/>
      <c r="I59" s="24">
        <f>+G59+H59</f>
        <v>0</v>
      </c>
      <c r="J59" s="252"/>
      <c r="K59" s="252"/>
      <c r="L59" s="252"/>
      <c r="M59" s="252"/>
      <c r="N59" s="252"/>
      <c r="O59" s="252"/>
      <c r="P59" s="252"/>
      <c r="Q59" s="71"/>
      <c r="R59" s="71"/>
    </row>
    <row r="60" spans="2:18" hidden="1" x14ac:dyDescent="0.25">
      <c r="B60" s="73" t="s">
        <v>171</v>
      </c>
      <c r="C60" s="54" t="s">
        <v>172</v>
      </c>
      <c r="D60" s="251"/>
      <c r="E60" s="251"/>
      <c r="F60" s="24">
        <f>+D60+E60</f>
        <v>0</v>
      </c>
      <c r="G60" s="251"/>
      <c r="H60" s="251"/>
      <c r="I60" s="24">
        <f>+G60+H60</f>
        <v>0</v>
      </c>
      <c r="J60" s="252"/>
      <c r="K60" s="252"/>
      <c r="L60" s="252"/>
      <c r="M60" s="252"/>
      <c r="N60" s="252"/>
      <c r="O60" s="252"/>
      <c r="P60" s="252"/>
      <c r="Q60" s="71"/>
      <c r="R60" s="71"/>
    </row>
    <row r="61" spans="2:18" hidden="1" x14ac:dyDescent="0.25">
      <c r="B61" s="67" t="s">
        <v>173</v>
      </c>
      <c r="C61" s="54" t="s">
        <v>174</v>
      </c>
      <c r="D61" s="251"/>
      <c r="E61" s="251"/>
      <c r="F61" s="24">
        <f>+D61+E61</f>
        <v>0</v>
      </c>
      <c r="G61" s="251"/>
      <c r="H61" s="251"/>
      <c r="I61" s="24">
        <f>+G61+H61</f>
        <v>0</v>
      </c>
      <c r="J61" s="253"/>
      <c r="K61" s="253"/>
      <c r="L61" s="253"/>
      <c r="M61" s="253"/>
      <c r="N61" s="253"/>
      <c r="O61" s="253"/>
      <c r="P61" s="253"/>
      <c r="Q61" s="71"/>
      <c r="R61" s="71"/>
    </row>
    <row r="62" spans="2:18" hidden="1" x14ac:dyDescent="0.25">
      <c r="B62" s="67" t="s">
        <v>175</v>
      </c>
      <c r="C62" s="54" t="s">
        <v>176</v>
      </c>
      <c r="D62" s="251"/>
      <c r="E62" s="251"/>
      <c r="F62" s="24">
        <f>+D62+E62</f>
        <v>0</v>
      </c>
      <c r="G62" s="251"/>
      <c r="H62" s="251"/>
      <c r="I62" s="24">
        <f>+G62+H62</f>
        <v>0</v>
      </c>
      <c r="J62" s="253"/>
      <c r="K62" s="253"/>
      <c r="L62" s="253"/>
      <c r="M62" s="253"/>
      <c r="N62" s="253"/>
      <c r="O62" s="253"/>
      <c r="P62" s="253"/>
      <c r="Q62" s="71"/>
      <c r="R62" s="71"/>
    </row>
    <row r="63" spans="2:18" x14ac:dyDescent="0.25">
      <c r="B63" s="76" t="s">
        <v>177</v>
      </c>
      <c r="C63" s="77" t="s">
        <v>178</v>
      </c>
      <c r="D63" s="78">
        <f t="shared" ref="D63:I63" si="17">+D61+D60+D59+D62</f>
        <v>0</v>
      </c>
      <c r="E63" s="78">
        <f t="shared" si="17"/>
        <v>0</v>
      </c>
      <c r="F63" s="78">
        <f t="shared" si="17"/>
        <v>0</v>
      </c>
      <c r="G63" s="78">
        <f t="shared" si="17"/>
        <v>0</v>
      </c>
      <c r="H63" s="78">
        <f t="shared" si="17"/>
        <v>0</v>
      </c>
      <c r="I63" s="78">
        <f t="shared" si="17"/>
        <v>0</v>
      </c>
      <c r="J63" s="254"/>
      <c r="K63" s="254"/>
      <c r="L63" s="254"/>
      <c r="M63" s="254"/>
      <c r="N63" s="254"/>
      <c r="O63" s="254"/>
      <c r="P63" s="254"/>
      <c r="Q63" s="71"/>
      <c r="R63" s="71"/>
    </row>
    <row r="64" spans="2:18" x14ac:dyDescent="0.25">
      <c r="B64" s="28" t="s">
        <v>179</v>
      </c>
      <c r="C64" s="28" t="s">
        <v>180</v>
      </c>
      <c r="D64" s="29">
        <f t="shared" ref="D64:I64" si="18">+D58+D63</f>
        <v>535266059</v>
      </c>
      <c r="E64" s="29">
        <f t="shared" si="18"/>
        <v>0</v>
      </c>
      <c r="F64" s="29">
        <f t="shared" si="18"/>
        <v>535266059</v>
      </c>
      <c r="G64" s="29">
        <f t="shared" si="18"/>
        <v>0</v>
      </c>
      <c r="H64" s="29">
        <f t="shared" si="18"/>
        <v>0</v>
      </c>
      <c r="I64" s="29">
        <f t="shared" si="18"/>
        <v>0</v>
      </c>
      <c r="J64" s="71"/>
      <c r="K64" s="71"/>
      <c r="L64" s="71"/>
      <c r="M64" s="71"/>
      <c r="N64" s="71"/>
      <c r="O64" s="71"/>
      <c r="P64" s="71"/>
      <c r="Q64" s="71"/>
      <c r="R64" s="71"/>
    </row>
    <row r="65" spans="2:18" x14ac:dyDescent="0.25">
      <c r="B65" s="13"/>
      <c r="C65" s="79"/>
      <c r="D65" s="80"/>
      <c r="E65" s="80"/>
      <c r="F65" s="81"/>
      <c r="G65" s="80"/>
      <c r="H65" s="80"/>
      <c r="I65" s="81"/>
      <c r="J65" s="71"/>
      <c r="K65" s="71"/>
      <c r="L65" s="71"/>
      <c r="M65" s="71"/>
      <c r="N65" s="71"/>
      <c r="O65" s="71"/>
      <c r="P65" s="71"/>
      <c r="Q65" s="71"/>
      <c r="R65" s="71"/>
    </row>
    <row r="66" spans="2:18" ht="15.75" hidden="1" customHeight="1" x14ac:dyDescent="0.25">
      <c r="B66" s="13"/>
      <c r="C66" s="79"/>
      <c r="D66" s="469" t="s">
        <v>13</v>
      </c>
      <c r="E66" s="469"/>
      <c r="F66" s="469"/>
      <c r="G66" s="469" t="s">
        <v>13</v>
      </c>
      <c r="H66" s="469"/>
      <c r="I66" s="469"/>
      <c r="J66" s="71"/>
      <c r="K66" s="71"/>
      <c r="L66" s="71"/>
      <c r="M66" s="71"/>
      <c r="N66" s="71"/>
      <c r="O66" s="71"/>
      <c r="P66" s="71"/>
      <c r="Q66" s="71"/>
      <c r="R66" s="71"/>
    </row>
    <row r="67" spans="2:18" ht="47.25" x14ac:dyDescent="0.25">
      <c r="B67" s="19" t="s">
        <v>14</v>
      </c>
      <c r="C67" s="48" t="s">
        <v>181</v>
      </c>
      <c r="D67" s="49" t="s">
        <v>15</v>
      </c>
      <c r="E67" s="49" t="s">
        <v>16</v>
      </c>
      <c r="F67" s="170" t="s">
        <v>566</v>
      </c>
      <c r="G67" s="49" t="s">
        <v>15</v>
      </c>
      <c r="H67" s="49" t="s">
        <v>16</v>
      </c>
      <c r="I67" s="170" t="s">
        <v>566</v>
      </c>
      <c r="J67" s="71"/>
      <c r="K67" s="71"/>
      <c r="L67" s="71"/>
      <c r="M67" s="71"/>
      <c r="N67" s="71"/>
      <c r="O67" s="71"/>
      <c r="P67" s="71"/>
      <c r="Q67" s="71"/>
      <c r="R67" s="71"/>
    </row>
    <row r="68" spans="2:18" hidden="1" x14ac:dyDescent="0.25">
      <c r="B68" s="57" t="s">
        <v>627</v>
      </c>
      <c r="C68" s="66" t="s">
        <v>195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  <c r="J68" s="71"/>
      <c r="K68" s="71"/>
      <c r="L68" s="71"/>
      <c r="M68" s="71"/>
      <c r="N68" s="71"/>
      <c r="O68" s="71"/>
      <c r="P68" s="71"/>
      <c r="Q68" s="71"/>
      <c r="R68" s="71"/>
    </row>
    <row r="69" spans="2:18" hidden="1" x14ac:dyDescent="0.25">
      <c r="B69" s="54" t="s">
        <v>196</v>
      </c>
      <c r="C69" s="65" t="s">
        <v>197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  <c r="J69" s="71"/>
      <c r="K69" s="71"/>
      <c r="L69" s="71"/>
      <c r="M69" s="71"/>
      <c r="N69" s="71"/>
      <c r="O69" s="71"/>
      <c r="P69" s="71"/>
      <c r="Q69" s="71"/>
      <c r="R69" s="71"/>
    </row>
    <row r="70" spans="2:18" ht="31.5" hidden="1" x14ac:dyDescent="0.25">
      <c r="B70" s="54" t="s">
        <v>628</v>
      </c>
      <c r="C70" s="65" t="s">
        <v>199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  <c r="J70" s="71"/>
      <c r="K70" s="71"/>
      <c r="L70" s="71"/>
      <c r="M70" s="71"/>
      <c r="N70" s="71"/>
      <c r="O70" s="71"/>
      <c r="P70" s="71"/>
      <c r="Q70" s="71"/>
      <c r="R70" s="71"/>
    </row>
    <row r="71" spans="2:18" hidden="1" x14ac:dyDescent="0.25">
      <c r="B71" s="54" t="s">
        <v>200</v>
      </c>
      <c r="C71" s="65" t="s">
        <v>201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  <c r="J71" s="71"/>
      <c r="K71" s="71"/>
      <c r="L71" s="71"/>
      <c r="M71" s="71"/>
      <c r="N71" s="71"/>
      <c r="O71" s="71"/>
      <c r="P71" s="71"/>
      <c r="Q71" s="71"/>
      <c r="R71" s="71"/>
    </row>
    <row r="72" spans="2:18" hidden="1" x14ac:dyDescent="0.25">
      <c r="B72" s="54" t="s">
        <v>202</v>
      </c>
      <c r="C72" s="65" t="s">
        <v>203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  <c r="J72" s="71"/>
      <c r="K72" s="71"/>
      <c r="L72" s="71"/>
      <c r="M72" s="71"/>
      <c r="N72" s="71"/>
      <c r="O72" s="71"/>
      <c r="P72" s="71"/>
      <c r="Q72" s="71"/>
      <c r="R72" s="71"/>
    </row>
    <row r="73" spans="2:18" x14ac:dyDescent="0.25">
      <c r="B73" s="54" t="s">
        <v>204</v>
      </c>
      <c r="C73" s="65" t="s">
        <v>205</v>
      </c>
      <c r="D73" s="24">
        <v>14194168</v>
      </c>
      <c r="E73" s="24"/>
      <c r="F73" s="25">
        <f t="shared" si="19"/>
        <v>14194168</v>
      </c>
      <c r="G73" s="24">
        <v>0</v>
      </c>
      <c r="H73" s="24"/>
      <c r="I73" s="25">
        <f t="shared" si="20"/>
        <v>0</v>
      </c>
      <c r="J73" s="71"/>
      <c r="K73" s="71"/>
      <c r="L73" s="71"/>
      <c r="M73" s="71"/>
      <c r="N73" s="71"/>
      <c r="O73" s="71"/>
      <c r="P73" s="71"/>
      <c r="Q73" s="71"/>
      <c r="R73" s="71"/>
    </row>
    <row r="74" spans="2:18" x14ac:dyDescent="0.25">
      <c r="B74" s="57" t="s">
        <v>206</v>
      </c>
      <c r="C74" s="66" t="s">
        <v>207</v>
      </c>
      <c r="D74" s="25">
        <f t="shared" ref="D74:I74" si="21">+D73+D72+D71+D70+D69+D68</f>
        <v>14194168</v>
      </c>
      <c r="E74" s="25">
        <f t="shared" si="21"/>
        <v>0</v>
      </c>
      <c r="F74" s="25">
        <f t="shared" si="21"/>
        <v>14194168</v>
      </c>
      <c r="G74" s="25">
        <f t="shared" si="21"/>
        <v>0</v>
      </c>
      <c r="H74" s="25">
        <f t="shared" si="21"/>
        <v>0</v>
      </c>
      <c r="I74" s="25">
        <f t="shared" si="21"/>
        <v>0</v>
      </c>
      <c r="J74" s="71"/>
      <c r="K74" s="71"/>
      <c r="L74" s="71"/>
      <c r="M74" s="71"/>
      <c r="N74" s="71"/>
      <c r="O74" s="71"/>
      <c r="P74" s="71"/>
      <c r="Q74" s="71"/>
      <c r="R74" s="71"/>
    </row>
    <row r="75" spans="2:18" x14ac:dyDescent="0.25">
      <c r="B75" s="57" t="s">
        <v>208</v>
      </c>
      <c r="C75" s="66" t="s">
        <v>209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  <c r="J75" s="71"/>
      <c r="K75" s="71"/>
      <c r="L75" s="71"/>
      <c r="M75" s="71"/>
      <c r="N75" s="71"/>
      <c r="O75" s="71"/>
      <c r="P75" s="71"/>
      <c r="Q75" s="71"/>
      <c r="R75" s="71"/>
    </row>
    <row r="76" spans="2:18" hidden="1" x14ac:dyDescent="0.25">
      <c r="B76" s="54" t="s">
        <v>210</v>
      </c>
      <c r="C76" s="65" t="s">
        <v>211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  <c r="J76" s="71"/>
      <c r="K76" s="71"/>
      <c r="L76" s="71"/>
      <c r="M76" s="71"/>
      <c r="N76" s="71"/>
      <c r="O76" s="71"/>
      <c r="P76" s="71"/>
      <c r="Q76" s="71"/>
      <c r="R76" s="71"/>
    </row>
    <row r="77" spans="2:18" hidden="1" x14ac:dyDescent="0.25">
      <c r="B77" s="54" t="s">
        <v>212</v>
      </c>
      <c r="C77" s="65" t="s">
        <v>213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  <c r="J77" s="71"/>
      <c r="K77" s="71"/>
      <c r="L77" s="71"/>
      <c r="M77" s="71"/>
      <c r="N77" s="71"/>
      <c r="O77" s="71"/>
      <c r="P77" s="71"/>
      <c r="Q77" s="71"/>
      <c r="R77" s="71"/>
    </row>
    <row r="78" spans="2:18" hidden="1" x14ac:dyDescent="0.25">
      <c r="B78" s="54" t="s">
        <v>214</v>
      </c>
      <c r="C78" s="65" t="s">
        <v>215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  <c r="J78" s="71"/>
      <c r="K78" s="71"/>
      <c r="L78" s="71"/>
      <c r="M78" s="71"/>
      <c r="N78" s="71"/>
      <c r="O78" s="71"/>
      <c r="P78" s="71"/>
      <c r="Q78" s="71"/>
      <c r="R78" s="71"/>
    </row>
    <row r="79" spans="2:18" hidden="1" x14ac:dyDescent="0.25">
      <c r="B79" s="54" t="s">
        <v>216</v>
      </c>
      <c r="C79" s="65" t="s">
        <v>217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  <c r="J79" s="71"/>
      <c r="K79" s="71"/>
      <c r="L79" s="71"/>
      <c r="M79" s="71"/>
      <c r="N79" s="71"/>
      <c r="O79" s="71"/>
      <c r="P79" s="71"/>
      <c r="Q79" s="71"/>
      <c r="R79" s="71"/>
    </row>
    <row r="80" spans="2:18" hidden="1" x14ac:dyDescent="0.25">
      <c r="B80" s="54" t="s">
        <v>218</v>
      </c>
      <c r="C80" s="65" t="s">
        <v>219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  <c r="J80" s="71"/>
      <c r="K80" s="71"/>
      <c r="L80" s="71"/>
      <c r="M80" s="71"/>
      <c r="N80" s="71"/>
      <c r="O80" s="71"/>
      <c r="P80" s="71"/>
      <c r="Q80" s="71"/>
      <c r="R80" s="71"/>
    </row>
    <row r="81" spans="2:18" hidden="1" x14ac:dyDescent="0.25">
      <c r="B81" s="54" t="s">
        <v>220</v>
      </c>
      <c r="C81" s="65" t="s">
        <v>221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  <c r="J81" s="71"/>
      <c r="K81" s="71"/>
      <c r="L81" s="71"/>
      <c r="M81" s="71"/>
      <c r="N81" s="71"/>
      <c r="O81" s="71"/>
      <c r="P81" s="71"/>
      <c r="Q81" s="71"/>
      <c r="R81" s="71"/>
    </row>
    <row r="82" spans="2:18" x14ac:dyDescent="0.25">
      <c r="B82" s="57" t="s">
        <v>222</v>
      </c>
      <c r="C82" s="66" t="s">
        <v>223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 t="shared" si="24"/>
        <v>0</v>
      </c>
      <c r="H82" s="25">
        <f t="shared" si="24"/>
        <v>0</v>
      </c>
      <c r="I82" s="25">
        <f t="shared" si="24"/>
        <v>0</v>
      </c>
      <c r="J82" s="71"/>
      <c r="K82" s="71"/>
      <c r="L82" s="71"/>
      <c r="M82" s="71"/>
      <c r="N82" s="71"/>
      <c r="O82" s="71"/>
      <c r="P82" s="71"/>
      <c r="Q82" s="71"/>
      <c r="R82" s="71"/>
    </row>
    <row r="83" spans="2:18" x14ac:dyDescent="0.25">
      <c r="B83" s="67" t="s">
        <v>631</v>
      </c>
      <c r="C83" s="65" t="s">
        <v>225</v>
      </c>
      <c r="D83" s="24"/>
      <c r="E83" s="24"/>
      <c r="F83" s="25">
        <f t="shared" ref="F83:F93" si="25">+E83+D83</f>
        <v>0</v>
      </c>
      <c r="G83" s="24"/>
      <c r="H83" s="24"/>
      <c r="I83" s="25">
        <f t="shared" ref="I83:I93" si="26">+H83+G83</f>
        <v>0</v>
      </c>
      <c r="J83" s="71"/>
      <c r="K83" s="71"/>
      <c r="L83" s="71"/>
      <c r="M83" s="71"/>
      <c r="N83" s="71"/>
      <c r="O83" s="71"/>
      <c r="P83" s="71"/>
      <c r="Q83" s="71"/>
      <c r="R83" s="71"/>
    </row>
    <row r="84" spans="2:18" x14ac:dyDescent="0.25">
      <c r="B84" s="67" t="s">
        <v>226</v>
      </c>
      <c r="C84" s="65" t="s">
        <v>227</v>
      </c>
      <c r="D84" s="24">
        <v>5588480</v>
      </c>
      <c r="E84" s="24"/>
      <c r="F84" s="25">
        <f t="shared" si="25"/>
        <v>5588480</v>
      </c>
      <c r="G84" s="24">
        <v>0</v>
      </c>
      <c r="H84" s="24"/>
      <c r="I84" s="25">
        <f t="shared" si="26"/>
        <v>0</v>
      </c>
      <c r="J84" s="71"/>
      <c r="K84" s="71"/>
      <c r="L84" s="71"/>
      <c r="M84" s="71"/>
      <c r="N84" s="71"/>
      <c r="O84" s="71"/>
      <c r="P84" s="71"/>
      <c r="Q84" s="71"/>
      <c r="R84" s="71"/>
    </row>
    <row r="85" spans="2:18" x14ac:dyDescent="0.25">
      <c r="B85" s="67" t="s">
        <v>228</v>
      </c>
      <c r="C85" s="65" t="s">
        <v>229</v>
      </c>
      <c r="D85" s="24"/>
      <c r="E85" s="24"/>
      <c r="F85" s="25">
        <f t="shared" si="25"/>
        <v>0</v>
      </c>
      <c r="G85" s="24"/>
      <c r="H85" s="24"/>
      <c r="I85" s="25">
        <f t="shared" si="26"/>
        <v>0</v>
      </c>
      <c r="J85" s="71"/>
      <c r="K85" s="71"/>
      <c r="L85" s="71"/>
      <c r="M85" s="71"/>
      <c r="N85" s="71"/>
      <c r="O85" s="71"/>
      <c r="P85" s="71"/>
      <c r="Q85" s="71"/>
      <c r="R85" s="71"/>
    </row>
    <row r="86" spans="2:18" x14ac:dyDescent="0.25">
      <c r="B86" s="67" t="s">
        <v>230</v>
      </c>
      <c r="C86" s="65" t="s">
        <v>231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  <c r="J86" s="71"/>
      <c r="K86" s="71"/>
      <c r="L86" s="71"/>
      <c r="M86" s="71"/>
      <c r="N86" s="71"/>
      <c r="O86" s="71"/>
      <c r="P86" s="71"/>
      <c r="Q86" s="71"/>
      <c r="R86" s="71"/>
    </row>
    <row r="87" spans="2:18" x14ac:dyDescent="0.25">
      <c r="B87" s="67" t="s">
        <v>232</v>
      </c>
      <c r="C87" s="65" t="s">
        <v>233</v>
      </c>
      <c r="D87" s="24">
        <v>34533450</v>
      </c>
      <c r="E87" s="24"/>
      <c r="F87" s="25">
        <f t="shared" si="25"/>
        <v>34533450</v>
      </c>
      <c r="G87" s="24">
        <v>0</v>
      </c>
      <c r="H87" s="24"/>
      <c r="I87" s="25">
        <f t="shared" si="26"/>
        <v>0</v>
      </c>
      <c r="J87" s="71"/>
      <c r="K87" s="71"/>
      <c r="L87" s="71"/>
      <c r="M87" s="71"/>
      <c r="N87" s="71"/>
      <c r="O87" s="71"/>
      <c r="P87" s="71"/>
      <c r="Q87" s="71"/>
      <c r="R87" s="71"/>
    </row>
    <row r="88" spans="2:18" x14ac:dyDescent="0.25">
      <c r="B88" s="67" t="s">
        <v>234</v>
      </c>
      <c r="C88" s="65" t="s">
        <v>235</v>
      </c>
      <c r="D88" s="24">
        <v>10401327</v>
      </c>
      <c r="E88" s="24"/>
      <c r="F88" s="25">
        <f t="shared" si="25"/>
        <v>10401327</v>
      </c>
      <c r="G88" s="24">
        <v>0</v>
      </c>
      <c r="H88" s="24"/>
      <c r="I88" s="25">
        <f t="shared" si="26"/>
        <v>0</v>
      </c>
      <c r="J88" s="71"/>
      <c r="K88" s="71"/>
      <c r="L88" s="71"/>
      <c r="M88" s="71"/>
      <c r="N88" s="71"/>
      <c r="O88" s="71"/>
      <c r="P88" s="71"/>
      <c r="Q88" s="71"/>
      <c r="R88" s="71"/>
    </row>
    <row r="89" spans="2:18" x14ac:dyDescent="0.25">
      <c r="B89" s="67" t="s">
        <v>236</v>
      </c>
      <c r="C89" s="65" t="s">
        <v>237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  <c r="J89" s="71"/>
      <c r="K89" s="71"/>
      <c r="L89" s="71"/>
      <c r="M89" s="71"/>
      <c r="N89" s="71"/>
      <c r="O89" s="71"/>
      <c r="P89" s="71"/>
      <c r="Q89" s="71"/>
      <c r="R89" s="71"/>
    </row>
    <row r="90" spans="2:18" x14ac:dyDescent="0.25">
      <c r="B90" s="67" t="s">
        <v>238</v>
      </c>
      <c r="C90" s="65" t="s">
        <v>239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  <c r="J90" s="71"/>
      <c r="K90" s="71"/>
      <c r="L90" s="71"/>
      <c r="M90" s="71"/>
      <c r="N90" s="71"/>
      <c r="O90" s="71"/>
      <c r="P90" s="71"/>
      <c r="Q90" s="71"/>
      <c r="R90" s="71"/>
    </row>
    <row r="91" spans="2:18" x14ac:dyDescent="0.25">
      <c r="B91" s="67" t="s">
        <v>240</v>
      </c>
      <c r="C91" s="65" t="s">
        <v>241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  <c r="J91" s="71"/>
      <c r="K91" s="71"/>
      <c r="L91" s="71"/>
      <c r="M91" s="71"/>
      <c r="N91" s="71"/>
      <c r="O91" s="71"/>
      <c r="P91" s="71"/>
      <c r="Q91" s="71"/>
      <c r="R91" s="71"/>
    </row>
    <row r="92" spans="2:18" x14ac:dyDescent="0.25">
      <c r="B92" s="67" t="s">
        <v>242</v>
      </c>
      <c r="C92" s="65" t="s">
        <v>243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  <c r="J92" s="71"/>
      <c r="K92" s="71"/>
      <c r="L92" s="71"/>
      <c r="M92" s="71"/>
      <c r="N92" s="71"/>
      <c r="O92" s="71"/>
      <c r="P92" s="71"/>
      <c r="Q92" s="71"/>
      <c r="R92" s="71"/>
    </row>
    <row r="93" spans="2:18" x14ac:dyDescent="0.25">
      <c r="B93" s="67" t="s">
        <v>244</v>
      </c>
      <c r="C93" s="65" t="s">
        <v>245</v>
      </c>
      <c r="D93" s="24">
        <v>0</v>
      </c>
      <c r="E93" s="24"/>
      <c r="F93" s="25">
        <f t="shared" si="25"/>
        <v>0</v>
      </c>
      <c r="G93" s="24">
        <v>0</v>
      </c>
      <c r="H93" s="24"/>
      <c r="I93" s="25">
        <f t="shared" si="26"/>
        <v>0</v>
      </c>
      <c r="J93" s="71"/>
      <c r="K93" s="71"/>
      <c r="L93" s="71"/>
      <c r="M93" s="71"/>
      <c r="N93" s="71"/>
      <c r="O93" s="71"/>
      <c r="P93" s="71"/>
      <c r="Q93" s="71"/>
      <c r="R93" s="71"/>
    </row>
    <row r="94" spans="2:18" x14ac:dyDescent="0.25">
      <c r="B94" s="58" t="s">
        <v>246</v>
      </c>
      <c r="C94" s="66" t="s">
        <v>247</v>
      </c>
      <c r="D94" s="25">
        <f t="shared" ref="D94:I94" si="27">SUM(D83:D93)</f>
        <v>50523257</v>
      </c>
      <c r="E94" s="25">
        <f t="shared" si="27"/>
        <v>0</v>
      </c>
      <c r="F94" s="25">
        <f t="shared" si="27"/>
        <v>50523257</v>
      </c>
      <c r="G94" s="25">
        <f t="shared" si="27"/>
        <v>0</v>
      </c>
      <c r="H94" s="25">
        <f t="shared" si="27"/>
        <v>0</v>
      </c>
      <c r="I94" s="25">
        <f t="shared" si="27"/>
        <v>0</v>
      </c>
      <c r="J94" s="71"/>
      <c r="K94" s="71"/>
      <c r="L94" s="71"/>
      <c r="M94" s="71"/>
      <c r="N94" s="71"/>
      <c r="O94" s="71"/>
      <c r="P94" s="71"/>
      <c r="Q94" s="71"/>
      <c r="R94" s="71"/>
    </row>
    <row r="95" spans="2:18" x14ac:dyDescent="0.25">
      <c r="B95" s="67" t="s">
        <v>248</v>
      </c>
      <c r="C95" s="65" t="s">
        <v>249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71"/>
      <c r="K95" s="71"/>
      <c r="L95" s="71"/>
      <c r="M95" s="71"/>
      <c r="N95" s="71"/>
      <c r="O95" s="71"/>
      <c r="P95" s="71"/>
      <c r="Q95" s="71"/>
      <c r="R95" s="71"/>
    </row>
    <row r="96" spans="2:18" x14ac:dyDescent="0.25">
      <c r="B96" s="67" t="s">
        <v>250</v>
      </c>
      <c r="C96" s="65" t="s">
        <v>251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71"/>
      <c r="K96" s="71"/>
      <c r="L96" s="71"/>
      <c r="M96" s="71"/>
      <c r="N96" s="71"/>
      <c r="O96" s="71"/>
      <c r="P96" s="71"/>
      <c r="Q96" s="71"/>
      <c r="R96" s="71"/>
    </row>
    <row r="97" spans="2:18" x14ac:dyDescent="0.25">
      <c r="B97" s="67" t="s">
        <v>252</v>
      </c>
      <c r="C97" s="65" t="s">
        <v>253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71"/>
      <c r="K97" s="71"/>
      <c r="L97" s="71"/>
      <c r="M97" s="71"/>
      <c r="N97" s="71"/>
      <c r="O97" s="71"/>
      <c r="P97" s="71"/>
      <c r="Q97" s="71"/>
      <c r="R97" s="71"/>
    </row>
    <row r="98" spans="2:18" x14ac:dyDescent="0.25">
      <c r="B98" s="67" t="s">
        <v>254</v>
      </c>
      <c r="C98" s="65" t="s">
        <v>255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71"/>
      <c r="K98" s="71"/>
      <c r="L98" s="71"/>
      <c r="M98" s="71"/>
      <c r="N98" s="71"/>
      <c r="O98" s="71"/>
      <c r="P98" s="71"/>
      <c r="Q98" s="71"/>
      <c r="R98" s="71"/>
    </row>
    <row r="99" spans="2:18" x14ac:dyDescent="0.25">
      <c r="B99" s="67" t="s">
        <v>256</v>
      </c>
      <c r="C99" s="65" t="s">
        <v>257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71"/>
      <c r="K99" s="71"/>
      <c r="L99" s="71"/>
      <c r="M99" s="71"/>
      <c r="N99" s="71"/>
      <c r="O99" s="71"/>
      <c r="P99" s="71"/>
      <c r="Q99" s="71"/>
      <c r="R99" s="71"/>
    </row>
    <row r="100" spans="2:18" x14ac:dyDescent="0.25">
      <c r="B100" s="57" t="s">
        <v>258</v>
      </c>
      <c r="C100" s="66" t="s">
        <v>259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0</v>
      </c>
      <c r="I100" s="25">
        <f t="shared" si="28"/>
        <v>0</v>
      </c>
      <c r="J100" s="71"/>
      <c r="K100" s="71"/>
      <c r="L100" s="71"/>
      <c r="M100" s="71"/>
      <c r="N100" s="71"/>
      <c r="O100" s="71"/>
      <c r="P100" s="71"/>
      <c r="Q100" s="71"/>
      <c r="R100" s="71"/>
    </row>
    <row r="101" spans="2:18" x14ac:dyDescent="0.25">
      <c r="B101" s="57" t="s">
        <v>260</v>
      </c>
      <c r="C101" s="66" t="s">
        <v>261</v>
      </c>
      <c r="D101" s="24">
        <v>0</v>
      </c>
      <c r="E101" s="24"/>
      <c r="F101" s="25">
        <f>+E101+D101</f>
        <v>0</v>
      </c>
      <c r="G101" s="24">
        <v>0</v>
      </c>
      <c r="H101" s="24"/>
      <c r="I101" s="25">
        <f>+H101+G101</f>
        <v>0</v>
      </c>
      <c r="J101" s="71"/>
      <c r="K101" s="71"/>
      <c r="L101" s="71"/>
      <c r="M101" s="71"/>
      <c r="N101" s="71"/>
      <c r="O101" s="71"/>
      <c r="P101" s="71"/>
      <c r="Q101" s="71"/>
      <c r="R101" s="71"/>
    </row>
    <row r="102" spans="2:18" hidden="1" x14ac:dyDescent="0.25">
      <c r="B102" s="67" t="s">
        <v>262</v>
      </c>
      <c r="C102" s="65" t="s">
        <v>263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71"/>
      <c r="K102" s="71"/>
      <c r="L102" s="71"/>
      <c r="M102" s="71"/>
      <c r="N102" s="71"/>
      <c r="O102" s="71"/>
      <c r="P102" s="71"/>
      <c r="Q102" s="71"/>
      <c r="R102" s="71"/>
    </row>
    <row r="103" spans="2:18" hidden="1" x14ac:dyDescent="0.25">
      <c r="B103" s="54" t="s">
        <v>264</v>
      </c>
      <c r="C103" s="65" t="s">
        <v>265</v>
      </c>
      <c r="D103" s="24"/>
      <c r="E103" s="24"/>
      <c r="F103" s="25"/>
      <c r="G103" s="24"/>
      <c r="H103" s="24"/>
      <c r="I103" s="25"/>
      <c r="J103" s="71"/>
      <c r="K103" s="71"/>
      <c r="L103" s="71"/>
      <c r="M103" s="71"/>
      <c r="N103" s="71"/>
      <c r="O103" s="71"/>
      <c r="P103" s="71"/>
      <c r="Q103" s="71"/>
      <c r="R103" s="71"/>
    </row>
    <row r="104" spans="2:18" ht="31.5" hidden="1" x14ac:dyDescent="0.25">
      <c r="B104" s="67" t="s">
        <v>266</v>
      </c>
      <c r="C104" s="65" t="s">
        <v>267</v>
      </c>
      <c r="D104" s="24"/>
      <c r="E104" s="24"/>
      <c r="F104" s="25"/>
      <c r="G104" s="24"/>
      <c r="H104" s="24"/>
      <c r="I104" s="25"/>
      <c r="J104" s="71"/>
      <c r="K104" s="71"/>
      <c r="L104" s="71"/>
      <c r="M104" s="71"/>
      <c r="N104" s="71"/>
      <c r="O104" s="71"/>
      <c r="P104" s="71"/>
      <c r="Q104" s="71"/>
      <c r="R104" s="71"/>
    </row>
    <row r="105" spans="2:18" hidden="1" x14ac:dyDescent="0.25">
      <c r="B105" s="67" t="s">
        <v>268</v>
      </c>
      <c r="C105" s="65" t="s">
        <v>269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71"/>
      <c r="K105" s="71"/>
      <c r="L105" s="71"/>
      <c r="M105" s="71"/>
      <c r="N105" s="71"/>
      <c r="O105" s="71"/>
      <c r="P105" s="71"/>
      <c r="Q105" s="71"/>
      <c r="R105" s="71"/>
    </row>
    <row r="106" spans="2:18" hidden="1" x14ac:dyDescent="0.25">
      <c r="B106" s="67" t="s">
        <v>270</v>
      </c>
      <c r="C106" s="65" t="s">
        <v>271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  <c r="J106" s="71"/>
      <c r="K106" s="71"/>
      <c r="L106" s="71"/>
      <c r="M106" s="71"/>
      <c r="N106" s="71"/>
      <c r="O106" s="71"/>
      <c r="P106" s="71"/>
      <c r="Q106" s="71"/>
      <c r="R106" s="71"/>
    </row>
    <row r="107" spans="2:18" x14ac:dyDescent="0.25">
      <c r="B107" s="57" t="s">
        <v>272</v>
      </c>
      <c r="C107" s="66" t="s">
        <v>273</v>
      </c>
      <c r="D107" s="25">
        <f t="shared" ref="D107:I107" si="29">SUM(D102:D106)</f>
        <v>0</v>
      </c>
      <c r="E107" s="25">
        <f t="shared" si="29"/>
        <v>0</v>
      </c>
      <c r="F107" s="25">
        <f t="shared" si="29"/>
        <v>0</v>
      </c>
      <c r="G107" s="25">
        <f t="shared" si="29"/>
        <v>0</v>
      </c>
      <c r="H107" s="25">
        <f t="shared" si="29"/>
        <v>0</v>
      </c>
      <c r="I107" s="25">
        <f t="shared" si="29"/>
        <v>0</v>
      </c>
      <c r="J107" s="71"/>
      <c r="K107" s="71"/>
      <c r="L107" s="71"/>
      <c r="M107" s="71"/>
      <c r="N107" s="71"/>
      <c r="O107" s="71"/>
      <c r="P107" s="71"/>
      <c r="Q107" s="71"/>
      <c r="R107" s="71"/>
    </row>
    <row r="108" spans="2:18" x14ac:dyDescent="0.25">
      <c r="B108" s="82" t="s">
        <v>274</v>
      </c>
      <c r="C108" s="68" t="s">
        <v>275</v>
      </c>
      <c r="D108" s="70">
        <f t="shared" ref="D108:I108" si="30">+D107+D101+D100+D94+D82+D75+D74</f>
        <v>64717425</v>
      </c>
      <c r="E108" s="70">
        <f t="shared" si="30"/>
        <v>0</v>
      </c>
      <c r="F108" s="70">
        <f t="shared" si="30"/>
        <v>64717425</v>
      </c>
      <c r="G108" s="70">
        <f t="shared" si="30"/>
        <v>0</v>
      </c>
      <c r="H108" s="70">
        <f t="shared" si="30"/>
        <v>0</v>
      </c>
      <c r="I108" s="70">
        <f t="shared" si="30"/>
        <v>0</v>
      </c>
      <c r="J108" s="71"/>
      <c r="K108" s="71"/>
      <c r="L108" s="71"/>
      <c r="M108" s="71"/>
      <c r="N108" s="71"/>
      <c r="O108" s="71"/>
      <c r="P108" s="71"/>
      <c r="Q108" s="71"/>
      <c r="R108" s="71"/>
    </row>
    <row r="109" spans="2:18" x14ac:dyDescent="0.25">
      <c r="B109" s="83" t="s">
        <v>276</v>
      </c>
      <c r="C109" s="84"/>
      <c r="D109" s="85">
        <f>+D101+D94+D82+D74-D33</f>
        <v>-461262898</v>
      </c>
      <c r="E109" s="85">
        <f>+E101+E94+E82+E74-E33</f>
        <v>0</v>
      </c>
      <c r="F109" s="85">
        <f t="shared" ref="F109:F116" si="31">+E109+D109</f>
        <v>-461262898</v>
      </c>
      <c r="G109" s="85">
        <f>+G101+G94+G82+G74-G33</f>
        <v>0</v>
      </c>
      <c r="H109" s="85">
        <f>+H101+H94+H82+H74-H33</f>
        <v>0</v>
      </c>
      <c r="I109" s="85">
        <f t="shared" ref="I109:I116" si="32">+H109+G109</f>
        <v>0</v>
      </c>
      <c r="J109" s="71"/>
      <c r="K109" s="71"/>
      <c r="L109" s="71"/>
      <c r="M109" s="71"/>
      <c r="N109" s="71"/>
      <c r="O109" s="71"/>
      <c r="P109" s="71"/>
      <c r="Q109" s="71"/>
      <c r="R109" s="71"/>
    </row>
    <row r="110" spans="2:18" x14ac:dyDescent="0.25">
      <c r="B110" s="83" t="s">
        <v>277</v>
      </c>
      <c r="C110" s="84"/>
      <c r="D110" s="85">
        <f>+D107+D100+D75-D57</f>
        <v>-9285736</v>
      </c>
      <c r="E110" s="85">
        <f>+E107+E100+E75-E57</f>
        <v>0</v>
      </c>
      <c r="F110" s="85">
        <f t="shared" si="31"/>
        <v>-9285736</v>
      </c>
      <c r="G110" s="85">
        <f>+G107+G100+G75-G57</f>
        <v>0</v>
      </c>
      <c r="H110" s="85">
        <f>+H107+H100+H75-H57</f>
        <v>0</v>
      </c>
      <c r="I110" s="85">
        <f t="shared" si="32"/>
        <v>0</v>
      </c>
      <c r="J110" s="71"/>
      <c r="K110" s="71"/>
      <c r="L110" s="71"/>
      <c r="M110" s="71"/>
      <c r="N110" s="71"/>
      <c r="O110" s="71"/>
      <c r="P110" s="71"/>
      <c r="Q110" s="71"/>
      <c r="R110" s="71"/>
    </row>
    <row r="111" spans="2:18" hidden="1" x14ac:dyDescent="0.25">
      <c r="B111" s="58" t="s">
        <v>635</v>
      </c>
      <c r="C111" s="57" t="s">
        <v>285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18" hidden="1" x14ac:dyDescent="0.25">
      <c r="B112" s="75" t="s">
        <v>636</v>
      </c>
      <c r="C112" s="57" t="s">
        <v>295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4" t="s">
        <v>296</v>
      </c>
      <c r="C113" s="54" t="s">
        <v>297</v>
      </c>
      <c r="D113" s="24">
        <v>0</v>
      </c>
      <c r="E113" s="24"/>
      <c r="F113" s="25">
        <f t="shared" si="31"/>
        <v>0</v>
      </c>
      <c r="G113" s="24">
        <v>0</v>
      </c>
      <c r="H113" s="24"/>
      <c r="I113" s="25">
        <f t="shared" si="32"/>
        <v>0</v>
      </c>
    </row>
    <row r="114" spans="1:9" x14ac:dyDescent="0.25">
      <c r="A114" s="89" t="s">
        <v>335</v>
      </c>
      <c r="B114" s="54" t="s">
        <v>298</v>
      </c>
      <c r="C114" s="54" t="s">
        <v>297</v>
      </c>
      <c r="D114" s="24"/>
      <c r="E114" s="24"/>
      <c r="F114" s="25">
        <f t="shared" si="31"/>
        <v>0</v>
      </c>
      <c r="G114" s="24"/>
      <c r="H114" s="24"/>
      <c r="I114" s="25">
        <f t="shared" si="32"/>
        <v>0</v>
      </c>
    </row>
    <row r="115" spans="1:9" hidden="1" x14ac:dyDescent="0.25">
      <c r="B115" s="54" t="s">
        <v>299</v>
      </c>
      <c r="C115" s="54" t="s">
        <v>300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hidden="1" x14ac:dyDescent="0.25">
      <c r="A116"/>
      <c r="B116" s="54" t="s">
        <v>301</v>
      </c>
      <c r="C116" s="54" t="s">
        <v>300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89" t="s">
        <v>648</v>
      </c>
      <c r="B117" s="57" t="s">
        <v>302</v>
      </c>
      <c r="C117" s="57" t="s">
        <v>303</v>
      </c>
      <c r="D117" s="25">
        <f t="shared" ref="D117:I117" si="33">SUM(D113:D116)</f>
        <v>0</v>
      </c>
      <c r="E117" s="25">
        <f t="shared" si="33"/>
        <v>0</v>
      </c>
      <c r="F117" s="25">
        <f t="shared" si="33"/>
        <v>0</v>
      </c>
      <c r="G117" s="25">
        <f t="shared" si="33"/>
        <v>0</v>
      </c>
      <c r="H117" s="25">
        <f t="shared" si="33"/>
        <v>0</v>
      </c>
      <c r="I117" s="25">
        <f t="shared" si="33"/>
        <v>0</v>
      </c>
    </row>
    <row r="118" spans="1:9" hidden="1" x14ac:dyDescent="0.25">
      <c r="A118"/>
      <c r="B118" s="73" t="s">
        <v>304</v>
      </c>
      <c r="C118" s="54" t="s">
        <v>305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3" t="s">
        <v>306</v>
      </c>
      <c r="C119" s="54" t="s">
        <v>307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663</v>
      </c>
      <c r="B120" s="73" t="s">
        <v>308</v>
      </c>
      <c r="C120" s="54" t="s">
        <v>309</v>
      </c>
      <c r="D120" s="24">
        <v>470548634</v>
      </c>
      <c r="E120" s="24"/>
      <c r="F120" s="25">
        <f t="shared" si="34"/>
        <v>470548634</v>
      </c>
      <c r="G120" s="24">
        <v>0</v>
      </c>
      <c r="H120" s="24"/>
      <c r="I120" s="25">
        <f t="shared" si="35"/>
        <v>0</v>
      </c>
    </row>
    <row r="121" spans="1:9" s="255" customFormat="1" x14ac:dyDescent="0.25">
      <c r="B121" s="256" t="s">
        <v>650</v>
      </c>
      <c r="C121" s="151"/>
      <c r="D121" s="104">
        <v>397562498</v>
      </c>
      <c r="E121" s="104"/>
      <c r="F121" s="137">
        <f t="shared" si="34"/>
        <v>397562498</v>
      </c>
      <c r="G121" s="104">
        <f>+G120-G122</f>
        <v>0</v>
      </c>
      <c r="H121" s="104"/>
      <c r="I121" s="137">
        <f t="shared" si="35"/>
        <v>0</v>
      </c>
    </row>
    <row r="122" spans="1:9" s="255" customFormat="1" x14ac:dyDescent="0.25">
      <c r="B122" s="257" t="s">
        <v>640</v>
      </c>
      <c r="C122" s="151"/>
      <c r="D122" s="104">
        <f>+D120-D121</f>
        <v>72986136</v>
      </c>
      <c r="E122" s="104">
        <f>+E120-E121</f>
        <v>0</v>
      </c>
      <c r="F122" s="137">
        <f t="shared" si="34"/>
        <v>72986136</v>
      </c>
      <c r="G122" s="24">
        <v>0</v>
      </c>
      <c r="H122" s="104">
        <f>+H120-H121</f>
        <v>0</v>
      </c>
      <c r="I122" s="137">
        <f t="shared" si="35"/>
        <v>0</v>
      </c>
    </row>
    <row r="123" spans="1:9" hidden="1" x14ac:dyDescent="0.25">
      <c r="B123" s="73" t="s">
        <v>310</v>
      </c>
      <c r="C123" s="54" t="s">
        <v>311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7" t="s">
        <v>312</v>
      </c>
      <c r="C124" s="54" t="s">
        <v>313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7" t="s">
        <v>314</v>
      </c>
      <c r="C125" s="54" t="s">
        <v>315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8" t="s">
        <v>316</v>
      </c>
      <c r="C126" s="57" t="s">
        <v>317</v>
      </c>
      <c r="D126" s="25">
        <f>SUM(D118:D125)+D117+D112+D111-D121-D122</f>
        <v>470548634</v>
      </c>
      <c r="E126" s="25">
        <f>SUM(E118:E125)+E117+E112+E111-E121-E122</f>
        <v>0</v>
      </c>
      <c r="F126" s="25">
        <f>SUM(F118:F124)+F117+F112+F111-F121-F122</f>
        <v>470548634</v>
      </c>
      <c r="G126" s="25">
        <f>SUM(G118:G125)+G117+G112+G111-G121-G122</f>
        <v>0</v>
      </c>
      <c r="H126" s="25">
        <f>SUM(H118:H125)+H117+H112+H111-H121-H122</f>
        <v>0</v>
      </c>
      <c r="I126" s="25">
        <f>SUM(I118:I124)+I117+I112+I111-I121-I122</f>
        <v>0</v>
      </c>
    </row>
    <row r="127" spans="1:9" hidden="1" x14ac:dyDescent="0.25">
      <c r="B127" s="73" t="s">
        <v>318</v>
      </c>
      <c r="C127" s="54" t="s">
        <v>319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7" t="s">
        <v>320</v>
      </c>
      <c r="C128" s="54" t="s">
        <v>321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7" t="s">
        <v>322</v>
      </c>
      <c r="C129" s="54" t="s">
        <v>323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6" t="s">
        <v>324</v>
      </c>
      <c r="C130" s="77" t="s">
        <v>325</v>
      </c>
      <c r="D130" s="70">
        <f>+D128+D127+D126+D129</f>
        <v>470548634</v>
      </c>
      <c r="E130" s="70">
        <f>+E128+E127+E126+E129</f>
        <v>0</v>
      </c>
      <c r="F130" s="70">
        <f>+F129+F127+F126</f>
        <v>470548634</v>
      </c>
      <c r="G130" s="70">
        <f>+G128+G127+G126+G129</f>
        <v>0</v>
      </c>
      <c r="H130" s="70">
        <f>+H128+H127+H126+H129</f>
        <v>0</v>
      </c>
      <c r="I130" s="70">
        <f>+I129+I127+I126</f>
        <v>0</v>
      </c>
    </row>
    <row r="131" spans="2:9" x14ac:dyDescent="0.25">
      <c r="B131" s="28" t="s">
        <v>326</v>
      </c>
      <c r="C131" s="28" t="s">
        <v>327</v>
      </c>
      <c r="D131" s="29">
        <f t="shared" ref="D131:I131" si="36">+D108+D130</f>
        <v>535266059</v>
      </c>
      <c r="E131" s="29">
        <f t="shared" si="36"/>
        <v>0</v>
      </c>
      <c r="F131" s="29">
        <f t="shared" si="36"/>
        <v>535266059</v>
      </c>
      <c r="G131" s="29">
        <f t="shared" si="36"/>
        <v>0</v>
      </c>
      <c r="H131" s="29">
        <f t="shared" si="36"/>
        <v>0</v>
      </c>
      <c r="I131" s="29">
        <f t="shared" si="36"/>
        <v>0</v>
      </c>
    </row>
    <row r="132" spans="2:9" x14ac:dyDescent="0.25">
      <c r="B132" s="13"/>
      <c r="C132" s="13"/>
      <c r="D132" s="14"/>
      <c r="E132" s="14"/>
      <c r="F132" s="86"/>
      <c r="G132" s="14"/>
      <c r="H132" s="14"/>
      <c r="I132" s="86"/>
    </row>
    <row r="133" spans="2:9" x14ac:dyDescent="0.25">
      <c r="B133" s="26" t="s">
        <v>328</v>
      </c>
      <c r="C133" s="26"/>
      <c r="D133" s="25">
        <f t="shared" ref="D133:I133" si="37">+D108-D58</f>
        <v>-470548634</v>
      </c>
      <c r="E133" s="25">
        <f t="shared" si="37"/>
        <v>0</v>
      </c>
      <c r="F133" s="25">
        <f t="shared" si="37"/>
        <v>-470548634</v>
      </c>
      <c r="G133" s="25">
        <f t="shared" si="37"/>
        <v>0</v>
      </c>
      <c r="H133" s="25">
        <f t="shared" si="37"/>
        <v>0</v>
      </c>
      <c r="I133" s="25">
        <f t="shared" si="37"/>
        <v>0</v>
      </c>
    </row>
    <row r="134" spans="2:9" x14ac:dyDescent="0.25">
      <c r="B134" s="26" t="s">
        <v>329</v>
      </c>
      <c r="C134" s="26"/>
      <c r="D134" s="25">
        <f t="shared" ref="D134:I134" si="38">+D130-D63</f>
        <v>470548634</v>
      </c>
      <c r="E134" s="25">
        <f t="shared" si="38"/>
        <v>0</v>
      </c>
      <c r="F134" s="25">
        <f t="shared" si="38"/>
        <v>470548634</v>
      </c>
      <c r="G134" s="25">
        <f t="shared" si="38"/>
        <v>0</v>
      </c>
      <c r="H134" s="25">
        <f t="shared" si="38"/>
        <v>0</v>
      </c>
      <c r="I134" s="25">
        <f t="shared" si="38"/>
        <v>0</v>
      </c>
    </row>
    <row r="135" spans="2:9" x14ac:dyDescent="0.25">
      <c r="B135" s="13"/>
      <c r="C135" s="13"/>
      <c r="D135" s="14"/>
      <c r="E135" s="14"/>
      <c r="F135" s="86"/>
      <c r="G135" s="14"/>
      <c r="H135" s="14"/>
      <c r="I135" s="86"/>
    </row>
    <row r="136" spans="2:9" x14ac:dyDescent="0.25">
      <c r="B136" s="88" t="s">
        <v>332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0</v>
      </c>
      <c r="H136" s="14">
        <f t="shared" si="39"/>
        <v>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86"/>
      <c r="G137" s="14"/>
      <c r="H137" s="14"/>
      <c r="I137" s="86"/>
    </row>
    <row r="138" spans="2:9" x14ac:dyDescent="0.25">
      <c r="B138" s="13"/>
      <c r="C138" s="13"/>
      <c r="D138" s="14"/>
      <c r="E138" s="14"/>
      <c r="F138" s="86"/>
      <c r="G138" s="14"/>
      <c r="H138" s="14"/>
      <c r="I138" s="86"/>
    </row>
    <row r="139" spans="2:9" x14ac:dyDescent="0.25">
      <c r="B139" s="13"/>
      <c r="C139" s="13"/>
      <c r="D139" s="14"/>
      <c r="E139" s="14"/>
      <c r="F139" s="86"/>
      <c r="G139" s="14"/>
      <c r="H139" s="14"/>
      <c r="I139" s="86"/>
    </row>
    <row r="140" spans="2:9" x14ac:dyDescent="0.25">
      <c r="B140" s="13"/>
      <c r="C140" s="13"/>
      <c r="D140" s="14"/>
      <c r="E140" s="14"/>
      <c r="F140" s="86"/>
      <c r="G140" s="14"/>
      <c r="H140" s="14"/>
      <c r="I140" s="86"/>
    </row>
    <row r="141" spans="2:9" x14ac:dyDescent="0.25">
      <c r="B141" s="13"/>
      <c r="C141" s="13"/>
      <c r="D141" s="14"/>
      <c r="E141" s="14"/>
      <c r="F141" s="86"/>
      <c r="G141" s="14"/>
      <c r="H141" s="14"/>
      <c r="I141" s="86"/>
    </row>
    <row r="142" spans="2:9" x14ac:dyDescent="0.25">
      <c r="B142" s="13"/>
      <c r="C142" s="13"/>
      <c r="D142" s="14"/>
      <c r="E142" s="14"/>
      <c r="F142" s="86"/>
      <c r="G142" s="14"/>
      <c r="H142" s="14"/>
      <c r="I142" s="86"/>
    </row>
    <row r="143" spans="2:9" x14ac:dyDescent="0.25">
      <c r="B143" s="13"/>
      <c r="C143" s="13"/>
      <c r="D143" s="14"/>
      <c r="E143" s="14"/>
      <c r="F143" s="86"/>
      <c r="G143" s="14"/>
      <c r="H143" s="14"/>
      <c r="I143" s="86"/>
    </row>
    <row r="144" spans="2:9" x14ac:dyDescent="0.25">
      <c r="B144" s="13"/>
      <c r="C144" s="13"/>
      <c r="D144" s="14"/>
      <c r="E144" s="14"/>
      <c r="F144" s="86"/>
      <c r="G144" s="14"/>
      <c r="H144" s="14"/>
      <c r="I144" s="86"/>
    </row>
    <row r="145" spans="2:9" x14ac:dyDescent="0.25">
      <c r="B145" s="13"/>
      <c r="C145" s="13"/>
      <c r="D145" s="14"/>
      <c r="E145" s="14"/>
      <c r="F145" s="86"/>
      <c r="G145" s="14"/>
      <c r="H145" s="14"/>
      <c r="I145" s="86"/>
    </row>
    <row r="146" spans="2:9" x14ac:dyDescent="0.25">
      <c r="B146" s="13"/>
      <c r="C146" s="13"/>
      <c r="D146" s="14"/>
      <c r="E146" s="14"/>
      <c r="F146" s="86"/>
      <c r="G146" s="14"/>
      <c r="H146" s="14"/>
      <c r="I146" s="86"/>
    </row>
    <row r="147" spans="2:9" x14ac:dyDescent="0.25">
      <c r="B147" s="13"/>
      <c r="C147" s="13"/>
      <c r="D147" s="14"/>
      <c r="E147" s="14"/>
      <c r="F147" s="86"/>
      <c r="G147" s="14"/>
      <c r="H147" s="14"/>
      <c r="I147" s="86"/>
    </row>
    <row r="148" spans="2:9" x14ac:dyDescent="0.25">
      <c r="B148" s="13"/>
      <c r="C148" s="13"/>
      <c r="D148" s="14"/>
      <c r="E148" s="14"/>
      <c r="F148" s="86"/>
      <c r="G148" s="14"/>
      <c r="H148" s="14"/>
      <c r="I148" s="86"/>
    </row>
    <row r="149" spans="2:9" x14ac:dyDescent="0.25">
      <c r="B149" s="13"/>
      <c r="C149" s="13"/>
      <c r="D149" s="14"/>
      <c r="E149" s="14"/>
      <c r="F149" s="86"/>
      <c r="G149" s="14"/>
      <c r="H149" s="14"/>
      <c r="I149" s="86"/>
    </row>
    <row r="150" spans="2:9" x14ac:dyDescent="0.25">
      <c r="B150" s="13"/>
      <c r="C150" s="13"/>
      <c r="D150" s="14"/>
      <c r="E150" s="14"/>
      <c r="F150" s="86"/>
      <c r="G150" s="14"/>
      <c r="H150" s="14"/>
      <c r="I150" s="86"/>
    </row>
    <row r="151" spans="2:9" x14ac:dyDescent="0.25">
      <c r="B151" s="13"/>
      <c r="C151" s="13"/>
      <c r="D151" s="14"/>
      <c r="E151" s="14"/>
      <c r="F151" s="86"/>
      <c r="G151" s="14"/>
      <c r="H151" s="14"/>
      <c r="I151" s="86"/>
    </row>
    <row r="152" spans="2:9" x14ac:dyDescent="0.25">
      <c r="B152" s="13"/>
      <c r="C152" s="13"/>
      <c r="D152" s="14"/>
      <c r="E152" s="14"/>
      <c r="F152" s="86"/>
      <c r="G152" s="14"/>
      <c r="H152" s="14"/>
      <c r="I152" s="86"/>
    </row>
    <row r="153" spans="2:9" x14ac:dyDescent="0.25">
      <c r="B153" s="13"/>
      <c r="C153" s="13"/>
      <c r="D153" s="14"/>
      <c r="E153" s="14"/>
      <c r="F153" s="86"/>
      <c r="G153" s="14"/>
      <c r="H153" s="14"/>
      <c r="I153" s="86"/>
    </row>
    <row r="154" spans="2:9" x14ac:dyDescent="0.25">
      <c r="B154" s="13"/>
      <c r="C154" s="13"/>
      <c r="D154" s="14"/>
      <c r="E154" s="14"/>
      <c r="F154" s="86"/>
      <c r="G154" s="14"/>
      <c r="H154" s="14"/>
      <c r="I154" s="86"/>
    </row>
    <row r="155" spans="2:9" x14ac:dyDescent="0.25">
      <c r="B155" s="13"/>
      <c r="C155" s="13"/>
      <c r="D155" s="14"/>
      <c r="E155" s="14"/>
      <c r="F155" s="86"/>
      <c r="G155" s="14"/>
      <c r="H155" s="14"/>
      <c r="I155" s="86"/>
    </row>
    <row r="156" spans="2:9" x14ac:dyDescent="0.25">
      <c r="B156" s="13"/>
      <c r="C156" s="13"/>
      <c r="D156" s="14"/>
      <c r="E156" s="14"/>
      <c r="F156" s="86"/>
      <c r="G156" s="14"/>
      <c r="H156" s="14"/>
      <c r="I156" s="86"/>
    </row>
    <row r="157" spans="2:9" x14ac:dyDescent="0.25">
      <c r="B157" s="13"/>
      <c r="C157" s="13"/>
      <c r="D157" s="14"/>
      <c r="E157" s="14"/>
      <c r="F157" s="86"/>
      <c r="G157" s="14"/>
      <c r="H157" s="14"/>
      <c r="I157" s="86"/>
    </row>
    <row r="158" spans="2:9" x14ac:dyDescent="0.25">
      <c r="B158" s="13"/>
      <c r="C158" s="13"/>
      <c r="D158" s="14"/>
      <c r="E158" s="14"/>
      <c r="F158" s="86"/>
      <c r="G158" s="14"/>
      <c r="H158" s="14"/>
      <c r="I158" s="86"/>
    </row>
    <row r="159" spans="2:9" x14ac:dyDescent="0.25">
      <c r="B159" s="13"/>
      <c r="C159" s="13"/>
      <c r="D159" s="14"/>
      <c r="E159" s="14"/>
      <c r="F159" s="86"/>
      <c r="G159" s="14"/>
      <c r="H159" s="14"/>
      <c r="I159" s="86"/>
    </row>
    <row r="160" spans="2:9" x14ac:dyDescent="0.25">
      <c r="B160" s="13"/>
      <c r="C160" s="13"/>
      <c r="D160" s="14"/>
      <c r="E160" s="14"/>
      <c r="F160" s="86"/>
      <c r="G160" s="14"/>
      <c r="H160" s="14"/>
      <c r="I160" s="86"/>
    </row>
    <row r="161" spans="2:9" x14ac:dyDescent="0.25">
      <c r="B161" s="13"/>
      <c r="C161" s="13"/>
      <c r="D161" s="14"/>
      <c r="E161" s="14"/>
      <c r="F161" s="86"/>
      <c r="G161" s="14"/>
      <c r="H161" s="14"/>
      <c r="I161" s="86"/>
    </row>
    <row r="162" spans="2:9" x14ac:dyDescent="0.25">
      <c r="B162" s="13"/>
      <c r="C162" s="13"/>
      <c r="D162" s="14"/>
      <c r="E162" s="14"/>
      <c r="F162" s="86"/>
      <c r="G162" s="14"/>
      <c r="H162" s="14"/>
      <c r="I162" s="86"/>
    </row>
    <row r="163" spans="2:9" x14ac:dyDescent="0.25">
      <c r="B163" s="13"/>
      <c r="C163" s="13"/>
      <c r="D163" s="14"/>
      <c r="E163" s="14"/>
      <c r="F163" s="86"/>
      <c r="G163" s="14"/>
      <c r="H163" s="14"/>
      <c r="I163" s="86"/>
    </row>
    <row r="164" spans="2:9" x14ac:dyDescent="0.25">
      <c r="B164" s="13"/>
      <c r="C164" s="13"/>
      <c r="D164" s="14"/>
      <c r="E164" s="14"/>
      <c r="F164" s="86"/>
      <c r="G164" s="14"/>
      <c r="H164" s="14"/>
      <c r="I164" s="86"/>
    </row>
    <row r="165" spans="2:9" x14ac:dyDescent="0.25">
      <c r="B165" s="13"/>
      <c r="C165" s="13"/>
      <c r="D165" s="14"/>
      <c r="E165" s="14"/>
      <c r="F165" s="86"/>
      <c r="G165" s="14"/>
      <c r="H165" s="14"/>
      <c r="I165" s="86"/>
    </row>
    <row r="166" spans="2:9" x14ac:dyDescent="0.25">
      <c r="B166" s="13"/>
      <c r="C166" s="13"/>
      <c r="D166" s="14"/>
      <c r="E166" s="14"/>
      <c r="F166" s="86"/>
      <c r="G166" s="14"/>
      <c r="H166" s="14"/>
      <c r="I166" s="86"/>
    </row>
    <row r="167" spans="2:9" x14ac:dyDescent="0.25">
      <c r="B167" s="13"/>
      <c r="C167" s="13"/>
      <c r="D167" s="14"/>
      <c r="E167" s="14"/>
      <c r="F167" s="86"/>
      <c r="G167" s="14"/>
      <c r="H167" s="14"/>
      <c r="I167" s="86"/>
    </row>
    <row r="168" spans="2:9" x14ac:dyDescent="0.25">
      <c r="B168" s="13"/>
      <c r="C168" s="13"/>
      <c r="D168" s="14"/>
      <c r="E168" s="14"/>
      <c r="F168" s="86"/>
      <c r="G168" s="14"/>
      <c r="H168" s="14"/>
      <c r="I168" s="86"/>
    </row>
    <row r="169" spans="2:9" x14ac:dyDescent="0.25">
      <c r="B169" s="13"/>
      <c r="C169" s="13"/>
      <c r="D169" s="14"/>
      <c r="E169" s="14"/>
      <c r="F169" s="86"/>
      <c r="G169" s="14"/>
      <c r="H169" s="14"/>
      <c r="I169" s="86"/>
    </row>
    <row r="170" spans="2:9" x14ac:dyDescent="0.25">
      <c r="B170" s="13"/>
      <c r="C170" s="13"/>
      <c r="D170" s="14"/>
      <c r="E170" s="14"/>
      <c r="F170" s="86"/>
      <c r="G170" s="14"/>
      <c r="H170" s="14"/>
      <c r="I170" s="86"/>
    </row>
    <row r="171" spans="2:9" x14ac:dyDescent="0.25">
      <c r="B171" s="13"/>
      <c r="C171" s="13"/>
      <c r="D171" s="14"/>
      <c r="E171" s="14"/>
      <c r="F171" s="86"/>
      <c r="G171" s="14"/>
      <c r="H171" s="14"/>
      <c r="I171" s="86"/>
    </row>
    <row r="172" spans="2:9" x14ac:dyDescent="0.25">
      <c r="B172" s="13"/>
      <c r="C172" s="13"/>
      <c r="D172" s="14"/>
      <c r="E172" s="14"/>
      <c r="F172" s="86"/>
      <c r="G172" s="14"/>
      <c r="H172" s="14"/>
      <c r="I172" s="86"/>
    </row>
    <row r="173" spans="2:9" x14ac:dyDescent="0.25">
      <c r="B173" s="13"/>
      <c r="C173" s="13"/>
      <c r="D173" s="14"/>
      <c r="E173" s="14"/>
      <c r="F173" s="86"/>
      <c r="G173" s="14"/>
      <c r="H173" s="14"/>
      <c r="I173" s="86"/>
    </row>
    <row r="174" spans="2:9" x14ac:dyDescent="0.25">
      <c r="B174" s="13"/>
      <c r="C174" s="13"/>
      <c r="D174" s="14"/>
      <c r="E174" s="14"/>
      <c r="F174" s="86"/>
      <c r="G174" s="14"/>
      <c r="H174" s="14"/>
      <c r="I174" s="86"/>
    </row>
    <row r="175" spans="2:9" x14ac:dyDescent="0.25">
      <c r="B175" s="13"/>
      <c r="C175" s="13"/>
      <c r="D175" s="14"/>
      <c r="E175" s="14"/>
      <c r="F175" s="86"/>
      <c r="G175" s="14"/>
      <c r="H175" s="14"/>
      <c r="I175" s="86"/>
    </row>
    <row r="176" spans="2:9" x14ac:dyDescent="0.25">
      <c r="B176" s="13"/>
      <c r="C176" s="13"/>
      <c r="D176" s="14"/>
      <c r="E176" s="14"/>
      <c r="F176" s="86"/>
      <c r="G176" s="14"/>
      <c r="H176" s="14"/>
      <c r="I176" s="86"/>
    </row>
    <row r="177" spans="2:9" x14ac:dyDescent="0.25">
      <c r="B177" s="13"/>
      <c r="C177" s="13"/>
      <c r="D177" s="14"/>
      <c r="E177" s="14"/>
      <c r="F177" s="86"/>
      <c r="G177" s="14"/>
      <c r="H177" s="14"/>
      <c r="I177" s="86"/>
    </row>
    <row r="178" spans="2:9" x14ac:dyDescent="0.25">
      <c r="B178" s="13"/>
      <c r="C178" s="13"/>
      <c r="D178" s="14"/>
      <c r="E178" s="14"/>
      <c r="F178" s="86"/>
      <c r="G178" s="14"/>
      <c r="H178" s="14"/>
      <c r="I178" s="86"/>
    </row>
    <row r="179" spans="2:9" x14ac:dyDescent="0.25">
      <c r="B179" s="13"/>
      <c r="C179" s="13"/>
      <c r="D179" s="14"/>
      <c r="E179" s="14"/>
      <c r="F179" s="86"/>
      <c r="G179" s="14"/>
      <c r="H179" s="14"/>
      <c r="I179" s="86"/>
    </row>
    <row r="180" spans="2:9" x14ac:dyDescent="0.25">
      <c r="B180" s="13"/>
      <c r="C180" s="13"/>
      <c r="D180" s="14"/>
      <c r="E180" s="14"/>
      <c r="F180" s="86"/>
      <c r="G180" s="14"/>
      <c r="H180" s="14"/>
      <c r="I180" s="86"/>
    </row>
    <row r="181" spans="2:9" x14ac:dyDescent="0.25">
      <c r="B181" s="13"/>
      <c r="C181" s="13"/>
      <c r="D181" s="14"/>
      <c r="E181" s="14"/>
      <c r="F181" s="86"/>
      <c r="G181" s="14"/>
      <c r="H181" s="14"/>
      <c r="I181" s="86"/>
    </row>
    <row r="182" spans="2:9" x14ac:dyDescent="0.25">
      <c r="B182" s="13"/>
      <c r="C182" s="13"/>
      <c r="D182" s="14"/>
      <c r="E182" s="14"/>
      <c r="F182" s="86"/>
      <c r="G182" s="14"/>
      <c r="H182" s="14"/>
      <c r="I182" s="86"/>
    </row>
    <row r="183" spans="2:9" x14ac:dyDescent="0.25">
      <c r="B183" s="13"/>
      <c r="C183" s="13"/>
      <c r="D183" s="14"/>
      <c r="E183" s="14"/>
      <c r="F183" s="86"/>
      <c r="G183" s="14"/>
      <c r="H183" s="14"/>
      <c r="I183" s="86"/>
    </row>
    <row r="184" spans="2:9" x14ac:dyDescent="0.25">
      <c r="B184" s="13"/>
      <c r="C184" s="13"/>
      <c r="D184" s="14"/>
      <c r="E184" s="14"/>
      <c r="F184" s="86"/>
      <c r="G184" s="14"/>
      <c r="H184" s="14"/>
      <c r="I184" s="86"/>
    </row>
    <row r="185" spans="2:9" x14ac:dyDescent="0.25">
      <c r="B185" s="13"/>
      <c r="C185" s="13"/>
      <c r="D185" s="14"/>
      <c r="E185" s="14"/>
      <c r="F185" s="86"/>
      <c r="G185" s="14"/>
      <c r="H185" s="14"/>
      <c r="I185" s="86"/>
    </row>
    <row r="186" spans="2:9" x14ac:dyDescent="0.25">
      <c r="B186" s="13"/>
      <c r="C186" s="13"/>
      <c r="D186" s="14"/>
      <c r="E186" s="14"/>
      <c r="F186" s="86"/>
      <c r="G186" s="14"/>
      <c r="H186" s="14"/>
      <c r="I186" s="86"/>
    </row>
    <row r="187" spans="2:9" x14ac:dyDescent="0.25">
      <c r="B187" s="13"/>
      <c r="C187" s="13"/>
      <c r="D187" s="14"/>
      <c r="E187" s="14"/>
      <c r="F187" s="86"/>
      <c r="G187" s="14"/>
      <c r="H187" s="14"/>
      <c r="I187" s="86"/>
    </row>
    <row r="188" spans="2:9" x14ac:dyDescent="0.25">
      <c r="B188" s="13"/>
      <c r="C188" s="13"/>
      <c r="D188" s="14"/>
      <c r="E188" s="14"/>
      <c r="F188" s="86"/>
      <c r="G188" s="14"/>
      <c r="H188" s="14"/>
      <c r="I188" s="86"/>
    </row>
    <row r="189" spans="2:9" x14ac:dyDescent="0.25">
      <c r="B189" s="13"/>
      <c r="C189" s="13"/>
      <c r="D189" s="14"/>
      <c r="E189" s="14"/>
      <c r="F189" s="86"/>
      <c r="G189" s="14"/>
      <c r="H189" s="14"/>
      <c r="I189" s="86"/>
    </row>
    <row r="190" spans="2:9" x14ac:dyDescent="0.25">
      <c r="B190" s="13"/>
      <c r="C190" s="13"/>
      <c r="D190" s="14"/>
      <c r="E190" s="14"/>
      <c r="F190" s="86"/>
      <c r="G190" s="14"/>
      <c r="H190" s="14"/>
      <c r="I190" s="86"/>
    </row>
    <row r="191" spans="2:9" x14ac:dyDescent="0.25">
      <c r="B191" s="13"/>
      <c r="C191" s="13"/>
      <c r="D191" s="14"/>
      <c r="E191" s="14"/>
      <c r="F191" s="86"/>
      <c r="G191" s="14"/>
      <c r="H191" s="14"/>
      <c r="I191" s="86"/>
    </row>
    <row r="192" spans="2:9" x14ac:dyDescent="0.25">
      <c r="B192" s="13"/>
      <c r="C192" s="13"/>
      <c r="D192" s="14"/>
      <c r="E192" s="14"/>
      <c r="F192" s="86"/>
      <c r="G192" s="14"/>
      <c r="H192" s="14"/>
      <c r="I192" s="86"/>
    </row>
    <row r="193" spans="2:9" x14ac:dyDescent="0.25">
      <c r="B193" s="13"/>
      <c r="C193" s="13"/>
      <c r="D193" s="14"/>
      <c r="E193" s="14"/>
      <c r="F193" s="86"/>
      <c r="G193" s="14"/>
      <c r="H193" s="14"/>
      <c r="I193" s="86"/>
    </row>
    <row r="194" spans="2:9" x14ac:dyDescent="0.25">
      <c r="B194" s="13"/>
      <c r="C194" s="13"/>
      <c r="D194" s="14"/>
      <c r="E194" s="14"/>
      <c r="F194" s="86"/>
      <c r="G194" s="14"/>
      <c r="H194" s="14"/>
      <c r="I194" s="86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9930555555555556" right="0.29652777777777778" top="0.59027777777777779" bottom="0.51180555555555551" header="0.51180555555555551" footer="0.31527777777777777"/>
  <pageSetup paperSize="9" scale="60" firstPageNumber="0" orientation="portrait" horizontalDpi="300" verticalDpi="300" r:id="rId1"/>
  <headerFooter alignWithMargins="0"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F2" sqref="F2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10" style="30" customWidth="1"/>
    <col min="4" max="5" width="13.42578125" style="30" customWidth="1"/>
    <col min="6" max="6" width="13.42578125" style="31" customWidth="1"/>
    <col min="7" max="8" width="0" style="30" hidden="1" customWidth="1"/>
    <col min="9" max="9" width="0" style="31" hidden="1" customWidth="1"/>
    <col min="10" max="252" width="9.140625" style="30" customWidth="1"/>
  </cols>
  <sheetData>
    <row r="1" spans="2:9" s="13" customFormat="1" ht="18.75" x14ac:dyDescent="0.25">
      <c r="F1" s="15" t="s">
        <v>664</v>
      </c>
      <c r="I1" s="15" t="s">
        <v>665</v>
      </c>
    </row>
    <row r="2" spans="2:9" s="13" customFormat="1" ht="40.5" x14ac:dyDescent="0.3">
      <c r="B2" s="250" t="s">
        <v>666</v>
      </c>
      <c r="F2" s="16" t="s">
        <v>937</v>
      </c>
      <c r="I2" s="16" t="s">
        <v>11</v>
      </c>
    </row>
    <row r="3" spans="2:9" s="13" customFormat="1" x14ac:dyDescent="0.25">
      <c r="B3" s="44" t="s">
        <v>880</v>
      </c>
      <c r="C3" s="37"/>
      <c r="D3" s="37"/>
      <c r="E3" s="37"/>
      <c r="F3" s="38"/>
      <c r="G3" s="37"/>
      <c r="H3" s="37"/>
      <c r="I3" s="38"/>
    </row>
    <row r="4" spans="2:9" s="13" customFormat="1" x14ac:dyDescent="0.25">
      <c r="B4" s="42" t="s">
        <v>874</v>
      </c>
      <c r="C4" s="43"/>
      <c r="D4" s="43"/>
      <c r="E4" s="43"/>
      <c r="F4" s="44"/>
      <c r="G4" s="43"/>
      <c r="H4" s="43"/>
      <c r="I4" s="44"/>
    </row>
    <row r="5" spans="2:9" ht="15.75" customHeight="1" x14ac:dyDescent="0.25">
      <c r="B5" s="47"/>
      <c r="D5" s="469" t="s">
        <v>12</v>
      </c>
      <c r="E5" s="469"/>
      <c r="F5" s="469"/>
      <c r="G5" s="469" t="s">
        <v>13</v>
      </c>
      <c r="H5" s="469"/>
      <c r="I5" s="469"/>
    </row>
    <row r="6" spans="2:9" ht="47.25" x14ac:dyDescent="0.25">
      <c r="B6" s="19" t="s">
        <v>14</v>
      </c>
      <c r="C6" s="48" t="s">
        <v>41</v>
      </c>
      <c r="D6" s="49" t="s">
        <v>15</v>
      </c>
      <c r="E6" s="49" t="s">
        <v>16</v>
      </c>
      <c r="F6" s="170" t="s">
        <v>566</v>
      </c>
      <c r="G6" s="49" t="s">
        <v>15</v>
      </c>
      <c r="H6" s="49" t="s">
        <v>16</v>
      </c>
      <c r="I6" s="170" t="s">
        <v>566</v>
      </c>
    </row>
    <row r="7" spans="2:9" x14ac:dyDescent="0.25">
      <c r="B7" s="52" t="s">
        <v>42</v>
      </c>
      <c r="C7" s="53" t="s">
        <v>43</v>
      </c>
      <c r="D7" s="24">
        <f>1677600+17857000+108000+586038+902500+244590+489180+2201310</f>
        <v>24066218</v>
      </c>
      <c r="E7" s="24">
        <v>1688705</v>
      </c>
      <c r="F7" s="25">
        <f>+D7+E7</f>
        <v>25754923</v>
      </c>
      <c r="G7" s="24">
        <v>0</v>
      </c>
      <c r="H7" s="24"/>
      <c r="I7" s="25">
        <f>+G7+H7</f>
        <v>0</v>
      </c>
    </row>
    <row r="8" spans="2:9" x14ac:dyDescent="0.25">
      <c r="B8" s="54" t="s">
        <v>44</v>
      </c>
      <c r="C8" s="53" t="s">
        <v>45</v>
      </c>
      <c r="D8" s="24">
        <f>1735000+82800</f>
        <v>1817800</v>
      </c>
      <c r="E8" s="24">
        <f>765188+228800</f>
        <v>993988</v>
      </c>
      <c r="F8" s="25">
        <f>+D8+E8</f>
        <v>2811788</v>
      </c>
      <c r="G8" s="24">
        <v>0</v>
      </c>
      <c r="H8" s="24"/>
      <c r="I8" s="25">
        <f>+G8+H8</f>
        <v>0</v>
      </c>
    </row>
    <row r="9" spans="2:9" x14ac:dyDescent="0.25">
      <c r="B9" s="55" t="s">
        <v>46</v>
      </c>
      <c r="C9" s="56" t="s">
        <v>47</v>
      </c>
      <c r="D9" s="25">
        <f t="shared" ref="D9:I9" si="0">SUM(D7:D8)</f>
        <v>25884018</v>
      </c>
      <c r="E9" s="25">
        <f t="shared" si="0"/>
        <v>2682693</v>
      </c>
      <c r="F9" s="25">
        <f t="shared" si="0"/>
        <v>28566711</v>
      </c>
      <c r="G9" s="25">
        <f t="shared" si="0"/>
        <v>0</v>
      </c>
      <c r="H9" s="25">
        <f t="shared" si="0"/>
        <v>0</v>
      </c>
      <c r="I9" s="25">
        <f t="shared" si="0"/>
        <v>0</v>
      </c>
    </row>
    <row r="10" spans="2:9" x14ac:dyDescent="0.25">
      <c r="B10" s="57" t="s">
        <v>48</v>
      </c>
      <c r="C10" s="56" t="s">
        <v>49</v>
      </c>
      <c r="D10" s="24">
        <v>5032400</v>
      </c>
      <c r="E10" s="24">
        <v>478510</v>
      </c>
      <c r="F10" s="25">
        <f t="shared" ref="F10:F15" si="1">+D10+E10</f>
        <v>5510910</v>
      </c>
      <c r="G10" s="24">
        <v>0</v>
      </c>
      <c r="H10" s="24"/>
      <c r="I10" s="25">
        <f t="shared" ref="I10:I15" si="2">+G10+H10</f>
        <v>0</v>
      </c>
    </row>
    <row r="11" spans="2:9" x14ac:dyDescent="0.25">
      <c r="B11" s="54" t="s">
        <v>50</v>
      </c>
      <c r="C11" s="53" t="s">
        <v>51</v>
      </c>
      <c r="D11" s="24">
        <v>718000</v>
      </c>
      <c r="E11" s="24">
        <v>4469262</v>
      </c>
      <c r="F11" s="25">
        <f t="shared" si="1"/>
        <v>5187262</v>
      </c>
      <c r="G11" s="24">
        <v>0</v>
      </c>
      <c r="H11" s="24"/>
      <c r="I11" s="25">
        <f t="shared" si="2"/>
        <v>0</v>
      </c>
    </row>
    <row r="12" spans="2:9" x14ac:dyDescent="0.25">
      <c r="B12" s="54" t="s">
        <v>52</v>
      </c>
      <c r="C12" s="53" t="s">
        <v>53</v>
      </c>
      <c r="D12" s="24">
        <f>540000+70000</f>
        <v>610000</v>
      </c>
      <c r="E12" s="24"/>
      <c r="F12" s="25">
        <f t="shared" si="1"/>
        <v>610000</v>
      </c>
      <c r="G12" s="24">
        <v>0</v>
      </c>
      <c r="H12" s="24"/>
      <c r="I12" s="25">
        <f t="shared" si="2"/>
        <v>0</v>
      </c>
    </row>
    <row r="13" spans="2:9" x14ac:dyDescent="0.25">
      <c r="B13" s="54" t="s">
        <v>54</v>
      </c>
      <c r="C13" s="53" t="s">
        <v>55</v>
      </c>
      <c r="D13" s="24">
        <f>22286000-D12</f>
        <v>21676000</v>
      </c>
      <c r="E13" s="24">
        <f>364750+3539370</f>
        <v>3904120</v>
      </c>
      <c r="F13" s="25">
        <f t="shared" si="1"/>
        <v>25580120</v>
      </c>
      <c r="G13" s="24">
        <v>0</v>
      </c>
      <c r="H13" s="24"/>
      <c r="I13" s="25">
        <f t="shared" si="2"/>
        <v>0</v>
      </c>
    </row>
    <row r="14" spans="2:9" x14ac:dyDescent="0.25">
      <c r="B14" s="54" t="s">
        <v>56</v>
      </c>
      <c r="C14" s="53" t="s">
        <v>57</v>
      </c>
      <c r="D14" s="24">
        <v>300000</v>
      </c>
      <c r="E14" s="24">
        <v>45012</v>
      </c>
      <c r="F14" s="25">
        <f t="shared" si="1"/>
        <v>345012</v>
      </c>
      <c r="G14" s="24">
        <v>0</v>
      </c>
      <c r="H14" s="24"/>
      <c r="I14" s="25">
        <f t="shared" si="2"/>
        <v>0</v>
      </c>
    </row>
    <row r="15" spans="2:9" x14ac:dyDescent="0.25">
      <c r="B15" s="54" t="s">
        <v>58</v>
      </c>
      <c r="C15" s="53" t="s">
        <v>59</v>
      </c>
      <c r="D15" s="24">
        <f>10140035-D14</f>
        <v>9840035</v>
      </c>
      <c r="E15" s="24">
        <v>2260814</v>
      </c>
      <c r="F15" s="25">
        <f t="shared" si="1"/>
        <v>12100849</v>
      </c>
      <c r="G15" s="24">
        <v>0</v>
      </c>
      <c r="H15" s="24"/>
      <c r="I15" s="25">
        <f t="shared" si="2"/>
        <v>0</v>
      </c>
    </row>
    <row r="16" spans="2:9" x14ac:dyDescent="0.25">
      <c r="B16" s="57" t="s">
        <v>60</v>
      </c>
      <c r="C16" s="56" t="s">
        <v>61</v>
      </c>
      <c r="D16" s="25">
        <f t="shared" ref="D16:I16" si="3">SUM(D11:D15)</f>
        <v>33144035</v>
      </c>
      <c r="E16" s="25">
        <f t="shared" si="3"/>
        <v>10679208</v>
      </c>
      <c r="F16" s="25">
        <f t="shared" si="3"/>
        <v>43823243</v>
      </c>
      <c r="G16" s="25">
        <f t="shared" si="3"/>
        <v>0</v>
      </c>
      <c r="H16" s="25">
        <f t="shared" si="3"/>
        <v>0</v>
      </c>
      <c r="I16" s="25">
        <f t="shared" si="3"/>
        <v>0</v>
      </c>
    </row>
    <row r="17" spans="2:9" x14ac:dyDescent="0.25">
      <c r="B17" s="58" t="s">
        <v>62</v>
      </c>
      <c r="C17" s="56" t="s">
        <v>63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9" t="s">
        <v>64</v>
      </c>
      <c r="C18" s="53" t="s">
        <v>65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9" t="s">
        <v>66</v>
      </c>
      <c r="C19" s="53" t="s">
        <v>67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9" t="s">
        <v>68</v>
      </c>
      <c r="C20" s="53" t="s">
        <v>69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9" t="s">
        <v>70</v>
      </c>
      <c r="C21" s="53" t="s">
        <v>71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9" t="s">
        <v>643</v>
      </c>
      <c r="C22" s="53" t="s">
        <v>73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9" t="s">
        <v>74</v>
      </c>
      <c r="C23" s="53" t="s">
        <v>75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9" t="s">
        <v>76</v>
      </c>
      <c r="C24" s="53" t="s">
        <v>77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9" t="s">
        <v>78</v>
      </c>
      <c r="C25" s="53" t="s">
        <v>79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9" t="s">
        <v>80</v>
      </c>
      <c r="C26" s="53" t="s">
        <v>81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60" t="s">
        <v>82</v>
      </c>
      <c r="C27" s="53" t="s">
        <v>83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60" t="s">
        <v>644</v>
      </c>
      <c r="C28" s="53" t="s">
        <v>85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9" t="s">
        <v>86</v>
      </c>
      <c r="C29" s="53" t="s">
        <v>87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60" t="s">
        <v>88</v>
      </c>
      <c r="C30" s="53" t="s">
        <v>89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60" t="s">
        <v>90</v>
      </c>
      <c r="C31" s="53" t="s">
        <v>89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8" t="s">
        <v>91</v>
      </c>
      <c r="C32" s="56" t="s">
        <v>92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 t="shared" si="6"/>
        <v>0</v>
      </c>
      <c r="H32" s="25">
        <f t="shared" si="6"/>
        <v>0</v>
      </c>
      <c r="I32" s="25">
        <f t="shared" si="6"/>
        <v>0</v>
      </c>
    </row>
    <row r="33" spans="2:9" x14ac:dyDescent="0.25">
      <c r="B33" s="61" t="s">
        <v>93</v>
      </c>
      <c r="C33" s="62" t="s">
        <v>94</v>
      </c>
      <c r="D33" s="63">
        <f t="shared" ref="D33:I33" si="7">+D32+D17+D16+D10+D9</f>
        <v>64060453</v>
      </c>
      <c r="E33" s="63">
        <f t="shared" si="7"/>
        <v>13840411</v>
      </c>
      <c r="F33" s="63">
        <f t="shared" si="7"/>
        <v>77900864</v>
      </c>
      <c r="G33" s="63">
        <f t="shared" si="7"/>
        <v>0</v>
      </c>
      <c r="H33" s="63">
        <f t="shared" si="7"/>
        <v>0</v>
      </c>
      <c r="I33" s="63">
        <f t="shared" si="7"/>
        <v>0</v>
      </c>
    </row>
    <row r="34" spans="2:9" x14ac:dyDescent="0.25">
      <c r="B34" s="64" t="s">
        <v>95</v>
      </c>
      <c r="C34" s="53" t="s">
        <v>96</v>
      </c>
      <c r="D34" s="24">
        <v>200000</v>
      </c>
      <c r="E34" s="24"/>
      <c r="F34" s="25">
        <f t="shared" ref="F34:F40" si="8">+D34+E34</f>
        <v>200000</v>
      </c>
      <c r="G34" s="24"/>
      <c r="H34" s="24"/>
      <c r="I34" s="25">
        <f t="shared" ref="I34:I40" si="9">+G34+H34</f>
        <v>0</v>
      </c>
    </row>
    <row r="35" spans="2:9" x14ac:dyDescent="0.25">
      <c r="B35" s="64" t="s">
        <v>97</v>
      </c>
      <c r="C35" s="53" t="s">
        <v>98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4" t="s">
        <v>99</v>
      </c>
      <c r="C36" s="53" t="s">
        <v>100</v>
      </c>
      <c r="D36" s="24">
        <v>35000</v>
      </c>
      <c r="E36" s="24"/>
      <c r="F36" s="25">
        <f t="shared" si="8"/>
        <v>35000</v>
      </c>
      <c r="G36" s="24"/>
      <c r="H36" s="24"/>
      <c r="I36" s="25">
        <f t="shared" si="9"/>
        <v>0</v>
      </c>
    </row>
    <row r="37" spans="2:9" x14ac:dyDescent="0.25">
      <c r="B37" s="64" t="s">
        <v>101</v>
      </c>
      <c r="C37" s="53" t="s">
        <v>102</v>
      </c>
      <c r="D37" s="24">
        <f>216000+300000</f>
        <v>516000</v>
      </c>
      <c r="E37" s="24">
        <v>1113630</v>
      </c>
      <c r="F37" s="25">
        <f t="shared" si="8"/>
        <v>1629630</v>
      </c>
      <c r="G37" s="24">
        <v>0</v>
      </c>
      <c r="H37" s="24"/>
      <c r="I37" s="25">
        <f t="shared" si="9"/>
        <v>0</v>
      </c>
    </row>
    <row r="38" spans="2:9" hidden="1" x14ac:dyDescent="0.25">
      <c r="B38" s="65" t="s">
        <v>103</v>
      </c>
      <c r="C38" s="53" t="s">
        <v>104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hidden="1" x14ac:dyDescent="0.25">
      <c r="B39" s="65" t="s">
        <v>105</v>
      </c>
      <c r="C39" s="53" t="s">
        <v>106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5" t="s">
        <v>107</v>
      </c>
      <c r="C40" s="53" t="s">
        <v>108</v>
      </c>
      <c r="D40" s="24">
        <v>202770</v>
      </c>
      <c r="E40" s="24">
        <v>300680</v>
      </c>
      <c r="F40" s="25">
        <f t="shared" si="8"/>
        <v>503450</v>
      </c>
      <c r="G40" s="24">
        <v>0</v>
      </c>
      <c r="H40" s="24"/>
      <c r="I40" s="25">
        <f t="shared" si="9"/>
        <v>0</v>
      </c>
    </row>
    <row r="41" spans="2:9" s="31" customFormat="1" x14ac:dyDescent="0.25">
      <c r="B41" s="66" t="s">
        <v>109</v>
      </c>
      <c r="C41" s="56" t="s">
        <v>110</v>
      </c>
      <c r="D41" s="25">
        <f t="shared" ref="D41:I41" si="10">SUM(D34:D40)</f>
        <v>953770</v>
      </c>
      <c r="E41" s="25">
        <f t="shared" si="10"/>
        <v>1414310</v>
      </c>
      <c r="F41" s="25">
        <f t="shared" si="10"/>
        <v>2368080</v>
      </c>
      <c r="G41" s="25">
        <f t="shared" si="10"/>
        <v>0</v>
      </c>
      <c r="H41" s="25">
        <f t="shared" si="10"/>
        <v>0</v>
      </c>
      <c r="I41" s="25">
        <f t="shared" si="10"/>
        <v>0</v>
      </c>
    </row>
    <row r="42" spans="2:9" x14ac:dyDescent="0.25">
      <c r="B42" s="67" t="s">
        <v>111</v>
      </c>
      <c r="C42" s="53" t="s">
        <v>112</v>
      </c>
      <c r="D42" s="24"/>
      <c r="E42" s="24"/>
      <c r="F42" s="25">
        <f>+D42+E42</f>
        <v>0</v>
      </c>
      <c r="G42" s="24">
        <v>0</v>
      </c>
      <c r="H42" s="24"/>
      <c r="I42" s="25">
        <f>+G42+H42</f>
        <v>0</v>
      </c>
    </row>
    <row r="43" spans="2:9" x14ac:dyDescent="0.25">
      <c r="B43" s="67" t="s">
        <v>113</v>
      </c>
      <c r="C43" s="53" t="s">
        <v>114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7" t="s">
        <v>115</v>
      </c>
      <c r="C44" s="53" t="s">
        <v>116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7" t="s">
        <v>117</v>
      </c>
      <c r="C45" s="53" t="s">
        <v>118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7" t="s">
        <v>119</v>
      </c>
      <c r="C46" s="56" t="s">
        <v>120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idden="1" x14ac:dyDescent="0.25">
      <c r="B47" s="67" t="s">
        <v>645</v>
      </c>
      <c r="C47" s="53" t="s">
        <v>122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idden="1" x14ac:dyDescent="0.25">
      <c r="B48" s="67" t="s">
        <v>646</v>
      </c>
      <c r="C48" s="53" t="s">
        <v>124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8" hidden="1" x14ac:dyDescent="0.25">
      <c r="B49" s="67" t="s">
        <v>125</v>
      </c>
      <c r="C49" s="53" t="s">
        <v>126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8" hidden="1" x14ac:dyDescent="0.25">
      <c r="B50" s="67" t="s">
        <v>127</v>
      </c>
      <c r="C50" s="53" t="s">
        <v>128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8" hidden="1" x14ac:dyDescent="0.25">
      <c r="B51" s="67" t="s">
        <v>129</v>
      </c>
      <c r="C51" s="53" t="s">
        <v>130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8" hidden="1" x14ac:dyDescent="0.25">
      <c r="B52" s="67" t="s">
        <v>131</v>
      </c>
      <c r="C52" s="53" t="s">
        <v>132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8" hidden="1" x14ac:dyDescent="0.25">
      <c r="B53" s="67" t="s">
        <v>133</v>
      </c>
      <c r="C53" s="53" t="s">
        <v>134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8" hidden="1" x14ac:dyDescent="0.25">
      <c r="B54" s="60" t="s">
        <v>647</v>
      </c>
      <c r="C54" s="53" t="s">
        <v>136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8" hidden="1" x14ac:dyDescent="0.25">
      <c r="B55" s="67" t="s">
        <v>137</v>
      </c>
      <c r="C55" s="53" t="s">
        <v>138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8" s="31" customFormat="1" x14ac:dyDescent="0.25">
      <c r="B56" s="58" t="s">
        <v>139</v>
      </c>
      <c r="C56" s="56" t="s">
        <v>140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8" x14ac:dyDescent="0.25">
      <c r="B57" s="61" t="s">
        <v>141</v>
      </c>
      <c r="C57" s="62" t="s">
        <v>142</v>
      </c>
      <c r="D57" s="63">
        <f t="shared" ref="D57:I57" si="15">+D56+D46+D41</f>
        <v>953770</v>
      </c>
      <c r="E57" s="63">
        <f t="shared" si="15"/>
        <v>1414310</v>
      </c>
      <c r="F57" s="63">
        <f t="shared" si="15"/>
        <v>2368080</v>
      </c>
      <c r="G57" s="63">
        <f t="shared" si="15"/>
        <v>0</v>
      </c>
      <c r="H57" s="63">
        <f t="shared" si="15"/>
        <v>0</v>
      </c>
      <c r="I57" s="63">
        <f t="shared" si="15"/>
        <v>0</v>
      </c>
    </row>
    <row r="58" spans="2:18" x14ac:dyDescent="0.25">
      <c r="B58" s="68" t="s">
        <v>143</v>
      </c>
      <c r="C58" s="69" t="s">
        <v>144</v>
      </c>
      <c r="D58" s="70">
        <f t="shared" ref="D58:I58" si="16">+D56+D46+D41+D32+D17+D16+D10+D9</f>
        <v>65014223</v>
      </c>
      <c r="E58" s="70">
        <f t="shared" si="16"/>
        <v>15254721</v>
      </c>
      <c r="F58" s="70">
        <f t="shared" si="16"/>
        <v>80268944</v>
      </c>
      <c r="G58" s="70">
        <f t="shared" si="16"/>
        <v>0</v>
      </c>
      <c r="H58" s="70">
        <f t="shared" si="16"/>
        <v>0</v>
      </c>
      <c r="I58" s="70">
        <f t="shared" si="16"/>
        <v>0</v>
      </c>
    </row>
    <row r="59" spans="2:18" hidden="1" x14ac:dyDescent="0.25">
      <c r="B59" s="73" t="s">
        <v>626</v>
      </c>
      <c r="C59" s="54" t="s">
        <v>170</v>
      </c>
      <c r="D59" s="251"/>
      <c r="E59" s="251"/>
      <c r="F59" s="24">
        <f>+D59+E59</f>
        <v>0</v>
      </c>
      <c r="G59" s="251"/>
      <c r="H59" s="251"/>
      <c r="I59" s="24">
        <f>+G59+H59</f>
        <v>0</v>
      </c>
      <c r="J59" s="252"/>
      <c r="K59" s="252"/>
      <c r="L59" s="252"/>
      <c r="M59" s="252"/>
      <c r="N59" s="252"/>
      <c r="O59" s="252"/>
      <c r="P59" s="252"/>
      <c r="Q59" s="71"/>
      <c r="R59" s="71"/>
    </row>
    <row r="60" spans="2:18" hidden="1" x14ac:dyDescent="0.25">
      <c r="B60" s="73" t="s">
        <v>171</v>
      </c>
      <c r="C60" s="54" t="s">
        <v>172</v>
      </c>
      <c r="D60" s="251"/>
      <c r="E60" s="251"/>
      <c r="F60" s="24">
        <f>+D60+E60</f>
        <v>0</v>
      </c>
      <c r="G60" s="251"/>
      <c r="H60" s="251"/>
      <c r="I60" s="24">
        <f>+G60+H60</f>
        <v>0</v>
      </c>
      <c r="J60" s="252"/>
      <c r="K60" s="252"/>
      <c r="L60" s="252"/>
      <c r="M60" s="252"/>
      <c r="N60" s="252"/>
      <c r="O60" s="252"/>
      <c r="P60" s="252"/>
      <c r="Q60" s="71"/>
      <c r="R60" s="71"/>
    </row>
    <row r="61" spans="2:18" hidden="1" x14ac:dyDescent="0.25">
      <c r="B61" s="67" t="s">
        <v>173</v>
      </c>
      <c r="C61" s="54" t="s">
        <v>174</v>
      </c>
      <c r="D61" s="251"/>
      <c r="E61" s="251"/>
      <c r="F61" s="24">
        <f>+D61+E61</f>
        <v>0</v>
      </c>
      <c r="G61" s="251"/>
      <c r="H61" s="251"/>
      <c r="I61" s="24">
        <f>+G61+H61</f>
        <v>0</v>
      </c>
      <c r="J61" s="253"/>
      <c r="K61" s="253"/>
      <c r="L61" s="253"/>
      <c r="M61" s="253"/>
      <c r="N61" s="253"/>
      <c r="O61" s="253"/>
      <c r="P61" s="253"/>
      <c r="Q61" s="71"/>
      <c r="R61" s="71"/>
    </row>
    <row r="62" spans="2:18" hidden="1" x14ac:dyDescent="0.25">
      <c r="B62" s="67" t="s">
        <v>175</v>
      </c>
      <c r="C62" s="54" t="s">
        <v>176</v>
      </c>
      <c r="D62" s="251"/>
      <c r="E62" s="251"/>
      <c r="F62" s="24">
        <f>+D62+E62</f>
        <v>0</v>
      </c>
      <c r="G62" s="251"/>
      <c r="H62" s="251"/>
      <c r="I62" s="24">
        <f>+G62+H62</f>
        <v>0</v>
      </c>
      <c r="J62" s="253"/>
      <c r="K62" s="253"/>
      <c r="L62" s="253"/>
      <c r="M62" s="253"/>
      <c r="N62" s="253"/>
      <c r="O62" s="253"/>
      <c r="P62" s="253"/>
      <c r="Q62" s="71"/>
      <c r="R62" s="71"/>
    </row>
    <row r="63" spans="2:18" x14ac:dyDescent="0.25">
      <c r="B63" s="76" t="s">
        <v>177</v>
      </c>
      <c r="C63" s="77" t="s">
        <v>178</v>
      </c>
      <c r="D63" s="78">
        <f t="shared" ref="D63:I63" si="17">+D61+D60+D59+D62</f>
        <v>0</v>
      </c>
      <c r="E63" s="78">
        <f t="shared" si="17"/>
        <v>0</v>
      </c>
      <c r="F63" s="78">
        <f t="shared" si="17"/>
        <v>0</v>
      </c>
      <c r="G63" s="78">
        <f t="shared" si="17"/>
        <v>0</v>
      </c>
      <c r="H63" s="78">
        <f t="shared" si="17"/>
        <v>0</v>
      </c>
      <c r="I63" s="78">
        <f t="shared" si="17"/>
        <v>0</v>
      </c>
      <c r="J63" s="254"/>
      <c r="K63" s="254"/>
      <c r="L63" s="254"/>
      <c r="M63" s="254"/>
      <c r="N63" s="254"/>
      <c r="O63" s="254"/>
      <c r="P63" s="254"/>
      <c r="Q63" s="71"/>
      <c r="R63" s="71"/>
    </row>
    <row r="64" spans="2:18" x14ac:dyDescent="0.25">
      <c r="B64" s="28" t="s">
        <v>179</v>
      </c>
      <c r="C64" s="28" t="s">
        <v>180</v>
      </c>
      <c r="D64" s="29">
        <f t="shared" ref="D64:I64" si="18">+D58+D63</f>
        <v>65014223</v>
      </c>
      <c r="E64" s="29">
        <f t="shared" si="18"/>
        <v>15254721</v>
      </c>
      <c r="F64" s="29">
        <f t="shared" si="18"/>
        <v>80268944</v>
      </c>
      <c r="G64" s="29">
        <f t="shared" si="18"/>
        <v>0</v>
      </c>
      <c r="H64" s="29">
        <f t="shared" si="18"/>
        <v>0</v>
      </c>
      <c r="I64" s="29">
        <f t="shared" si="18"/>
        <v>0</v>
      </c>
      <c r="J64" s="71"/>
      <c r="K64" s="71"/>
      <c r="L64" s="71"/>
      <c r="M64" s="71"/>
      <c r="N64" s="71"/>
      <c r="O64" s="71"/>
      <c r="P64" s="71"/>
      <c r="Q64" s="71"/>
      <c r="R64" s="71"/>
    </row>
    <row r="65" spans="2:18" x14ac:dyDescent="0.25">
      <c r="B65" s="13"/>
      <c r="C65" s="79"/>
      <c r="D65" s="80"/>
      <c r="E65" s="80"/>
      <c r="F65" s="81"/>
      <c r="G65" s="80"/>
      <c r="H65" s="80"/>
      <c r="I65" s="81"/>
      <c r="J65" s="71"/>
      <c r="K65" s="71"/>
      <c r="L65" s="71"/>
      <c r="M65" s="71"/>
      <c r="N65" s="71"/>
      <c r="O65" s="71"/>
      <c r="P65" s="71"/>
      <c r="Q65" s="71"/>
      <c r="R65" s="71"/>
    </row>
    <row r="66" spans="2:18" ht="15.75" hidden="1" customHeight="1" x14ac:dyDescent="0.25">
      <c r="B66" s="13"/>
      <c r="C66" s="79"/>
      <c r="D66" s="469" t="s">
        <v>13</v>
      </c>
      <c r="E66" s="469"/>
      <c r="F66" s="469"/>
      <c r="G66" s="469" t="s">
        <v>13</v>
      </c>
      <c r="H66" s="469"/>
      <c r="I66" s="469"/>
      <c r="J66" s="71"/>
      <c r="K66" s="71"/>
      <c r="L66" s="71"/>
      <c r="M66" s="71"/>
      <c r="N66" s="71"/>
      <c r="O66" s="71"/>
      <c r="P66" s="71"/>
      <c r="Q66" s="71"/>
      <c r="R66" s="71"/>
    </row>
    <row r="67" spans="2:18" ht="47.25" x14ac:dyDescent="0.25">
      <c r="B67" s="19" t="s">
        <v>14</v>
      </c>
      <c r="C67" s="48" t="s">
        <v>181</v>
      </c>
      <c r="D67" s="49" t="s">
        <v>15</v>
      </c>
      <c r="E67" s="49" t="s">
        <v>16</v>
      </c>
      <c r="F67" s="170" t="s">
        <v>566</v>
      </c>
      <c r="G67" s="49" t="s">
        <v>15</v>
      </c>
      <c r="H67" s="49" t="s">
        <v>16</v>
      </c>
      <c r="I67" s="170" t="s">
        <v>566</v>
      </c>
      <c r="J67" s="71"/>
      <c r="K67" s="71"/>
      <c r="L67" s="71"/>
      <c r="M67" s="71"/>
      <c r="N67" s="71"/>
      <c r="O67" s="71"/>
      <c r="P67" s="71"/>
      <c r="Q67" s="71"/>
      <c r="R67" s="71"/>
    </row>
    <row r="68" spans="2:18" hidden="1" x14ac:dyDescent="0.25">
      <c r="B68" s="57" t="s">
        <v>627</v>
      </c>
      <c r="C68" s="66" t="s">
        <v>195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  <c r="J68" s="71"/>
      <c r="K68" s="71"/>
      <c r="L68" s="71"/>
      <c r="M68" s="71"/>
      <c r="N68" s="71"/>
      <c r="O68" s="71"/>
      <c r="P68" s="71"/>
      <c r="Q68" s="71"/>
      <c r="R68" s="71"/>
    </row>
    <row r="69" spans="2:18" hidden="1" x14ac:dyDescent="0.25">
      <c r="B69" s="54" t="s">
        <v>196</v>
      </c>
      <c r="C69" s="65" t="s">
        <v>197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  <c r="J69" s="71"/>
      <c r="K69" s="71"/>
      <c r="L69" s="71"/>
      <c r="M69" s="71"/>
      <c r="N69" s="71"/>
      <c r="O69" s="71"/>
      <c r="P69" s="71"/>
      <c r="Q69" s="71"/>
      <c r="R69" s="71"/>
    </row>
    <row r="70" spans="2:18" ht="31.5" hidden="1" x14ac:dyDescent="0.25">
      <c r="B70" s="54" t="s">
        <v>628</v>
      </c>
      <c r="C70" s="65" t="s">
        <v>199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  <c r="J70" s="71"/>
      <c r="K70" s="71"/>
      <c r="L70" s="71"/>
      <c r="M70" s="71"/>
      <c r="N70" s="71"/>
      <c r="O70" s="71"/>
      <c r="P70" s="71"/>
      <c r="Q70" s="71"/>
      <c r="R70" s="71"/>
    </row>
    <row r="71" spans="2:18" hidden="1" x14ac:dyDescent="0.25">
      <c r="B71" s="54" t="s">
        <v>200</v>
      </c>
      <c r="C71" s="65" t="s">
        <v>201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  <c r="J71" s="71"/>
      <c r="K71" s="71"/>
      <c r="L71" s="71"/>
      <c r="M71" s="71"/>
      <c r="N71" s="71"/>
      <c r="O71" s="71"/>
      <c r="P71" s="71"/>
      <c r="Q71" s="71"/>
      <c r="R71" s="71"/>
    </row>
    <row r="72" spans="2:18" hidden="1" x14ac:dyDescent="0.25">
      <c r="B72" s="54" t="s">
        <v>202</v>
      </c>
      <c r="C72" s="65" t="s">
        <v>203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  <c r="J72" s="71"/>
      <c r="K72" s="71"/>
      <c r="L72" s="71"/>
      <c r="M72" s="71"/>
      <c r="N72" s="71"/>
      <c r="O72" s="71"/>
      <c r="P72" s="71"/>
      <c r="Q72" s="71"/>
      <c r="R72" s="71"/>
    </row>
    <row r="73" spans="2:18" x14ac:dyDescent="0.25">
      <c r="B73" s="54" t="s">
        <v>204</v>
      </c>
      <c r="C73" s="65" t="s">
        <v>205</v>
      </c>
      <c r="D73" s="24">
        <v>3257939</v>
      </c>
      <c r="E73" s="24">
        <v>15254721</v>
      </c>
      <c r="F73" s="25">
        <f t="shared" si="19"/>
        <v>18512660</v>
      </c>
      <c r="G73" s="24">
        <v>0</v>
      </c>
      <c r="H73" s="24"/>
      <c r="I73" s="25">
        <f t="shared" si="20"/>
        <v>0</v>
      </c>
      <c r="J73" s="71"/>
      <c r="K73" s="71"/>
      <c r="L73" s="71"/>
      <c r="M73" s="71"/>
      <c r="N73" s="71"/>
      <c r="O73" s="71"/>
      <c r="P73" s="71"/>
      <c r="Q73" s="71"/>
      <c r="R73" s="71"/>
    </row>
    <row r="74" spans="2:18" x14ac:dyDescent="0.25">
      <c r="B74" s="57" t="s">
        <v>206</v>
      </c>
      <c r="C74" s="66" t="s">
        <v>207</v>
      </c>
      <c r="D74" s="25">
        <f t="shared" ref="D74:I74" si="21">+D73+D72+D71+D70+D69+D68</f>
        <v>3257939</v>
      </c>
      <c r="E74" s="25">
        <f t="shared" si="21"/>
        <v>15254721</v>
      </c>
      <c r="F74" s="25">
        <f t="shared" si="21"/>
        <v>18512660</v>
      </c>
      <c r="G74" s="25">
        <f t="shared" si="21"/>
        <v>0</v>
      </c>
      <c r="H74" s="25">
        <f t="shared" si="21"/>
        <v>0</v>
      </c>
      <c r="I74" s="25">
        <f t="shared" si="21"/>
        <v>0</v>
      </c>
      <c r="J74" s="71"/>
      <c r="K74" s="71"/>
      <c r="L74" s="71"/>
      <c r="M74" s="71"/>
      <c r="N74" s="71"/>
      <c r="O74" s="71"/>
      <c r="P74" s="71"/>
      <c r="Q74" s="71"/>
      <c r="R74" s="71"/>
    </row>
    <row r="75" spans="2:18" x14ac:dyDescent="0.25">
      <c r="B75" s="57" t="s">
        <v>208</v>
      </c>
      <c r="C75" s="66" t="s">
        <v>209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  <c r="J75" s="71"/>
      <c r="K75" s="71"/>
      <c r="L75" s="71"/>
      <c r="M75" s="71"/>
      <c r="N75" s="71"/>
      <c r="O75" s="71"/>
      <c r="P75" s="71"/>
      <c r="Q75" s="71"/>
      <c r="R75" s="71"/>
    </row>
    <row r="76" spans="2:18" hidden="1" x14ac:dyDescent="0.25">
      <c r="B76" s="54" t="s">
        <v>210</v>
      </c>
      <c r="C76" s="65" t="s">
        <v>211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  <c r="J76" s="71"/>
      <c r="K76" s="71"/>
      <c r="L76" s="71"/>
      <c r="M76" s="71"/>
      <c r="N76" s="71"/>
      <c r="O76" s="71"/>
      <c r="P76" s="71"/>
      <c r="Q76" s="71"/>
      <c r="R76" s="71"/>
    </row>
    <row r="77" spans="2:18" hidden="1" x14ac:dyDescent="0.25">
      <c r="B77" s="54" t="s">
        <v>212</v>
      </c>
      <c r="C77" s="65" t="s">
        <v>213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  <c r="J77" s="71"/>
      <c r="K77" s="71"/>
      <c r="L77" s="71"/>
      <c r="M77" s="71"/>
      <c r="N77" s="71"/>
      <c r="O77" s="71"/>
      <c r="P77" s="71"/>
      <c r="Q77" s="71"/>
      <c r="R77" s="71"/>
    </row>
    <row r="78" spans="2:18" hidden="1" x14ac:dyDescent="0.25">
      <c r="B78" s="54" t="s">
        <v>214</v>
      </c>
      <c r="C78" s="65" t="s">
        <v>215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  <c r="J78" s="71"/>
      <c r="K78" s="71"/>
      <c r="L78" s="71"/>
      <c r="M78" s="71"/>
      <c r="N78" s="71"/>
      <c r="O78" s="71"/>
      <c r="P78" s="71"/>
      <c r="Q78" s="71"/>
      <c r="R78" s="71"/>
    </row>
    <row r="79" spans="2:18" hidden="1" x14ac:dyDescent="0.25">
      <c r="B79" s="54" t="s">
        <v>216</v>
      </c>
      <c r="C79" s="65" t="s">
        <v>217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  <c r="J79" s="71"/>
      <c r="K79" s="71"/>
      <c r="L79" s="71"/>
      <c r="M79" s="71"/>
      <c r="N79" s="71"/>
      <c r="O79" s="71"/>
      <c r="P79" s="71"/>
      <c r="Q79" s="71"/>
      <c r="R79" s="71"/>
    </row>
    <row r="80" spans="2:18" hidden="1" x14ac:dyDescent="0.25">
      <c r="B80" s="54" t="s">
        <v>218</v>
      </c>
      <c r="C80" s="65" t="s">
        <v>219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  <c r="J80" s="71"/>
      <c r="K80" s="71"/>
      <c r="L80" s="71"/>
      <c r="M80" s="71"/>
      <c r="N80" s="71"/>
      <c r="O80" s="71"/>
      <c r="P80" s="71"/>
      <c r="Q80" s="71"/>
      <c r="R80" s="71"/>
    </row>
    <row r="81" spans="2:18" hidden="1" x14ac:dyDescent="0.25">
      <c r="B81" s="54" t="s">
        <v>220</v>
      </c>
      <c r="C81" s="65" t="s">
        <v>221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  <c r="J81" s="71"/>
      <c r="K81" s="71"/>
      <c r="L81" s="71"/>
      <c r="M81" s="71"/>
      <c r="N81" s="71"/>
      <c r="O81" s="71"/>
      <c r="P81" s="71"/>
      <c r="Q81" s="71"/>
      <c r="R81" s="71"/>
    </row>
    <row r="82" spans="2:18" x14ac:dyDescent="0.25">
      <c r="B82" s="57" t="s">
        <v>222</v>
      </c>
      <c r="C82" s="66" t="s">
        <v>223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 t="shared" si="24"/>
        <v>0</v>
      </c>
      <c r="H82" s="25">
        <f t="shared" si="24"/>
        <v>0</v>
      </c>
      <c r="I82" s="25">
        <f t="shared" si="24"/>
        <v>0</v>
      </c>
      <c r="J82" s="71"/>
      <c r="K82" s="71"/>
      <c r="L82" s="71"/>
      <c r="M82" s="71"/>
      <c r="N82" s="71"/>
      <c r="O82" s="71"/>
      <c r="P82" s="71"/>
      <c r="Q82" s="71"/>
      <c r="R82" s="71"/>
    </row>
    <row r="83" spans="2:18" x14ac:dyDescent="0.25">
      <c r="B83" s="67" t="s">
        <v>631</v>
      </c>
      <c r="C83" s="65" t="s">
        <v>225</v>
      </c>
      <c r="D83" s="24"/>
      <c r="E83" s="24"/>
      <c r="F83" s="25">
        <f t="shared" ref="F83:F93" si="25">+E83+D83</f>
        <v>0</v>
      </c>
      <c r="G83" s="24"/>
      <c r="H83" s="24"/>
      <c r="I83" s="25">
        <f t="shared" ref="I83:I93" si="26">+H83+G83</f>
        <v>0</v>
      </c>
      <c r="J83" s="71"/>
      <c r="K83" s="71"/>
      <c r="L83" s="71"/>
      <c r="M83" s="71"/>
      <c r="N83" s="71"/>
      <c r="O83" s="71"/>
      <c r="P83" s="71"/>
      <c r="Q83" s="71"/>
      <c r="R83" s="71"/>
    </row>
    <row r="84" spans="2:18" x14ac:dyDescent="0.25">
      <c r="B84" s="67" t="s">
        <v>226</v>
      </c>
      <c r="C84" s="65" t="s">
        <v>227</v>
      </c>
      <c r="D84" s="24">
        <f>3852500+2000000</f>
        <v>5852500</v>
      </c>
      <c r="E84" s="24"/>
      <c r="F84" s="25">
        <f t="shared" si="25"/>
        <v>5852500</v>
      </c>
      <c r="G84" s="24">
        <v>0</v>
      </c>
      <c r="H84" s="24"/>
      <c r="I84" s="25">
        <f t="shared" si="26"/>
        <v>0</v>
      </c>
      <c r="J84" s="71"/>
      <c r="K84" s="71"/>
      <c r="L84" s="71"/>
      <c r="M84" s="71"/>
      <c r="N84" s="71"/>
      <c r="O84" s="71"/>
      <c r="P84" s="71"/>
      <c r="Q84" s="71"/>
      <c r="R84" s="71"/>
    </row>
    <row r="85" spans="2:18" x14ac:dyDescent="0.25">
      <c r="B85" s="67" t="s">
        <v>228</v>
      </c>
      <c r="C85" s="65" t="s">
        <v>229</v>
      </c>
      <c r="D85" s="24"/>
      <c r="E85" s="24"/>
      <c r="F85" s="25">
        <f t="shared" si="25"/>
        <v>0</v>
      </c>
      <c r="G85" s="24"/>
      <c r="H85" s="24"/>
      <c r="I85" s="25">
        <f t="shared" si="26"/>
        <v>0</v>
      </c>
      <c r="J85" s="71"/>
      <c r="K85" s="71"/>
      <c r="L85" s="71"/>
      <c r="M85" s="71"/>
      <c r="N85" s="71"/>
      <c r="O85" s="71"/>
      <c r="P85" s="71"/>
      <c r="Q85" s="71"/>
      <c r="R85" s="71"/>
    </row>
    <row r="86" spans="2:18" x14ac:dyDescent="0.25">
      <c r="B86" s="67" t="s">
        <v>230</v>
      </c>
      <c r="C86" s="65" t="s">
        <v>231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  <c r="J86" s="71"/>
      <c r="K86" s="71"/>
      <c r="L86" s="71"/>
      <c r="M86" s="71"/>
      <c r="N86" s="71"/>
      <c r="O86" s="71"/>
      <c r="P86" s="71"/>
      <c r="Q86" s="71"/>
      <c r="R86" s="71"/>
    </row>
    <row r="87" spans="2:18" x14ac:dyDescent="0.25">
      <c r="B87" s="67" t="s">
        <v>232</v>
      </c>
      <c r="C87" s="65" t="s">
        <v>233</v>
      </c>
      <c r="D87" s="24"/>
      <c r="E87" s="24"/>
      <c r="F87" s="25">
        <f t="shared" si="25"/>
        <v>0</v>
      </c>
      <c r="G87" s="24"/>
      <c r="H87" s="24"/>
      <c r="I87" s="25">
        <f t="shared" si="26"/>
        <v>0</v>
      </c>
      <c r="J87" s="71"/>
      <c r="K87" s="71"/>
      <c r="L87" s="71"/>
      <c r="M87" s="71"/>
      <c r="N87" s="71"/>
      <c r="O87" s="71"/>
      <c r="P87" s="71"/>
      <c r="Q87" s="71"/>
      <c r="R87" s="71"/>
    </row>
    <row r="88" spans="2:18" x14ac:dyDescent="0.25">
      <c r="B88" s="67" t="s">
        <v>234</v>
      </c>
      <c r="C88" s="65" t="s">
        <v>235</v>
      </c>
      <c r="D88" s="24">
        <v>1040175</v>
      </c>
      <c r="E88" s="24"/>
      <c r="F88" s="25">
        <f t="shared" si="25"/>
        <v>1040175</v>
      </c>
      <c r="G88" s="24">
        <v>0</v>
      </c>
      <c r="H88" s="24"/>
      <c r="I88" s="25">
        <f t="shared" si="26"/>
        <v>0</v>
      </c>
      <c r="J88" s="71"/>
      <c r="K88" s="71"/>
      <c r="L88" s="71"/>
      <c r="M88" s="71"/>
      <c r="N88" s="71"/>
      <c r="O88" s="71"/>
      <c r="P88" s="71"/>
      <c r="Q88" s="71"/>
      <c r="R88" s="71"/>
    </row>
    <row r="89" spans="2:18" x14ac:dyDescent="0.25">
      <c r="B89" s="67" t="s">
        <v>236</v>
      </c>
      <c r="C89" s="65" t="s">
        <v>237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  <c r="J89" s="71"/>
      <c r="K89" s="71"/>
      <c r="L89" s="71"/>
      <c r="M89" s="71"/>
      <c r="N89" s="71"/>
      <c r="O89" s="71"/>
      <c r="P89" s="71"/>
      <c r="Q89" s="71"/>
      <c r="R89" s="71"/>
    </row>
    <row r="90" spans="2:18" x14ac:dyDescent="0.25">
      <c r="B90" s="67" t="s">
        <v>238</v>
      </c>
      <c r="C90" s="65" t="s">
        <v>239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  <c r="J90" s="71"/>
      <c r="K90" s="71"/>
      <c r="L90" s="71"/>
      <c r="M90" s="71"/>
      <c r="N90" s="71"/>
      <c r="O90" s="71"/>
      <c r="P90" s="71"/>
      <c r="Q90" s="71"/>
      <c r="R90" s="71"/>
    </row>
    <row r="91" spans="2:18" x14ac:dyDescent="0.25">
      <c r="B91" s="67" t="s">
        <v>240</v>
      </c>
      <c r="C91" s="65" t="s">
        <v>241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  <c r="J91" s="71"/>
      <c r="K91" s="71"/>
      <c r="L91" s="71"/>
      <c r="M91" s="71"/>
      <c r="N91" s="71"/>
      <c r="O91" s="71"/>
      <c r="P91" s="71"/>
      <c r="Q91" s="71"/>
      <c r="R91" s="71"/>
    </row>
    <row r="92" spans="2:18" x14ac:dyDescent="0.25">
      <c r="B92" s="67" t="s">
        <v>242</v>
      </c>
      <c r="C92" s="65" t="s">
        <v>243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  <c r="J92" s="71"/>
      <c r="K92" s="71"/>
      <c r="L92" s="71"/>
      <c r="M92" s="71"/>
      <c r="N92" s="71"/>
      <c r="O92" s="71"/>
      <c r="P92" s="71"/>
      <c r="Q92" s="71"/>
      <c r="R92" s="71"/>
    </row>
    <row r="93" spans="2:18" x14ac:dyDescent="0.25">
      <c r="B93" s="67" t="s">
        <v>244</v>
      </c>
      <c r="C93" s="65" t="s">
        <v>245</v>
      </c>
      <c r="D93" s="24"/>
      <c r="E93" s="24"/>
      <c r="F93" s="25">
        <f t="shared" si="25"/>
        <v>0</v>
      </c>
      <c r="G93" s="24"/>
      <c r="H93" s="24"/>
      <c r="I93" s="25">
        <f t="shared" si="26"/>
        <v>0</v>
      </c>
      <c r="J93" s="71"/>
      <c r="K93" s="71"/>
      <c r="L93" s="71"/>
      <c r="M93" s="71"/>
      <c r="N93" s="71"/>
      <c r="O93" s="71"/>
      <c r="P93" s="71"/>
      <c r="Q93" s="71"/>
      <c r="R93" s="71"/>
    </row>
    <row r="94" spans="2:18" x14ac:dyDescent="0.25">
      <c r="B94" s="58" t="s">
        <v>246</v>
      </c>
      <c r="C94" s="66" t="s">
        <v>247</v>
      </c>
      <c r="D94" s="25">
        <f t="shared" ref="D94:I94" si="27">SUM(D83:D93)</f>
        <v>6892675</v>
      </c>
      <c r="E94" s="25">
        <f t="shared" si="27"/>
        <v>0</v>
      </c>
      <c r="F94" s="25">
        <f t="shared" si="27"/>
        <v>6892675</v>
      </c>
      <c r="G94" s="25">
        <f t="shared" si="27"/>
        <v>0</v>
      </c>
      <c r="H94" s="25">
        <f t="shared" si="27"/>
        <v>0</v>
      </c>
      <c r="I94" s="25">
        <f t="shared" si="27"/>
        <v>0</v>
      </c>
      <c r="J94" s="71"/>
      <c r="K94" s="71"/>
      <c r="L94" s="71"/>
      <c r="M94" s="71"/>
      <c r="N94" s="71"/>
      <c r="O94" s="71"/>
      <c r="P94" s="71"/>
      <c r="Q94" s="71"/>
      <c r="R94" s="71"/>
    </row>
    <row r="95" spans="2:18" x14ac:dyDescent="0.25">
      <c r="B95" s="67" t="s">
        <v>248</v>
      </c>
      <c r="C95" s="65" t="s">
        <v>249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71"/>
      <c r="K95" s="71"/>
      <c r="L95" s="71"/>
      <c r="M95" s="71"/>
      <c r="N95" s="71"/>
      <c r="O95" s="71"/>
      <c r="P95" s="71"/>
      <c r="Q95" s="71"/>
      <c r="R95" s="71"/>
    </row>
    <row r="96" spans="2:18" x14ac:dyDescent="0.25">
      <c r="B96" s="67" t="s">
        <v>250</v>
      </c>
      <c r="C96" s="65" t="s">
        <v>251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71"/>
      <c r="K96" s="71"/>
      <c r="L96" s="71"/>
      <c r="M96" s="71"/>
      <c r="N96" s="71"/>
      <c r="O96" s="71"/>
      <c r="P96" s="71"/>
      <c r="Q96" s="71"/>
      <c r="R96" s="71"/>
    </row>
    <row r="97" spans="2:18" x14ac:dyDescent="0.25">
      <c r="B97" s="67" t="s">
        <v>252</v>
      </c>
      <c r="C97" s="65" t="s">
        <v>253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71"/>
      <c r="K97" s="71"/>
      <c r="L97" s="71"/>
      <c r="M97" s="71"/>
      <c r="N97" s="71"/>
      <c r="O97" s="71"/>
      <c r="P97" s="71"/>
      <c r="Q97" s="71"/>
      <c r="R97" s="71"/>
    </row>
    <row r="98" spans="2:18" x14ac:dyDescent="0.25">
      <c r="B98" s="67" t="s">
        <v>254</v>
      </c>
      <c r="C98" s="65" t="s">
        <v>255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71"/>
      <c r="K98" s="71"/>
      <c r="L98" s="71"/>
      <c r="M98" s="71"/>
      <c r="N98" s="71"/>
      <c r="O98" s="71"/>
      <c r="P98" s="71"/>
      <c r="Q98" s="71"/>
      <c r="R98" s="71"/>
    </row>
    <row r="99" spans="2:18" x14ac:dyDescent="0.25">
      <c r="B99" s="67" t="s">
        <v>256</v>
      </c>
      <c r="C99" s="65" t="s">
        <v>257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71"/>
      <c r="K99" s="71"/>
      <c r="L99" s="71"/>
      <c r="M99" s="71"/>
      <c r="N99" s="71"/>
      <c r="O99" s="71"/>
      <c r="P99" s="71"/>
      <c r="Q99" s="71"/>
      <c r="R99" s="71"/>
    </row>
    <row r="100" spans="2:18" x14ac:dyDescent="0.25">
      <c r="B100" s="57" t="s">
        <v>258</v>
      </c>
      <c r="C100" s="66" t="s">
        <v>259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0</v>
      </c>
      <c r="I100" s="25">
        <f t="shared" si="28"/>
        <v>0</v>
      </c>
      <c r="J100" s="71"/>
      <c r="K100" s="71"/>
      <c r="L100" s="71"/>
      <c r="M100" s="71"/>
      <c r="N100" s="71"/>
      <c r="O100" s="71"/>
      <c r="P100" s="71"/>
      <c r="Q100" s="71"/>
      <c r="R100" s="71"/>
    </row>
    <row r="101" spans="2:18" x14ac:dyDescent="0.25">
      <c r="B101" s="57" t="s">
        <v>260</v>
      </c>
      <c r="C101" s="66" t="s">
        <v>261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  <c r="J101" s="71"/>
      <c r="K101" s="71"/>
      <c r="L101" s="71"/>
      <c r="M101" s="71"/>
      <c r="N101" s="71"/>
      <c r="O101" s="71"/>
      <c r="P101" s="71"/>
      <c r="Q101" s="71"/>
      <c r="R101" s="71"/>
    </row>
    <row r="102" spans="2:18" hidden="1" x14ac:dyDescent="0.25">
      <c r="B102" s="67" t="s">
        <v>262</v>
      </c>
      <c r="C102" s="65" t="s">
        <v>263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71"/>
      <c r="K102" s="71"/>
      <c r="L102" s="71"/>
      <c r="M102" s="71"/>
      <c r="N102" s="71"/>
      <c r="O102" s="71"/>
      <c r="P102" s="71"/>
      <c r="Q102" s="71"/>
      <c r="R102" s="71"/>
    </row>
    <row r="103" spans="2:18" hidden="1" x14ac:dyDescent="0.25">
      <c r="B103" s="54" t="s">
        <v>264</v>
      </c>
      <c r="C103" s="65" t="s">
        <v>265</v>
      </c>
      <c r="D103" s="24"/>
      <c r="E103" s="24"/>
      <c r="F103" s="25"/>
      <c r="G103" s="24"/>
      <c r="H103" s="24"/>
      <c r="I103" s="25"/>
      <c r="J103" s="71"/>
      <c r="K103" s="71"/>
      <c r="L103" s="71"/>
      <c r="M103" s="71"/>
      <c r="N103" s="71"/>
      <c r="O103" s="71"/>
      <c r="P103" s="71"/>
      <c r="Q103" s="71"/>
      <c r="R103" s="71"/>
    </row>
    <row r="104" spans="2:18" ht="31.5" hidden="1" x14ac:dyDescent="0.25">
      <c r="B104" s="67" t="s">
        <v>266</v>
      </c>
      <c r="C104" s="65" t="s">
        <v>267</v>
      </c>
      <c r="D104" s="24"/>
      <c r="E104" s="24"/>
      <c r="F104" s="25"/>
      <c r="G104" s="24"/>
      <c r="H104" s="24"/>
      <c r="I104" s="25"/>
      <c r="J104" s="71"/>
      <c r="K104" s="71"/>
      <c r="L104" s="71"/>
      <c r="M104" s="71"/>
      <c r="N104" s="71"/>
      <c r="O104" s="71"/>
      <c r="P104" s="71"/>
      <c r="Q104" s="71"/>
      <c r="R104" s="71"/>
    </row>
    <row r="105" spans="2:18" hidden="1" x14ac:dyDescent="0.25">
      <c r="B105" s="67" t="s">
        <v>268</v>
      </c>
      <c r="C105" s="65" t="s">
        <v>269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71"/>
      <c r="K105" s="71"/>
      <c r="L105" s="71"/>
      <c r="M105" s="71"/>
      <c r="N105" s="71"/>
      <c r="O105" s="71"/>
      <c r="P105" s="71"/>
      <c r="Q105" s="71"/>
      <c r="R105" s="71"/>
    </row>
    <row r="106" spans="2:18" x14ac:dyDescent="0.25">
      <c r="B106" s="67" t="s">
        <v>270</v>
      </c>
      <c r="C106" s="65" t="s">
        <v>271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  <c r="J106" s="71"/>
      <c r="K106" s="71"/>
      <c r="L106" s="71"/>
      <c r="M106" s="71"/>
      <c r="N106" s="71"/>
      <c r="O106" s="71"/>
      <c r="P106" s="71"/>
      <c r="Q106" s="71"/>
      <c r="R106" s="71"/>
    </row>
    <row r="107" spans="2:18" x14ac:dyDescent="0.25">
      <c r="B107" s="57" t="s">
        <v>272</v>
      </c>
      <c r="C107" s="66" t="s">
        <v>273</v>
      </c>
      <c r="D107" s="25">
        <f t="shared" ref="D107:I107" si="29">SUM(D102:D106)</f>
        <v>0</v>
      </c>
      <c r="E107" s="25">
        <f t="shared" si="29"/>
        <v>0</v>
      </c>
      <c r="F107" s="25">
        <f t="shared" si="29"/>
        <v>0</v>
      </c>
      <c r="G107" s="25">
        <f t="shared" si="29"/>
        <v>0</v>
      </c>
      <c r="H107" s="25">
        <f t="shared" si="29"/>
        <v>0</v>
      </c>
      <c r="I107" s="25">
        <f t="shared" si="29"/>
        <v>0</v>
      </c>
      <c r="J107" s="71"/>
      <c r="K107" s="71"/>
      <c r="L107" s="71"/>
      <c r="M107" s="71"/>
      <c r="N107" s="71"/>
      <c r="O107" s="71"/>
      <c r="P107" s="71"/>
      <c r="Q107" s="71"/>
      <c r="R107" s="71"/>
    </row>
    <row r="108" spans="2:18" x14ac:dyDescent="0.25">
      <c r="B108" s="82" t="s">
        <v>274</v>
      </c>
      <c r="C108" s="68" t="s">
        <v>275</v>
      </c>
      <c r="D108" s="70">
        <f t="shared" ref="D108:I108" si="30">+D107+D101+D100+D94+D82+D75+D74</f>
        <v>10150614</v>
      </c>
      <c r="E108" s="70">
        <f t="shared" si="30"/>
        <v>15254721</v>
      </c>
      <c r="F108" s="70">
        <f t="shared" si="30"/>
        <v>25405335</v>
      </c>
      <c r="G108" s="70">
        <f t="shared" si="30"/>
        <v>0</v>
      </c>
      <c r="H108" s="70">
        <f t="shared" si="30"/>
        <v>0</v>
      </c>
      <c r="I108" s="70">
        <f t="shared" si="30"/>
        <v>0</v>
      </c>
      <c r="J108" s="71"/>
      <c r="K108" s="71"/>
      <c r="L108" s="71"/>
      <c r="M108" s="71"/>
      <c r="N108" s="71"/>
      <c r="O108" s="71"/>
      <c r="P108" s="71"/>
      <c r="Q108" s="71"/>
      <c r="R108" s="71"/>
    </row>
    <row r="109" spans="2:18" x14ac:dyDescent="0.25">
      <c r="B109" s="83" t="s">
        <v>276</v>
      </c>
      <c r="C109" s="84"/>
      <c r="D109" s="85">
        <f>+D101+D94+D82+D74-D33</f>
        <v>-53909839</v>
      </c>
      <c r="E109" s="85">
        <f>+E101+E94+E82+E74-E33</f>
        <v>1414310</v>
      </c>
      <c r="F109" s="85">
        <f t="shared" ref="F109:F116" si="31">+E109+D109</f>
        <v>-52495529</v>
      </c>
      <c r="G109" s="85">
        <f>+G101+G94+G82+G74-G33</f>
        <v>0</v>
      </c>
      <c r="H109" s="85">
        <f>+H101+H94+H82+H74-H33</f>
        <v>0</v>
      </c>
      <c r="I109" s="85">
        <f t="shared" ref="I109:I116" si="32">+H109+G109</f>
        <v>0</v>
      </c>
      <c r="J109" s="71"/>
      <c r="K109" s="71"/>
      <c r="L109" s="71"/>
      <c r="M109" s="71"/>
      <c r="N109" s="71"/>
      <c r="O109" s="71"/>
      <c r="P109" s="71"/>
      <c r="Q109" s="71"/>
      <c r="R109" s="71"/>
    </row>
    <row r="110" spans="2:18" x14ac:dyDescent="0.25">
      <c r="B110" s="83" t="s">
        <v>277</v>
      </c>
      <c r="C110" s="84"/>
      <c r="D110" s="85">
        <f>+D107+D100+D75-D57</f>
        <v>-953770</v>
      </c>
      <c r="E110" s="85">
        <f>+E107+E100+E75-E57</f>
        <v>-1414310</v>
      </c>
      <c r="F110" s="85">
        <f t="shared" si="31"/>
        <v>-2368080</v>
      </c>
      <c r="G110" s="85">
        <f>+G107+G100+G75-G57</f>
        <v>0</v>
      </c>
      <c r="H110" s="85">
        <f>+H107+H100+H75-H57</f>
        <v>0</v>
      </c>
      <c r="I110" s="85">
        <f t="shared" si="32"/>
        <v>0</v>
      </c>
      <c r="J110" s="71"/>
      <c r="K110" s="71"/>
      <c r="L110" s="71"/>
      <c r="M110" s="71"/>
      <c r="N110" s="71"/>
      <c r="O110" s="71"/>
      <c r="P110" s="71"/>
      <c r="Q110" s="71"/>
      <c r="R110" s="71"/>
    </row>
    <row r="111" spans="2:18" hidden="1" x14ac:dyDescent="0.25">
      <c r="B111" s="58" t="s">
        <v>635</v>
      </c>
      <c r="C111" s="57" t="s">
        <v>285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18" hidden="1" x14ac:dyDescent="0.25">
      <c r="B112" s="75" t="s">
        <v>636</v>
      </c>
      <c r="C112" s="57" t="s">
        <v>295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4" t="s">
        <v>296</v>
      </c>
      <c r="C113" s="54" t="s">
        <v>297</v>
      </c>
      <c r="D113" s="24">
        <v>1720625</v>
      </c>
      <c r="E113" s="24"/>
      <c r="F113" s="25">
        <f t="shared" si="31"/>
        <v>1720625</v>
      </c>
      <c r="G113" s="24">
        <v>0</v>
      </c>
      <c r="H113" s="24"/>
      <c r="I113" s="25">
        <f t="shared" si="32"/>
        <v>0</v>
      </c>
    </row>
    <row r="114" spans="1:9" x14ac:dyDescent="0.25">
      <c r="B114" s="54" t="s">
        <v>298</v>
      </c>
      <c r="C114" s="54" t="s">
        <v>297</v>
      </c>
      <c r="D114" s="24"/>
      <c r="E114" s="24"/>
      <c r="F114" s="25">
        <f t="shared" si="31"/>
        <v>0</v>
      </c>
      <c r="G114" s="24"/>
      <c r="H114" s="24"/>
      <c r="I114" s="25">
        <f t="shared" si="32"/>
        <v>0</v>
      </c>
    </row>
    <row r="115" spans="1:9" hidden="1" x14ac:dyDescent="0.25">
      <c r="B115" s="54" t="s">
        <v>299</v>
      </c>
      <c r="C115" s="54" t="s">
        <v>300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hidden="1" x14ac:dyDescent="0.25">
      <c r="B116" s="54" t="s">
        <v>301</v>
      </c>
      <c r="C116" s="54" t="s">
        <v>300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89" t="s">
        <v>335</v>
      </c>
      <c r="B117" s="57" t="s">
        <v>302</v>
      </c>
      <c r="C117" s="57" t="s">
        <v>303</v>
      </c>
      <c r="D117" s="25">
        <f t="shared" ref="D117:I117" si="33">SUM(D113:D116)</f>
        <v>1720625</v>
      </c>
      <c r="E117" s="25">
        <f t="shared" si="33"/>
        <v>0</v>
      </c>
      <c r="F117" s="25">
        <f t="shared" si="33"/>
        <v>1720625</v>
      </c>
      <c r="G117" s="25">
        <f t="shared" si="33"/>
        <v>0</v>
      </c>
      <c r="H117" s="25">
        <f t="shared" si="33"/>
        <v>0</v>
      </c>
      <c r="I117" s="25">
        <f t="shared" si="33"/>
        <v>0</v>
      </c>
    </row>
    <row r="118" spans="1:9" hidden="1" x14ac:dyDescent="0.25">
      <c r="A118" s="89" t="s">
        <v>648</v>
      </c>
      <c r="B118" s="73" t="s">
        <v>304</v>
      </c>
      <c r="C118" s="54" t="s">
        <v>305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3" t="s">
        <v>306</v>
      </c>
      <c r="C119" s="54" t="s">
        <v>307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667</v>
      </c>
      <c r="B120" s="73" t="s">
        <v>308</v>
      </c>
      <c r="C120" s="54" t="s">
        <v>309</v>
      </c>
      <c r="D120" s="24">
        <v>53142984</v>
      </c>
      <c r="E120" s="24"/>
      <c r="F120" s="25">
        <f t="shared" si="34"/>
        <v>53142984</v>
      </c>
      <c r="G120" s="24">
        <v>0</v>
      </c>
      <c r="H120" s="24"/>
      <c r="I120" s="25">
        <f t="shared" si="35"/>
        <v>0</v>
      </c>
    </row>
    <row r="121" spans="1:9" s="255" customFormat="1" x14ac:dyDescent="0.25">
      <c r="B121" s="256" t="s">
        <v>650</v>
      </c>
      <c r="C121" s="151"/>
      <c r="D121" s="104">
        <f>6078254+2008227</f>
        <v>8086481</v>
      </c>
      <c r="E121" s="104"/>
      <c r="F121" s="137">
        <f t="shared" si="34"/>
        <v>8086481</v>
      </c>
      <c r="G121" s="104">
        <f>+G120-G122</f>
        <v>0</v>
      </c>
      <c r="H121" s="104"/>
      <c r="I121" s="137">
        <f t="shared" si="35"/>
        <v>0</v>
      </c>
    </row>
    <row r="122" spans="1:9" s="255" customFormat="1" x14ac:dyDescent="0.25">
      <c r="B122" s="257" t="s">
        <v>640</v>
      </c>
      <c r="C122" s="151"/>
      <c r="D122" s="104">
        <f>+D120-D121</f>
        <v>45056503</v>
      </c>
      <c r="E122" s="104">
        <f>+E120-E121</f>
        <v>0</v>
      </c>
      <c r="F122" s="137">
        <f t="shared" si="34"/>
        <v>45056503</v>
      </c>
      <c r="G122" s="24">
        <v>0</v>
      </c>
      <c r="H122" s="104">
        <f>+H120-H121</f>
        <v>0</v>
      </c>
      <c r="I122" s="137">
        <f t="shared" si="35"/>
        <v>0</v>
      </c>
    </row>
    <row r="123" spans="1:9" hidden="1" x14ac:dyDescent="0.25">
      <c r="B123" s="73" t="s">
        <v>310</v>
      </c>
      <c r="C123" s="54" t="s">
        <v>311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7" t="s">
        <v>312</v>
      </c>
      <c r="C124" s="54" t="s">
        <v>313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7" t="s">
        <v>314</v>
      </c>
      <c r="C125" s="54" t="s">
        <v>315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8" t="s">
        <v>316</v>
      </c>
      <c r="C126" s="57" t="s">
        <v>317</v>
      </c>
      <c r="D126" s="25">
        <f>SUM(D118:D125)+D117+D112+D111-D121-D122</f>
        <v>54863609</v>
      </c>
      <c r="E126" s="25">
        <f>SUM(E118:E125)+E117+E112+E111-E121-E122</f>
        <v>0</v>
      </c>
      <c r="F126" s="25">
        <f>SUM(F118:F124)+F117+F112+F111-F121-F122</f>
        <v>54863609</v>
      </c>
      <c r="G126" s="25">
        <f>SUM(G118:G125)+G117+G112+G111-G121-G122</f>
        <v>0</v>
      </c>
      <c r="H126" s="25">
        <f>SUM(H118:H125)+H117+H112+H111-H121-H122</f>
        <v>0</v>
      </c>
      <c r="I126" s="25">
        <f>SUM(I118:I124)+I117+I112+I111-I121-I122</f>
        <v>0</v>
      </c>
    </row>
    <row r="127" spans="1:9" hidden="1" x14ac:dyDescent="0.25">
      <c r="B127" s="73" t="s">
        <v>318</v>
      </c>
      <c r="C127" s="54" t="s">
        <v>319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7" t="s">
        <v>320</v>
      </c>
      <c r="C128" s="54" t="s">
        <v>321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7" t="s">
        <v>322</v>
      </c>
      <c r="C129" s="54" t="s">
        <v>323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6" t="s">
        <v>324</v>
      </c>
      <c r="C130" s="77" t="s">
        <v>325</v>
      </c>
      <c r="D130" s="70">
        <f>+D128+D127+D126+D129</f>
        <v>54863609</v>
      </c>
      <c r="E130" s="70">
        <f>+E128+E127+E126+E129</f>
        <v>0</v>
      </c>
      <c r="F130" s="70">
        <f>+F129+F127+F126</f>
        <v>54863609</v>
      </c>
      <c r="G130" s="70">
        <f>+G128+G127+G126+G129</f>
        <v>0</v>
      </c>
      <c r="H130" s="70">
        <f>+H128+H127+H126+H129</f>
        <v>0</v>
      </c>
      <c r="I130" s="70">
        <f>+I129+I127+I126</f>
        <v>0</v>
      </c>
    </row>
    <row r="131" spans="2:9" x14ac:dyDescent="0.25">
      <c r="B131" s="28" t="s">
        <v>326</v>
      </c>
      <c r="C131" s="28" t="s">
        <v>327</v>
      </c>
      <c r="D131" s="29">
        <f t="shared" ref="D131:I131" si="36">+D108+D130</f>
        <v>65014223</v>
      </c>
      <c r="E131" s="29">
        <f t="shared" si="36"/>
        <v>15254721</v>
      </c>
      <c r="F131" s="29">
        <f t="shared" si="36"/>
        <v>80268944</v>
      </c>
      <c r="G131" s="29">
        <f t="shared" si="36"/>
        <v>0</v>
      </c>
      <c r="H131" s="29">
        <f t="shared" si="36"/>
        <v>0</v>
      </c>
      <c r="I131" s="29">
        <f t="shared" si="36"/>
        <v>0</v>
      </c>
    </row>
    <row r="132" spans="2:9" x14ac:dyDescent="0.25">
      <c r="B132" s="13"/>
      <c r="C132" s="13"/>
      <c r="D132" s="14"/>
      <c r="E132" s="14"/>
      <c r="F132" s="86"/>
      <c r="G132" s="14"/>
      <c r="H132" s="14"/>
      <c r="I132" s="86"/>
    </row>
    <row r="133" spans="2:9" x14ac:dyDescent="0.25">
      <c r="B133" s="26" t="s">
        <v>328</v>
      </c>
      <c r="C133" s="26"/>
      <c r="D133" s="25">
        <f t="shared" ref="D133:I133" si="37">+D108-D58</f>
        <v>-54863609</v>
      </c>
      <c r="E133" s="25">
        <f t="shared" si="37"/>
        <v>0</v>
      </c>
      <c r="F133" s="25">
        <f t="shared" si="37"/>
        <v>-54863609</v>
      </c>
      <c r="G133" s="25">
        <f t="shared" si="37"/>
        <v>0</v>
      </c>
      <c r="H133" s="25">
        <f t="shared" si="37"/>
        <v>0</v>
      </c>
      <c r="I133" s="25">
        <f t="shared" si="37"/>
        <v>0</v>
      </c>
    </row>
    <row r="134" spans="2:9" x14ac:dyDescent="0.25">
      <c r="B134" s="26" t="s">
        <v>329</v>
      </c>
      <c r="C134" s="26"/>
      <c r="D134" s="25">
        <f t="shared" ref="D134:I134" si="38">+D130-D63</f>
        <v>54863609</v>
      </c>
      <c r="E134" s="25">
        <f t="shared" si="38"/>
        <v>0</v>
      </c>
      <c r="F134" s="25">
        <f t="shared" si="38"/>
        <v>54863609</v>
      </c>
      <c r="G134" s="25">
        <f t="shared" si="38"/>
        <v>0</v>
      </c>
      <c r="H134" s="25">
        <f t="shared" si="38"/>
        <v>0</v>
      </c>
      <c r="I134" s="25">
        <f t="shared" si="38"/>
        <v>0</v>
      </c>
    </row>
    <row r="135" spans="2:9" x14ac:dyDescent="0.25">
      <c r="B135" s="13"/>
      <c r="C135" s="13"/>
      <c r="D135" s="14"/>
      <c r="E135" s="14"/>
      <c r="F135" s="86"/>
      <c r="G135" s="14"/>
      <c r="H135" s="14"/>
      <c r="I135" s="86"/>
    </row>
    <row r="136" spans="2:9" x14ac:dyDescent="0.25">
      <c r="B136" s="88" t="s">
        <v>332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0</v>
      </c>
      <c r="H136" s="14">
        <f t="shared" si="39"/>
        <v>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86"/>
      <c r="G137" s="14"/>
      <c r="H137" s="14"/>
      <c r="I137" s="86"/>
    </row>
    <row r="138" spans="2:9" x14ac:dyDescent="0.25">
      <c r="B138" s="13"/>
      <c r="C138" s="13"/>
      <c r="D138" s="14"/>
      <c r="E138" s="14"/>
      <c r="F138" s="86"/>
      <c r="G138" s="14"/>
      <c r="H138" s="14"/>
      <c r="I138" s="86"/>
    </row>
    <row r="139" spans="2:9" x14ac:dyDescent="0.25">
      <c r="B139" s="13"/>
      <c r="C139" s="13"/>
      <c r="D139" s="14"/>
      <c r="E139" s="14"/>
      <c r="F139" s="86"/>
      <c r="G139" s="14"/>
      <c r="H139" s="14"/>
      <c r="I139" s="86"/>
    </row>
    <row r="140" spans="2:9" x14ac:dyDescent="0.25">
      <c r="B140" s="13"/>
      <c r="C140" s="13"/>
      <c r="D140" s="14"/>
      <c r="E140" s="14"/>
      <c r="F140" s="86"/>
      <c r="G140" s="14"/>
      <c r="H140" s="14"/>
      <c r="I140" s="86"/>
    </row>
    <row r="141" spans="2:9" x14ac:dyDescent="0.25">
      <c r="B141" s="13"/>
      <c r="C141" s="13"/>
      <c r="D141" s="14"/>
      <c r="E141" s="14"/>
      <c r="F141" s="86"/>
      <c r="G141" s="14"/>
      <c r="H141" s="14"/>
      <c r="I141" s="86"/>
    </row>
    <row r="142" spans="2:9" x14ac:dyDescent="0.25">
      <c r="B142" s="13"/>
      <c r="C142" s="13"/>
      <c r="D142" s="14"/>
      <c r="E142" s="14"/>
      <c r="F142" s="86"/>
      <c r="G142" s="14"/>
      <c r="H142" s="14"/>
      <c r="I142" s="86"/>
    </row>
    <row r="143" spans="2:9" x14ac:dyDescent="0.25">
      <c r="B143" s="13"/>
      <c r="C143" s="13"/>
      <c r="D143" s="14"/>
      <c r="E143" s="14"/>
      <c r="F143" s="86"/>
      <c r="G143" s="14"/>
      <c r="H143" s="14"/>
      <c r="I143" s="86"/>
    </row>
    <row r="144" spans="2:9" x14ac:dyDescent="0.25">
      <c r="B144" s="13"/>
      <c r="C144" s="13"/>
      <c r="D144" s="14"/>
      <c r="E144" s="14"/>
      <c r="F144" s="86"/>
      <c r="G144" s="14"/>
      <c r="H144" s="14"/>
      <c r="I144" s="86"/>
    </row>
    <row r="145" spans="2:9" x14ac:dyDescent="0.25">
      <c r="B145" s="13"/>
      <c r="C145" s="13"/>
      <c r="D145" s="14"/>
      <c r="E145" s="14"/>
      <c r="F145" s="86"/>
      <c r="G145" s="14"/>
      <c r="H145" s="14"/>
      <c r="I145" s="86"/>
    </row>
    <row r="146" spans="2:9" x14ac:dyDescent="0.25">
      <c r="B146" s="13"/>
      <c r="C146" s="13"/>
      <c r="D146" s="14"/>
      <c r="E146" s="14"/>
      <c r="F146" s="86"/>
      <c r="G146" s="14"/>
      <c r="H146" s="14"/>
      <c r="I146" s="86"/>
    </row>
    <row r="147" spans="2:9" x14ac:dyDescent="0.25">
      <c r="B147" s="13"/>
      <c r="C147" s="13"/>
      <c r="D147" s="14"/>
      <c r="E147" s="14"/>
      <c r="F147" s="86"/>
      <c r="G147" s="14"/>
      <c r="H147" s="14"/>
      <c r="I147" s="86"/>
    </row>
    <row r="148" spans="2:9" x14ac:dyDescent="0.25">
      <c r="B148" s="13"/>
      <c r="C148" s="13"/>
      <c r="D148" s="14"/>
      <c r="E148" s="14"/>
      <c r="F148" s="86"/>
      <c r="G148" s="14"/>
      <c r="H148" s="14"/>
      <c r="I148" s="86"/>
    </row>
    <row r="149" spans="2:9" x14ac:dyDescent="0.25">
      <c r="B149" s="13"/>
      <c r="C149" s="13"/>
      <c r="D149" s="14"/>
      <c r="E149" s="14"/>
      <c r="F149" s="86"/>
      <c r="G149" s="14"/>
      <c r="H149" s="14"/>
      <c r="I149" s="86"/>
    </row>
    <row r="150" spans="2:9" x14ac:dyDescent="0.25">
      <c r="B150" s="13"/>
      <c r="C150" s="13"/>
      <c r="D150" s="14"/>
      <c r="E150" s="14"/>
      <c r="F150" s="86"/>
      <c r="G150" s="14"/>
      <c r="H150" s="14"/>
      <c r="I150" s="86"/>
    </row>
    <row r="151" spans="2:9" x14ac:dyDescent="0.25">
      <c r="B151" s="13"/>
      <c r="C151" s="13"/>
      <c r="D151" s="14"/>
      <c r="E151" s="14"/>
      <c r="F151" s="86"/>
      <c r="G151" s="14"/>
      <c r="H151" s="14"/>
      <c r="I151" s="86"/>
    </row>
    <row r="152" spans="2:9" x14ac:dyDescent="0.25">
      <c r="B152" s="13"/>
      <c r="C152" s="13"/>
      <c r="D152" s="14"/>
      <c r="E152" s="14"/>
      <c r="F152" s="86"/>
      <c r="G152" s="14"/>
      <c r="H152" s="14"/>
      <c r="I152" s="86"/>
    </row>
    <row r="153" spans="2:9" x14ac:dyDescent="0.25">
      <c r="B153" s="13"/>
      <c r="C153" s="13"/>
      <c r="D153" s="14"/>
      <c r="E153" s="14"/>
      <c r="F153" s="86"/>
      <c r="G153" s="14"/>
      <c r="H153" s="14"/>
      <c r="I153" s="86"/>
    </row>
    <row r="154" spans="2:9" x14ac:dyDescent="0.25">
      <c r="B154" s="13"/>
      <c r="C154" s="13"/>
      <c r="D154" s="14"/>
      <c r="E154" s="14"/>
      <c r="F154" s="86"/>
      <c r="G154" s="14"/>
      <c r="H154" s="14"/>
      <c r="I154" s="86"/>
    </row>
    <row r="155" spans="2:9" x14ac:dyDescent="0.25">
      <c r="B155" s="13"/>
      <c r="C155" s="13"/>
      <c r="D155" s="14"/>
      <c r="E155" s="14"/>
      <c r="F155" s="86"/>
      <c r="G155" s="14"/>
      <c r="H155" s="14"/>
      <c r="I155" s="86"/>
    </row>
    <row r="156" spans="2:9" x14ac:dyDescent="0.25">
      <c r="B156" s="13"/>
      <c r="C156" s="13"/>
      <c r="D156" s="14"/>
      <c r="E156" s="14"/>
      <c r="F156" s="86"/>
      <c r="G156" s="14"/>
      <c r="H156" s="14"/>
      <c r="I156" s="86"/>
    </row>
    <row r="157" spans="2:9" x14ac:dyDescent="0.25">
      <c r="B157" s="13"/>
      <c r="C157" s="13"/>
      <c r="D157" s="14"/>
      <c r="E157" s="14"/>
      <c r="F157" s="86"/>
      <c r="G157" s="14"/>
      <c r="H157" s="14"/>
      <c r="I157" s="86"/>
    </row>
    <row r="158" spans="2:9" x14ac:dyDescent="0.25">
      <c r="B158" s="13"/>
      <c r="C158" s="13"/>
      <c r="D158" s="14"/>
      <c r="E158" s="14"/>
      <c r="F158" s="86"/>
      <c r="G158" s="14"/>
      <c r="H158" s="14"/>
      <c r="I158" s="86"/>
    </row>
    <row r="159" spans="2:9" x14ac:dyDescent="0.25">
      <c r="B159" s="13"/>
      <c r="C159" s="13"/>
      <c r="D159" s="14"/>
      <c r="E159" s="14"/>
      <c r="F159" s="86"/>
      <c r="G159" s="14"/>
      <c r="H159" s="14"/>
      <c r="I159" s="86"/>
    </row>
    <row r="160" spans="2:9" x14ac:dyDescent="0.25">
      <c r="B160" s="13"/>
      <c r="C160" s="13"/>
      <c r="D160" s="14"/>
      <c r="E160" s="14"/>
      <c r="F160" s="86"/>
      <c r="G160" s="14"/>
      <c r="H160" s="14"/>
      <c r="I160" s="86"/>
    </row>
    <row r="161" spans="2:9" x14ac:dyDescent="0.25">
      <c r="B161" s="13"/>
      <c r="C161" s="13"/>
      <c r="D161" s="14"/>
      <c r="E161" s="14"/>
      <c r="F161" s="86"/>
      <c r="G161" s="14"/>
      <c r="H161" s="14"/>
      <c r="I161" s="86"/>
    </row>
    <row r="162" spans="2:9" x14ac:dyDescent="0.25">
      <c r="B162" s="13"/>
      <c r="C162" s="13"/>
      <c r="D162" s="14"/>
      <c r="E162" s="14"/>
      <c r="F162" s="86"/>
      <c r="G162" s="14"/>
      <c r="H162" s="14"/>
      <c r="I162" s="86"/>
    </row>
    <row r="163" spans="2:9" x14ac:dyDescent="0.25">
      <c r="B163" s="13"/>
      <c r="C163" s="13"/>
      <c r="D163" s="14"/>
      <c r="E163" s="14"/>
      <c r="F163" s="86"/>
      <c r="G163" s="14"/>
      <c r="H163" s="14"/>
      <c r="I163" s="86"/>
    </row>
    <row r="164" spans="2:9" x14ac:dyDescent="0.25">
      <c r="B164" s="13"/>
      <c r="C164" s="13"/>
      <c r="D164" s="14"/>
      <c r="E164" s="14"/>
      <c r="F164" s="86"/>
      <c r="G164" s="14"/>
      <c r="H164" s="14"/>
      <c r="I164" s="86"/>
    </row>
    <row r="165" spans="2:9" x14ac:dyDescent="0.25">
      <c r="B165" s="13"/>
      <c r="C165" s="13"/>
      <c r="D165" s="14"/>
      <c r="E165" s="14"/>
      <c r="F165" s="86"/>
      <c r="G165" s="14"/>
      <c r="H165" s="14"/>
      <c r="I165" s="86"/>
    </row>
    <row r="166" spans="2:9" x14ac:dyDescent="0.25">
      <c r="B166" s="13"/>
      <c r="C166" s="13"/>
      <c r="D166" s="14"/>
      <c r="E166" s="14"/>
      <c r="F166" s="86"/>
      <c r="G166" s="14"/>
      <c r="H166" s="14"/>
      <c r="I166" s="86"/>
    </row>
    <row r="167" spans="2:9" x14ac:dyDescent="0.25">
      <c r="B167" s="13"/>
      <c r="C167" s="13"/>
      <c r="D167" s="14"/>
      <c r="E167" s="14"/>
      <c r="F167" s="86"/>
      <c r="G167" s="14"/>
      <c r="H167" s="14"/>
      <c r="I167" s="86"/>
    </row>
    <row r="168" spans="2:9" x14ac:dyDescent="0.25">
      <c r="B168" s="13"/>
      <c r="C168" s="13"/>
      <c r="D168" s="14"/>
      <c r="E168" s="14"/>
      <c r="F168" s="86"/>
      <c r="G168" s="14"/>
      <c r="H168" s="14"/>
      <c r="I168" s="86"/>
    </row>
    <row r="169" spans="2:9" x14ac:dyDescent="0.25">
      <c r="B169" s="13"/>
      <c r="C169" s="13"/>
      <c r="D169" s="14"/>
      <c r="E169" s="14"/>
      <c r="F169" s="86"/>
      <c r="G169" s="14"/>
      <c r="H169" s="14"/>
      <c r="I169" s="86"/>
    </row>
    <row r="170" spans="2:9" x14ac:dyDescent="0.25">
      <c r="B170" s="13"/>
      <c r="C170" s="13"/>
      <c r="D170" s="14"/>
      <c r="E170" s="14"/>
      <c r="F170" s="86"/>
      <c r="G170" s="14"/>
      <c r="H170" s="14"/>
      <c r="I170" s="86"/>
    </row>
    <row r="171" spans="2:9" x14ac:dyDescent="0.25">
      <c r="B171" s="13"/>
      <c r="C171" s="13"/>
      <c r="D171" s="14"/>
      <c r="E171" s="14"/>
      <c r="F171" s="86"/>
      <c r="G171" s="14"/>
      <c r="H171" s="14"/>
      <c r="I171" s="86"/>
    </row>
    <row r="172" spans="2:9" x14ac:dyDescent="0.25">
      <c r="B172" s="13"/>
      <c r="C172" s="13"/>
      <c r="D172" s="14"/>
      <c r="E172" s="14"/>
      <c r="F172" s="86"/>
      <c r="G172" s="14"/>
      <c r="H172" s="14"/>
      <c r="I172" s="86"/>
    </row>
    <row r="173" spans="2:9" x14ac:dyDescent="0.25">
      <c r="B173" s="13"/>
      <c r="C173" s="13"/>
      <c r="D173" s="14"/>
      <c r="E173" s="14"/>
      <c r="F173" s="86"/>
      <c r="G173" s="14"/>
      <c r="H173" s="14"/>
      <c r="I173" s="86"/>
    </row>
    <row r="174" spans="2:9" x14ac:dyDescent="0.25">
      <c r="B174" s="13"/>
      <c r="C174" s="13"/>
      <c r="D174" s="14"/>
      <c r="E174" s="14"/>
      <c r="F174" s="86"/>
      <c r="G174" s="14"/>
      <c r="H174" s="14"/>
      <c r="I174" s="86"/>
    </row>
    <row r="175" spans="2:9" x14ac:dyDescent="0.25">
      <c r="B175" s="13"/>
      <c r="C175" s="13"/>
      <c r="D175" s="14"/>
      <c r="E175" s="14"/>
      <c r="F175" s="86"/>
      <c r="G175" s="14"/>
      <c r="H175" s="14"/>
      <c r="I175" s="86"/>
    </row>
    <row r="176" spans="2:9" x14ac:dyDescent="0.25">
      <c r="B176" s="13"/>
      <c r="C176" s="13"/>
      <c r="D176" s="14"/>
      <c r="E176" s="14"/>
      <c r="F176" s="86"/>
      <c r="G176" s="14"/>
      <c r="H176" s="14"/>
      <c r="I176" s="86"/>
    </row>
    <row r="177" spans="2:9" x14ac:dyDescent="0.25">
      <c r="B177" s="13"/>
      <c r="C177" s="13"/>
      <c r="D177" s="14"/>
      <c r="E177" s="14"/>
      <c r="F177" s="86"/>
      <c r="G177" s="14"/>
      <c r="H177" s="14"/>
      <c r="I177" s="86"/>
    </row>
    <row r="178" spans="2:9" x14ac:dyDescent="0.25">
      <c r="B178" s="13"/>
      <c r="C178" s="13"/>
      <c r="D178" s="14"/>
      <c r="E178" s="14"/>
      <c r="F178" s="86"/>
      <c r="G178" s="14"/>
      <c r="H178" s="14"/>
      <c r="I178" s="86"/>
    </row>
    <row r="179" spans="2:9" x14ac:dyDescent="0.25">
      <c r="B179" s="13"/>
      <c r="C179" s="13"/>
      <c r="D179" s="14"/>
      <c r="E179" s="14"/>
      <c r="F179" s="86"/>
      <c r="G179" s="14"/>
      <c r="H179" s="14"/>
      <c r="I179" s="86"/>
    </row>
    <row r="180" spans="2:9" x14ac:dyDescent="0.25">
      <c r="B180" s="13"/>
      <c r="C180" s="13"/>
      <c r="D180" s="14"/>
      <c r="E180" s="14"/>
      <c r="F180" s="86"/>
      <c r="G180" s="14"/>
      <c r="H180" s="14"/>
      <c r="I180" s="86"/>
    </row>
    <row r="181" spans="2:9" x14ac:dyDescent="0.25">
      <c r="B181" s="13"/>
      <c r="C181" s="13"/>
      <c r="D181" s="14"/>
      <c r="E181" s="14"/>
      <c r="F181" s="86"/>
      <c r="G181" s="14"/>
      <c r="H181" s="14"/>
      <c r="I181" s="86"/>
    </row>
    <row r="182" spans="2:9" x14ac:dyDescent="0.25">
      <c r="B182" s="13"/>
      <c r="C182" s="13"/>
      <c r="D182" s="14"/>
      <c r="E182" s="14"/>
      <c r="F182" s="86"/>
      <c r="G182" s="14"/>
      <c r="H182" s="14"/>
      <c r="I182" s="86"/>
    </row>
    <row r="183" spans="2:9" x14ac:dyDescent="0.25">
      <c r="B183" s="13"/>
      <c r="C183" s="13"/>
      <c r="D183" s="14"/>
      <c r="E183" s="14"/>
      <c r="F183" s="86"/>
      <c r="G183" s="14"/>
      <c r="H183" s="14"/>
      <c r="I183" s="86"/>
    </row>
    <row r="184" spans="2:9" x14ac:dyDescent="0.25">
      <c r="B184" s="13"/>
      <c r="C184" s="13"/>
      <c r="D184" s="14"/>
      <c r="E184" s="14"/>
      <c r="F184" s="86"/>
      <c r="G184" s="14"/>
      <c r="H184" s="14"/>
      <c r="I184" s="86"/>
    </row>
    <row r="185" spans="2:9" x14ac:dyDescent="0.25">
      <c r="B185" s="13"/>
      <c r="C185" s="13"/>
      <c r="D185" s="14"/>
      <c r="E185" s="14"/>
      <c r="F185" s="86"/>
      <c r="G185" s="14"/>
      <c r="H185" s="14"/>
      <c r="I185" s="86"/>
    </row>
    <row r="186" spans="2:9" x14ac:dyDescent="0.25">
      <c r="B186" s="13"/>
      <c r="C186" s="13"/>
      <c r="D186" s="14"/>
      <c r="E186" s="14"/>
      <c r="F186" s="86"/>
      <c r="G186" s="14"/>
      <c r="H186" s="14"/>
      <c r="I186" s="86"/>
    </row>
    <row r="187" spans="2:9" x14ac:dyDescent="0.25">
      <c r="B187" s="13"/>
      <c r="C187" s="13"/>
      <c r="D187" s="14"/>
      <c r="E187" s="14"/>
      <c r="F187" s="86"/>
      <c r="G187" s="14"/>
      <c r="H187" s="14"/>
      <c r="I187" s="86"/>
    </row>
    <row r="188" spans="2:9" x14ac:dyDescent="0.25">
      <c r="B188" s="13"/>
      <c r="C188" s="13"/>
      <c r="D188" s="14"/>
      <c r="E188" s="14"/>
      <c r="F188" s="86"/>
      <c r="G188" s="14"/>
      <c r="H188" s="14"/>
      <c r="I188" s="86"/>
    </row>
    <row r="189" spans="2:9" x14ac:dyDescent="0.25">
      <c r="B189" s="13"/>
      <c r="C189" s="13"/>
      <c r="D189" s="14"/>
      <c r="E189" s="14"/>
      <c r="F189" s="86"/>
      <c r="G189" s="14"/>
      <c r="H189" s="14"/>
      <c r="I189" s="86"/>
    </row>
    <row r="190" spans="2:9" x14ac:dyDescent="0.25">
      <c r="B190" s="13"/>
      <c r="C190" s="13"/>
      <c r="D190" s="14"/>
      <c r="E190" s="14"/>
      <c r="F190" s="86"/>
      <c r="G190" s="14"/>
      <c r="H190" s="14"/>
      <c r="I190" s="86"/>
    </row>
    <row r="191" spans="2:9" x14ac:dyDescent="0.25">
      <c r="B191" s="13"/>
      <c r="C191" s="13"/>
      <c r="D191" s="14"/>
      <c r="E191" s="14"/>
      <c r="F191" s="86"/>
      <c r="G191" s="14"/>
      <c r="H191" s="14"/>
      <c r="I191" s="86"/>
    </row>
    <row r="192" spans="2:9" x14ac:dyDescent="0.25">
      <c r="B192" s="13"/>
      <c r="C192" s="13"/>
      <c r="D192" s="14"/>
      <c r="E192" s="14"/>
      <c r="F192" s="86"/>
      <c r="G192" s="14"/>
      <c r="H192" s="14"/>
      <c r="I192" s="86"/>
    </row>
    <row r="193" spans="2:9" x14ac:dyDescent="0.25">
      <c r="B193" s="13"/>
      <c r="C193" s="13"/>
      <c r="D193" s="14"/>
      <c r="E193" s="14"/>
      <c r="F193" s="86"/>
      <c r="G193" s="14"/>
      <c r="H193" s="14"/>
      <c r="I193" s="86"/>
    </row>
    <row r="194" spans="2:9" x14ac:dyDescent="0.25">
      <c r="B194" s="13"/>
      <c r="C194" s="13"/>
      <c r="D194" s="14"/>
      <c r="E194" s="14"/>
      <c r="F194" s="86"/>
      <c r="G194" s="14"/>
      <c r="H194" s="14"/>
      <c r="I194" s="86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1597222222222228" right="0.22847222222222222" top="0.59027777777777779" bottom="0.51180555555555551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F2" sqref="F2"/>
    </sheetView>
  </sheetViews>
  <sheetFormatPr defaultColWidth="11.5703125" defaultRowHeight="15.75" x14ac:dyDescent="0.25"/>
  <cols>
    <col min="1" max="1" width="10.7109375" style="30" customWidth="1"/>
    <col min="2" max="2" width="73" style="30" customWidth="1"/>
    <col min="3" max="3" width="9.85546875" style="30" customWidth="1"/>
    <col min="4" max="4" width="13.7109375" style="30" customWidth="1"/>
    <col min="5" max="5" width="9.85546875" style="30" customWidth="1"/>
    <col min="6" max="6" width="13.5703125" style="31" customWidth="1"/>
    <col min="7" max="8" width="0" style="30" hidden="1" customWidth="1"/>
    <col min="9" max="9" width="0" style="31" hidden="1" customWidth="1"/>
    <col min="10" max="252" width="9.140625" style="30" customWidth="1"/>
  </cols>
  <sheetData>
    <row r="1" spans="2:12" s="13" customFormat="1" ht="18.75" x14ac:dyDescent="0.25">
      <c r="F1" s="15" t="s">
        <v>668</v>
      </c>
      <c r="I1" s="15" t="s">
        <v>669</v>
      </c>
    </row>
    <row r="2" spans="2:12" s="13" customFormat="1" ht="20.25" x14ac:dyDescent="0.3">
      <c r="B2" s="250" t="s">
        <v>8</v>
      </c>
      <c r="F2" s="16" t="s">
        <v>937</v>
      </c>
      <c r="I2" s="16" t="s">
        <v>11</v>
      </c>
    </row>
    <row r="3" spans="2:12" s="13" customFormat="1" x14ac:dyDescent="0.25">
      <c r="B3" s="44" t="s">
        <v>880</v>
      </c>
      <c r="C3" s="37"/>
      <c r="D3" s="37"/>
      <c r="E3" s="37"/>
      <c r="F3" s="38"/>
      <c r="G3" s="37"/>
      <c r="H3" s="37"/>
      <c r="I3" s="38"/>
    </row>
    <row r="4" spans="2:12" s="13" customFormat="1" x14ac:dyDescent="0.25">
      <c r="B4" s="42" t="s">
        <v>874</v>
      </c>
      <c r="C4" s="43"/>
      <c r="D4" s="43"/>
      <c r="E4" s="43"/>
      <c r="F4" s="44"/>
      <c r="G4" s="43"/>
      <c r="H4" s="43"/>
      <c r="I4" s="44"/>
      <c r="L4" s="13" t="s">
        <v>425</v>
      </c>
    </row>
    <row r="5" spans="2:12" ht="15.75" customHeight="1" x14ac:dyDescent="0.25">
      <c r="B5" s="47"/>
      <c r="D5" s="469" t="s">
        <v>12</v>
      </c>
      <c r="E5" s="469"/>
      <c r="F5" s="469"/>
      <c r="G5" s="469" t="s">
        <v>13</v>
      </c>
      <c r="H5" s="469"/>
      <c r="I5" s="469"/>
    </row>
    <row r="6" spans="2:12" ht="47.25" x14ac:dyDescent="0.25">
      <c r="B6" s="19" t="s">
        <v>14</v>
      </c>
      <c r="C6" s="48" t="s">
        <v>41</v>
      </c>
      <c r="D6" s="49" t="s">
        <v>15</v>
      </c>
      <c r="E6" s="49" t="s">
        <v>16</v>
      </c>
      <c r="F6" s="170" t="s">
        <v>566</v>
      </c>
      <c r="G6" s="49" t="s">
        <v>15</v>
      </c>
      <c r="H6" s="49" t="s">
        <v>16</v>
      </c>
      <c r="I6" s="170" t="s">
        <v>566</v>
      </c>
    </row>
    <row r="7" spans="2:12" x14ac:dyDescent="0.25">
      <c r="B7" s="52" t="s">
        <v>42</v>
      </c>
      <c r="C7" s="53" t="s">
        <v>43</v>
      </c>
      <c r="D7" s="24">
        <v>21094035</v>
      </c>
      <c r="E7" s="24"/>
      <c r="F7" s="25">
        <f>+D7+E7</f>
        <v>21094035</v>
      </c>
      <c r="G7" s="24">
        <v>0</v>
      </c>
      <c r="H7" s="24"/>
      <c r="I7" s="25">
        <f>+G7+H7</f>
        <v>0</v>
      </c>
    </row>
    <row r="8" spans="2:12" x14ac:dyDescent="0.25">
      <c r="B8" s="54" t="s">
        <v>44</v>
      </c>
      <c r="C8" s="53" t="s">
        <v>45</v>
      </c>
      <c r="D8" s="24">
        <v>0</v>
      </c>
      <c r="E8" s="24"/>
      <c r="F8" s="25">
        <f>+D8+E8</f>
        <v>0</v>
      </c>
      <c r="G8" s="24">
        <v>0</v>
      </c>
      <c r="H8" s="24"/>
      <c r="I8" s="25">
        <f>+G8+H8</f>
        <v>0</v>
      </c>
    </row>
    <row r="9" spans="2:12" x14ac:dyDescent="0.25">
      <c r="B9" s="55" t="s">
        <v>46</v>
      </c>
      <c r="C9" s="56" t="s">
        <v>47</v>
      </c>
      <c r="D9" s="25">
        <f t="shared" ref="D9:I9" si="0">SUM(D7:D8)</f>
        <v>21094035</v>
      </c>
      <c r="E9" s="25">
        <f t="shared" si="0"/>
        <v>0</v>
      </c>
      <c r="F9" s="25">
        <f t="shared" si="0"/>
        <v>21094035</v>
      </c>
      <c r="G9" s="25">
        <f t="shared" si="0"/>
        <v>0</v>
      </c>
      <c r="H9" s="25">
        <f t="shared" si="0"/>
        <v>0</v>
      </c>
      <c r="I9" s="25">
        <f t="shared" si="0"/>
        <v>0</v>
      </c>
    </row>
    <row r="10" spans="2:12" x14ac:dyDescent="0.25">
      <c r="B10" s="57" t="s">
        <v>48</v>
      </c>
      <c r="C10" s="56" t="s">
        <v>49</v>
      </c>
      <c r="D10" s="24">
        <v>3790648</v>
      </c>
      <c r="E10" s="24"/>
      <c r="F10" s="25">
        <f t="shared" ref="F10:F15" si="1">+D10+E10</f>
        <v>3790648</v>
      </c>
      <c r="G10" s="24">
        <v>0</v>
      </c>
      <c r="H10" s="24"/>
      <c r="I10" s="25">
        <f t="shared" ref="I10:I15" si="2">+G10+H10</f>
        <v>0</v>
      </c>
    </row>
    <row r="11" spans="2:12" x14ac:dyDescent="0.25">
      <c r="B11" s="54" t="s">
        <v>50</v>
      </c>
      <c r="C11" s="53" t="s">
        <v>51</v>
      </c>
      <c r="D11" s="24">
        <v>6285000</v>
      </c>
      <c r="E11" s="24"/>
      <c r="F11" s="25">
        <f t="shared" si="1"/>
        <v>6285000</v>
      </c>
      <c r="G11" s="24">
        <v>0</v>
      </c>
      <c r="H11" s="24"/>
      <c r="I11" s="25">
        <f t="shared" si="2"/>
        <v>0</v>
      </c>
    </row>
    <row r="12" spans="2:12" x14ac:dyDescent="0.25">
      <c r="B12" s="54" t="s">
        <v>52</v>
      </c>
      <c r="C12" s="53" t="s">
        <v>53</v>
      </c>
      <c r="D12" s="24">
        <f>320000+150000</f>
        <v>470000</v>
      </c>
      <c r="E12" s="24"/>
      <c r="F12" s="25">
        <f t="shared" si="1"/>
        <v>470000</v>
      </c>
      <c r="G12" s="24">
        <v>0</v>
      </c>
      <c r="H12" s="24"/>
      <c r="I12" s="25">
        <f t="shared" si="2"/>
        <v>0</v>
      </c>
    </row>
    <row r="13" spans="2:12" x14ac:dyDescent="0.25">
      <c r="B13" s="54" t="s">
        <v>54</v>
      </c>
      <c r="C13" s="53" t="s">
        <v>55</v>
      </c>
      <c r="D13" s="24">
        <f>5360000-D12</f>
        <v>4890000</v>
      </c>
      <c r="E13" s="24"/>
      <c r="F13" s="25">
        <f t="shared" si="1"/>
        <v>4890000</v>
      </c>
      <c r="G13" s="24">
        <v>0</v>
      </c>
      <c r="H13" s="24"/>
      <c r="I13" s="25">
        <f t="shared" si="2"/>
        <v>0</v>
      </c>
    </row>
    <row r="14" spans="2:12" x14ac:dyDescent="0.25">
      <c r="B14" s="54" t="s">
        <v>56</v>
      </c>
      <c r="C14" s="53" t="s">
        <v>57</v>
      </c>
      <c r="D14" s="24">
        <v>430000</v>
      </c>
      <c r="E14" s="24"/>
      <c r="F14" s="25">
        <f t="shared" si="1"/>
        <v>430000</v>
      </c>
      <c r="G14" s="24">
        <v>0</v>
      </c>
      <c r="H14" s="24"/>
      <c r="I14" s="25">
        <f t="shared" si="2"/>
        <v>0</v>
      </c>
    </row>
    <row r="15" spans="2:12" x14ac:dyDescent="0.25">
      <c r="B15" s="54" t="s">
        <v>58</v>
      </c>
      <c r="C15" s="53" t="s">
        <v>59</v>
      </c>
      <c r="D15" s="24">
        <f>3966280-D14</f>
        <v>3536280</v>
      </c>
      <c r="E15" s="24"/>
      <c r="F15" s="25">
        <f t="shared" si="1"/>
        <v>3536280</v>
      </c>
      <c r="G15" s="24">
        <v>0</v>
      </c>
      <c r="H15" s="24"/>
      <c r="I15" s="25">
        <f t="shared" si="2"/>
        <v>0</v>
      </c>
    </row>
    <row r="16" spans="2:12" x14ac:dyDescent="0.25">
      <c r="B16" s="57" t="s">
        <v>60</v>
      </c>
      <c r="C16" s="56" t="s">
        <v>61</v>
      </c>
      <c r="D16" s="25">
        <f t="shared" ref="D16:I16" si="3">SUM(D11:D15)</f>
        <v>15611280</v>
      </c>
      <c r="E16" s="25">
        <f t="shared" si="3"/>
        <v>0</v>
      </c>
      <c r="F16" s="25">
        <f t="shared" si="3"/>
        <v>15611280</v>
      </c>
      <c r="G16" s="25">
        <f t="shared" si="3"/>
        <v>0</v>
      </c>
      <c r="H16" s="25">
        <f t="shared" si="3"/>
        <v>0</v>
      </c>
      <c r="I16" s="25">
        <f t="shared" si="3"/>
        <v>0</v>
      </c>
    </row>
    <row r="17" spans="2:9" x14ac:dyDescent="0.25">
      <c r="B17" s="58" t="s">
        <v>62</v>
      </c>
      <c r="C17" s="56" t="s">
        <v>63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9" t="s">
        <v>64</v>
      </c>
      <c r="C18" s="53" t="s">
        <v>65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9" t="s">
        <v>66</v>
      </c>
      <c r="C19" s="53" t="s">
        <v>67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9" t="s">
        <v>68</v>
      </c>
      <c r="C20" s="53" t="s">
        <v>69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9" t="s">
        <v>70</v>
      </c>
      <c r="C21" s="53" t="s">
        <v>71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9" t="s">
        <v>643</v>
      </c>
      <c r="C22" s="53" t="s">
        <v>73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9" t="s">
        <v>74</v>
      </c>
      <c r="C23" s="53" t="s">
        <v>75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9" t="s">
        <v>76</v>
      </c>
      <c r="C24" s="53" t="s">
        <v>77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9" t="s">
        <v>78</v>
      </c>
      <c r="C25" s="53" t="s">
        <v>79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9" t="s">
        <v>80</v>
      </c>
      <c r="C26" s="53" t="s">
        <v>81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60" t="s">
        <v>82</v>
      </c>
      <c r="C27" s="53" t="s">
        <v>83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60" t="s">
        <v>644</v>
      </c>
      <c r="C28" s="53" t="s">
        <v>85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9" t="s">
        <v>86</v>
      </c>
      <c r="C29" s="53" t="s">
        <v>87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60" t="s">
        <v>88</v>
      </c>
      <c r="C30" s="53" t="s">
        <v>89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60" t="s">
        <v>90</v>
      </c>
      <c r="C31" s="53" t="s">
        <v>89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8" t="s">
        <v>91</v>
      </c>
      <c r="C32" s="56" t="s">
        <v>92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 t="shared" si="6"/>
        <v>0</v>
      </c>
      <c r="H32" s="25">
        <f t="shared" si="6"/>
        <v>0</v>
      </c>
      <c r="I32" s="25">
        <f t="shared" si="6"/>
        <v>0</v>
      </c>
    </row>
    <row r="33" spans="2:9" x14ac:dyDescent="0.25">
      <c r="B33" s="61" t="s">
        <v>93</v>
      </c>
      <c r="C33" s="62" t="s">
        <v>94</v>
      </c>
      <c r="D33" s="63">
        <f t="shared" ref="D33:I33" si="7">+D32+D17+D16+D10+D9</f>
        <v>40495963</v>
      </c>
      <c r="E33" s="63">
        <f t="shared" si="7"/>
        <v>0</v>
      </c>
      <c r="F33" s="63">
        <f t="shared" si="7"/>
        <v>40495963</v>
      </c>
      <c r="G33" s="63">
        <f t="shared" si="7"/>
        <v>0</v>
      </c>
      <c r="H33" s="63">
        <f t="shared" si="7"/>
        <v>0</v>
      </c>
      <c r="I33" s="63">
        <f t="shared" si="7"/>
        <v>0</v>
      </c>
    </row>
    <row r="34" spans="2:9" x14ac:dyDescent="0.25">
      <c r="B34" s="64" t="s">
        <v>95</v>
      </c>
      <c r="C34" s="53" t="s">
        <v>96</v>
      </c>
      <c r="D34" s="24">
        <v>50000</v>
      </c>
      <c r="E34" s="24"/>
      <c r="F34" s="25">
        <f t="shared" ref="F34:F40" si="8">+D34+E34</f>
        <v>50000</v>
      </c>
      <c r="G34" s="24"/>
      <c r="H34" s="24"/>
      <c r="I34" s="25">
        <f t="shared" ref="I34:I40" si="9">+G34+H34</f>
        <v>0</v>
      </c>
    </row>
    <row r="35" spans="2:9" x14ac:dyDescent="0.25">
      <c r="B35" s="64" t="s">
        <v>97</v>
      </c>
      <c r="C35" s="53" t="s">
        <v>98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4" t="s">
        <v>99</v>
      </c>
      <c r="C36" s="53" t="s">
        <v>100</v>
      </c>
      <c r="D36" s="24">
        <v>400000</v>
      </c>
      <c r="E36" s="24"/>
      <c r="F36" s="25">
        <f t="shared" si="8"/>
        <v>400000</v>
      </c>
      <c r="G36" s="24">
        <v>0</v>
      </c>
      <c r="H36" s="24"/>
      <c r="I36" s="25">
        <f t="shared" si="9"/>
        <v>0</v>
      </c>
    </row>
    <row r="37" spans="2:9" x14ac:dyDescent="0.25">
      <c r="B37" s="64" t="s">
        <v>101</v>
      </c>
      <c r="C37" s="53" t="s">
        <v>102</v>
      </c>
      <c r="D37" s="24">
        <v>200000</v>
      </c>
      <c r="E37" s="24"/>
      <c r="F37" s="25">
        <f t="shared" si="8"/>
        <v>200000</v>
      </c>
      <c r="G37" s="24">
        <v>0</v>
      </c>
      <c r="H37" s="24"/>
      <c r="I37" s="25">
        <f t="shared" si="9"/>
        <v>0</v>
      </c>
    </row>
    <row r="38" spans="2:9" x14ac:dyDescent="0.25">
      <c r="B38" s="65" t="s">
        <v>103</v>
      </c>
      <c r="C38" s="53" t="s">
        <v>104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x14ac:dyDescent="0.25">
      <c r="B39" s="65" t="s">
        <v>105</v>
      </c>
      <c r="C39" s="53" t="s">
        <v>106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5" t="s">
        <v>107</v>
      </c>
      <c r="C40" s="53" t="s">
        <v>108</v>
      </c>
      <c r="D40" s="24">
        <v>175500</v>
      </c>
      <c r="E40" s="24"/>
      <c r="F40" s="25">
        <f t="shared" si="8"/>
        <v>175500</v>
      </c>
      <c r="G40" s="24">
        <v>0</v>
      </c>
      <c r="H40" s="24"/>
      <c r="I40" s="25">
        <f t="shared" si="9"/>
        <v>0</v>
      </c>
    </row>
    <row r="41" spans="2:9" s="31" customFormat="1" x14ac:dyDescent="0.25">
      <c r="B41" s="66" t="s">
        <v>109</v>
      </c>
      <c r="C41" s="56" t="s">
        <v>110</v>
      </c>
      <c r="D41" s="25">
        <f t="shared" ref="D41:I41" si="10">SUM(D34:D40)</f>
        <v>825500</v>
      </c>
      <c r="E41" s="25">
        <f t="shared" si="10"/>
        <v>0</v>
      </c>
      <c r="F41" s="25">
        <f t="shared" si="10"/>
        <v>825500</v>
      </c>
      <c r="G41" s="25">
        <f t="shared" si="10"/>
        <v>0</v>
      </c>
      <c r="H41" s="25">
        <f t="shared" si="10"/>
        <v>0</v>
      </c>
      <c r="I41" s="25">
        <f t="shared" si="10"/>
        <v>0</v>
      </c>
    </row>
    <row r="42" spans="2:9" x14ac:dyDescent="0.25">
      <c r="B42" s="67" t="s">
        <v>111</v>
      </c>
      <c r="C42" s="53" t="s">
        <v>112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7" t="s">
        <v>113</v>
      </c>
      <c r="C43" s="53" t="s">
        <v>114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7" t="s">
        <v>115</v>
      </c>
      <c r="C44" s="53" t="s">
        <v>116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7" t="s">
        <v>117</v>
      </c>
      <c r="C45" s="53" t="s">
        <v>118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7" t="s">
        <v>119</v>
      </c>
      <c r="C46" s="56" t="s">
        <v>120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t="15" hidden="1" customHeight="1" x14ac:dyDescent="0.25">
      <c r="B47" s="67" t="s">
        <v>645</v>
      </c>
      <c r="C47" s="53" t="s">
        <v>122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t="15" hidden="1" customHeight="1" x14ac:dyDescent="0.25">
      <c r="B48" s="67" t="s">
        <v>646</v>
      </c>
      <c r="C48" s="53" t="s">
        <v>124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8" ht="15" hidden="1" customHeight="1" x14ac:dyDescent="0.25">
      <c r="B49" s="67" t="s">
        <v>125</v>
      </c>
      <c r="C49" s="53" t="s">
        <v>126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8" ht="15" hidden="1" customHeight="1" x14ac:dyDescent="0.25">
      <c r="B50" s="67" t="s">
        <v>127</v>
      </c>
      <c r="C50" s="53" t="s">
        <v>128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8" ht="15" hidden="1" customHeight="1" x14ac:dyDescent="0.25">
      <c r="B51" s="67" t="s">
        <v>129</v>
      </c>
      <c r="C51" s="53" t="s">
        <v>130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8" ht="15" hidden="1" customHeight="1" x14ac:dyDescent="0.25">
      <c r="B52" s="67" t="s">
        <v>131</v>
      </c>
      <c r="C52" s="53" t="s">
        <v>132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8" ht="15" hidden="1" customHeight="1" x14ac:dyDescent="0.25">
      <c r="B53" s="67" t="s">
        <v>133</v>
      </c>
      <c r="C53" s="53" t="s">
        <v>134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8" ht="15" hidden="1" customHeight="1" x14ac:dyDescent="0.25">
      <c r="B54" s="60" t="s">
        <v>647</v>
      </c>
      <c r="C54" s="53" t="s">
        <v>136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8" hidden="1" x14ac:dyDescent="0.25">
      <c r="B55" s="67" t="s">
        <v>137</v>
      </c>
      <c r="C55" s="53" t="s">
        <v>138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8" s="31" customFormat="1" x14ac:dyDescent="0.25">
      <c r="B56" s="58" t="s">
        <v>139</v>
      </c>
      <c r="C56" s="56" t="s">
        <v>140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8" x14ac:dyDescent="0.25">
      <c r="B57" s="61" t="s">
        <v>141</v>
      </c>
      <c r="C57" s="62" t="s">
        <v>142</v>
      </c>
      <c r="D57" s="63">
        <f t="shared" ref="D57:I57" si="15">+D56+D46+D41</f>
        <v>825500</v>
      </c>
      <c r="E57" s="63">
        <f t="shared" si="15"/>
        <v>0</v>
      </c>
      <c r="F57" s="63">
        <f t="shared" si="15"/>
        <v>825500</v>
      </c>
      <c r="G57" s="63">
        <f t="shared" si="15"/>
        <v>0</v>
      </c>
      <c r="H57" s="63">
        <f t="shared" si="15"/>
        <v>0</v>
      </c>
      <c r="I57" s="63">
        <f t="shared" si="15"/>
        <v>0</v>
      </c>
    </row>
    <row r="58" spans="2:18" x14ac:dyDescent="0.25">
      <c r="B58" s="68" t="s">
        <v>143</v>
      </c>
      <c r="C58" s="69" t="s">
        <v>144</v>
      </c>
      <c r="D58" s="70">
        <f t="shared" ref="D58:I58" si="16">+D56+D46+D41+D32+D17+D16+D10+D9</f>
        <v>41321463</v>
      </c>
      <c r="E58" s="70">
        <f t="shared" si="16"/>
        <v>0</v>
      </c>
      <c r="F58" s="70">
        <f t="shared" si="16"/>
        <v>41321463</v>
      </c>
      <c r="G58" s="70">
        <f t="shared" si="16"/>
        <v>0</v>
      </c>
      <c r="H58" s="70">
        <f t="shared" si="16"/>
        <v>0</v>
      </c>
      <c r="I58" s="70">
        <f t="shared" si="16"/>
        <v>0</v>
      </c>
    </row>
    <row r="59" spans="2:18" hidden="1" x14ac:dyDescent="0.25">
      <c r="B59" s="73" t="s">
        <v>626</v>
      </c>
      <c r="C59" s="54" t="s">
        <v>170</v>
      </c>
      <c r="D59" s="251"/>
      <c r="E59" s="251"/>
      <c r="F59" s="24">
        <f>+D59+E59</f>
        <v>0</v>
      </c>
      <c r="G59" s="251"/>
      <c r="H59" s="251"/>
      <c r="I59" s="24">
        <f>+G59+H59</f>
        <v>0</v>
      </c>
      <c r="J59" s="252"/>
      <c r="K59" s="252"/>
      <c r="L59" s="252"/>
      <c r="M59" s="252"/>
      <c r="N59" s="252"/>
      <c r="O59" s="252"/>
      <c r="P59" s="252"/>
      <c r="Q59" s="71"/>
      <c r="R59" s="71"/>
    </row>
    <row r="60" spans="2:18" hidden="1" x14ac:dyDescent="0.25">
      <c r="B60" s="73" t="s">
        <v>171</v>
      </c>
      <c r="C60" s="54" t="s">
        <v>172</v>
      </c>
      <c r="D60" s="251"/>
      <c r="E60" s="251"/>
      <c r="F60" s="24">
        <f>+D60+E60</f>
        <v>0</v>
      </c>
      <c r="G60" s="251"/>
      <c r="H60" s="251"/>
      <c r="I60" s="24">
        <f>+G60+H60</f>
        <v>0</v>
      </c>
      <c r="J60" s="252"/>
      <c r="K60" s="252"/>
      <c r="L60" s="252"/>
      <c r="M60" s="252"/>
      <c r="N60" s="252"/>
      <c r="O60" s="252"/>
      <c r="P60" s="252"/>
      <c r="Q60" s="71"/>
      <c r="R60" s="71"/>
    </row>
    <row r="61" spans="2:18" hidden="1" x14ac:dyDescent="0.25">
      <c r="B61" s="67" t="s">
        <v>173</v>
      </c>
      <c r="C61" s="54" t="s">
        <v>174</v>
      </c>
      <c r="D61" s="251"/>
      <c r="E61" s="251"/>
      <c r="F61" s="24">
        <f>+D61+E61</f>
        <v>0</v>
      </c>
      <c r="G61" s="251"/>
      <c r="H61" s="251"/>
      <c r="I61" s="24">
        <f>+G61+H61</f>
        <v>0</v>
      </c>
      <c r="J61" s="253"/>
      <c r="K61" s="253"/>
      <c r="L61" s="253"/>
      <c r="M61" s="253"/>
      <c r="N61" s="253"/>
      <c r="O61" s="253"/>
      <c r="P61" s="253"/>
      <c r="Q61" s="71"/>
      <c r="R61" s="71"/>
    </row>
    <row r="62" spans="2:18" hidden="1" x14ac:dyDescent="0.25">
      <c r="B62" s="67" t="s">
        <v>175</v>
      </c>
      <c r="C62" s="54" t="s">
        <v>176</v>
      </c>
      <c r="D62" s="251"/>
      <c r="E62" s="251"/>
      <c r="F62" s="24">
        <f>+D62+E62</f>
        <v>0</v>
      </c>
      <c r="G62" s="251"/>
      <c r="H62" s="251"/>
      <c r="I62" s="24">
        <f>+G62+H62</f>
        <v>0</v>
      </c>
      <c r="J62" s="253"/>
      <c r="K62" s="253"/>
      <c r="L62" s="253"/>
      <c r="M62" s="253"/>
      <c r="N62" s="253"/>
      <c r="O62" s="253"/>
      <c r="P62" s="253"/>
      <c r="Q62" s="71"/>
      <c r="R62" s="71"/>
    </row>
    <row r="63" spans="2:18" x14ac:dyDescent="0.25">
      <c r="B63" s="76" t="s">
        <v>177</v>
      </c>
      <c r="C63" s="77" t="s">
        <v>178</v>
      </c>
      <c r="D63" s="78">
        <f t="shared" ref="D63:I63" si="17">+D61+D60+D59+D62</f>
        <v>0</v>
      </c>
      <c r="E63" s="78">
        <f t="shared" si="17"/>
        <v>0</v>
      </c>
      <c r="F63" s="78">
        <f t="shared" si="17"/>
        <v>0</v>
      </c>
      <c r="G63" s="78">
        <f t="shared" si="17"/>
        <v>0</v>
      </c>
      <c r="H63" s="78">
        <f t="shared" si="17"/>
        <v>0</v>
      </c>
      <c r="I63" s="78">
        <f t="shared" si="17"/>
        <v>0</v>
      </c>
      <c r="J63" s="254"/>
      <c r="K63" s="254"/>
      <c r="L63" s="254"/>
      <c r="M63" s="254"/>
      <c r="N63" s="254"/>
      <c r="O63" s="254"/>
      <c r="P63" s="254"/>
      <c r="Q63" s="71"/>
      <c r="R63" s="71"/>
    </row>
    <row r="64" spans="2:18" x14ac:dyDescent="0.25">
      <c r="B64" s="28" t="s">
        <v>179</v>
      </c>
      <c r="C64" s="28" t="s">
        <v>180</v>
      </c>
      <c r="D64" s="29">
        <f t="shared" ref="D64:I64" si="18">+D58+D63</f>
        <v>41321463</v>
      </c>
      <c r="E64" s="29">
        <f t="shared" si="18"/>
        <v>0</v>
      </c>
      <c r="F64" s="29">
        <f t="shared" si="18"/>
        <v>41321463</v>
      </c>
      <c r="G64" s="29">
        <f t="shared" si="18"/>
        <v>0</v>
      </c>
      <c r="H64" s="29">
        <f t="shared" si="18"/>
        <v>0</v>
      </c>
      <c r="I64" s="29">
        <f t="shared" si="18"/>
        <v>0</v>
      </c>
      <c r="J64" s="71"/>
      <c r="K64" s="71"/>
      <c r="L64" s="71"/>
      <c r="M64" s="71"/>
      <c r="N64" s="71"/>
      <c r="O64" s="71"/>
      <c r="P64" s="71"/>
      <c r="Q64" s="71"/>
      <c r="R64" s="71"/>
    </row>
    <row r="65" spans="2:18" x14ac:dyDescent="0.25">
      <c r="B65" s="13"/>
      <c r="C65" s="79"/>
      <c r="D65" s="80"/>
      <c r="E65" s="80"/>
      <c r="F65" s="81"/>
      <c r="G65" s="80"/>
      <c r="H65" s="80"/>
      <c r="I65" s="81"/>
      <c r="J65" s="71"/>
      <c r="K65" s="71"/>
      <c r="L65" s="71"/>
      <c r="M65" s="71"/>
      <c r="N65" s="71"/>
      <c r="O65" s="71"/>
      <c r="P65" s="71"/>
      <c r="Q65" s="71"/>
      <c r="R65" s="71"/>
    </row>
    <row r="66" spans="2:18" ht="15.75" hidden="1" customHeight="1" x14ac:dyDescent="0.25">
      <c r="B66" s="13"/>
      <c r="C66" s="79"/>
      <c r="D66" s="469" t="s">
        <v>13</v>
      </c>
      <c r="E66" s="469"/>
      <c r="F66" s="469"/>
      <c r="G66" s="469" t="s">
        <v>13</v>
      </c>
      <c r="H66" s="469"/>
      <c r="I66" s="469"/>
      <c r="J66" s="71"/>
      <c r="K66" s="71"/>
      <c r="L66" s="71"/>
      <c r="M66" s="71"/>
      <c r="N66" s="71"/>
      <c r="O66" s="71"/>
      <c r="P66" s="71"/>
      <c r="Q66" s="71"/>
      <c r="R66" s="71"/>
    </row>
    <row r="67" spans="2:18" ht="47.25" x14ac:dyDescent="0.25">
      <c r="B67" s="19" t="s">
        <v>14</v>
      </c>
      <c r="C67" s="48" t="s">
        <v>181</v>
      </c>
      <c r="D67" s="49" t="s">
        <v>15</v>
      </c>
      <c r="E67" s="49" t="s">
        <v>16</v>
      </c>
      <c r="F67" s="170" t="s">
        <v>566</v>
      </c>
      <c r="G67" s="49" t="s">
        <v>15</v>
      </c>
      <c r="H67" s="49" t="s">
        <v>16</v>
      </c>
      <c r="I67" s="170" t="s">
        <v>566</v>
      </c>
      <c r="J67" s="71"/>
      <c r="K67" s="71"/>
      <c r="L67" s="71"/>
      <c r="M67" s="71"/>
      <c r="N67" s="71"/>
      <c r="O67" s="71"/>
      <c r="P67" s="71"/>
      <c r="Q67" s="71"/>
      <c r="R67" s="71"/>
    </row>
    <row r="68" spans="2:18" hidden="1" x14ac:dyDescent="0.25">
      <c r="B68" s="57" t="s">
        <v>627</v>
      </c>
      <c r="C68" s="66" t="s">
        <v>195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  <c r="J68" s="71"/>
      <c r="K68" s="71"/>
      <c r="L68" s="71"/>
      <c r="M68" s="71"/>
      <c r="N68" s="71"/>
      <c r="O68" s="71"/>
      <c r="P68" s="71"/>
      <c r="Q68" s="71"/>
      <c r="R68" s="71"/>
    </row>
    <row r="69" spans="2:18" hidden="1" x14ac:dyDescent="0.25">
      <c r="B69" s="54" t="s">
        <v>196</v>
      </c>
      <c r="C69" s="65" t="s">
        <v>197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  <c r="J69" s="71"/>
      <c r="K69" s="71"/>
      <c r="L69" s="71"/>
      <c r="M69" s="71"/>
      <c r="N69" s="71"/>
      <c r="O69" s="71"/>
      <c r="P69" s="71"/>
      <c r="Q69" s="71"/>
      <c r="R69" s="71"/>
    </row>
    <row r="70" spans="2:18" ht="31.5" hidden="1" x14ac:dyDescent="0.25">
      <c r="B70" s="54" t="s">
        <v>628</v>
      </c>
      <c r="C70" s="65" t="s">
        <v>199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  <c r="J70" s="71"/>
      <c r="K70" s="71"/>
      <c r="L70" s="71"/>
      <c r="M70" s="71"/>
      <c r="N70" s="71"/>
      <c r="O70" s="71"/>
      <c r="P70" s="71"/>
      <c r="Q70" s="71"/>
      <c r="R70" s="71"/>
    </row>
    <row r="71" spans="2:18" hidden="1" x14ac:dyDescent="0.25">
      <c r="B71" s="54" t="s">
        <v>200</v>
      </c>
      <c r="C71" s="65" t="s">
        <v>201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  <c r="J71" s="71"/>
      <c r="K71" s="71"/>
      <c r="L71" s="71"/>
      <c r="M71" s="71"/>
      <c r="N71" s="71"/>
      <c r="O71" s="71"/>
      <c r="P71" s="71"/>
      <c r="Q71" s="71"/>
      <c r="R71" s="71"/>
    </row>
    <row r="72" spans="2:18" hidden="1" x14ac:dyDescent="0.25">
      <c r="B72" s="54" t="s">
        <v>202</v>
      </c>
      <c r="C72" s="65" t="s">
        <v>203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  <c r="J72" s="71"/>
      <c r="K72" s="71"/>
      <c r="L72" s="71"/>
      <c r="M72" s="71"/>
      <c r="N72" s="71"/>
      <c r="O72" s="71"/>
      <c r="P72" s="71"/>
      <c r="Q72" s="71"/>
      <c r="R72" s="71"/>
    </row>
    <row r="73" spans="2:18" x14ac:dyDescent="0.25">
      <c r="B73" s="54" t="s">
        <v>204</v>
      </c>
      <c r="C73" s="65" t="s">
        <v>205</v>
      </c>
      <c r="D73" s="24">
        <v>4927252</v>
      </c>
      <c r="E73" s="24"/>
      <c r="F73" s="25">
        <f t="shared" si="19"/>
        <v>4927252</v>
      </c>
      <c r="G73" s="24">
        <v>0</v>
      </c>
      <c r="H73" s="24"/>
      <c r="I73" s="25">
        <f t="shared" si="20"/>
        <v>0</v>
      </c>
      <c r="J73" s="71"/>
      <c r="K73" s="71"/>
      <c r="L73" s="71"/>
      <c r="M73" s="71"/>
      <c r="N73" s="71"/>
      <c r="O73" s="71"/>
      <c r="P73" s="71"/>
      <c r="Q73" s="71"/>
      <c r="R73" s="71"/>
    </row>
    <row r="74" spans="2:18" x14ac:dyDescent="0.25">
      <c r="B74" s="57" t="s">
        <v>206</v>
      </c>
      <c r="C74" s="66" t="s">
        <v>207</v>
      </c>
      <c r="D74" s="25">
        <f t="shared" ref="D74:I74" si="21">+D73+D72+D71+D70+D69+D68</f>
        <v>4927252</v>
      </c>
      <c r="E74" s="25">
        <f t="shared" si="21"/>
        <v>0</v>
      </c>
      <c r="F74" s="25">
        <f t="shared" si="21"/>
        <v>4927252</v>
      </c>
      <c r="G74" s="25">
        <f t="shared" si="21"/>
        <v>0</v>
      </c>
      <c r="H74" s="25">
        <f t="shared" si="21"/>
        <v>0</v>
      </c>
      <c r="I74" s="25">
        <f t="shared" si="21"/>
        <v>0</v>
      </c>
      <c r="J74" s="71"/>
      <c r="K74" s="71"/>
      <c r="L74" s="71"/>
      <c r="M74" s="71"/>
      <c r="N74" s="71"/>
      <c r="O74" s="71"/>
      <c r="P74" s="71"/>
      <c r="Q74" s="71"/>
      <c r="R74" s="71"/>
    </row>
    <row r="75" spans="2:18" x14ac:dyDescent="0.25">
      <c r="B75" s="57" t="s">
        <v>208</v>
      </c>
      <c r="C75" s="66" t="s">
        <v>209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  <c r="J75" s="71"/>
      <c r="K75" s="71"/>
      <c r="L75" s="71"/>
      <c r="M75" s="71"/>
      <c r="N75" s="71"/>
      <c r="O75" s="71"/>
      <c r="P75" s="71"/>
      <c r="Q75" s="71"/>
      <c r="R75" s="71"/>
    </row>
    <row r="76" spans="2:18" hidden="1" x14ac:dyDescent="0.25">
      <c r="B76" s="54" t="s">
        <v>210</v>
      </c>
      <c r="C76" s="65" t="s">
        <v>211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  <c r="J76" s="71"/>
      <c r="K76" s="71"/>
      <c r="L76" s="71"/>
      <c r="M76" s="71"/>
      <c r="N76" s="71"/>
      <c r="O76" s="71"/>
      <c r="P76" s="71"/>
      <c r="Q76" s="71"/>
      <c r="R76" s="71"/>
    </row>
    <row r="77" spans="2:18" hidden="1" x14ac:dyDescent="0.25">
      <c r="B77" s="54" t="s">
        <v>212</v>
      </c>
      <c r="C77" s="65" t="s">
        <v>213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  <c r="J77" s="71"/>
      <c r="K77" s="71"/>
      <c r="L77" s="71"/>
      <c r="M77" s="71"/>
      <c r="N77" s="71"/>
      <c r="O77" s="71"/>
      <c r="P77" s="71"/>
      <c r="Q77" s="71"/>
      <c r="R77" s="71"/>
    </row>
    <row r="78" spans="2:18" hidden="1" x14ac:dyDescent="0.25">
      <c r="B78" s="54" t="s">
        <v>214</v>
      </c>
      <c r="C78" s="65" t="s">
        <v>215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  <c r="J78" s="71"/>
      <c r="K78" s="71"/>
      <c r="L78" s="71"/>
      <c r="M78" s="71"/>
      <c r="N78" s="71"/>
      <c r="O78" s="71"/>
      <c r="P78" s="71"/>
      <c r="Q78" s="71"/>
      <c r="R78" s="71"/>
    </row>
    <row r="79" spans="2:18" hidden="1" x14ac:dyDescent="0.25">
      <c r="B79" s="54" t="s">
        <v>216</v>
      </c>
      <c r="C79" s="65" t="s">
        <v>217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  <c r="J79" s="71"/>
      <c r="K79" s="71"/>
      <c r="L79" s="71"/>
      <c r="M79" s="71"/>
      <c r="N79" s="71"/>
      <c r="O79" s="71"/>
      <c r="P79" s="71"/>
      <c r="Q79" s="71"/>
      <c r="R79" s="71"/>
    </row>
    <row r="80" spans="2:18" hidden="1" x14ac:dyDescent="0.25">
      <c r="B80" s="54" t="s">
        <v>218</v>
      </c>
      <c r="C80" s="65" t="s">
        <v>219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  <c r="J80" s="71"/>
      <c r="K80" s="71"/>
      <c r="L80" s="71"/>
      <c r="M80" s="71"/>
      <c r="N80" s="71"/>
      <c r="O80" s="71"/>
      <c r="P80" s="71"/>
      <c r="Q80" s="71"/>
      <c r="R80" s="71"/>
    </row>
    <row r="81" spans="2:18" hidden="1" x14ac:dyDescent="0.25">
      <c r="B81" s="54" t="s">
        <v>220</v>
      </c>
      <c r="C81" s="65" t="s">
        <v>221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  <c r="J81" s="71"/>
      <c r="K81" s="71"/>
      <c r="L81" s="71"/>
      <c r="M81" s="71"/>
      <c r="N81" s="71"/>
      <c r="O81" s="71"/>
      <c r="P81" s="71"/>
      <c r="Q81" s="71"/>
      <c r="R81" s="71"/>
    </row>
    <row r="82" spans="2:18" x14ac:dyDescent="0.25">
      <c r="B82" s="57" t="s">
        <v>222</v>
      </c>
      <c r="C82" s="66" t="s">
        <v>223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 t="shared" si="24"/>
        <v>0</v>
      </c>
      <c r="H82" s="25">
        <f t="shared" si="24"/>
        <v>0</v>
      </c>
      <c r="I82" s="25">
        <f t="shared" si="24"/>
        <v>0</v>
      </c>
      <c r="J82" s="71"/>
      <c r="K82" s="71"/>
      <c r="L82" s="71"/>
      <c r="M82" s="71"/>
      <c r="N82" s="71"/>
      <c r="O82" s="71"/>
      <c r="P82" s="71"/>
      <c r="Q82" s="71"/>
      <c r="R82" s="71"/>
    </row>
    <row r="83" spans="2:18" x14ac:dyDescent="0.25">
      <c r="B83" s="67" t="s">
        <v>631</v>
      </c>
      <c r="C83" s="65" t="s">
        <v>225</v>
      </c>
      <c r="D83" s="24"/>
      <c r="E83" s="24"/>
      <c r="F83" s="25">
        <f t="shared" ref="F83:F93" si="25">+E83+D83</f>
        <v>0</v>
      </c>
      <c r="G83" s="24"/>
      <c r="H83" s="24"/>
      <c r="I83" s="25">
        <f t="shared" ref="I83:I93" si="26">+H83+G83</f>
        <v>0</v>
      </c>
      <c r="J83" s="71"/>
      <c r="K83" s="71"/>
      <c r="L83" s="71"/>
      <c r="M83" s="71"/>
      <c r="N83" s="71"/>
      <c r="O83" s="71"/>
      <c r="P83" s="71"/>
      <c r="Q83" s="71"/>
      <c r="R83" s="71"/>
    </row>
    <row r="84" spans="2:18" x14ac:dyDescent="0.25">
      <c r="B84" s="67" t="s">
        <v>226</v>
      </c>
      <c r="C84" s="65" t="s">
        <v>227</v>
      </c>
      <c r="D84" s="24">
        <f>80000+5539370+300000</f>
        <v>5919370</v>
      </c>
      <c r="E84" s="24"/>
      <c r="F84" s="25">
        <f t="shared" si="25"/>
        <v>5919370</v>
      </c>
      <c r="G84" s="24">
        <v>0</v>
      </c>
      <c r="H84" s="24"/>
      <c r="I84" s="25">
        <f t="shared" si="26"/>
        <v>0</v>
      </c>
      <c r="J84" s="71"/>
      <c r="K84" s="71"/>
      <c r="L84" s="71"/>
      <c r="M84" s="71"/>
      <c r="N84" s="71"/>
      <c r="O84" s="71"/>
      <c r="P84" s="71"/>
      <c r="Q84" s="71"/>
      <c r="R84" s="71"/>
    </row>
    <row r="85" spans="2:18" x14ac:dyDescent="0.25">
      <c r="B85" s="67" t="s">
        <v>228</v>
      </c>
      <c r="C85" s="65" t="s">
        <v>229</v>
      </c>
      <c r="D85" s="24"/>
      <c r="E85" s="24"/>
      <c r="F85" s="25">
        <f t="shared" si="25"/>
        <v>0</v>
      </c>
      <c r="G85" s="24"/>
      <c r="H85" s="24"/>
      <c r="I85" s="25">
        <f t="shared" si="26"/>
        <v>0</v>
      </c>
      <c r="J85" s="71"/>
      <c r="K85" s="71"/>
      <c r="L85" s="71"/>
      <c r="M85" s="71"/>
      <c r="N85" s="71"/>
      <c r="O85" s="71"/>
      <c r="P85" s="71"/>
      <c r="Q85" s="71"/>
      <c r="R85" s="71"/>
    </row>
    <row r="86" spans="2:18" x14ac:dyDescent="0.25">
      <c r="B86" s="67" t="s">
        <v>230</v>
      </c>
      <c r="C86" s="65" t="s">
        <v>231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  <c r="J86" s="71"/>
      <c r="K86" s="71"/>
      <c r="L86" s="71"/>
      <c r="M86" s="71"/>
      <c r="N86" s="71"/>
      <c r="O86" s="71"/>
      <c r="P86" s="71"/>
      <c r="Q86" s="71"/>
      <c r="R86" s="71"/>
    </row>
    <row r="87" spans="2:18" x14ac:dyDescent="0.25">
      <c r="B87" s="67" t="s">
        <v>232</v>
      </c>
      <c r="C87" s="65" t="s">
        <v>233</v>
      </c>
      <c r="D87" s="24"/>
      <c r="E87" s="24"/>
      <c r="F87" s="25">
        <f t="shared" si="25"/>
        <v>0</v>
      </c>
      <c r="G87" s="24"/>
      <c r="H87" s="24"/>
      <c r="I87" s="25">
        <f t="shared" si="26"/>
        <v>0</v>
      </c>
      <c r="J87" s="71"/>
      <c r="K87" s="71"/>
      <c r="L87" s="71"/>
      <c r="M87" s="71"/>
      <c r="N87" s="71"/>
      <c r="O87" s="71"/>
      <c r="P87" s="71"/>
      <c r="Q87" s="71"/>
      <c r="R87" s="71"/>
    </row>
    <row r="88" spans="2:18" x14ac:dyDescent="0.25">
      <c r="B88" s="67" t="s">
        <v>234</v>
      </c>
      <c r="C88" s="65" t="s">
        <v>235</v>
      </c>
      <c r="D88" s="24">
        <v>1499630</v>
      </c>
      <c r="E88" s="24"/>
      <c r="F88" s="25">
        <f t="shared" si="25"/>
        <v>1499630</v>
      </c>
      <c r="G88" s="24">
        <v>0</v>
      </c>
      <c r="H88" s="24"/>
      <c r="I88" s="25">
        <f t="shared" si="26"/>
        <v>0</v>
      </c>
      <c r="J88" s="71"/>
      <c r="K88" s="71"/>
      <c r="L88" s="71"/>
      <c r="M88" s="71"/>
      <c r="N88" s="71"/>
      <c r="O88" s="71"/>
      <c r="P88" s="71"/>
      <c r="Q88" s="71"/>
      <c r="R88" s="71"/>
    </row>
    <row r="89" spans="2:18" x14ac:dyDescent="0.25">
      <c r="B89" s="67" t="s">
        <v>236</v>
      </c>
      <c r="C89" s="65" t="s">
        <v>237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  <c r="J89" s="71"/>
      <c r="K89" s="71"/>
      <c r="L89" s="71"/>
      <c r="M89" s="71"/>
      <c r="N89" s="71"/>
      <c r="O89" s="71"/>
      <c r="P89" s="71"/>
      <c r="Q89" s="71"/>
      <c r="R89" s="71"/>
    </row>
    <row r="90" spans="2:18" x14ac:dyDescent="0.25">
      <c r="B90" s="67" t="s">
        <v>238</v>
      </c>
      <c r="C90" s="65" t="s">
        <v>239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  <c r="J90" s="71"/>
      <c r="K90" s="71"/>
      <c r="L90" s="71"/>
      <c r="M90" s="71"/>
      <c r="N90" s="71"/>
      <c r="O90" s="71"/>
      <c r="P90" s="71"/>
      <c r="Q90" s="71"/>
      <c r="R90" s="71"/>
    </row>
    <row r="91" spans="2:18" x14ac:dyDescent="0.25">
      <c r="B91" s="67" t="s">
        <v>240</v>
      </c>
      <c r="C91" s="65" t="s">
        <v>241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  <c r="J91" s="71"/>
      <c r="K91" s="71"/>
      <c r="L91" s="71"/>
      <c r="M91" s="71"/>
      <c r="N91" s="71"/>
      <c r="O91" s="71"/>
      <c r="P91" s="71"/>
      <c r="Q91" s="71"/>
      <c r="R91" s="71"/>
    </row>
    <row r="92" spans="2:18" x14ac:dyDescent="0.25">
      <c r="B92" s="67" t="s">
        <v>242</v>
      </c>
      <c r="C92" s="65" t="s">
        <v>243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  <c r="J92" s="71"/>
      <c r="K92" s="71"/>
      <c r="L92" s="71"/>
      <c r="M92" s="71"/>
      <c r="N92" s="71"/>
      <c r="O92" s="71"/>
      <c r="P92" s="71"/>
      <c r="Q92" s="71"/>
      <c r="R92" s="71"/>
    </row>
    <row r="93" spans="2:18" x14ac:dyDescent="0.25">
      <c r="B93" s="67" t="s">
        <v>244</v>
      </c>
      <c r="C93" s="65" t="s">
        <v>245</v>
      </c>
      <c r="D93" s="24"/>
      <c r="E93" s="24"/>
      <c r="F93" s="25">
        <f t="shared" si="25"/>
        <v>0</v>
      </c>
      <c r="G93" s="24"/>
      <c r="H93" s="24"/>
      <c r="I93" s="25">
        <f t="shared" si="26"/>
        <v>0</v>
      </c>
      <c r="J93" s="71"/>
      <c r="K93" s="71"/>
      <c r="L93" s="71"/>
      <c r="M93" s="71"/>
      <c r="N93" s="71"/>
      <c r="O93" s="71"/>
      <c r="P93" s="71"/>
      <c r="Q93" s="71"/>
      <c r="R93" s="71"/>
    </row>
    <row r="94" spans="2:18" x14ac:dyDescent="0.25">
      <c r="B94" s="58" t="s">
        <v>246</v>
      </c>
      <c r="C94" s="66" t="s">
        <v>247</v>
      </c>
      <c r="D94" s="25">
        <f t="shared" ref="D94:I94" si="27">SUM(D83:D93)</f>
        <v>7419000</v>
      </c>
      <c r="E94" s="25">
        <f t="shared" si="27"/>
        <v>0</v>
      </c>
      <c r="F94" s="25">
        <f t="shared" si="27"/>
        <v>7419000</v>
      </c>
      <c r="G94" s="25">
        <f t="shared" si="27"/>
        <v>0</v>
      </c>
      <c r="H94" s="25">
        <f t="shared" si="27"/>
        <v>0</v>
      </c>
      <c r="I94" s="25">
        <f t="shared" si="27"/>
        <v>0</v>
      </c>
      <c r="J94" s="71"/>
      <c r="K94" s="71"/>
      <c r="L94" s="71"/>
      <c r="M94" s="71"/>
      <c r="N94" s="71"/>
      <c r="O94" s="71"/>
      <c r="P94" s="71"/>
      <c r="Q94" s="71"/>
      <c r="R94" s="71"/>
    </row>
    <row r="95" spans="2:18" x14ac:dyDescent="0.25">
      <c r="B95" s="67" t="s">
        <v>248</v>
      </c>
      <c r="C95" s="65" t="s">
        <v>249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71"/>
      <c r="K95" s="71"/>
      <c r="L95" s="71"/>
      <c r="M95" s="71"/>
      <c r="N95" s="71"/>
      <c r="O95" s="71"/>
      <c r="P95" s="71"/>
      <c r="Q95" s="71"/>
      <c r="R95" s="71"/>
    </row>
    <row r="96" spans="2:18" x14ac:dyDescent="0.25">
      <c r="B96" s="67" t="s">
        <v>250</v>
      </c>
      <c r="C96" s="65" t="s">
        <v>251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71"/>
      <c r="K96" s="71"/>
      <c r="L96" s="71"/>
      <c r="M96" s="71"/>
      <c r="N96" s="71"/>
      <c r="O96" s="71"/>
      <c r="P96" s="71"/>
      <c r="Q96" s="71"/>
      <c r="R96" s="71"/>
    </row>
    <row r="97" spans="2:18" x14ac:dyDescent="0.25">
      <c r="B97" s="67" t="s">
        <v>252</v>
      </c>
      <c r="C97" s="65" t="s">
        <v>253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71"/>
      <c r="K97" s="71"/>
      <c r="L97" s="71"/>
      <c r="M97" s="71"/>
      <c r="N97" s="71"/>
      <c r="O97" s="71"/>
      <c r="P97" s="71"/>
      <c r="Q97" s="71"/>
      <c r="R97" s="71"/>
    </row>
    <row r="98" spans="2:18" hidden="1" x14ac:dyDescent="0.25">
      <c r="B98" s="67" t="s">
        <v>254</v>
      </c>
      <c r="C98" s="65" t="s">
        <v>255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71"/>
      <c r="K98" s="71"/>
      <c r="L98" s="71"/>
      <c r="M98" s="71"/>
      <c r="N98" s="71"/>
      <c r="O98" s="71"/>
      <c r="P98" s="71"/>
      <c r="Q98" s="71"/>
      <c r="R98" s="71"/>
    </row>
    <row r="99" spans="2:18" hidden="1" x14ac:dyDescent="0.25">
      <c r="B99" s="67" t="s">
        <v>256</v>
      </c>
      <c r="C99" s="65" t="s">
        <v>257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71"/>
      <c r="K99" s="71"/>
      <c r="L99" s="71"/>
      <c r="M99" s="71"/>
      <c r="N99" s="71"/>
      <c r="O99" s="71"/>
      <c r="P99" s="71"/>
      <c r="Q99" s="71"/>
      <c r="R99" s="71"/>
    </row>
    <row r="100" spans="2:18" x14ac:dyDescent="0.25">
      <c r="B100" s="57" t="s">
        <v>258</v>
      </c>
      <c r="C100" s="66" t="s">
        <v>259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0</v>
      </c>
      <c r="I100" s="25">
        <f t="shared" si="28"/>
        <v>0</v>
      </c>
      <c r="J100" s="71"/>
      <c r="K100" s="71"/>
      <c r="L100" s="71"/>
      <c r="M100" s="71"/>
      <c r="N100" s="71"/>
      <c r="O100" s="71"/>
      <c r="P100" s="71"/>
      <c r="Q100" s="71"/>
      <c r="R100" s="71"/>
    </row>
    <row r="101" spans="2:18" x14ac:dyDescent="0.25">
      <c r="B101" s="57" t="s">
        <v>260</v>
      </c>
      <c r="C101" s="66" t="s">
        <v>261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  <c r="J101" s="71"/>
      <c r="K101" s="71"/>
      <c r="L101" s="71"/>
      <c r="M101" s="71"/>
      <c r="N101" s="71"/>
      <c r="O101" s="71"/>
      <c r="P101" s="71"/>
      <c r="Q101" s="71"/>
      <c r="R101" s="71"/>
    </row>
    <row r="102" spans="2:18" hidden="1" x14ac:dyDescent="0.25">
      <c r="B102" s="67" t="s">
        <v>262</v>
      </c>
      <c r="C102" s="65" t="s">
        <v>263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71"/>
      <c r="K102" s="71"/>
      <c r="L102" s="71"/>
      <c r="M102" s="71"/>
      <c r="N102" s="71"/>
      <c r="O102" s="71"/>
      <c r="P102" s="71"/>
      <c r="Q102" s="71"/>
      <c r="R102" s="71"/>
    </row>
    <row r="103" spans="2:18" hidden="1" x14ac:dyDescent="0.25">
      <c r="B103" s="54" t="s">
        <v>264</v>
      </c>
      <c r="C103" s="65" t="s">
        <v>265</v>
      </c>
      <c r="D103" s="24"/>
      <c r="E103" s="24"/>
      <c r="F103" s="25"/>
      <c r="G103" s="24"/>
      <c r="H103" s="24"/>
      <c r="I103" s="25"/>
      <c r="J103" s="71"/>
      <c r="K103" s="71"/>
      <c r="L103" s="71"/>
      <c r="M103" s="71"/>
      <c r="N103" s="71"/>
      <c r="O103" s="71"/>
      <c r="P103" s="71"/>
      <c r="Q103" s="71"/>
      <c r="R103" s="71"/>
    </row>
    <row r="104" spans="2:18" ht="31.5" hidden="1" x14ac:dyDescent="0.25">
      <c r="B104" s="67" t="s">
        <v>266</v>
      </c>
      <c r="C104" s="65" t="s">
        <v>267</v>
      </c>
      <c r="D104" s="24"/>
      <c r="E104" s="24"/>
      <c r="F104" s="25"/>
      <c r="G104" s="24"/>
      <c r="H104" s="24"/>
      <c r="I104" s="25"/>
      <c r="J104" s="71"/>
      <c r="K104" s="71"/>
      <c r="L104" s="71"/>
      <c r="M104" s="71"/>
      <c r="N104" s="71"/>
      <c r="O104" s="71"/>
      <c r="P104" s="71"/>
      <c r="Q104" s="71"/>
      <c r="R104" s="71"/>
    </row>
    <row r="105" spans="2:18" ht="15" hidden="1" customHeight="1" x14ac:dyDescent="0.25">
      <c r="B105" s="67" t="s">
        <v>268</v>
      </c>
      <c r="C105" s="65" t="s">
        <v>269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71"/>
      <c r="K105" s="71"/>
      <c r="L105" s="71"/>
      <c r="M105" s="71"/>
      <c r="N105" s="71"/>
      <c r="O105" s="71"/>
      <c r="P105" s="71"/>
      <c r="Q105" s="71"/>
      <c r="R105" s="71"/>
    </row>
    <row r="106" spans="2:18" x14ac:dyDescent="0.25">
      <c r="B106" s="67" t="s">
        <v>270</v>
      </c>
      <c r="C106" s="65" t="s">
        <v>271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  <c r="J106" s="71"/>
      <c r="K106" s="71"/>
      <c r="L106" s="71"/>
      <c r="M106" s="71"/>
      <c r="N106" s="71"/>
      <c r="O106" s="71"/>
      <c r="P106" s="71"/>
      <c r="Q106" s="71"/>
      <c r="R106" s="71"/>
    </row>
    <row r="107" spans="2:18" x14ac:dyDescent="0.25">
      <c r="B107" s="57" t="s">
        <v>272</v>
      </c>
      <c r="C107" s="66" t="s">
        <v>273</v>
      </c>
      <c r="D107" s="25">
        <f t="shared" ref="D107:I107" si="29">SUM(D102:D106)</f>
        <v>0</v>
      </c>
      <c r="E107" s="25">
        <f t="shared" si="29"/>
        <v>0</v>
      </c>
      <c r="F107" s="25">
        <f t="shared" si="29"/>
        <v>0</v>
      </c>
      <c r="G107" s="25">
        <f t="shared" si="29"/>
        <v>0</v>
      </c>
      <c r="H107" s="25">
        <f t="shared" si="29"/>
        <v>0</v>
      </c>
      <c r="I107" s="25">
        <f t="shared" si="29"/>
        <v>0</v>
      </c>
      <c r="J107" s="71"/>
      <c r="K107" s="71"/>
      <c r="L107" s="71"/>
      <c r="M107" s="71"/>
      <c r="N107" s="71"/>
      <c r="O107" s="71"/>
      <c r="P107" s="71"/>
      <c r="Q107" s="71"/>
      <c r="R107" s="71"/>
    </row>
    <row r="108" spans="2:18" x14ac:dyDescent="0.25">
      <c r="B108" s="82" t="s">
        <v>274</v>
      </c>
      <c r="C108" s="68" t="s">
        <v>275</v>
      </c>
      <c r="D108" s="70">
        <f t="shared" ref="D108:I108" si="30">+D107+D101+D100+D94+D82+D75+D74</f>
        <v>12346252</v>
      </c>
      <c r="E108" s="70">
        <f t="shared" si="30"/>
        <v>0</v>
      </c>
      <c r="F108" s="70">
        <f t="shared" si="30"/>
        <v>12346252</v>
      </c>
      <c r="G108" s="70">
        <f t="shared" si="30"/>
        <v>0</v>
      </c>
      <c r="H108" s="70">
        <f t="shared" si="30"/>
        <v>0</v>
      </c>
      <c r="I108" s="70">
        <f t="shared" si="30"/>
        <v>0</v>
      </c>
      <c r="J108" s="71"/>
      <c r="K108" s="71"/>
      <c r="L108" s="71"/>
      <c r="M108" s="71"/>
      <c r="N108" s="71"/>
      <c r="O108" s="71"/>
      <c r="P108" s="71"/>
      <c r="Q108" s="71"/>
      <c r="R108" s="71"/>
    </row>
    <row r="109" spans="2:18" x14ac:dyDescent="0.25">
      <c r="B109" s="83" t="s">
        <v>276</v>
      </c>
      <c r="C109" s="84"/>
      <c r="D109" s="85">
        <f>+D101+D94+D82+D74-D33</f>
        <v>-28149711</v>
      </c>
      <c r="E109" s="85">
        <f>+E101+E94+E82+E74-E33</f>
        <v>0</v>
      </c>
      <c r="F109" s="85">
        <f t="shared" ref="F109:F116" si="31">+E109+D109</f>
        <v>-28149711</v>
      </c>
      <c r="G109" s="85">
        <f>+G101+G94+G82+G74-G33</f>
        <v>0</v>
      </c>
      <c r="H109" s="85">
        <f>+H101+H94+H82+H74-H33</f>
        <v>0</v>
      </c>
      <c r="I109" s="85">
        <f t="shared" ref="I109:I116" si="32">+H109+G109</f>
        <v>0</v>
      </c>
      <c r="J109" s="71"/>
      <c r="K109" s="71"/>
      <c r="L109" s="71"/>
      <c r="M109" s="71"/>
      <c r="N109" s="71"/>
      <c r="O109" s="71"/>
      <c r="P109" s="71"/>
      <c r="Q109" s="71"/>
      <c r="R109" s="71"/>
    </row>
    <row r="110" spans="2:18" x14ac:dyDescent="0.25">
      <c r="B110" s="83" t="s">
        <v>277</v>
      </c>
      <c r="C110" s="84"/>
      <c r="D110" s="85">
        <f>+D107+D100+D75-D57</f>
        <v>-825500</v>
      </c>
      <c r="E110" s="85">
        <f>+E107+E100+E75-E57</f>
        <v>0</v>
      </c>
      <c r="F110" s="85">
        <f t="shared" si="31"/>
        <v>-825500</v>
      </c>
      <c r="G110" s="85">
        <f>+G107+G100+G75-G57</f>
        <v>0</v>
      </c>
      <c r="H110" s="85">
        <f>+H107+H100+H75-H57</f>
        <v>0</v>
      </c>
      <c r="I110" s="85">
        <f t="shared" si="32"/>
        <v>0</v>
      </c>
      <c r="J110" s="71"/>
      <c r="K110" s="71"/>
      <c r="L110" s="71"/>
      <c r="M110" s="71"/>
      <c r="N110" s="71"/>
      <c r="O110" s="71"/>
      <c r="P110" s="71"/>
      <c r="Q110" s="71"/>
      <c r="R110" s="71"/>
    </row>
    <row r="111" spans="2:18" hidden="1" x14ac:dyDescent="0.25">
      <c r="B111" s="58" t="s">
        <v>635</v>
      </c>
      <c r="C111" s="57" t="s">
        <v>285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18" hidden="1" x14ac:dyDescent="0.25">
      <c r="B112" s="75" t="s">
        <v>636</v>
      </c>
      <c r="C112" s="57" t="s">
        <v>295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4" t="s">
        <v>296</v>
      </c>
      <c r="C113" s="54" t="s">
        <v>297</v>
      </c>
      <c r="D113" s="24">
        <v>2890130</v>
      </c>
      <c r="E113" s="24"/>
      <c r="F113" s="25">
        <f t="shared" si="31"/>
        <v>2890130</v>
      </c>
      <c r="G113" s="24">
        <v>0</v>
      </c>
      <c r="H113" s="24"/>
      <c r="I113" s="25">
        <f t="shared" si="32"/>
        <v>0</v>
      </c>
    </row>
    <row r="114" spans="1:9" x14ac:dyDescent="0.25">
      <c r="B114" s="54" t="s">
        <v>298</v>
      </c>
      <c r="C114" s="54" t="s">
        <v>297</v>
      </c>
      <c r="D114" s="24">
        <v>0</v>
      </c>
      <c r="E114" s="24"/>
      <c r="F114" s="25">
        <f t="shared" si="31"/>
        <v>0</v>
      </c>
      <c r="G114" s="24"/>
      <c r="H114" s="24"/>
      <c r="I114" s="25">
        <f t="shared" si="32"/>
        <v>0</v>
      </c>
    </row>
    <row r="115" spans="1:9" x14ac:dyDescent="0.25">
      <c r="B115" s="54" t="s">
        <v>299</v>
      </c>
      <c r="C115" s="54" t="s">
        <v>300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x14ac:dyDescent="0.25">
      <c r="A116" s="89" t="s">
        <v>335</v>
      </c>
      <c r="B116" s="54" t="s">
        <v>301</v>
      </c>
      <c r="C116" s="54" t="s">
        <v>300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89" t="s">
        <v>648</v>
      </c>
      <c r="B117" s="57" t="s">
        <v>302</v>
      </c>
      <c r="C117" s="57" t="s">
        <v>303</v>
      </c>
      <c r="D117" s="25">
        <f t="shared" ref="D117:I117" si="33">SUM(D113:D116)</f>
        <v>2890130</v>
      </c>
      <c r="E117" s="25">
        <f t="shared" si="33"/>
        <v>0</v>
      </c>
      <c r="F117" s="25">
        <f t="shared" si="33"/>
        <v>2890130</v>
      </c>
      <c r="G117" s="25">
        <f t="shared" si="33"/>
        <v>0</v>
      </c>
      <c r="H117" s="25">
        <f t="shared" si="33"/>
        <v>0</v>
      </c>
      <c r="I117" s="25">
        <f t="shared" si="33"/>
        <v>0</v>
      </c>
    </row>
    <row r="118" spans="1:9" hidden="1" x14ac:dyDescent="0.25">
      <c r="A118"/>
      <c r="B118" s="73" t="s">
        <v>304</v>
      </c>
      <c r="C118" s="54" t="s">
        <v>305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3" t="s">
        <v>306</v>
      </c>
      <c r="C119" s="54" t="s">
        <v>307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670</v>
      </c>
      <c r="B120" s="73" t="s">
        <v>308</v>
      </c>
      <c r="C120" s="54" t="s">
        <v>309</v>
      </c>
      <c r="D120" s="24">
        <v>26085081</v>
      </c>
      <c r="E120" s="24"/>
      <c r="F120" s="25">
        <f t="shared" si="34"/>
        <v>26085081</v>
      </c>
      <c r="G120" s="24">
        <v>0</v>
      </c>
      <c r="H120" s="24"/>
      <c r="I120" s="25">
        <f t="shared" si="35"/>
        <v>0</v>
      </c>
    </row>
    <row r="121" spans="1:9" s="255" customFormat="1" x14ac:dyDescent="0.25">
      <c r="B121" s="256" t="s">
        <v>650</v>
      </c>
      <c r="C121" s="151"/>
      <c r="D121" s="104">
        <f>7428976+1850212</f>
        <v>9279188</v>
      </c>
      <c r="E121" s="104"/>
      <c r="F121" s="137">
        <f t="shared" si="34"/>
        <v>9279188</v>
      </c>
      <c r="G121" s="104">
        <f>+G120-G122</f>
        <v>0</v>
      </c>
      <c r="H121" s="104"/>
      <c r="I121" s="137">
        <f t="shared" si="35"/>
        <v>0</v>
      </c>
    </row>
    <row r="122" spans="1:9" s="255" customFormat="1" x14ac:dyDescent="0.25">
      <c r="B122" s="257" t="s">
        <v>640</v>
      </c>
      <c r="C122" s="151"/>
      <c r="D122" s="104">
        <f>+D120-D121</f>
        <v>16805893</v>
      </c>
      <c r="E122" s="104">
        <f>+E120-E121</f>
        <v>0</v>
      </c>
      <c r="F122" s="137">
        <f t="shared" si="34"/>
        <v>16805893</v>
      </c>
      <c r="G122" s="24">
        <v>0</v>
      </c>
      <c r="H122" s="104">
        <f>+H120-H121</f>
        <v>0</v>
      </c>
      <c r="I122" s="137">
        <f t="shared" si="35"/>
        <v>0</v>
      </c>
    </row>
    <row r="123" spans="1:9" hidden="1" x14ac:dyDescent="0.25">
      <c r="B123" s="73" t="s">
        <v>310</v>
      </c>
      <c r="C123" s="54" t="s">
        <v>311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7" t="s">
        <v>312</v>
      </c>
      <c r="C124" s="54" t="s">
        <v>313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7" t="s">
        <v>314</v>
      </c>
      <c r="C125" s="54" t="s">
        <v>315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8" t="s">
        <v>316</v>
      </c>
      <c r="C126" s="57" t="s">
        <v>317</v>
      </c>
      <c r="D126" s="25">
        <f>SUM(D118:D125)+D117+D112+D111-D121-D122</f>
        <v>28975211</v>
      </c>
      <c r="E126" s="25">
        <f>SUM(E118:E125)+E117+E112+E111-E121-E122</f>
        <v>0</v>
      </c>
      <c r="F126" s="25">
        <f>SUM(F118:F124)+F117+F112+F111-F121-F122</f>
        <v>28975211</v>
      </c>
      <c r="G126" s="25">
        <f>SUM(G118:G125)+G117+G112+G111-G121-G122</f>
        <v>0</v>
      </c>
      <c r="H126" s="25">
        <f>SUM(H118:H125)+H117+H112+H111-H121-H122</f>
        <v>0</v>
      </c>
      <c r="I126" s="25">
        <f>SUM(I118:I124)+I117+I112+I111-I121-I122</f>
        <v>0</v>
      </c>
    </row>
    <row r="127" spans="1:9" hidden="1" x14ac:dyDescent="0.25">
      <c r="B127" s="73" t="s">
        <v>318</v>
      </c>
      <c r="C127" s="54" t="s">
        <v>319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7" t="s">
        <v>320</v>
      </c>
      <c r="C128" s="54" t="s">
        <v>321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7" t="s">
        <v>322</v>
      </c>
      <c r="C129" s="54" t="s">
        <v>323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6" t="s">
        <v>324</v>
      </c>
      <c r="C130" s="77" t="s">
        <v>325</v>
      </c>
      <c r="D130" s="70">
        <f>+D128+D127+D126+D129</f>
        <v>28975211</v>
      </c>
      <c r="E130" s="70">
        <f>+E128+E127+E126+E129</f>
        <v>0</v>
      </c>
      <c r="F130" s="70">
        <f>+F129+F127+F126</f>
        <v>28975211</v>
      </c>
      <c r="G130" s="70">
        <f>+G128+G127+G126+G129</f>
        <v>0</v>
      </c>
      <c r="H130" s="70">
        <f>+H128+H127+H126+H129</f>
        <v>0</v>
      </c>
      <c r="I130" s="70">
        <f>+I129+I127+I126</f>
        <v>0</v>
      </c>
    </row>
    <row r="131" spans="2:9" x14ac:dyDescent="0.25">
      <c r="B131" s="28" t="s">
        <v>326</v>
      </c>
      <c r="C131" s="28" t="s">
        <v>327</v>
      </c>
      <c r="D131" s="29">
        <f t="shared" ref="D131:I131" si="36">+D108+D130</f>
        <v>41321463</v>
      </c>
      <c r="E131" s="29">
        <f t="shared" si="36"/>
        <v>0</v>
      </c>
      <c r="F131" s="29">
        <f t="shared" si="36"/>
        <v>41321463</v>
      </c>
      <c r="G131" s="29">
        <f t="shared" si="36"/>
        <v>0</v>
      </c>
      <c r="H131" s="29">
        <f t="shared" si="36"/>
        <v>0</v>
      </c>
      <c r="I131" s="29">
        <f t="shared" si="36"/>
        <v>0</v>
      </c>
    </row>
    <row r="132" spans="2:9" x14ac:dyDescent="0.25">
      <c r="B132" s="13"/>
      <c r="C132" s="13"/>
      <c r="D132" s="14"/>
      <c r="E132" s="14"/>
      <c r="F132" s="86"/>
      <c r="G132" s="14"/>
      <c r="H132" s="14"/>
      <c r="I132" s="86"/>
    </row>
    <row r="133" spans="2:9" x14ac:dyDescent="0.25">
      <c r="B133" s="26" t="s">
        <v>328</v>
      </c>
      <c r="C133" s="26"/>
      <c r="D133" s="25">
        <f t="shared" ref="D133:I133" si="37">+D108-D58</f>
        <v>-28975211</v>
      </c>
      <c r="E133" s="25">
        <f t="shared" si="37"/>
        <v>0</v>
      </c>
      <c r="F133" s="25">
        <f t="shared" si="37"/>
        <v>-28975211</v>
      </c>
      <c r="G133" s="25">
        <f t="shared" si="37"/>
        <v>0</v>
      </c>
      <c r="H133" s="25">
        <f t="shared" si="37"/>
        <v>0</v>
      </c>
      <c r="I133" s="25">
        <f t="shared" si="37"/>
        <v>0</v>
      </c>
    </row>
    <row r="134" spans="2:9" x14ac:dyDescent="0.25">
      <c r="B134" s="26" t="s">
        <v>329</v>
      </c>
      <c r="C134" s="26"/>
      <c r="D134" s="25">
        <f t="shared" ref="D134:I134" si="38">+D130-D63</f>
        <v>28975211</v>
      </c>
      <c r="E134" s="25">
        <f t="shared" si="38"/>
        <v>0</v>
      </c>
      <c r="F134" s="25">
        <f t="shared" si="38"/>
        <v>28975211</v>
      </c>
      <c r="G134" s="25">
        <f t="shared" si="38"/>
        <v>0</v>
      </c>
      <c r="H134" s="25">
        <f t="shared" si="38"/>
        <v>0</v>
      </c>
      <c r="I134" s="25">
        <f t="shared" si="38"/>
        <v>0</v>
      </c>
    </row>
    <row r="135" spans="2:9" x14ac:dyDescent="0.25">
      <c r="B135" s="13"/>
      <c r="C135" s="13"/>
      <c r="D135" s="14"/>
      <c r="E135" s="14"/>
      <c r="F135" s="86"/>
      <c r="G135" s="14"/>
      <c r="H135" s="14"/>
      <c r="I135" s="86"/>
    </row>
    <row r="136" spans="2:9" x14ac:dyDescent="0.25">
      <c r="B136" s="88" t="s">
        <v>332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0</v>
      </c>
      <c r="H136" s="14">
        <f t="shared" si="39"/>
        <v>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86"/>
      <c r="G137" s="14"/>
      <c r="H137" s="14"/>
      <c r="I137" s="86"/>
    </row>
    <row r="138" spans="2:9" x14ac:dyDescent="0.25">
      <c r="B138" s="13"/>
      <c r="C138" s="13"/>
      <c r="D138" s="14"/>
      <c r="E138" s="14"/>
      <c r="F138" s="86"/>
      <c r="G138" s="14"/>
      <c r="H138" s="14"/>
      <c r="I138" s="86"/>
    </row>
    <row r="139" spans="2:9" x14ac:dyDescent="0.25">
      <c r="B139" s="13"/>
      <c r="C139" s="13"/>
      <c r="D139" s="14"/>
      <c r="E139" s="14"/>
      <c r="F139" s="86"/>
      <c r="G139" s="14"/>
      <c r="H139" s="14"/>
      <c r="I139" s="86"/>
    </row>
    <row r="140" spans="2:9" x14ac:dyDescent="0.25">
      <c r="B140" s="13"/>
      <c r="C140" s="13"/>
      <c r="D140" s="14"/>
      <c r="E140" s="14"/>
      <c r="F140" s="86"/>
      <c r="G140" s="14"/>
      <c r="H140" s="14"/>
      <c r="I140" s="86"/>
    </row>
    <row r="141" spans="2:9" x14ac:dyDescent="0.25">
      <c r="B141" s="13"/>
      <c r="C141" s="13"/>
      <c r="D141" s="14"/>
      <c r="E141" s="14"/>
      <c r="F141" s="86"/>
      <c r="G141" s="14"/>
      <c r="H141" s="14"/>
      <c r="I141" s="86"/>
    </row>
    <row r="142" spans="2:9" x14ac:dyDescent="0.25">
      <c r="B142" s="13"/>
      <c r="C142" s="13"/>
      <c r="D142" s="14"/>
      <c r="E142" s="14"/>
      <c r="F142" s="86"/>
      <c r="G142" s="14"/>
      <c r="H142" s="14"/>
      <c r="I142" s="86"/>
    </row>
    <row r="143" spans="2:9" x14ac:dyDescent="0.25">
      <c r="B143" s="13"/>
      <c r="C143" s="13"/>
      <c r="D143" s="14"/>
      <c r="E143" s="14"/>
      <c r="F143" s="86"/>
      <c r="G143" s="14"/>
      <c r="H143" s="14"/>
      <c r="I143" s="86"/>
    </row>
    <row r="144" spans="2:9" x14ac:dyDescent="0.25">
      <c r="B144" s="13"/>
      <c r="C144" s="13"/>
      <c r="D144" s="14"/>
      <c r="E144" s="14"/>
      <c r="F144" s="86"/>
      <c r="G144" s="14"/>
      <c r="H144" s="14"/>
      <c r="I144" s="86"/>
    </row>
    <row r="145" spans="2:9" x14ac:dyDescent="0.25">
      <c r="B145" s="13"/>
      <c r="C145" s="13"/>
      <c r="D145" s="14"/>
      <c r="E145" s="14"/>
      <c r="F145" s="86"/>
      <c r="G145" s="14"/>
      <c r="H145" s="14"/>
      <c r="I145" s="86"/>
    </row>
    <row r="146" spans="2:9" x14ac:dyDescent="0.25">
      <c r="B146" s="13"/>
      <c r="C146" s="13"/>
      <c r="D146" s="14"/>
      <c r="E146" s="14"/>
      <c r="F146" s="86"/>
      <c r="G146" s="14"/>
      <c r="H146" s="14"/>
      <c r="I146" s="86"/>
    </row>
    <row r="147" spans="2:9" x14ac:dyDescent="0.25">
      <c r="B147" s="13"/>
      <c r="C147" s="13"/>
      <c r="D147" s="14"/>
      <c r="E147" s="14"/>
      <c r="F147" s="86"/>
      <c r="G147" s="14"/>
      <c r="H147" s="14"/>
      <c r="I147" s="86"/>
    </row>
    <row r="148" spans="2:9" x14ac:dyDescent="0.25">
      <c r="B148" s="13"/>
      <c r="C148" s="13"/>
      <c r="D148" s="14"/>
      <c r="E148" s="14"/>
      <c r="F148" s="86"/>
      <c r="G148" s="14"/>
      <c r="H148" s="14"/>
      <c r="I148" s="86"/>
    </row>
    <row r="149" spans="2:9" x14ac:dyDescent="0.25">
      <c r="B149" s="13"/>
      <c r="C149" s="13"/>
      <c r="D149" s="14"/>
      <c r="E149" s="14"/>
      <c r="F149" s="86"/>
      <c r="G149" s="14"/>
      <c r="H149" s="14"/>
      <c r="I149" s="86"/>
    </row>
    <row r="150" spans="2:9" x14ac:dyDescent="0.25">
      <c r="B150" s="13"/>
      <c r="C150" s="13"/>
      <c r="D150" s="14"/>
      <c r="E150" s="14"/>
      <c r="F150" s="86"/>
      <c r="G150" s="14"/>
      <c r="H150" s="14"/>
      <c r="I150" s="86"/>
    </row>
    <row r="151" spans="2:9" x14ac:dyDescent="0.25">
      <c r="B151" s="13"/>
      <c r="C151" s="13"/>
      <c r="D151" s="14"/>
      <c r="E151" s="14"/>
      <c r="F151" s="86"/>
      <c r="G151" s="14"/>
      <c r="H151" s="14"/>
      <c r="I151" s="86"/>
    </row>
    <row r="152" spans="2:9" x14ac:dyDescent="0.25">
      <c r="B152" s="13"/>
      <c r="C152" s="13"/>
      <c r="D152" s="14"/>
      <c r="E152" s="14"/>
      <c r="F152" s="86"/>
      <c r="G152" s="14"/>
      <c r="H152" s="14"/>
      <c r="I152" s="86"/>
    </row>
    <row r="153" spans="2:9" x14ac:dyDescent="0.25">
      <c r="B153" s="13"/>
      <c r="C153" s="13"/>
      <c r="D153" s="14"/>
      <c r="E153" s="14"/>
      <c r="F153" s="86"/>
      <c r="G153" s="14"/>
      <c r="H153" s="14"/>
      <c r="I153" s="86"/>
    </row>
    <row r="154" spans="2:9" x14ac:dyDescent="0.25">
      <c r="B154" s="13"/>
      <c r="C154" s="13"/>
      <c r="D154" s="14"/>
      <c r="E154" s="14"/>
      <c r="F154" s="86"/>
      <c r="G154" s="14"/>
      <c r="H154" s="14"/>
      <c r="I154" s="86"/>
    </row>
    <row r="155" spans="2:9" x14ac:dyDescent="0.25">
      <c r="B155" s="13"/>
      <c r="C155" s="13"/>
      <c r="D155" s="14"/>
      <c r="E155" s="14"/>
      <c r="F155" s="86"/>
      <c r="G155" s="14"/>
      <c r="H155" s="14"/>
      <c r="I155" s="86"/>
    </row>
    <row r="156" spans="2:9" x14ac:dyDescent="0.25">
      <c r="B156" s="13"/>
      <c r="C156" s="13"/>
      <c r="D156" s="14"/>
      <c r="E156" s="14"/>
      <c r="F156" s="86"/>
      <c r="G156" s="14"/>
      <c r="H156" s="14"/>
      <c r="I156" s="86"/>
    </row>
    <row r="157" spans="2:9" x14ac:dyDescent="0.25">
      <c r="B157" s="13"/>
      <c r="C157" s="13"/>
      <c r="D157" s="14"/>
      <c r="E157" s="14"/>
      <c r="F157" s="86"/>
      <c r="G157" s="14"/>
      <c r="H157" s="14"/>
      <c r="I157" s="86"/>
    </row>
    <row r="158" spans="2:9" x14ac:dyDescent="0.25">
      <c r="B158" s="13"/>
      <c r="C158" s="13"/>
      <c r="D158" s="14"/>
      <c r="E158" s="14"/>
      <c r="F158" s="86"/>
      <c r="G158" s="14"/>
      <c r="H158" s="14"/>
      <c r="I158" s="86"/>
    </row>
    <row r="159" spans="2:9" x14ac:dyDescent="0.25">
      <c r="B159" s="13"/>
      <c r="C159" s="13"/>
      <c r="D159" s="14"/>
      <c r="E159" s="14"/>
      <c r="F159" s="86"/>
      <c r="G159" s="14"/>
      <c r="H159" s="14"/>
      <c r="I159" s="86"/>
    </row>
    <row r="160" spans="2:9" x14ac:dyDescent="0.25">
      <c r="B160" s="13"/>
      <c r="C160" s="13"/>
      <c r="D160" s="14"/>
      <c r="E160" s="14"/>
      <c r="F160" s="86"/>
      <c r="G160" s="14"/>
      <c r="H160" s="14"/>
      <c r="I160" s="86"/>
    </row>
    <row r="161" spans="2:9" x14ac:dyDescent="0.25">
      <c r="B161" s="13"/>
      <c r="C161" s="13"/>
      <c r="D161" s="14"/>
      <c r="E161" s="14"/>
      <c r="F161" s="86"/>
      <c r="G161" s="14"/>
      <c r="H161" s="14"/>
      <c r="I161" s="86"/>
    </row>
    <row r="162" spans="2:9" x14ac:dyDescent="0.25">
      <c r="B162" s="13"/>
      <c r="C162" s="13"/>
      <c r="D162" s="14"/>
      <c r="E162" s="14"/>
      <c r="F162" s="86"/>
      <c r="G162" s="14"/>
      <c r="H162" s="14"/>
      <c r="I162" s="86"/>
    </row>
    <row r="163" spans="2:9" x14ac:dyDescent="0.25">
      <c r="B163" s="13"/>
      <c r="C163" s="13"/>
      <c r="D163" s="14"/>
      <c r="E163" s="14"/>
      <c r="F163" s="86"/>
      <c r="G163" s="14"/>
      <c r="H163" s="14"/>
      <c r="I163" s="86"/>
    </row>
    <row r="164" spans="2:9" x14ac:dyDescent="0.25">
      <c r="B164" s="13"/>
      <c r="C164" s="13"/>
      <c r="D164" s="14"/>
      <c r="E164" s="14"/>
      <c r="F164" s="86"/>
      <c r="G164" s="14"/>
      <c r="H164" s="14"/>
      <c r="I164" s="86"/>
    </row>
    <row r="165" spans="2:9" x14ac:dyDescent="0.25">
      <c r="B165" s="13"/>
      <c r="C165" s="13"/>
      <c r="D165" s="14"/>
      <c r="E165" s="14"/>
      <c r="F165" s="86"/>
      <c r="G165" s="14"/>
      <c r="H165" s="14"/>
      <c r="I165" s="86"/>
    </row>
    <row r="166" spans="2:9" x14ac:dyDescent="0.25">
      <c r="B166" s="13"/>
      <c r="C166" s="13"/>
      <c r="D166" s="14"/>
      <c r="E166" s="14"/>
      <c r="F166" s="86"/>
      <c r="G166" s="14"/>
      <c r="H166" s="14"/>
      <c r="I166" s="86"/>
    </row>
    <row r="167" spans="2:9" x14ac:dyDescent="0.25">
      <c r="B167" s="13"/>
      <c r="C167" s="13"/>
      <c r="D167" s="14"/>
      <c r="E167" s="14"/>
      <c r="F167" s="86"/>
      <c r="G167" s="14"/>
      <c r="H167" s="14"/>
      <c r="I167" s="86"/>
    </row>
    <row r="168" spans="2:9" x14ac:dyDescent="0.25">
      <c r="B168" s="13"/>
      <c r="C168" s="13"/>
      <c r="D168" s="14"/>
      <c r="E168" s="14"/>
      <c r="F168" s="86"/>
      <c r="G168" s="14"/>
      <c r="H168" s="14"/>
      <c r="I168" s="86"/>
    </row>
    <row r="169" spans="2:9" x14ac:dyDescent="0.25">
      <c r="B169" s="13"/>
      <c r="C169" s="13"/>
      <c r="D169" s="14"/>
      <c r="E169" s="14"/>
      <c r="F169" s="86"/>
      <c r="G169" s="14"/>
      <c r="H169" s="14"/>
      <c r="I169" s="86"/>
    </row>
    <row r="170" spans="2:9" x14ac:dyDescent="0.25">
      <c r="B170" s="13"/>
      <c r="C170" s="13"/>
      <c r="D170" s="14"/>
      <c r="E170" s="14"/>
      <c r="F170" s="86"/>
      <c r="G170" s="14"/>
      <c r="H170" s="14"/>
      <c r="I170" s="86"/>
    </row>
    <row r="171" spans="2:9" x14ac:dyDescent="0.25">
      <c r="B171" s="13"/>
      <c r="C171" s="13"/>
      <c r="D171" s="14"/>
      <c r="E171" s="14"/>
      <c r="F171" s="86"/>
      <c r="G171" s="14"/>
      <c r="H171" s="14"/>
      <c r="I171" s="86"/>
    </row>
    <row r="172" spans="2:9" x14ac:dyDescent="0.25">
      <c r="B172" s="13"/>
      <c r="C172" s="13"/>
      <c r="D172" s="14"/>
      <c r="E172" s="14"/>
      <c r="F172" s="86"/>
      <c r="G172" s="14"/>
      <c r="H172" s="14"/>
      <c r="I172" s="86"/>
    </row>
    <row r="173" spans="2:9" x14ac:dyDescent="0.25">
      <c r="B173" s="13"/>
      <c r="C173" s="13"/>
      <c r="D173" s="14"/>
      <c r="E173" s="14"/>
      <c r="F173" s="86"/>
      <c r="G173" s="14"/>
      <c r="H173" s="14"/>
      <c r="I173" s="86"/>
    </row>
    <row r="174" spans="2:9" x14ac:dyDescent="0.25">
      <c r="B174" s="13"/>
      <c r="C174" s="13"/>
      <c r="D174" s="14"/>
      <c r="E174" s="14"/>
      <c r="F174" s="86"/>
      <c r="G174" s="14"/>
      <c r="H174" s="14"/>
      <c r="I174" s="86"/>
    </row>
    <row r="175" spans="2:9" x14ac:dyDescent="0.25">
      <c r="B175" s="13"/>
      <c r="C175" s="13"/>
      <c r="D175" s="14"/>
      <c r="E175" s="14"/>
      <c r="F175" s="86"/>
      <c r="G175" s="14"/>
      <c r="H175" s="14"/>
      <c r="I175" s="86"/>
    </row>
    <row r="176" spans="2:9" x14ac:dyDescent="0.25">
      <c r="B176" s="13"/>
      <c r="C176" s="13"/>
      <c r="D176" s="14"/>
      <c r="E176" s="14"/>
      <c r="F176" s="86"/>
      <c r="G176" s="14"/>
      <c r="H176" s="14"/>
      <c r="I176" s="86"/>
    </row>
    <row r="177" spans="2:9" x14ac:dyDescent="0.25">
      <c r="B177" s="13"/>
      <c r="C177" s="13"/>
      <c r="D177" s="14"/>
      <c r="E177" s="14"/>
      <c r="F177" s="86"/>
      <c r="G177" s="14"/>
      <c r="H177" s="14"/>
      <c r="I177" s="86"/>
    </row>
    <row r="178" spans="2:9" x14ac:dyDescent="0.25">
      <c r="B178" s="13"/>
      <c r="C178" s="13"/>
      <c r="D178" s="14"/>
      <c r="E178" s="14"/>
      <c r="F178" s="86"/>
      <c r="G178" s="14"/>
      <c r="H178" s="14"/>
      <c r="I178" s="86"/>
    </row>
    <row r="179" spans="2:9" x14ac:dyDescent="0.25">
      <c r="B179" s="13"/>
      <c r="C179" s="13"/>
      <c r="D179" s="14"/>
      <c r="E179" s="14"/>
      <c r="F179" s="86"/>
      <c r="G179" s="14"/>
      <c r="H179" s="14"/>
      <c r="I179" s="86"/>
    </row>
    <row r="180" spans="2:9" x14ac:dyDescent="0.25">
      <c r="B180" s="13"/>
      <c r="C180" s="13"/>
      <c r="D180" s="14"/>
      <c r="E180" s="14"/>
      <c r="F180" s="86"/>
      <c r="G180" s="14"/>
      <c r="H180" s="14"/>
      <c r="I180" s="86"/>
    </row>
    <row r="181" spans="2:9" x14ac:dyDescent="0.25">
      <c r="B181" s="13"/>
      <c r="C181" s="13"/>
      <c r="D181" s="14"/>
      <c r="E181" s="14"/>
      <c r="F181" s="86"/>
      <c r="G181" s="14"/>
      <c r="H181" s="14"/>
      <c r="I181" s="86"/>
    </row>
    <row r="182" spans="2:9" x14ac:dyDescent="0.25">
      <c r="B182" s="13"/>
      <c r="C182" s="13"/>
      <c r="D182" s="14"/>
      <c r="E182" s="14"/>
      <c r="F182" s="86"/>
      <c r="G182" s="14"/>
      <c r="H182" s="14"/>
      <c r="I182" s="86"/>
    </row>
    <row r="183" spans="2:9" x14ac:dyDescent="0.25">
      <c r="B183" s="13"/>
      <c r="C183" s="13"/>
      <c r="D183" s="14"/>
      <c r="E183" s="14"/>
      <c r="F183" s="86"/>
      <c r="G183" s="14"/>
      <c r="H183" s="14"/>
      <c r="I183" s="86"/>
    </row>
    <row r="184" spans="2:9" x14ac:dyDescent="0.25">
      <c r="B184" s="13"/>
      <c r="C184" s="13"/>
      <c r="D184" s="14"/>
      <c r="E184" s="14"/>
      <c r="F184" s="86"/>
      <c r="G184" s="14"/>
      <c r="H184" s="14"/>
      <c r="I184" s="86"/>
    </row>
    <row r="185" spans="2:9" x14ac:dyDescent="0.25">
      <c r="B185" s="13"/>
      <c r="C185" s="13"/>
      <c r="D185" s="14"/>
      <c r="E185" s="14"/>
      <c r="F185" s="86"/>
      <c r="G185" s="14"/>
      <c r="H185" s="14"/>
      <c r="I185" s="86"/>
    </row>
    <row r="186" spans="2:9" x14ac:dyDescent="0.25">
      <c r="B186" s="13"/>
      <c r="C186" s="13"/>
      <c r="D186" s="14"/>
      <c r="E186" s="14"/>
      <c r="F186" s="86"/>
      <c r="G186" s="14"/>
      <c r="H186" s="14"/>
      <c r="I186" s="86"/>
    </row>
    <row r="187" spans="2:9" x14ac:dyDescent="0.25">
      <c r="B187" s="13"/>
      <c r="C187" s="13"/>
      <c r="D187" s="14"/>
      <c r="E187" s="14"/>
      <c r="F187" s="86"/>
      <c r="G187" s="14"/>
      <c r="H187" s="14"/>
      <c r="I187" s="86"/>
    </row>
    <row r="188" spans="2:9" x14ac:dyDescent="0.25">
      <c r="B188" s="13"/>
      <c r="C188" s="13"/>
      <c r="D188" s="14"/>
      <c r="E188" s="14"/>
      <c r="F188" s="86"/>
      <c r="G188" s="14"/>
      <c r="H188" s="14"/>
      <c r="I188" s="86"/>
    </row>
    <row r="189" spans="2:9" x14ac:dyDescent="0.25">
      <c r="B189" s="13"/>
      <c r="C189" s="13"/>
      <c r="D189" s="14"/>
      <c r="E189" s="14"/>
      <c r="F189" s="86"/>
      <c r="G189" s="14"/>
      <c r="H189" s="14"/>
      <c r="I189" s="86"/>
    </row>
    <row r="190" spans="2:9" x14ac:dyDescent="0.25">
      <c r="B190" s="13"/>
      <c r="C190" s="13"/>
      <c r="D190" s="14"/>
      <c r="E190" s="14"/>
      <c r="F190" s="86"/>
      <c r="G190" s="14"/>
      <c r="H190" s="14"/>
      <c r="I190" s="86"/>
    </row>
    <row r="191" spans="2:9" x14ac:dyDescent="0.25">
      <c r="B191" s="13"/>
      <c r="C191" s="13"/>
      <c r="D191" s="14"/>
      <c r="E191" s="14"/>
      <c r="F191" s="86"/>
      <c r="G191" s="14"/>
      <c r="H191" s="14"/>
      <c r="I191" s="86"/>
    </row>
    <row r="192" spans="2:9" x14ac:dyDescent="0.25">
      <c r="B192" s="13"/>
      <c r="C192" s="13"/>
      <c r="D192" s="14"/>
      <c r="E192" s="14"/>
      <c r="F192" s="86"/>
      <c r="G192" s="14"/>
      <c r="H192" s="14"/>
      <c r="I192" s="86"/>
    </row>
    <row r="193" spans="2:9" x14ac:dyDescent="0.25">
      <c r="B193" s="13"/>
      <c r="C193" s="13"/>
      <c r="D193" s="14"/>
      <c r="E193" s="14"/>
      <c r="F193" s="86"/>
      <c r="G193" s="14"/>
      <c r="H193" s="14"/>
      <c r="I193" s="86"/>
    </row>
    <row r="194" spans="2:9" x14ac:dyDescent="0.25">
      <c r="B194" s="13"/>
      <c r="C194" s="13"/>
      <c r="D194" s="14"/>
      <c r="E194" s="14"/>
      <c r="F194" s="86"/>
      <c r="G194" s="14"/>
      <c r="H194" s="14"/>
      <c r="I194" s="86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9652777777777778" top="0.59027777777777779" bottom="0.51180555555555551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  <pageSetUpPr fitToPage="1"/>
  </sheetPr>
  <dimension ref="A1:T51"/>
  <sheetViews>
    <sheetView view="pageBreakPreview" zoomScale="80" zoomScaleSheetLayoutView="80" workbookViewId="0">
      <selection activeCell="S2" sqref="S2"/>
    </sheetView>
  </sheetViews>
  <sheetFormatPr defaultRowHeight="15" x14ac:dyDescent="0.25"/>
  <cols>
    <col min="1" max="1" width="5.42578125" style="163" customWidth="1"/>
    <col min="2" max="2" width="55.7109375" style="166" customWidth="1"/>
    <col min="3" max="3" width="11.85546875" style="163" customWidth="1"/>
    <col min="4" max="4" width="0" style="163" hidden="1" customWidth="1"/>
    <col min="5" max="5" width="11.85546875" style="163" customWidth="1"/>
    <col min="6" max="6" width="0" style="163" hidden="1" customWidth="1"/>
    <col min="7" max="7" width="11.85546875" style="163" customWidth="1"/>
    <col min="8" max="8" width="0" style="163" hidden="1" customWidth="1"/>
    <col min="9" max="9" width="11.85546875" style="163" customWidth="1"/>
    <col min="10" max="10" width="0" style="163" hidden="1" customWidth="1"/>
    <col min="11" max="11" width="11.85546875" style="163" customWidth="1"/>
    <col min="12" max="12" width="0" style="163" hidden="1" customWidth="1"/>
    <col min="13" max="13" width="11.85546875" style="163" customWidth="1"/>
    <col min="14" max="14" width="0" style="163" hidden="1" customWidth="1"/>
    <col min="15" max="15" width="11.85546875" style="163" customWidth="1"/>
    <col min="16" max="16" width="0" style="163" hidden="1" customWidth="1"/>
    <col min="17" max="17" width="11.85546875" style="163" customWidth="1"/>
    <col min="18" max="18" width="0" style="163" hidden="1" customWidth="1"/>
    <col min="19" max="19" width="11.7109375" style="163" customWidth="1"/>
    <col min="20" max="20" width="0" style="163" hidden="1" customWidth="1"/>
    <col min="21" max="16384" width="9.140625" style="163"/>
  </cols>
  <sheetData>
    <row r="1" spans="1:20" ht="25.5" customHeight="1" x14ac:dyDescent="0.3">
      <c r="B1" s="464" t="s">
        <v>879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"/>
      <c r="O1" s="166"/>
      <c r="P1" s="166"/>
      <c r="Q1" s="166"/>
      <c r="R1" s="166"/>
      <c r="S1" s="15" t="s">
        <v>671</v>
      </c>
      <c r="T1" s="15" t="s">
        <v>672</v>
      </c>
    </row>
    <row r="2" spans="1:20" ht="23.25" customHeight="1" x14ac:dyDescent="0.35">
      <c r="B2" s="258" t="s">
        <v>673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9"/>
      <c r="P2" s="259"/>
      <c r="Q2" s="259"/>
      <c r="R2" s="259"/>
      <c r="S2" s="16" t="s">
        <v>937</v>
      </c>
      <c r="T2" s="16" t="s">
        <v>11</v>
      </c>
    </row>
    <row r="4" spans="1:20" x14ac:dyDescent="0.25">
      <c r="B4" s="260" t="s">
        <v>674</v>
      </c>
      <c r="C4" s="260"/>
      <c r="D4" s="260"/>
    </row>
    <row r="5" spans="1:20" x14ac:dyDescent="0.25">
      <c r="C5" s="260"/>
      <c r="D5" s="260"/>
    </row>
    <row r="6" spans="1:20" ht="39" x14ac:dyDescent="0.25">
      <c r="C6" s="261" t="s">
        <v>12</v>
      </c>
      <c r="D6" s="261" t="s">
        <v>13</v>
      </c>
      <c r="E6" s="261" t="s">
        <v>12</v>
      </c>
      <c r="F6" s="261" t="s">
        <v>13</v>
      </c>
      <c r="G6" s="261" t="s">
        <v>12</v>
      </c>
      <c r="H6" s="261" t="s">
        <v>13</v>
      </c>
      <c r="I6" s="261" t="s">
        <v>12</v>
      </c>
      <c r="J6" s="261" t="s">
        <v>13</v>
      </c>
      <c r="K6" s="261" t="s">
        <v>12</v>
      </c>
      <c r="L6" s="261" t="s">
        <v>13</v>
      </c>
      <c r="M6" s="261" t="s">
        <v>12</v>
      </c>
      <c r="N6" s="261" t="s">
        <v>13</v>
      </c>
      <c r="O6" s="261" t="s">
        <v>12</v>
      </c>
      <c r="P6" s="261" t="s">
        <v>13</v>
      </c>
      <c r="Q6" s="261" t="s">
        <v>12</v>
      </c>
      <c r="R6" s="261" t="s">
        <v>13</v>
      </c>
      <c r="S6" s="261" t="s">
        <v>12</v>
      </c>
      <c r="T6" s="261" t="s">
        <v>13</v>
      </c>
    </row>
    <row r="7" spans="1:20" s="264" customFormat="1" ht="102" customHeight="1" x14ac:dyDescent="0.2">
      <c r="A7" s="262" t="s">
        <v>675</v>
      </c>
      <c r="B7" s="263" t="s">
        <v>676</v>
      </c>
      <c r="C7" s="477" t="s">
        <v>677</v>
      </c>
      <c r="D7" s="477"/>
      <c r="E7" s="477" t="s">
        <v>2</v>
      </c>
      <c r="F7" s="477"/>
      <c r="G7" s="477" t="s">
        <v>4</v>
      </c>
      <c r="H7" s="477"/>
      <c r="I7" s="477" t="s">
        <v>5</v>
      </c>
      <c r="J7" s="477"/>
      <c r="K7" s="477" t="s">
        <v>6</v>
      </c>
      <c r="L7" s="477"/>
      <c r="M7" s="477" t="s">
        <v>8</v>
      </c>
      <c r="N7" s="477"/>
      <c r="O7" s="477" t="s">
        <v>666</v>
      </c>
      <c r="P7" s="477"/>
      <c r="Q7" s="477" t="s">
        <v>3</v>
      </c>
      <c r="R7" s="477"/>
      <c r="S7" s="478" t="s">
        <v>678</v>
      </c>
      <c r="T7" s="478"/>
    </row>
    <row r="8" spans="1:20" s="181" customFormat="1" ht="15" customHeight="1" x14ac:dyDescent="0.2">
      <c r="A8" s="190">
        <v>1</v>
      </c>
      <c r="B8" s="265" t="s">
        <v>679</v>
      </c>
      <c r="C8" s="266"/>
      <c r="D8" s="266"/>
      <c r="E8" s="266">
        <v>2</v>
      </c>
      <c r="F8" s="266">
        <v>0</v>
      </c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7">
        <f t="shared" ref="S8:T11" si="0">+C8+E8+G8+I8+K8+M8+O8+Q8</f>
        <v>2</v>
      </c>
      <c r="T8" s="267">
        <f t="shared" si="0"/>
        <v>0</v>
      </c>
    </row>
    <row r="9" spans="1:20" s="181" customFormat="1" ht="15" customHeight="1" x14ac:dyDescent="0.2">
      <c r="A9" s="190">
        <v>2</v>
      </c>
      <c r="B9" s="265" t="s">
        <v>680</v>
      </c>
      <c r="C9" s="266"/>
      <c r="D9" s="266"/>
      <c r="E9" s="266">
        <v>18</v>
      </c>
      <c r="F9" s="266">
        <v>0</v>
      </c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7">
        <f t="shared" si="0"/>
        <v>18</v>
      </c>
      <c r="T9" s="267">
        <f t="shared" si="0"/>
        <v>0</v>
      </c>
    </row>
    <row r="10" spans="1:20" s="181" customFormat="1" ht="15" customHeight="1" x14ac:dyDescent="0.2">
      <c r="A10" s="190">
        <v>3</v>
      </c>
      <c r="B10" s="265" t="s">
        <v>681</v>
      </c>
      <c r="C10" s="266"/>
      <c r="D10" s="266"/>
      <c r="E10" s="266">
        <v>15</v>
      </c>
      <c r="F10" s="266">
        <v>0</v>
      </c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7">
        <f t="shared" si="0"/>
        <v>15</v>
      </c>
      <c r="T10" s="267">
        <f t="shared" si="0"/>
        <v>0</v>
      </c>
    </row>
    <row r="11" spans="1:20" s="181" customFormat="1" ht="15" customHeight="1" x14ac:dyDescent="0.2">
      <c r="A11" s="190">
        <v>4</v>
      </c>
      <c r="B11" s="265" t="s">
        <v>682</v>
      </c>
      <c r="C11" s="266"/>
      <c r="D11" s="266"/>
      <c r="E11" s="266">
        <v>1</v>
      </c>
      <c r="F11" s="266">
        <v>0</v>
      </c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7">
        <f t="shared" si="0"/>
        <v>1</v>
      </c>
      <c r="T11" s="267">
        <f t="shared" si="0"/>
        <v>0</v>
      </c>
    </row>
    <row r="12" spans="1:20" s="202" customFormat="1" ht="24.75" customHeight="1" x14ac:dyDescent="0.2">
      <c r="A12" s="268">
        <v>5</v>
      </c>
      <c r="B12" s="269" t="s">
        <v>683</v>
      </c>
      <c r="C12" s="270">
        <f t="shared" ref="C12:T12" si="1">SUM(C8:C11)</f>
        <v>0</v>
      </c>
      <c r="D12" s="270">
        <f t="shared" si="1"/>
        <v>0</v>
      </c>
      <c r="E12" s="270">
        <f t="shared" si="1"/>
        <v>36</v>
      </c>
      <c r="F12" s="270">
        <f t="shared" si="1"/>
        <v>0</v>
      </c>
      <c r="G12" s="270">
        <f t="shared" si="1"/>
        <v>0</v>
      </c>
      <c r="H12" s="270">
        <f t="shared" si="1"/>
        <v>0</v>
      </c>
      <c r="I12" s="270">
        <f t="shared" si="1"/>
        <v>0</v>
      </c>
      <c r="J12" s="270">
        <f t="shared" si="1"/>
        <v>0</v>
      </c>
      <c r="K12" s="270">
        <f t="shared" si="1"/>
        <v>0</v>
      </c>
      <c r="L12" s="270">
        <f t="shared" si="1"/>
        <v>0</v>
      </c>
      <c r="M12" s="270">
        <f t="shared" si="1"/>
        <v>0</v>
      </c>
      <c r="N12" s="270">
        <f t="shared" si="1"/>
        <v>0</v>
      </c>
      <c r="O12" s="270">
        <f t="shared" si="1"/>
        <v>0</v>
      </c>
      <c r="P12" s="270">
        <f t="shared" si="1"/>
        <v>0</v>
      </c>
      <c r="Q12" s="270">
        <f t="shared" si="1"/>
        <v>0</v>
      </c>
      <c r="R12" s="270">
        <f t="shared" si="1"/>
        <v>0</v>
      </c>
      <c r="S12" s="270">
        <f t="shared" si="1"/>
        <v>36</v>
      </c>
      <c r="T12" s="270">
        <f t="shared" si="1"/>
        <v>0</v>
      </c>
    </row>
    <row r="13" spans="1:20" s="181" customFormat="1" ht="15" customHeight="1" x14ac:dyDescent="0.2">
      <c r="A13" s="190">
        <v>6</v>
      </c>
      <c r="B13" s="265" t="s">
        <v>684</v>
      </c>
      <c r="C13" s="266"/>
      <c r="D13" s="266"/>
      <c r="E13" s="266"/>
      <c r="F13" s="266"/>
      <c r="G13" s="266">
        <v>1</v>
      </c>
      <c r="H13" s="266">
        <v>0</v>
      </c>
      <c r="I13" s="266">
        <v>3</v>
      </c>
      <c r="J13" s="266">
        <v>0</v>
      </c>
      <c r="K13" s="266"/>
      <c r="L13" s="266">
        <v>0</v>
      </c>
      <c r="M13" s="266">
        <v>1</v>
      </c>
      <c r="N13" s="266">
        <v>0</v>
      </c>
      <c r="O13" s="266">
        <v>1</v>
      </c>
      <c r="P13" s="266">
        <v>0</v>
      </c>
      <c r="Q13" s="266">
        <v>1</v>
      </c>
      <c r="R13" s="266">
        <v>0</v>
      </c>
      <c r="S13" s="267">
        <f t="shared" ref="S13:T15" si="2">+C13+E13+G13+I13+K13+M13+O13+Q13</f>
        <v>7</v>
      </c>
      <c r="T13" s="267">
        <f t="shared" si="2"/>
        <v>0</v>
      </c>
    </row>
    <row r="14" spans="1:20" s="181" customFormat="1" ht="27.75" customHeight="1" x14ac:dyDescent="0.2">
      <c r="A14" s="190">
        <v>7</v>
      </c>
      <c r="B14" s="265" t="s">
        <v>685</v>
      </c>
      <c r="C14" s="266"/>
      <c r="D14" s="266"/>
      <c r="E14" s="266"/>
      <c r="F14" s="266"/>
      <c r="G14" s="266">
        <v>1</v>
      </c>
      <c r="H14" s="266">
        <v>0</v>
      </c>
      <c r="I14" s="266">
        <v>1</v>
      </c>
      <c r="J14" s="266">
        <v>0</v>
      </c>
      <c r="K14" s="266">
        <v>1</v>
      </c>
      <c r="L14" s="266">
        <v>0</v>
      </c>
      <c r="M14" s="266"/>
      <c r="N14" s="266"/>
      <c r="O14" s="266"/>
      <c r="P14" s="266"/>
      <c r="Q14" s="266">
        <v>4</v>
      </c>
      <c r="R14" s="266">
        <v>0</v>
      </c>
      <c r="S14" s="267">
        <f t="shared" si="2"/>
        <v>7</v>
      </c>
      <c r="T14" s="267">
        <f t="shared" si="2"/>
        <v>0</v>
      </c>
    </row>
    <row r="15" spans="1:20" s="181" customFormat="1" ht="15" customHeight="1" x14ac:dyDescent="0.2">
      <c r="A15" s="190">
        <v>8</v>
      </c>
      <c r="B15" s="265" t="s">
        <v>686</v>
      </c>
      <c r="C15" s="266"/>
      <c r="D15" s="266"/>
      <c r="E15" s="266"/>
      <c r="F15" s="266"/>
      <c r="G15" s="266"/>
      <c r="H15" s="266"/>
      <c r="I15" s="266">
        <v>8</v>
      </c>
      <c r="J15" s="266">
        <v>0</v>
      </c>
      <c r="K15" s="266"/>
      <c r="L15" s="266"/>
      <c r="M15" s="266"/>
      <c r="N15" s="266"/>
      <c r="O15" s="266"/>
      <c r="P15" s="266"/>
      <c r="Q15" s="266"/>
      <c r="R15" s="266"/>
      <c r="S15" s="267">
        <f t="shared" si="2"/>
        <v>8</v>
      </c>
      <c r="T15" s="267">
        <f t="shared" si="2"/>
        <v>0</v>
      </c>
    </row>
    <row r="16" spans="1:20" s="181" customFormat="1" ht="15" customHeight="1" x14ac:dyDescent="0.2">
      <c r="A16" s="190">
        <v>9</v>
      </c>
      <c r="B16" s="265" t="s">
        <v>687</v>
      </c>
      <c r="C16" s="266"/>
      <c r="D16" s="266"/>
      <c r="E16" s="266"/>
      <c r="F16" s="266"/>
      <c r="G16" s="266"/>
      <c r="H16" s="266"/>
      <c r="I16" s="266"/>
      <c r="J16" s="266"/>
      <c r="K16" s="266">
        <v>1</v>
      </c>
      <c r="L16" s="266"/>
      <c r="M16" s="266"/>
      <c r="N16" s="266"/>
      <c r="O16" s="266"/>
      <c r="P16" s="266"/>
      <c r="Q16" s="266"/>
      <c r="R16" s="266"/>
      <c r="S16" s="267">
        <f t="shared" ref="S16:S23" si="3">+C16+E16+G16+I16+K16+M16+O16+Q16</f>
        <v>1</v>
      </c>
      <c r="T16" s="267"/>
    </row>
    <row r="17" spans="1:20" s="181" customFormat="1" ht="15" customHeight="1" x14ac:dyDescent="0.2">
      <c r="A17" s="190">
        <v>10</v>
      </c>
      <c r="B17" s="265" t="s">
        <v>688</v>
      </c>
      <c r="C17" s="266"/>
      <c r="D17" s="266"/>
      <c r="E17" s="266"/>
      <c r="F17" s="266"/>
      <c r="G17" s="266"/>
      <c r="H17" s="266"/>
      <c r="I17" s="266"/>
      <c r="J17" s="266"/>
      <c r="K17" s="266">
        <v>17</v>
      </c>
      <c r="L17" s="266">
        <v>0</v>
      </c>
      <c r="M17" s="266"/>
      <c r="N17" s="266"/>
      <c r="O17" s="266"/>
      <c r="P17" s="266"/>
      <c r="Q17" s="266"/>
      <c r="R17" s="266"/>
      <c r="S17" s="267">
        <f t="shared" si="3"/>
        <v>17</v>
      </c>
      <c r="T17" s="267">
        <f>+D17+F17+H17+J17+L17+N17+P17+R17</f>
        <v>0</v>
      </c>
    </row>
    <row r="18" spans="1:20" s="181" customFormat="1" ht="15" customHeight="1" x14ac:dyDescent="0.2">
      <c r="A18" s="190">
        <v>11</v>
      </c>
      <c r="B18" s="265" t="s">
        <v>689</v>
      </c>
      <c r="C18" s="266"/>
      <c r="D18" s="266"/>
      <c r="E18" s="266"/>
      <c r="F18" s="266"/>
      <c r="G18" s="266"/>
      <c r="H18" s="266"/>
      <c r="I18" s="266"/>
      <c r="J18" s="266"/>
      <c r="K18" s="266">
        <v>3</v>
      </c>
      <c r="L18" s="266"/>
      <c r="M18" s="266"/>
      <c r="N18" s="266"/>
      <c r="O18" s="266"/>
      <c r="P18" s="266"/>
      <c r="Q18" s="266"/>
      <c r="R18" s="266"/>
      <c r="S18" s="267">
        <f t="shared" si="3"/>
        <v>3</v>
      </c>
      <c r="T18" s="267"/>
    </row>
    <row r="19" spans="1:20" s="181" customFormat="1" ht="15" customHeight="1" x14ac:dyDescent="0.2">
      <c r="A19" s="190">
        <v>12</v>
      </c>
      <c r="B19" s="265" t="s">
        <v>690</v>
      </c>
      <c r="C19" s="266"/>
      <c r="D19" s="266"/>
      <c r="E19" s="266"/>
      <c r="F19" s="266"/>
      <c r="G19" s="266"/>
      <c r="H19" s="266"/>
      <c r="I19" s="266"/>
      <c r="J19" s="266"/>
      <c r="K19" s="266">
        <v>1</v>
      </c>
      <c r="L19" s="266">
        <v>0</v>
      </c>
      <c r="M19" s="266"/>
      <c r="N19" s="266"/>
      <c r="O19" s="266"/>
      <c r="P19" s="266"/>
      <c r="Q19" s="266"/>
      <c r="R19" s="266"/>
      <c r="S19" s="267">
        <f t="shared" si="3"/>
        <v>1</v>
      </c>
      <c r="T19" s="267">
        <f>+D19+F19+H19+J19+L19+N19+P19+R19</f>
        <v>0</v>
      </c>
    </row>
    <row r="20" spans="1:20" s="181" customFormat="1" ht="15" customHeight="1" x14ac:dyDescent="0.2">
      <c r="A20" s="190">
        <v>13</v>
      </c>
      <c r="B20" s="265" t="s">
        <v>691</v>
      </c>
      <c r="C20" s="266"/>
      <c r="D20" s="266"/>
      <c r="E20" s="266"/>
      <c r="F20" s="266"/>
      <c r="G20" s="266">
        <v>6</v>
      </c>
      <c r="H20" s="266">
        <v>0</v>
      </c>
      <c r="I20" s="266">
        <v>25</v>
      </c>
      <c r="J20" s="266">
        <v>0</v>
      </c>
      <c r="K20" s="266">
        <v>45</v>
      </c>
      <c r="L20" s="266">
        <v>0</v>
      </c>
      <c r="M20" s="266">
        <v>1</v>
      </c>
      <c r="N20" s="266">
        <v>0</v>
      </c>
      <c r="O20" s="266">
        <v>3</v>
      </c>
      <c r="P20" s="266">
        <v>0</v>
      </c>
      <c r="Q20" s="266">
        <v>30</v>
      </c>
      <c r="R20" s="266">
        <v>0</v>
      </c>
      <c r="S20" s="267">
        <f t="shared" si="3"/>
        <v>110</v>
      </c>
      <c r="T20" s="267">
        <f>+D20+F20+H20+J20+L20+N20+P20+R20</f>
        <v>0</v>
      </c>
    </row>
    <row r="21" spans="1:20" s="181" customFormat="1" ht="15" customHeight="1" x14ac:dyDescent="0.2">
      <c r="A21" s="190">
        <v>14</v>
      </c>
      <c r="B21" s="265" t="s">
        <v>692</v>
      </c>
      <c r="C21" s="266"/>
      <c r="D21" s="266"/>
      <c r="E21" s="266"/>
      <c r="F21" s="266"/>
      <c r="G21" s="266">
        <v>20</v>
      </c>
      <c r="H21" s="266">
        <v>0</v>
      </c>
      <c r="I21" s="266">
        <v>19</v>
      </c>
      <c r="J21" s="266">
        <v>0</v>
      </c>
      <c r="K21" s="266">
        <v>20</v>
      </c>
      <c r="L21" s="266">
        <v>0</v>
      </c>
      <c r="M21" s="266"/>
      <c r="N21" s="266"/>
      <c r="O21" s="266">
        <v>3</v>
      </c>
      <c r="P21" s="266">
        <v>0</v>
      </c>
      <c r="Q21" s="266">
        <v>17</v>
      </c>
      <c r="R21" s="266">
        <v>0</v>
      </c>
      <c r="S21" s="267">
        <f t="shared" si="3"/>
        <v>79</v>
      </c>
      <c r="T21" s="267">
        <f>+D21+F21+H21+J21+L21+N21+P21+R21</f>
        <v>0</v>
      </c>
    </row>
    <row r="22" spans="1:20" s="181" customFormat="1" ht="15" customHeight="1" x14ac:dyDescent="0.2">
      <c r="A22" s="190">
        <v>15</v>
      </c>
      <c r="B22" s="265" t="s">
        <v>693</v>
      </c>
      <c r="C22" s="266"/>
      <c r="D22" s="266"/>
      <c r="E22" s="266"/>
      <c r="F22" s="266"/>
      <c r="G22" s="266">
        <v>29</v>
      </c>
      <c r="H22" s="266">
        <v>0</v>
      </c>
      <c r="I22" s="266">
        <v>45</v>
      </c>
      <c r="J22" s="266">
        <v>0</v>
      </c>
      <c r="K22" s="266">
        <v>9</v>
      </c>
      <c r="L22" s="266">
        <v>0</v>
      </c>
      <c r="M22" s="266">
        <v>4</v>
      </c>
      <c r="N22" s="266">
        <v>0</v>
      </c>
      <c r="O22" s="266">
        <v>2</v>
      </c>
      <c r="P22" s="266">
        <v>0</v>
      </c>
      <c r="Q22" s="266"/>
      <c r="R22" s="266">
        <v>0</v>
      </c>
      <c r="S22" s="267">
        <f t="shared" si="3"/>
        <v>89</v>
      </c>
      <c r="T22" s="267">
        <f>+D22+F22+H22+J22+L22+N22+P22+R22</f>
        <v>0</v>
      </c>
    </row>
    <row r="23" spans="1:20" s="181" customFormat="1" ht="15" customHeight="1" x14ac:dyDescent="0.2">
      <c r="A23" s="190">
        <v>16</v>
      </c>
      <c r="B23" s="265" t="s">
        <v>694</v>
      </c>
      <c r="C23" s="266"/>
      <c r="D23" s="266"/>
      <c r="E23" s="266"/>
      <c r="F23" s="266"/>
      <c r="G23" s="266"/>
      <c r="H23" s="266"/>
      <c r="I23" s="266"/>
      <c r="J23" s="266"/>
      <c r="K23" s="266">
        <v>5</v>
      </c>
      <c r="L23" s="266"/>
      <c r="M23" s="266"/>
      <c r="N23" s="266"/>
      <c r="O23" s="266"/>
      <c r="P23" s="266"/>
      <c r="Q23" s="266"/>
      <c r="R23" s="266"/>
      <c r="S23" s="267">
        <f t="shared" si="3"/>
        <v>5</v>
      </c>
      <c r="T23" s="267">
        <f>+D23+F23+H23+J23+L23+N23+P23+R23</f>
        <v>0</v>
      </c>
    </row>
    <row r="24" spans="1:20" s="202" customFormat="1" ht="15" customHeight="1" x14ac:dyDescent="0.2">
      <c r="A24" s="435">
        <v>17</v>
      </c>
      <c r="B24" s="436" t="s">
        <v>695</v>
      </c>
      <c r="C24" s="437">
        <f t="shared" ref="C24:T24" si="4">SUM(C13:C23)</f>
        <v>0</v>
      </c>
      <c r="D24" s="270">
        <f t="shared" si="4"/>
        <v>0</v>
      </c>
      <c r="E24" s="270">
        <f t="shared" si="4"/>
        <v>0</v>
      </c>
      <c r="F24" s="270">
        <f t="shared" si="4"/>
        <v>0</v>
      </c>
      <c r="G24" s="270">
        <f t="shared" si="4"/>
        <v>57</v>
      </c>
      <c r="H24" s="270">
        <f t="shared" si="4"/>
        <v>0</v>
      </c>
      <c r="I24" s="270">
        <f t="shared" si="4"/>
        <v>101</v>
      </c>
      <c r="J24" s="270">
        <f t="shared" si="4"/>
        <v>0</v>
      </c>
      <c r="K24" s="270">
        <f t="shared" si="4"/>
        <v>102</v>
      </c>
      <c r="L24" s="270">
        <f t="shared" si="4"/>
        <v>0</v>
      </c>
      <c r="M24" s="270">
        <f t="shared" si="4"/>
        <v>6</v>
      </c>
      <c r="N24" s="270">
        <f t="shared" si="4"/>
        <v>0</v>
      </c>
      <c r="O24" s="270">
        <f t="shared" si="4"/>
        <v>9</v>
      </c>
      <c r="P24" s="270">
        <f t="shared" si="4"/>
        <v>0</v>
      </c>
      <c r="Q24" s="270">
        <f t="shared" si="4"/>
        <v>52</v>
      </c>
      <c r="R24" s="270">
        <f t="shared" si="4"/>
        <v>0</v>
      </c>
      <c r="S24" s="270">
        <f t="shared" si="4"/>
        <v>327</v>
      </c>
      <c r="T24" s="270">
        <f t="shared" si="4"/>
        <v>0</v>
      </c>
    </row>
    <row r="25" spans="1:20" s="181" customFormat="1" ht="31.5" x14ac:dyDescent="0.2">
      <c r="A25" s="441">
        <v>18</v>
      </c>
      <c r="B25" s="442" t="s">
        <v>881</v>
      </c>
      <c r="C25" s="443"/>
      <c r="D25" s="434"/>
      <c r="E25" s="266"/>
      <c r="F25" s="266">
        <v>0</v>
      </c>
      <c r="G25" s="266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7">
        <f t="shared" ref="S25:T31" si="5">+C25+E25+G25+I25+K25+M25+O25+Q25</f>
        <v>0</v>
      </c>
      <c r="T25" s="267">
        <f t="shared" si="5"/>
        <v>0</v>
      </c>
    </row>
    <row r="26" spans="1:20" s="181" customFormat="1" ht="21" x14ac:dyDescent="0.2">
      <c r="A26" s="441">
        <v>19</v>
      </c>
      <c r="B26" s="442" t="s">
        <v>882</v>
      </c>
      <c r="C26" s="443">
        <f>33-2</f>
        <v>31</v>
      </c>
      <c r="D26" s="434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7">
        <f t="shared" si="5"/>
        <v>31</v>
      </c>
      <c r="T26" s="267"/>
    </row>
    <row r="27" spans="1:20" s="181" customFormat="1" ht="21" x14ac:dyDescent="0.2">
      <c r="A27" s="441">
        <v>20</v>
      </c>
      <c r="B27" s="442" t="s">
        <v>883</v>
      </c>
      <c r="C27" s="443">
        <f>3+3+2</f>
        <v>8</v>
      </c>
      <c r="D27" s="434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7">
        <f t="shared" si="5"/>
        <v>8</v>
      </c>
      <c r="T27" s="267"/>
    </row>
    <row r="28" spans="1:20" s="181" customFormat="1" ht="25.5" x14ac:dyDescent="0.2">
      <c r="A28" s="438">
        <v>21</v>
      </c>
      <c r="B28" s="439" t="s">
        <v>696</v>
      </c>
      <c r="C28" s="440"/>
      <c r="D28" s="266"/>
      <c r="E28" s="266">
        <v>10</v>
      </c>
      <c r="F28" s="266">
        <v>0</v>
      </c>
      <c r="G28" s="266"/>
      <c r="H28" s="266"/>
      <c r="I28" s="266"/>
      <c r="J28" s="266"/>
      <c r="K28" s="266"/>
      <c r="L28" s="266"/>
      <c r="M28" s="266"/>
      <c r="N28" s="266"/>
      <c r="O28" s="266"/>
      <c r="P28" s="266"/>
      <c r="Q28" s="266">
        <v>44</v>
      </c>
      <c r="R28" s="266"/>
      <c r="S28" s="267">
        <f t="shared" ref="S28" si="6">+C28+E28+G28+I28+K28+M28+O28+Q28</f>
        <v>54</v>
      </c>
      <c r="T28" s="267">
        <f t="shared" ref="T28" si="7">+D28+F28+H28+J28+L28+N28+P28+R28</f>
        <v>0</v>
      </c>
    </row>
    <row r="29" spans="1:20" s="181" customFormat="1" ht="15" customHeight="1" x14ac:dyDescent="0.2">
      <c r="A29" s="190">
        <v>22</v>
      </c>
      <c r="B29" s="265" t="s">
        <v>697</v>
      </c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7">
        <f t="shared" si="5"/>
        <v>0</v>
      </c>
      <c r="T29" s="267">
        <f t="shared" si="5"/>
        <v>0</v>
      </c>
    </row>
    <row r="30" spans="1:20" s="181" customFormat="1" ht="15" customHeight="1" x14ac:dyDescent="0.2">
      <c r="A30" s="190">
        <v>23</v>
      </c>
      <c r="B30" s="265" t="s">
        <v>698</v>
      </c>
      <c r="C30" s="266"/>
      <c r="D30" s="266"/>
      <c r="E30" s="266">
        <v>4</v>
      </c>
      <c r="F30" s="266">
        <v>0</v>
      </c>
      <c r="G30" s="266">
        <v>5</v>
      </c>
      <c r="H30" s="266">
        <v>0</v>
      </c>
      <c r="I30" s="266">
        <v>8</v>
      </c>
      <c r="J30" s="266">
        <v>0</v>
      </c>
      <c r="K30" s="266">
        <v>14</v>
      </c>
      <c r="L30" s="266">
        <v>0</v>
      </c>
      <c r="M30" s="266">
        <v>4</v>
      </c>
      <c r="N30" s="266">
        <v>0</v>
      </c>
      <c r="O30" s="266">
        <v>3</v>
      </c>
      <c r="P30" s="266">
        <v>0</v>
      </c>
      <c r="Q30" s="266">
        <v>238</v>
      </c>
      <c r="R30" s="266">
        <v>0</v>
      </c>
      <c r="S30" s="267">
        <f t="shared" si="5"/>
        <v>276</v>
      </c>
      <c r="T30" s="267">
        <f t="shared" si="5"/>
        <v>0</v>
      </c>
    </row>
    <row r="31" spans="1:20" s="181" customFormat="1" ht="25.5" x14ac:dyDescent="0.2">
      <c r="A31" s="190">
        <v>24</v>
      </c>
      <c r="B31" s="265" t="s">
        <v>699</v>
      </c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6"/>
      <c r="P31" s="266"/>
      <c r="Q31" s="266">
        <v>1</v>
      </c>
      <c r="R31" s="266">
        <v>0</v>
      </c>
      <c r="S31" s="267">
        <f t="shared" si="5"/>
        <v>1</v>
      </c>
      <c r="T31" s="267">
        <f t="shared" si="5"/>
        <v>0</v>
      </c>
    </row>
    <row r="32" spans="1:20" s="202" customFormat="1" ht="15" customHeight="1" x14ac:dyDescent="0.2">
      <c r="A32" s="268">
        <v>25</v>
      </c>
      <c r="B32" s="269" t="s">
        <v>884</v>
      </c>
      <c r="C32" s="270">
        <f t="shared" ref="C32:T32" si="8">SUM(C25:C31)</f>
        <v>39</v>
      </c>
      <c r="D32" s="270">
        <f t="shared" si="8"/>
        <v>0</v>
      </c>
      <c r="E32" s="270">
        <f t="shared" si="8"/>
        <v>14</v>
      </c>
      <c r="F32" s="270">
        <f t="shared" si="8"/>
        <v>0</v>
      </c>
      <c r="G32" s="270">
        <f t="shared" si="8"/>
        <v>5</v>
      </c>
      <c r="H32" s="270">
        <f t="shared" si="8"/>
        <v>0</v>
      </c>
      <c r="I32" s="270">
        <f t="shared" si="8"/>
        <v>8</v>
      </c>
      <c r="J32" s="270">
        <f t="shared" si="8"/>
        <v>0</v>
      </c>
      <c r="K32" s="270">
        <f t="shared" si="8"/>
        <v>14</v>
      </c>
      <c r="L32" s="270">
        <f t="shared" si="8"/>
        <v>0</v>
      </c>
      <c r="M32" s="270">
        <f t="shared" si="8"/>
        <v>4</v>
      </c>
      <c r="N32" s="270">
        <f t="shared" si="8"/>
        <v>0</v>
      </c>
      <c r="O32" s="270">
        <f t="shared" si="8"/>
        <v>3</v>
      </c>
      <c r="P32" s="270">
        <f t="shared" si="8"/>
        <v>0</v>
      </c>
      <c r="Q32" s="270">
        <f t="shared" si="8"/>
        <v>283</v>
      </c>
      <c r="R32" s="270">
        <f t="shared" si="8"/>
        <v>0</v>
      </c>
      <c r="S32" s="270">
        <f t="shared" si="8"/>
        <v>370</v>
      </c>
      <c r="T32" s="270">
        <f t="shared" si="8"/>
        <v>0</v>
      </c>
    </row>
    <row r="33" spans="1:20" s="181" customFormat="1" ht="12.75" x14ac:dyDescent="0.2">
      <c r="A33" s="190">
        <v>26</v>
      </c>
      <c r="B33" s="265" t="s">
        <v>700</v>
      </c>
      <c r="C33" s="266">
        <v>1</v>
      </c>
      <c r="D33" s="266">
        <v>0</v>
      </c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7">
        <f t="shared" ref="S33:T35" si="9">+C33+E33+G33+I33+K33+M33+O33+Q33</f>
        <v>1</v>
      </c>
      <c r="T33" s="267">
        <f t="shared" si="9"/>
        <v>0</v>
      </c>
    </row>
    <row r="34" spans="1:20" s="181" customFormat="1" ht="12.75" x14ac:dyDescent="0.2">
      <c r="A34" s="190">
        <v>27</v>
      </c>
      <c r="B34" s="265" t="s">
        <v>701</v>
      </c>
      <c r="C34" s="266">
        <v>10</v>
      </c>
      <c r="D34" s="266">
        <v>0</v>
      </c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7">
        <f t="shared" si="9"/>
        <v>10</v>
      </c>
      <c r="T34" s="267">
        <f t="shared" si="9"/>
        <v>0</v>
      </c>
    </row>
    <row r="35" spans="1:20" s="181" customFormat="1" ht="25.5" x14ac:dyDescent="0.2">
      <c r="A35" s="190">
        <v>28</v>
      </c>
      <c r="B35" s="265" t="s">
        <v>702</v>
      </c>
      <c r="C35" s="266">
        <v>1</v>
      </c>
      <c r="D35" s="266">
        <v>0</v>
      </c>
      <c r="E35" s="266"/>
      <c r="F35" s="266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7">
        <f t="shared" si="9"/>
        <v>1</v>
      </c>
      <c r="T35" s="267">
        <f t="shared" si="9"/>
        <v>0</v>
      </c>
    </row>
    <row r="36" spans="1:20" s="202" customFormat="1" ht="15" customHeight="1" x14ac:dyDescent="0.2">
      <c r="A36" s="268">
        <v>29</v>
      </c>
      <c r="B36" s="269" t="s">
        <v>885</v>
      </c>
      <c r="C36" s="270">
        <f t="shared" ref="C36:T36" si="10">SUM(C33:C35)</f>
        <v>12</v>
      </c>
      <c r="D36" s="270">
        <f t="shared" si="10"/>
        <v>0</v>
      </c>
      <c r="E36" s="270">
        <f t="shared" si="10"/>
        <v>0</v>
      </c>
      <c r="F36" s="270">
        <f t="shared" si="10"/>
        <v>0</v>
      </c>
      <c r="G36" s="270">
        <f t="shared" si="10"/>
        <v>0</v>
      </c>
      <c r="H36" s="270">
        <f t="shared" si="10"/>
        <v>0</v>
      </c>
      <c r="I36" s="270">
        <f t="shared" si="10"/>
        <v>0</v>
      </c>
      <c r="J36" s="270">
        <f t="shared" si="10"/>
        <v>0</v>
      </c>
      <c r="K36" s="270">
        <f t="shared" si="10"/>
        <v>0</v>
      </c>
      <c r="L36" s="270">
        <f t="shared" si="10"/>
        <v>0</v>
      </c>
      <c r="M36" s="270">
        <f t="shared" si="10"/>
        <v>0</v>
      </c>
      <c r="N36" s="270">
        <f t="shared" si="10"/>
        <v>0</v>
      </c>
      <c r="O36" s="270">
        <f t="shared" si="10"/>
        <v>0</v>
      </c>
      <c r="P36" s="270">
        <f t="shared" si="10"/>
        <v>0</v>
      </c>
      <c r="Q36" s="270">
        <f t="shared" si="10"/>
        <v>0</v>
      </c>
      <c r="R36" s="270">
        <f t="shared" si="10"/>
        <v>0</v>
      </c>
      <c r="S36" s="270">
        <f t="shared" si="10"/>
        <v>12</v>
      </c>
      <c r="T36" s="270">
        <f t="shared" si="10"/>
        <v>0</v>
      </c>
    </row>
    <row r="37" spans="1:20" s="202" customFormat="1" ht="37.5" customHeight="1" x14ac:dyDescent="0.2">
      <c r="A37" s="268">
        <v>30</v>
      </c>
      <c r="B37" s="269" t="s">
        <v>886</v>
      </c>
      <c r="C37" s="271">
        <f t="shared" ref="C37:T37" si="11">+C36+C32+C24+C12</f>
        <v>51</v>
      </c>
      <c r="D37" s="271">
        <f t="shared" si="11"/>
        <v>0</v>
      </c>
      <c r="E37" s="271">
        <f t="shared" si="11"/>
        <v>50</v>
      </c>
      <c r="F37" s="271">
        <f t="shared" si="11"/>
        <v>0</v>
      </c>
      <c r="G37" s="271">
        <f t="shared" si="11"/>
        <v>62</v>
      </c>
      <c r="H37" s="271">
        <f t="shared" si="11"/>
        <v>0</v>
      </c>
      <c r="I37" s="271">
        <f t="shared" si="11"/>
        <v>109</v>
      </c>
      <c r="J37" s="271">
        <f t="shared" si="11"/>
        <v>0</v>
      </c>
      <c r="K37" s="271">
        <f t="shared" si="11"/>
        <v>116</v>
      </c>
      <c r="L37" s="271">
        <f t="shared" si="11"/>
        <v>0</v>
      </c>
      <c r="M37" s="271">
        <f t="shared" si="11"/>
        <v>10</v>
      </c>
      <c r="N37" s="271">
        <f t="shared" si="11"/>
        <v>0</v>
      </c>
      <c r="O37" s="271">
        <f t="shared" si="11"/>
        <v>12</v>
      </c>
      <c r="P37" s="271">
        <f t="shared" si="11"/>
        <v>0</v>
      </c>
      <c r="Q37" s="271">
        <f t="shared" si="11"/>
        <v>335</v>
      </c>
      <c r="R37" s="271">
        <f t="shared" si="11"/>
        <v>0</v>
      </c>
      <c r="S37" s="271">
        <f t="shared" si="11"/>
        <v>745</v>
      </c>
      <c r="T37" s="271">
        <f t="shared" si="11"/>
        <v>0</v>
      </c>
    </row>
    <row r="38" spans="1:20" s="181" customFormat="1" ht="12.75" customHeight="1" x14ac:dyDescent="0.2">
      <c r="B38" s="479"/>
      <c r="C38" s="479"/>
      <c r="D38" s="479"/>
      <c r="E38" s="479"/>
      <c r="F38" s="479"/>
      <c r="G38" s="479"/>
      <c r="H38" s="479"/>
      <c r="I38" s="479"/>
      <c r="J38" s="479"/>
      <c r="K38" s="479"/>
      <c r="L38" s="479"/>
      <c r="M38" s="479"/>
      <c r="N38" s="479"/>
      <c r="O38" s="479"/>
      <c r="P38" s="479"/>
      <c r="Q38" s="479"/>
      <c r="R38" s="272"/>
    </row>
    <row r="39" spans="1:20" s="188" customFormat="1" ht="12.75" x14ac:dyDescent="0.2">
      <c r="B39" s="273"/>
      <c r="G39" s="188" t="s">
        <v>703</v>
      </c>
      <c r="I39" s="188" t="s">
        <v>703</v>
      </c>
      <c r="K39" s="274" t="s">
        <v>703</v>
      </c>
      <c r="L39" s="275"/>
      <c r="M39" s="274" t="s">
        <v>703</v>
      </c>
      <c r="N39" s="274"/>
      <c r="O39" s="274" t="s">
        <v>703</v>
      </c>
      <c r="P39" s="274" t="s">
        <v>703</v>
      </c>
      <c r="Q39" s="274" t="s">
        <v>703</v>
      </c>
    </row>
    <row r="40" spans="1:20" s="181" customFormat="1" ht="12.75" x14ac:dyDescent="0.2">
      <c r="B40" s="276"/>
    </row>
    <row r="41" spans="1:20" s="181" customFormat="1" ht="12.75" x14ac:dyDescent="0.2">
      <c r="B41" s="276"/>
    </row>
    <row r="42" spans="1:20" s="181" customFormat="1" ht="12.75" x14ac:dyDescent="0.2">
      <c r="B42" s="276"/>
    </row>
    <row r="43" spans="1:20" s="181" customFormat="1" ht="13.5" thickBot="1" x14ac:dyDescent="0.25">
      <c r="B43" s="276"/>
    </row>
    <row r="44" spans="1:20" s="181" customFormat="1" ht="13.5" thickBot="1" x14ac:dyDescent="0.25">
      <c r="B44" s="431"/>
      <c r="C44" s="432"/>
    </row>
    <row r="45" spans="1:20" s="181" customFormat="1" ht="13.5" thickBot="1" x14ac:dyDescent="0.25">
      <c r="B45" s="430"/>
      <c r="C45" s="433"/>
    </row>
    <row r="46" spans="1:20" s="181" customFormat="1" ht="13.5" thickBot="1" x14ac:dyDescent="0.25">
      <c r="B46" s="430"/>
      <c r="C46" s="433"/>
    </row>
    <row r="47" spans="1:20" s="181" customFormat="1" ht="13.5" thickBot="1" x14ac:dyDescent="0.25">
      <c r="B47" s="430"/>
      <c r="C47" s="433"/>
    </row>
    <row r="48" spans="1:20" s="181" customFormat="1" ht="12.75" x14ac:dyDescent="0.2">
      <c r="B48" s="276"/>
    </row>
    <row r="49" spans="2:2" s="181" customFormat="1" ht="12.75" x14ac:dyDescent="0.2">
      <c r="B49" s="276"/>
    </row>
    <row r="50" spans="2:2" s="181" customFormat="1" ht="12.75" x14ac:dyDescent="0.2">
      <c r="B50" s="276"/>
    </row>
    <row r="51" spans="2:2" s="181" customFormat="1" ht="12.75" x14ac:dyDescent="0.2">
      <c r="B51" s="276"/>
    </row>
  </sheetData>
  <sheetProtection selectLockedCells="1" selectUnlockedCells="1"/>
  <mergeCells count="11">
    <mergeCell ref="O7:P7"/>
    <mergeCell ref="Q7:R7"/>
    <mergeCell ref="S7:T7"/>
    <mergeCell ref="B38:Q38"/>
    <mergeCell ref="B1:M1"/>
    <mergeCell ref="C7:D7"/>
    <mergeCell ref="E7:F7"/>
    <mergeCell ref="G7:H7"/>
    <mergeCell ref="I7:J7"/>
    <mergeCell ref="K7:L7"/>
    <mergeCell ref="M7:N7"/>
  </mergeCells>
  <printOptions horizontalCentered="1"/>
  <pageMargins left="0.59027777777777779" right="0.40972222222222221" top="0.70972222222222225" bottom="0.55000000000000004" header="0.51180555555555551" footer="0.31527777777777777"/>
  <pageSetup paperSize="9" scale="66" firstPageNumber="0" orientation="landscape" horizontalDpi="300" verticalDpi="300" r:id="rId1"/>
  <headerFooter alignWithMargins="0">
    <oddFooter>&amp;R&amp;P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7"/>
  <sheetViews>
    <sheetView view="pageBreakPreview" zoomScale="80" zoomScaleSheetLayoutView="80" workbookViewId="0">
      <selection activeCell="D2" sqref="D2"/>
    </sheetView>
  </sheetViews>
  <sheetFormatPr defaultColWidth="11.5703125" defaultRowHeight="15.75" x14ac:dyDescent="0.25"/>
  <cols>
    <col min="1" max="1" width="13.140625" style="89" customWidth="1"/>
    <col min="2" max="2" width="76.28515625" style="13" customWidth="1"/>
    <col min="3" max="3" width="6.85546875" style="13" customWidth="1"/>
    <col min="4" max="4" width="13.85546875" style="277" customWidth="1"/>
    <col min="5" max="5" width="0" style="277" hidden="1" customWidth="1"/>
    <col min="6" max="255" width="9.140625" style="13" customWidth="1"/>
  </cols>
  <sheetData>
    <row r="1" spans="1:5" x14ac:dyDescent="0.25">
      <c r="A1" s="278"/>
      <c r="D1" s="15" t="s">
        <v>704</v>
      </c>
      <c r="E1" s="279" t="s">
        <v>705</v>
      </c>
    </row>
    <row r="2" spans="1:5" x14ac:dyDescent="0.25">
      <c r="A2" s="278"/>
      <c r="D2" s="16" t="s">
        <v>937</v>
      </c>
      <c r="E2" s="16" t="s">
        <v>11</v>
      </c>
    </row>
    <row r="3" spans="1:5" x14ac:dyDescent="0.25">
      <c r="A3" s="278"/>
      <c r="D3" s="280"/>
      <c r="E3" s="280"/>
    </row>
    <row r="4" spans="1:5" ht="28.5" customHeight="1" x14ac:dyDescent="0.3">
      <c r="A4" s="278"/>
      <c r="B4" s="35" t="s">
        <v>879</v>
      </c>
      <c r="C4" s="37"/>
      <c r="D4" s="281"/>
      <c r="E4" s="281"/>
    </row>
    <row r="5" spans="1:5" ht="18.75" x14ac:dyDescent="0.3">
      <c r="A5" s="278"/>
      <c r="B5" s="35"/>
      <c r="C5" s="37"/>
      <c r="D5" s="281"/>
      <c r="E5" s="281"/>
    </row>
    <row r="6" spans="1:5" ht="15.75" customHeight="1" x14ac:dyDescent="0.25">
      <c r="A6" s="278"/>
      <c r="B6" s="480" t="s">
        <v>895</v>
      </c>
      <c r="C6" s="480"/>
      <c r="D6" s="282"/>
      <c r="E6" s="282"/>
    </row>
    <row r="7" spans="1:5" x14ac:dyDescent="0.25">
      <c r="A7" s="278"/>
      <c r="B7" s="283"/>
      <c r="C7" s="284"/>
      <c r="D7" s="285"/>
      <c r="E7" s="285"/>
    </row>
    <row r="8" spans="1:5" x14ac:dyDescent="0.25">
      <c r="A8" s="278"/>
    </row>
    <row r="9" spans="1:5" s="22" customFormat="1" ht="31.5" x14ac:dyDescent="0.25">
      <c r="A9" s="286"/>
      <c r="B9" s="168" t="s">
        <v>565</v>
      </c>
      <c r="C9" s="48" t="s">
        <v>41</v>
      </c>
      <c r="D9" s="287" t="s">
        <v>706</v>
      </c>
      <c r="E9" s="287" t="s">
        <v>707</v>
      </c>
    </row>
    <row r="10" spans="1:5" s="22" customFormat="1" x14ac:dyDescent="0.25">
      <c r="A10" s="286"/>
      <c r="B10" s="288" t="s">
        <v>708</v>
      </c>
      <c r="C10" s="48"/>
      <c r="D10" s="287"/>
      <c r="E10" s="287"/>
    </row>
    <row r="11" spans="1:5" x14ac:dyDescent="0.25">
      <c r="A11" s="89" t="s">
        <v>709</v>
      </c>
      <c r="B11" s="105" t="s">
        <v>710</v>
      </c>
      <c r="C11" s="65" t="s">
        <v>63</v>
      </c>
      <c r="D11" s="289">
        <v>21000000</v>
      </c>
      <c r="E11" s="289"/>
    </row>
    <row r="12" spans="1:5" x14ac:dyDescent="0.25">
      <c r="A12" s="89" t="s">
        <v>711</v>
      </c>
      <c r="B12" s="105" t="s">
        <v>712</v>
      </c>
      <c r="C12" s="65" t="s">
        <v>63</v>
      </c>
      <c r="D12" s="289">
        <v>1000000</v>
      </c>
      <c r="E12" s="289"/>
    </row>
    <row r="13" spans="1:5" x14ac:dyDescent="0.25">
      <c r="A13" s="89" t="s">
        <v>713</v>
      </c>
      <c r="B13" s="105" t="s">
        <v>714</v>
      </c>
      <c r="C13" s="65" t="s">
        <v>63</v>
      </c>
      <c r="D13" s="289">
        <v>500000</v>
      </c>
      <c r="E13" s="289"/>
    </row>
    <row r="14" spans="1:5" x14ac:dyDescent="0.25">
      <c r="B14" s="288" t="s">
        <v>715</v>
      </c>
      <c r="C14" s="23"/>
      <c r="D14" s="23"/>
      <c r="E14" s="23"/>
    </row>
    <row r="15" spans="1:5" x14ac:dyDescent="0.25">
      <c r="A15" s="89" t="s">
        <v>716</v>
      </c>
      <c r="B15" s="105" t="s">
        <v>717</v>
      </c>
      <c r="C15" s="65" t="s">
        <v>63</v>
      </c>
      <c r="D15" s="289">
        <v>6500000</v>
      </c>
      <c r="E15" s="289"/>
    </row>
    <row r="16" spans="1:5" x14ac:dyDescent="0.25">
      <c r="A16" s="89" t="s">
        <v>718</v>
      </c>
      <c r="B16" s="105" t="s">
        <v>719</v>
      </c>
      <c r="C16" s="65" t="s">
        <v>63</v>
      </c>
      <c r="D16" s="289">
        <v>11000000</v>
      </c>
      <c r="E16" s="289"/>
    </row>
    <row r="17" spans="1:5" x14ac:dyDescent="0.25">
      <c r="A17" s="89" t="s">
        <v>720</v>
      </c>
      <c r="B17" s="105" t="s">
        <v>721</v>
      </c>
      <c r="C17" s="65" t="s">
        <v>63</v>
      </c>
      <c r="D17" s="289">
        <v>1000000</v>
      </c>
      <c r="E17" s="289"/>
    </row>
    <row r="18" spans="1:5" x14ac:dyDescent="0.25">
      <c r="A18" s="89" t="s">
        <v>722</v>
      </c>
      <c r="B18" s="290" t="s">
        <v>723</v>
      </c>
      <c r="C18" s="65" t="s">
        <v>63</v>
      </c>
      <c r="D18" s="291">
        <v>4000000</v>
      </c>
      <c r="E18" s="291"/>
    </row>
    <row r="19" spans="1:5" x14ac:dyDescent="0.25">
      <c r="A19" s="89" t="s">
        <v>724</v>
      </c>
      <c r="B19" s="67" t="s">
        <v>725</v>
      </c>
      <c r="C19" s="65" t="s">
        <v>63</v>
      </c>
      <c r="D19" s="289">
        <v>5500000</v>
      </c>
      <c r="E19" s="289"/>
    </row>
    <row r="20" spans="1:5" x14ac:dyDescent="0.25">
      <c r="A20" s="89" t="s">
        <v>726</v>
      </c>
      <c r="B20" s="67" t="s">
        <v>727</v>
      </c>
      <c r="C20" s="65" t="s">
        <v>63</v>
      </c>
      <c r="D20" s="289">
        <v>200000</v>
      </c>
      <c r="E20" s="289"/>
    </row>
    <row r="21" spans="1:5" x14ac:dyDescent="0.25">
      <c r="A21" s="89" t="s">
        <v>728</v>
      </c>
      <c r="B21" s="59" t="s">
        <v>729</v>
      </c>
      <c r="C21" s="65" t="s">
        <v>63</v>
      </c>
      <c r="D21" s="289">
        <v>500000</v>
      </c>
      <c r="E21" s="289"/>
    </row>
    <row r="22" spans="1:5" x14ac:dyDescent="0.25">
      <c r="A22" s="89" t="s">
        <v>730</v>
      </c>
      <c r="B22" s="292" t="s">
        <v>731</v>
      </c>
      <c r="C22" s="65" t="s">
        <v>63</v>
      </c>
      <c r="D22" s="291">
        <v>8600000</v>
      </c>
      <c r="E22" s="291"/>
    </row>
    <row r="23" spans="1:5" s="101" customFormat="1" x14ac:dyDescent="0.25">
      <c r="A23" s="154"/>
      <c r="B23" s="293" t="s">
        <v>732</v>
      </c>
      <c r="C23" s="98" t="s">
        <v>63</v>
      </c>
      <c r="D23" s="294">
        <f>SUM(D11:D22)</f>
        <v>59800000</v>
      </c>
      <c r="E23" s="294">
        <f>SUM(E11:E22)</f>
        <v>0</v>
      </c>
    </row>
    <row r="24" spans="1:5" x14ac:dyDescent="0.25">
      <c r="B24" s="295" t="s">
        <v>733</v>
      </c>
      <c r="D24" s="277">
        <v>200000</v>
      </c>
      <c r="E24" s="277">
        <v>1000</v>
      </c>
    </row>
    <row r="25" spans="1:5" x14ac:dyDescent="0.25">
      <c r="A25" s="154" t="s">
        <v>734</v>
      </c>
      <c r="B25" s="27" t="s">
        <v>735</v>
      </c>
      <c r="D25" s="296">
        <f>SUM(D23:D24)</f>
        <v>60000000</v>
      </c>
      <c r="E25" s="296">
        <f>SUM(E23:E24)</f>
        <v>1000</v>
      </c>
    </row>
    <row r="26" spans="1:5" x14ac:dyDescent="0.25">
      <c r="A26" s="89" t="s">
        <v>335</v>
      </c>
      <c r="D26" s="277">
        <v>0</v>
      </c>
      <c r="E26" s="277">
        <v>0</v>
      </c>
    </row>
    <row r="27" spans="1:5" x14ac:dyDescent="0.25">
      <c r="A27" s="89" t="s">
        <v>736</v>
      </c>
      <c r="D27" s="277">
        <f>+D26-D23</f>
        <v>-59800000</v>
      </c>
      <c r="E27" s="277">
        <f>+E26-E23</f>
        <v>0</v>
      </c>
    </row>
  </sheetData>
  <sheetProtection selectLockedCells="1" selectUnlockedCells="1"/>
  <mergeCells count="1">
    <mergeCell ref="B6:C6"/>
  </mergeCells>
  <pageMargins left="0.69027777777777777" right="0.52986111111111112" top="0.74791666666666667" bottom="0.74861111111111112" header="0.51180555555555551" footer="0.31527777777777777"/>
  <pageSetup paperSize="9" scale="92" firstPageNumber="0" orientation="portrait" horizontalDpi="300" verticalDpi="300" r:id="rId1"/>
  <headerFooter alignWithMargins="0">
    <oddFooter>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83"/>
  <sheetViews>
    <sheetView view="pageBreakPreview" zoomScale="80" zoomScaleSheetLayoutView="80" workbookViewId="0">
      <selection activeCell="E2" sqref="E2"/>
    </sheetView>
  </sheetViews>
  <sheetFormatPr defaultColWidth="11.5703125" defaultRowHeight="15.75" x14ac:dyDescent="0.25"/>
  <cols>
    <col min="1" max="1" width="13.140625" style="89" customWidth="1"/>
    <col min="2" max="2" width="75.5703125" style="13" customWidth="1"/>
    <col min="3" max="3" width="10" style="13" customWidth="1"/>
    <col min="4" max="4" width="13.85546875" style="14" customWidth="1"/>
    <col min="5" max="5" width="13.5703125" style="14" customWidth="1"/>
    <col min="6" max="7" width="0" style="14" hidden="1" customWidth="1"/>
    <col min="8" max="254" width="9.140625" style="13" customWidth="1"/>
  </cols>
  <sheetData>
    <row r="1" spans="1:7" x14ac:dyDescent="0.25">
      <c r="E1" s="15" t="s">
        <v>737</v>
      </c>
      <c r="G1" s="15" t="s">
        <v>738</v>
      </c>
    </row>
    <row r="2" spans="1:7" x14ac:dyDescent="0.25">
      <c r="E2" s="16" t="s">
        <v>937</v>
      </c>
      <c r="G2" s="16" t="s">
        <v>11</v>
      </c>
    </row>
    <row r="3" spans="1:7" x14ac:dyDescent="0.25">
      <c r="E3" s="164"/>
      <c r="G3" s="164"/>
    </row>
    <row r="4" spans="1:7" ht="18.75" x14ac:dyDescent="0.3">
      <c r="B4" s="35" t="s">
        <v>879</v>
      </c>
      <c r="C4" s="297"/>
      <c r="D4" s="297"/>
      <c r="E4" s="297"/>
      <c r="F4" s="297"/>
      <c r="G4" s="297"/>
    </row>
    <row r="5" spans="1:7" ht="18.75" x14ac:dyDescent="0.3">
      <c r="B5" s="35"/>
      <c r="C5"/>
      <c r="D5"/>
      <c r="E5"/>
      <c r="F5"/>
      <c r="G5"/>
    </row>
    <row r="6" spans="1:7" ht="36" customHeight="1" x14ac:dyDescent="0.25">
      <c r="B6" s="468" t="s">
        <v>923</v>
      </c>
      <c r="C6" s="468"/>
      <c r="D6" s="468"/>
      <c r="E6" s="468"/>
      <c r="F6" s="128"/>
      <c r="G6" s="128"/>
    </row>
    <row r="7" spans="1:7" x14ac:dyDescent="0.25">
      <c r="A7" s="89" t="s">
        <v>335</v>
      </c>
      <c r="B7" s="42"/>
      <c r="C7" s="43"/>
      <c r="D7" s="45"/>
      <c r="F7" s="45"/>
    </row>
    <row r="8" spans="1:7" x14ac:dyDescent="0.25">
      <c r="A8" s="89" t="s">
        <v>739</v>
      </c>
      <c r="D8" s="481" t="s">
        <v>12</v>
      </c>
      <c r="E8" s="481"/>
      <c r="F8" s="481" t="s">
        <v>13</v>
      </c>
      <c r="G8" s="481"/>
    </row>
    <row r="9" spans="1:7" s="22" customFormat="1" ht="47.25" x14ac:dyDescent="0.25">
      <c r="A9" s="298"/>
      <c r="B9" s="299" t="s">
        <v>740</v>
      </c>
      <c r="C9" s="48" t="s">
        <v>41</v>
      </c>
      <c r="D9" s="20" t="s">
        <v>15</v>
      </c>
      <c r="E9" s="20" t="s">
        <v>16</v>
      </c>
      <c r="F9" s="20" t="s">
        <v>15</v>
      </c>
      <c r="G9" s="20" t="s">
        <v>16</v>
      </c>
    </row>
    <row r="10" spans="1:7" s="123" customFormat="1" x14ac:dyDescent="0.25">
      <c r="A10" s="119" t="s">
        <v>741</v>
      </c>
      <c r="B10" s="300"/>
      <c r="C10" s="103" t="s">
        <v>146</v>
      </c>
      <c r="D10" s="24">
        <v>0</v>
      </c>
      <c r="E10" s="24"/>
      <c r="F10" s="24">
        <v>0</v>
      </c>
      <c r="G10" s="24"/>
    </row>
    <row r="11" spans="1:7" s="123" customFormat="1" x14ac:dyDescent="0.25">
      <c r="A11" s="119" t="s">
        <v>742</v>
      </c>
      <c r="B11" s="301"/>
      <c r="C11" s="103" t="s">
        <v>146</v>
      </c>
      <c r="D11" s="302">
        <v>0</v>
      </c>
      <c r="E11" s="24"/>
      <c r="F11" s="302">
        <v>0</v>
      </c>
      <c r="G11" s="24"/>
    </row>
    <row r="12" spans="1:7" s="123" customFormat="1" x14ac:dyDescent="0.25">
      <c r="A12" s="119" t="s">
        <v>743</v>
      </c>
      <c r="B12" s="303"/>
      <c r="C12" s="103" t="s">
        <v>146</v>
      </c>
      <c r="D12" s="302"/>
      <c r="E12" s="24"/>
      <c r="F12" s="302"/>
      <c r="G12" s="24"/>
    </row>
    <row r="13" spans="1:7" s="307" customFormat="1" x14ac:dyDescent="0.25">
      <c r="A13" s="304"/>
      <c r="B13" s="305" t="s">
        <v>744</v>
      </c>
      <c r="C13" s="306" t="s">
        <v>146</v>
      </c>
      <c r="D13" s="134">
        <f>SUM(D10:D12)</f>
        <v>0</v>
      </c>
      <c r="E13" s="134">
        <f>SUM(E10:E12)</f>
        <v>0</v>
      </c>
      <c r="F13" s="134">
        <f>SUM(F10:F12)</f>
        <v>0</v>
      </c>
      <c r="G13" s="134">
        <f>SUM(G10:G12)</f>
        <v>0</v>
      </c>
    </row>
    <row r="14" spans="1:7" x14ac:dyDescent="0.25">
      <c r="B14" s="129" t="s">
        <v>745</v>
      </c>
      <c r="C14" s="103" t="s">
        <v>146</v>
      </c>
      <c r="D14" s="24">
        <f>+D13</f>
        <v>0</v>
      </c>
      <c r="E14" s="24">
        <f>+E13</f>
        <v>0</v>
      </c>
      <c r="F14" s="24">
        <f>+F13</f>
        <v>0</v>
      </c>
      <c r="G14" s="24">
        <f>+G13</f>
        <v>0</v>
      </c>
    </row>
    <row r="15" spans="1:7" x14ac:dyDescent="0.25">
      <c r="B15" s="129" t="s">
        <v>746</v>
      </c>
      <c r="C15" s="103" t="s">
        <v>146</v>
      </c>
      <c r="D15" s="24"/>
      <c r="E15" s="24"/>
      <c r="F15" s="24"/>
      <c r="G15" s="24"/>
    </row>
    <row r="16" spans="1:7" s="307" customFormat="1" ht="20.25" customHeight="1" x14ac:dyDescent="0.25">
      <c r="A16" s="304"/>
      <c r="B16" s="305" t="s">
        <v>147</v>
      </c>
      <c r="C16" s="306" t="s">
        <v>148</v>
      </c>
      <c r="D16" s="134"/>
      <c r="E16" s="134"/>
      <c r="F16" s="134"/>
      <c r="G16" s="134"/>
    </row>
    <row r="17" spans="1:7" s="308" customFormat="1" x14ac:dyDescent="0.25">
      <c r="A17" s="304"/>
      <c r="B17" s="102" t="s">
        <v>425</v>
      </c>
      <c r="C17" s="103" t="s">
        <v>150</v>
      </c>
      <c r="D17" s="104"/>
      <c r="E17" s="137"/>
      <c r="F17" s="104"/>
      <c r="G17" s="137"/>
    </row>
    <row r="18" spans="1:7" s="308" customFormat="1" x14ac:dyDescent="0.25">
      <c r="A18" s="89" t="s">
        <v>747</v>
      </c>
      <c r="B18" s="102" t="s">
        <v>936</v>
      </c>
      <c r="C18" s="103" t="s">
        <v>150</v>
      </c>
      <c r="D18" s="104">
        <v>88500000</v>
      </c>
      <c r="E18" s="137"/>
      <c r="F18" s="104">
        <v>0</v>
      </c>
      <c r="G18" s="137"/>
    </row>
    <row r="19" spans="1:7" s="307" customFormat="1" x14ac:dyDescent="0.25">
      <c r="A19" s="304"/>
      <c r="B19" s="305" t="s">
        <v>748</v>
      </c>
      <c r="C19" s="306" t="s">
        <v>150</v>
      </c>
      <c r="D19" s="134">
        <f>SUM(D17:D18)</f>
        <v>88500000</v>
      </c>
      <c r="E19" s="134"/>
      <c r="F19" s="134">
        <f>SUM(F17:F18)</f>
        <v>0</v>
      </c>
      <c r="G19" s="134"/>
    </row>
    <row r="20" spans="1:7" x14ac:dyDescent="0.25">
      <c r="B20" s="129" t="s">
        <v>745</v>
      </c>
      <c r="C20" s="103" t="s">
        <v>150</v>
      </c>
      <c r="D20" s="24">
        <f>+D19</f>
        <v>88500000</v>
      </c>
      <c r="E20" s="24"/>
      <c r="F20" s="24">
        <f>+F19</f>
        <v>0</v>
      </c>
      <c r="G20" s="24"/>
    </row>
    <row r="21" spans="1:7" x14ac:dyDescent="0.25">
      <c r="B21" s="129" t="s">
        <v>746</v>
      </c>
      <c r="C21" s="103" t="s">
        <v>150</v>
      </c>
      <c r="D21" s="24"/>
      <c r="E21" s="24"/>
      <c r="F21" s="24"/>
      <c r="G21" s="24"/>
    </row>
    <row r="22" spans="1:7" s="101" customFormat="1" x14ac:dyDescent="0.25">
      <c r="A22" s="89"/>
      <c r="B22" s="293" t="s">
        <v>151</v>
      </c>
      <c r="C22" s="97" t="s">
        <v>152</v>
      </c>
      <c r="D22" s="99">
        <f>+D19+D16+D13</f>
        <v>88500000</v>
      </c>
      <c r="E22" s="99">
        <f>+E19+E16+E13</f>
        <v>0</v>
      </c>
      <c r="F22" s="99">
        <f>+F19+F16+F13</f>
        <v>0</v>
      </c>
      <c r="G22" s="99">
        <f>+G19+G16+G13</f>
        <v>0</v>
      </c>
    </row>
    <row r="23" spans="1:7" s="308" customFormat="1" x14ac:dyDescent="0.25">
      <c r="A23" s="304"/>
      <c r="B23" s="309" t="s">
        <v>749</v>
      </c>
      <c r="C23" s="310" t="s">
        <v>750</v>
      </c>
      <c r="D23" s="137"/>
      <c r="E23" s="137"/>
      <c r="F23" s="137"/>
      <c r="G23" s="137"/>
    </row>
    <row r="24" spans="1:7" hidden="1" x14ac:dyDescent="0.25">
      <c r="B24" s="129" t="s">
        <v>751</v>
      </c>
      <c r="C24" s="103" t="s">
        <v>750</v>
      </c>
      <c r="D24" s="24"/>
      <c r="E24" s="24"/>
      <c r="F24" s="24"/>
      <c r="G24" s="24"/>
    </row>
    <row r="25" spans="1:7" hidden="1" x14ac:dyDescent="0.25">
      <c r="B25" s="129" t="s">
        <v>752</v>
      </c>
      <c r="C25" s="103" t="s">
        <v>750</v>
      </c>
      <c r="D25" s="24"/>
      <c r="E25" s="24"/>
      <c r="F25" s="24"/>
      <c r="G25" s="24"/>
    </row>
    <row r="26" spans="1:7" s="307" customFormat="1" x14ac:dyDescent="0.25">
      <c r="A26" s="304"/>
      <c r="B26" s="311" t="s">
        <v>753</v>
      </c>
      <c r="C26" s="306" t="s">
        <v>754</v>
      </c>
      <c r="D26" s="134">
        <v>0</v>
      </c>
      <c r="E26" s="134">
        <v>0</v>
      </c>
      <c r="F26" s="134">
        <v>0</v>
      </c>
      <c r="G26" s="134">
        <v>0</v>
      </c>
    </row>
    <row r="27" spans="1:7" x14ac:dyDescent="0.25">
      <c r="B27" s="129" t="s">
        <v>746</v>
      </c>
      <c r="C27" s="103" t="s">
        <v>754</v>
      </c>
      <c r="D27" s="24"/>
      <c r="E27" s="24"/>
      <c r="F27" s="24"/>
      <c r="G27" s="24"/>
    </row>
    <row r="28" spans="1:7" s="307" customFormat="1" x14ac:dyDescent="0.25">
      <c r="A28" s="304"/>
      <c r="B28" s="312" t="s">
        <v>755</v>
      </c>
      <c r="C28" s="306" t="s">
        <v>756</v>
      </c>
      <c r="D28" s="134"/>
      <c r="E28" s="134"/>
      <c r="F28" s="134"/>
      <c r="G28" s="134"/>
    </row>
    <row r="29" spans="1:7" s="308" customFormat="1" x14ac:dyDescent="0.25">
      <c r="A29" s="304"/>
      <c r="B29" s="313"/>
      <c r="C29" s="103" t="s">
        <v>757</v>
      </c>
      <c r="D29" s="104"/>
      <c r="E29" s="104"/>
      <c r="F29" s="104"/>
      <c r="G29" s="104"/>
    </row>
    <row r="30" spans="1:7" s="307" customFormat="1" ht="31.5" x14ac:dyDescent="0.25">
      <c r="A30" s="304"/>
      <c r="B30" s="312" t="s">
        <v>758</v>
      </c>
      <c r="C30" s="306" t="s">
        <v>757</v>
      </c>
      <c r="D30" s="134">
        <f>+D29</f>
        <v>0</v>
      </c>
      <c r="E30" s="134">
        <f>+E29</f>
        <v>0</v>
      </c>
      <c r="F30" s="134">
        <f>+F29</f>
        <v>0</v>
      </c>
      <c r="G30" s="134">
        <f>+G29</f>
        <v>0</v>
      </c>
    </row>
    <row r="31" spans="1:7" x14ac:dyDescent="0.25">
      <c r="B31" s="129" t="s">
        <v>752</v>
      </c>
      <c r="C31" s="103" t="s">
        <v>757</v>
      </c>
      <c r="D31" s="24"/>
      <c r="E31" s="24"/>
      <c r="F31" s="24"/>
      <c r="G31" s="24"/>
    </row>
    <row r="32" spans="1:7" x14ac:dyDescent="0.25">
      <c r="B32" s="129" t="s">
        <v>746</v>
      </c>
      <c r="C32" s="103" t="s">
        <v>757</v>
      </c>
      <c r="D32" s="24"/>
      <c r="E32" s="24"/>
      <c r="F32" s="24"/>
      <c r="G32" s="24"/>
    </row>
    <row r="33" spans="1:7" s="101" customFormat="1" x14ac:dyDescent="0.25">
      <c r="A33" s="89"/>
      <c r="B33" s="314" t="s">
        <v>153</v>
      </c>
      <c r="C33" s="97" t="s">
        <v>154</v>
      </c>
      <c r="D33" s="99">
        <f>+D30+D28+D26+D23</f>
        <v>0</v>
      </c>
      <c r="E33" s="99">
        <f>+E30+E28+E26+E23</f>
        <v>0</v>
      </c>
      <c r="F33" s="99">
        <f>+F30+F28+F26+F23</f>
        <v>0</v>
      </c>
      <c r="G33" s="99">
        <f>+G30+G28+G26+G23</f>
        <v>0</v>
      </c>
    </row>
    <row r="34" spans="1:7" x14ac:dyDescent="0.25">
      <c r="B34" s="315" t="s">
        <v>155</v>
      </c>
      <c r="C34" s="57" t="s">
        <v>156</v>
      </c>
      <c r="D34" s="24"/>
      <c r="E34" s="24"/>
      <c r="F34" s="24"/>
      <c r="G34" s="24"/>
    </row>
    <row r="35" spans="1:7" x14ac:dyDescent="0.25">
      <c r="B35" s="315" t="s">
        <v>157</v>
      </c>
      <c r="C35" s="57" t="s">
        <v>158</v>
      </c>
      <c r="D35" s="24">
        <v>31000000</v>
      </c>
      <c r="E35" s="24"/>
      <c r="F35" s="24">
        <v>0</v>
      </c>
      <c r="G35" s="24"/>
    </row>
    <row r="36" spans="1:7" x14ac:dyDescent="0.25">
      <c r="B36" s="315" t="s">
        <v>759</v>
      </c>
      <c r="C36" s="57" t="s">
        <v>162</v>
      </c>
      <c r="D36" s="24"/>
      <c r="E36" s="24"/>
      <c r="F36" s="24"/>
      <c r="G36" s="24"/>
    </row>
    <row r="37" spans="1:7" x14ac:dyDescent="0.25">
      <c r="B37" s="315" t="s">
        <v>163</v>
      </c>
      <c r="C37" s="57" t="s">
        <v>164</v>
      </c>
      <c r="D37" s="24"/>
      <c r="E37" s="24"/>
      <c r="F37" s="24"/>
      <c r="G37" s="24"/>
    </row>
    <row r="38" spans="1:7" x14ac:dyDescent="0.25">
      <c r="B38" s="315" t="s">
        <v>165</v>
      </c>
      <c r="C38" s="57" t="s">
        <v>166</v>
      </c>
      <c r="D38" s="24"/>
      <c r="E38" s="24"/>
      <c r="F38" s="24"/>
      <c r="G38" s="24"/>
    </row>
    <row r="39" spans="1:7" s="101" customFormat="1" x14ac:dyDescent="0.25">
      <c r="A39" s="89"/>
      <c r="B39" s="314" t="s">
        <v>169</v>
      </c>
      <c r="C39" s="97" t="s">
        <v>170</v>
      </c>
      <c r="D39" s="99">
        <f>SUM(D33:D38)+D22</f>
        <v>119500000</v>
      </c>
      <c r="E39" s="99">
        <f>SUM(E33:E38)+E22</f>
        <v>0</v>
      </c>
      <c r="F39" s="99">
        <f>SUM(F33:F38)+F22</f>
        <v>0</v>
      </c>
      <c r="G39" s="99">
        <f>SUM(G33:G38)+G22</f>
        <v>0</v>
      </c>
    </row>
    <row r="40" spans="1:7" hidden="1" x14ac:dyDescent="0.25">
      <c r="B40" s="60" t="s">
        <v>760</v>
      </c>
      <c r="C40" s="54" t="s">
        <v>761</v>
      </c>
      <c r="D40" s="24"/>
      <c r="E40" s="24"/>
      <c r="F40" s="24"/>
      <c r="G40" s="24"/>
    </row>
    <row r="41" spans="1:7" hidden="1" x14ac:dyDescent="0.25">
      <c r="B41" s="59" t="s">
        <v>762</v>
      </c>
      <c r="C41" s="54" t="s">
        <v>763</v>
      </c>
      <c r="D41" s="24"/>
      <c r="E41" s="24"/>
      <c r="F41" s="24"/>
      <c r="G41" s="24"/>
    </row>
    <row r="42" spans="1:7" hidden="1" x14ac:dyDescent="0.25">
      <c r="B42" s="60" t="s">
        <v>764</v>
      </c>
      <c r="C42" s="54" t="s">
        <v>765</v>
      </c>
      <c r="D42" s="24"/>
      <c r="E42" s="24"/>
      <c r="F42" s="24"/>
      <c r="G42" s="24"/>
    </row>
    <row r="43" spans="1:7" hidden="1" x14ac:dyDescent="0.25">
      <c r="B43" s="129" t="s">
        <v>746</v>
      </c>
      <c r="C43" s="103" t="s">
        <v>765</v>
      </c>
      <c r="D43" s="24"/>
      <c r="E43" s="24"/>
      <c r="F43" s="24"/>
      <c r="G43" s="24"/>
    </row>
    <row r="44" spans="1:7" hidden="1" x14ac:dyDescent="0.25">
      <c r="B44" s="60" t="s">
        <v>766</v>
      </c>
      <c r="C44" s="54" t="s">
        <v>767</v>
      </c>
      <c r="D44" s="24"/>
      <c r="E44" s="24"/>
      <c r="F44" s="24"/>
      <c r="G44" s="24"/>
    </row>
    <row r="45" spans="1:7" hidden="1" x14ac:dyDescent="0.25">
      <c r="B45" s="129" t="s">
        <v>768</v>
      </c>
      <c r="C45" s="103" t="s">
        <v>767</v>
      </c>
      <c r="D45" s="24"/>
      <c r="E45" s="24"/>
      <c r="F45" s="24"/>
      <c r="G45" s="24"/>
    </row>
    <row r="46" spans="1:7" hidden="1" x14ac:dyDescent="0.25">
      <c r="B46" s="129" t="s">
        <v>769</v>
      </c>
      <c r="C46" s="103" t="s">
        <v>767</v>
      </c>
      <c r="D46" s="24"/>
      <c r="E46" s="24"/>
      <c r="F46" s="24"/>
      <c r="G46" s="24"/>
    </row>
    <row r="47" spans="1:7" hidden="1" x14ac:dyDescent="0.25">
      <c r="B47" s="129" t="s">
        <v>770</v>
      </c>
      <c r="C47" s="103" t="s">
        <v>767</v>
      </c>
      <c r="D47" s="24"/>
      <c r="E47" s="24"/>
      <c r="F47" s="24"/>
      <c r="G47" s="24"/>
    </row>
    <row r="48" spans="1:7" hidden="1" x14ac:dyDescent="0.25">
      <c r="B48" s="129" t="s">
        <v>746</v>
      </c>
      <c r="C48" s="103" t="s">
        <v>767</v>
      </c>
      <c r="D48" s="24"/>
      <c r="E48" s="24"/>
      <c r="F48" s="24"/>
      <c r="G48" s="24"/>
    </row>
    <row r="49" spans="1:7" s="101" customFormat="1" x14ac:dyDescent="0.25">
      <c r="A49" s="89"/>
      <c r="B49" s="314" t="s">
        <v>771</v>
      </c>
      <c r="C49" s="97" t="s">
        <v>172</v>
      </c>
      <c r="D49" s="99">
        <f>+D40+D41+D42+D44</f>
        <v>0</v>
      </c>
      <c r="E49" s="99">
        <f>+E40+E41+E42+E44</f>
        <v>0</v>
      </c>
      <c r="F49" s="99">
        <f>+F40+F41+F42+F44</f>
        <v>0</v>
      </c>
      <c r="G49" s="99">
        <f>+G40+G41+G42+G44</f>
        <v>0</v>
      </c>
    </row>
    <row r="50" spans="1:7" x14ac:dyDescent="0.25">
      <c r="C50" s="295"/>
    </row>
    <row r="51" spans="1:7" x14ac:dyDescent="0.25">
      <c r="D51" s="481" t="s">
        <v>12</v>
      </c>
      <c r="E51" s="481"/>
      <c r="F51" s="481" t="s">
        <v>12</v>
      </c>
      <c r="G51" s="481"/>
    </row>
    <row r="52" spans="1:7" ht="47.25" x14ac:dyDescent="0.25">
      <c r="B52" s="299" t="s">
        <v>772</v>
      </c>
      <c r="C52" s="48" t="s">
        <v>41</v>
      </c>
      <c r="D52" s="20" t="s">
        <v>15</v>
      </c>
      <c r="E52" s="20" t="s">
        <v>16</v>
      </c>
      <c r="F52" s="20" t="s">
        <v>15</v>
      </c>
      <c r="G52" s="20" t="s">
        <v>16</v>
      </c>
    </row>
    <row r="53" spans="1:7" x14ac:dyDescent="0.25">
      <c r="A53" s="89" t="s">
        <v>773</v>
      </c>
      <c r="B53" s="316"/>
      <c r="C53" s="103" t="s">
        <v>279</v>
      </c>
      <c r="D53" s="104">
        <v>0</v>
      </c>
      <c r="E53" s="104"/>
      <c r="F53" s="104">
        <v>0</v>
      </c>
      <c r="G53" s="104"/>
    </row>
    <row r="54" spans="1:7" x14ac:dyDescent="0.25">
      <c r="A54" s="89" t="s">
        <v>774</v>
      </c>
      <c r="B54" s="317"/>
      <c r="C54" s="103" t="s">
        <v>279</v>
      </c>
      <c r="D54" s="104"/>
      <c r="E54" s="104"/>
      <c r="F54" s="104"/>
      <c r="G54" s="104"/>
    </row>
    <row r="55" spans="1:7" s="307" customFormat="1" x14ac:dyDescent="0.25">
      <c r="A55" s="304"/>
      <c r="B55" s="311" t="s">
        <v>775</v>
      </c>
      <c r="C55" s="306" t="s">
        <v>279</v>
      </c>
      <c r="D55" s="134">
        <f>+D54+D53</f>
        <v>0</v>
      </c>
      <c r="E55" s="134">
        <f>+E54+E53</f>
        <v>0</v>
      </c>
      <c r="F55" s="134">
        <f>+F54+F53</f>
        <v>0</v>
      </c>
      <c r="G55" s="134">
        <f>+G54+G53</f>
        <v>0</v>
      </c>
    </row>
    <row r="56" spans="1:7" x14ac:dyDescent="0.25">
      <c r="B56" s="129" t="s">
        <v>745</v>
      </c>
      <c r="C56" s="103" t="s">
        <v>279</v>
      </c>
      <c r="D56" s="24">
        <f>+D55</f>
        <v>0</v>
      </c>
      <c r="E56" s="24">
        <f>+E55</f>
        <v>0</v>
      </c>
      <c r="F56" s="24">
        <f>+F55</f>
        <v>0</v>
      </c>
      <c r="G56" s="24">
        <f>+G55</f>
        <v>0</v>
      </c>
    </row>
    <row r="57" spans="1:7" x14ac:dyDescent="0.25">
      <c r="B57" s="129"/>
      <c r="C57" s="103" t="s">
        <v>281</v>
      </c>
      <c r="D57" s="24"/>
      <c r="E57" s="24"/>
      <c r="F57" s="24"/>
      <c r="G57" s="24"/>
    </row>
    <row r="58" spans="1:7" s="307" customFormat="1" ht="22.5" customHeight="1" x14ac:dyDescent="0.25">
      <c r="A58" s="304"/>
      <c r="B58" s="305" t="s">
        <v>776</v>
      </c>
      <c r="C58" s="306" t="s">
        <v>281</v>
      </c>
      <c r="D58" s="134">
        <f>+D57</f>
        <v>0</v>
      </c>
      <c r="E58" s="134">
        <f>+E57</f>
        <v>0</v>
      </c>
      <c r="F58" s="134">
        <f>+F57</f>
        <v>0</v>
      </c>
      <c r="G58" s="134">
        <f>+G57</f>
        <v>0</v>
      </c>
    </row>
    <row r="59" spans="1:7" s="308" customFormat="1" x14ac:dyDescent="0.25">
      <c r="A59" s="89" t="s">
        <v>777</v>
      </c>
      <c r="B59" s="102" t="s">
        <v>936</v>
      </c>
      <c r="C59" s="103" t="s">
        <v>283</v>
      </c>
      <c r="D59" s="104">
        <v>88500000</v>
      </c>
      <c r="E59" s="137"/>
      <c r="F59" s="104">
        <v>0</v>
      </c>
      <c r="G59" s="137"/>
    </row>
    <row r="60" spans="1:7" s="307" customFormat="1" x14ac:dyDescent="0.25">
      <c r="A60" s="304"/>
      <c r="B60" s="311" t="s">
        <v>778</v>
      </c>
      <c r="C60" s="306" t="s">
        <v>283</v>
      </c>
      <c r="D60" s="134">
        <f t="shared" ref="D60:G61" si="0">+D59</f>
        <v>88500000</v>
      </c>
      <c r="E60" s="134">
        <f t="shared" si="0"/>
        <v>0</v>
      </c>
      <c r="F60" s="134">
        <f t="shared" si="0"/>
        <v>0</v>
      </c>
      <c r="G60" s="134">
        <f t="shared" si="0"/>
        <v>0</v>
      </c>
    </row>
    <row r="61" spans="1:7" x14ac:dyDescent="0.25">
      <c r="B61" s="129" t="s">
        <v>745</v>
      </c>
      <c r="C61" s="103" t="s">
        <v>283</v>
      </c>
      <c r="D61" s="24">
        <f t="shared" si="0"/>
        <v>88500000</v>
      </c>
      <c r="E61" s="24">
        <f t="shared" si="0"/>
        <v>0</v>
      </c>
      <c r="F61" s="24">
        <f t="shared" si="0"/>
        <v>0</v>
      </c>
      <c r="G61" s="24">
        <f t="shared" si="0"/>
        <v>0</v>
      </c>
    </row>
    <row r="62" spans="1:7" s="101" customFormat="1" x14ac:dyDescent="0.25">
      <c r="A62" s="89"/>
      <c r="B62" s="293" t="s">
        <v>779</v>
      </c>
      <c r="C62" s="97" t="s">
        <v>285</v>
      </c>
      <c r="D62" s="99">
        <f>+D55+D58+D60</f>
        <v>88500000</v>
      </c>
      <c r="E62" s="99">
        <f>+E55+E58+E60</f>
        <v>0</v>
      </c>
      <c r="F62" s="99">
        <f>+F55+F58+F60</f>
        <v>0</v>
      </c>
      <c r="G62" s="99">
        <f>+G55+G58+G60</f>
        <v>0</v>
      </c>
    </row>
    <row r="63" spans="1:7" x14ac:dyDescent="0.25">
      <c r="B63" s="59" t="s">
        <v>780</v>
      </c>
      <c r="C63" s="54" t="s">
        <v>287</v>
      </c>
      <c r="D63" s="24"/>
      <c r="E63" s="24"/>
      <c r="F63" s="24"/>
      <c r="G63" s="24"/>
    </row>
    <row r="64" spans="1:7" x14ac:dyDescent="0.25">
      <c r="B64" s="129" t="s">
        <v>751</v>
      </c>
      <c r="C64" s="103" t="s">
        <v>287</v>
      </c>
      <c r="D64" s="24"/>
      <c r="E64" s="24"/>
      <c r="F64" s="24"/>
      <c r="G64" s="24"/>
    </row>
    <row r="65" spans="1:7" x14ac:dyDescent="0.25">
      <c r="B65" s="60" t="s">
        <v>781</v>
      </c>
      <c r="C65" s="54" t="s">
        <v>289</v>
      </c>
      <c r="D65" s="24"/>
      <c r="E65" s="24"/>
      <c r="F65" s="24"/>
      <c r="G65" s="24"/>
    </row>
    <row r="66" spans="1:7" x14ac:dyDescent="0.25">
      <c r="B66" s="67" t="s">
        <v>782</v>
      </c>
      <c r="C66" s="54" t="s">
        <v>291</v>
      </c>
      <c r="D66" s="24"/>
      <c r="E66" s="24"/>
      <c r="F66" s="24"/>
      <c r="G66" s="24"/>
    </row>
    <row r="67" spans="1:7" x14ac:dyDescent="0.25">
      <c r="B67" s="129" t="s">
        <v>752</v>
      </c>
      <c r="C67" s="103" t="s">
        <v>291</v>
      </c>
      <c r="D67" s="24"/>
      <c r="E67" s="24"/>
      <c r="F67" s="24"/>
      <c r="G67" s="24"/>
    </row>
    <row r="68" spans="1:7" x14ac:dyDescent="0.25">
      <c r="B68" s="60" t="s">
        <v>783</v>
      </c>
      <c r="C68" s="54" t="s">
        <v>293</v>
      </c>
      <c r="D68" s="24"/>
      <c r="E68" s="24"/>
      <c r="F68" s="24"/>
      <c r="G68" s="24"/>
    </row>
    <row r="69" spans="1:7" x14ac:dyDescent="0.25">
      <c r="B69" s="315" t="s">
        <v>636</v>
      </c>
      <c r="C69" s="57" t="s">
        <v>295</v>
      </c>
      <c r="D69" s="24"/>
      <c r="E69" s="24"/>
      <c r="F69" s="24"/>
      <c r="G69" s="24"/>
    </row>
    <row r="70" spans="1:7" x14ac:dyDescent="0.25">
      <c r="B70" s="315" t="s">
        <v>304</v>
      </c>
      <c r="C70" s="57" t="s">
        <v>305</v>
      </c>
      <c r="D70" s="24"/>
      <c r="E70" s="24"/>
      <c r="F70" s="24"/>
      <c r="G70" s="24"/>
    </row>
    <row r="71" spans="1:7" x14ac:dyDescent="0.25">
      <c r="B71" s="315" t="s">
        <v>306</v>
      </c>
      <c r="C71" s="57" t="s">
        <v>307</v>
      </c>
      <c r="D71" s="24"/>
      <c r="E71" s="24"/>
      <c r="F71" s="24"/>
      <c r="G71" s="24"/>
    </row>
    <row r="72" spans="1:7" x14ac:dyDescent="0.25">
      <c r="B72" s="315" t="s">
        <v>784</v>
      </c>
      <c r="C72" s="57" t="s">
        <v>311</v>
      </c>
      <c r="D72" s="24"/>
      <c r="E72" s="24"/>
      <c r="F72" s="24"/>
      <c r="G72" s="24"/>
    </row>
    <row r="73" spans="1:7" x14ac:dyDescent="0.25">
      <c r="B73" s="318" t="s">
        <v>785</v>
      </c>
      <c r="C73" s="57" t="s">
        <v>313</v>
      </c>
      <c r="D73" s="24"/>
      <c r="E73" s="24"/>
      <c r="F73" s="24"/>
      <c r="G73" s="24"/>
    </row>
    <row r="74" spans="1:7" x14ac:dyDescent="0.25">
      <c r="B74" s="129" t="s">
        <v>786</v>
      </c>
      <c r="C74" s="151" t="s">
        <v>313</v>
      </c>
      <c r="D74" s="24"/>
      <c r="E74" s="24"/>
      <c r="F74" s="24"/>
      <c r="G74" s="24"/>
    </row>
    <row r="75" spans="1:7" s="101" customFormat="1" x14ac:dyDescent="0.25">
      <c r="A75" s="89"/>
      <c r="B75" s="293" t="s">
        <v>316</v>
      </c>
      <c r="C75" s="97" t="s">
        <v>317</v>
      </c>
      <c r="D75" s="99">
        <f>+D62+D69+D70+D71+D72+D73</f>
        <v>88500000</v>
      </c>
      <c r="E75" s="99">
        <f>+E62+E69+E70+E71+E72+E73</f>
        <v>0</v>
      </c>
      <c r="F75" s="99">
        <f>+F62+F69+F70+F71+F72+F73</f>
        <v>0</v>
      </c>
      <c r="G75" s="99">
        <f>+G62+G69+G70+G71+G72+G73</f>
        <v>0</v>
      </c>
    </row>
    <row r="76" spans="1:7" hidden="1" x14ac:dyDescent="0.25">
      <c r="B76" s="59" t="s">
        <v>787</v>
      </c>
      <c r="C76" s="54" t="s">
        <v>788</v>
      </c>
      <c r="D76" s="24"/>
      <c r="E76" s="24"/>
      <c r="F76" s="24"/>
      <c r="G76" s="24"/>
    </row>
    <row r="77" spans="1:7" hidden="1" x14ac:dyDescent="0.25">
      <c r="B77" s="67" t="s">
        <v>789</v>
      </c>
      <c r="C77" s="54" t="s">
        <v>790</v>
      </c>
      <c r="D77" s="24"/>
      <c r="E77" s="24"/>
      <c r="F77" s="24"/>
      <c r="G77" s="24"/>
    </row>
    <row r="78" spans="1:7" hidden="1" x14ac:dyDescent="0.25">
      <c r="B78" s="60" t="s">
        <v>791</v>
      </c>
      <c r="C78" s="54" t="s">
        <v>792</v>
      </c>
      <c r="D78" s="24"/>
      <c r="E78" s="24"/>
      <c r="F78" s="24"/>
      <c r="G78" s="24"/>
    </row>
    <row r="79" spans="1:7" hidden="1" x14ac:dyDescent="0.25">
      <c r="B79" s="60" t="s">
        <v>793</v>
      </c>
      <c r="C79" s="54" t="s">
        <v>794</v>
      </c>
      <c r="D79" s="24"/>
      <c r="E79" s="24"/>
      <c r="F79" s="24"/>
      <c r="G79" s="24"/>
    </row>
    <row r="80" spans="1:7" hidden="1" x14ac:dyDescent="0.25">
      <c r="B80" s="129" t="s">
        <v>768</v>
      </c>
      <c r="C80" s="103" t="s">
        <v>794</v>
      </c>
      <c r="D80" s="24"/>
      <c r="E80" s="24"/>
      <c r="F80" s="24"/>
      <c r="G80" s="24"/>
    </row>
    <row r="81" spans="1:7" hidden="1" x14ac:dyDescent="0.25">
      <c r="B81" s="129" t="s">
        <v>769</v>
      </c>
      <c r="C81" s="103" t="s">
        <v>794</v>
      </c>
      <c r="D81" s="24"/>
      <c r="E81" s="24"/>
      <c r="F81" s="24"/>
      <c r="G81" s="24"/>
    </row>
    <row r="82" spans="1:7" hidden="1" x14ac:dyDescent="0.25">
      <c r="B82" s="129" t="s">
        <v>770</v>
      </c>
      <c r="C82" s="103" t="s">
        <v>794</v>
      </c>
      <c r="D82" s="24"/>
      <c r="E82" s="24"/>
      <c r="F82" s="24"/>
      <c r="G82" s="24"/>
    </row>
    <row r="83" spans="1:7" s="101" customFormat="1" x14ac:dyDescent="0.25">
      <c r="A83" s="89"/>
      <c r="B83" s="314" t="s">
        <v>795</v>
      </c>
      <c r="C83" s="97" t="s">
        <v>319</v>
      </c>
      <c r="D83" s="99">
        <f>SUM(D76:D79)</f>
        <v>0</v>
      </c>
      <c r="E83" s="99">
        <f>SUM(E76:E79)</f>
        <v>0</v>
      </c>
      <c r="F83" s="99">
        <f>SUM(F76:F79)</f>
        <v>0</v>
      </c>
      <c r="G83" s="99">
        <f>SUM(G76:G79)</f>
        <v>0</v>
      </c>
    </row>
  </sheetData>
  <sheetProtection selectLockedCells="1" selectUnlockedCells="1"/>
  <mergeCells count="5">
    <mergeCell ref="B6:E6"/>
    <mergeCell ref="D8:E8"/>
    <mergeCell ref="F8:G8"/>
    <mergeCell ref="D51:E51"/>
    <mergeCell ref="F51:G51"/>
  </mergeCells>
  <printOptions horizontalCentered="1"/>
  <pageMargins left="0.70833333333333337" right="0.70833333333333337" top="0.42986111111111114" bottom="0.58055555555555549" header="0.51180555555555551" footer="0.31527777777777777"/>
  <pageSetup paperSize="9" scale="68" firstPageNumber="0" orientation="portrait" horizontalDpi="300" verticalDpi="300" r:id="rId1"/>
  <headerFooter alignWithMargins="0">
    <oddFooter>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I27"/>
  <sheetViews>
    <sheetView view="pageBreakPreview" zoomScale="80" zoomScaleSheetLayoutView="80" workbookViewId="0">
      <selection activeCell="I2" sqref="I2"/>
    </sheetView>
  </sheetViews>
  <sheetFormatPr defaultRowHeight="15.75" x14ac:dyDescent="0.25"/>
  <cols>
    <col min="1" max="1" width="55.28515625" style="13" customWidth="1"/>
    <col min="2" max="2" width="14" style="13" customWidth="1"/>
    <col min="3" max="3" width="10.85546875" style="13" customWidth="1"/>
    <col min="4" max="4" width="12.7109375" style="13" customWidth="1"/>
    <col min="5" max="5" width="12.28515625" style="13" customWidth="1"/>
    <col min="6" max="7" width="9.140625" style="13"/>
    <col min="8" max="8" width="11.42578125" style="13" customWidth="1"/>
    <col min="9" max="9" width="13.85546875" style="13" customWidth="1"/>
    <col min="10" max="16384" width="9.140625" style="13"/>
  </cols>
  <sheetData>
    <row r="1" spans="1:9" x14ac:dyDescent="0.25">
      <c r="I1" s="15" t="s">
        <v>796</v>
      </c>
    </row>
    <row r="2" spans="1:9" x14ac:dyDescent="0.25">
      <c r="I2" s="16" t="s">
        <v>937</v>
      </c>
    </row>
    <row r="3" spans="1:9" ht="30.75" customHeight="1" x14ac:dyDescent="0.3">
      <c r="A3" s="464" t="s">
        <v>879</v>
      </c>
      <c r="B3" s="464"/>
      <c r="C3" s="37"/>
      <c r="D3" s="37"/>
      <c r="E3" s="37"/>
      <c r="F3" s="37"/>
      <c r="G3" s="37"/>
      <c r="H3" s="37"/>
      <c r="I3" s="37"/>
    </row>
    <row r="4" spans="1:9" ht="23.25" customHeight="1" x14ac:dyDescent="0.25">
      <c r="A4" s="468" t="s">
        <v>922</v>
      </c>
      <c r="B4" s="468"/>
      <c r="C4" s="468"/>
      <c r="D4" s="468"/>
      <c r="E4" s="468"/>
      <c r="F4" s="468"/>
      <c r="G4" s="468"/>
      <c r="H4" s="468"/>
      <c r="I4" s="468"/>
    </row>
    <row r="7" spans="1:9" s="22" customFormat="1" ht="47.25" x14ac:dyDescent="0.25">
      <c r="A7" s="319" t="s">
        <v>797</v>
      </c>
      <c r="B7" s="319" t="s">
        <v>798</v>
      </c>
      <c r="C7" s="319" t="s">
        <v>799</v>
      </c>
      <c r="D7" s="319" t="s">
        <v>800</v>
      </c>
      <c r="E7" s="319" t="s">
        <v>801</v>
      </c>
      <c r="F7" s="319" t="s">
        <v>802</v>
      </c>
      <c r="G7" s="319" t="s">
        <v>887</v>
      </c>
      <c r="H7" s="319" t="s">
        <v>888</v>
      </c>
      <c r="I7" s="319" t="s">
        <v>566</v>
      </c>
    </row>
    <row r="8" spans="1:9" x14ac:dyDescent="0.25">
      <c r="A8" s="23"/>
      <c r="B8" s="320"/>
      <c r="C8" s="302"/>
      <c r="D8" s="302"/>
      <c r="E8" s="302"/>
      <c r="F8" s="302"/>
      <c r="G8" s="302"/>
      <c r="H8" s="302"/>
      <c r="I8" s="302">
        <f>SUM(C8:H8)</f>
        <v>0</v>
      </c>
    </row>
    <row r="9" spans="1:9" x14ac:dyDescent="0.25">
      <c r="A9" s="321"/>
      <c r="B9" s="320"/>
      <c r="C9" s="302"/>
      <c r="D9" s="302"/>
      <c r="E9" s="302"/>
      <c r="F9" s="302"/>
      <c r="G9" s="302"/>
      <c r="H9" s="302"/>
      <c r="I9" s="302">
        <f>SUM(C9:H9)</f>
        <v>0</v>
      </c>
    </row>
    <row r="10" spans="1:9" x14ac:dyDescent="0.25">
      <c r="A10" s="23"/>
      <c r="B10" s="320"/>
      <c r="C10" s="302"/>
      <c r="D10" s="302"/>
      <c r="E10" s="302"/>
      <c r="F10" s="302"/>
      <c r="G10" s="302"/>
      <c r="H10" s="302"/>
      <c r="I10" s="302">
        <f>SUM(C10:H10)</f>
        <v>0</v>
      </c>
    </row>
    <row r="11" spans="1:9" s="101" customFormat="1" x14ac:dyDescent="0.25">
      <c r="A11" s="322" t="s">
        <v>803</v>
      </c>
      <c r="B11" s="322"/>
      <c r="C11" s="323">
        <f t="shared" ref="C11:I11" si="0">SUM(C8:C10)</f>
        <v>0</v>
      </c>
      <c r="D11" s="323">
        <f t="shared" si="0"/>
        <v>0</v>
      </c>
      <c r="E11" s="323">
        <f t="shared" si="0"/>
        <v>0</v>
      </c>
      <c r="F11" s="323">
        <f t="shared" si="0"/>
        <v>0</v>
      </c>
      <c r="G11" s="323">
        <f t="shared" si="0"/>
        <v>0</v>
      </c>
      <c r="H11" s="323">
        <f t="shared" si="0"/>
        <v>0</v>
      </c>
      <c r="I11" s="323">
        <f t="shared" si="0"/>
        <v>0</v>
      </c>
    </row>
    <row r="12" spans="1:9" x14ac:dyDescent="0.25">
      <c r="A12" s="320"/>
      <c r="B12" s="320"/>
      <c r="C12" s="302"/>
      <c r="D12" s="302"/>
      <c r="E12" s="302"/>
      <c r="F12" s="302"/>
      <c r="G12" s="302"/>
      <c r="H12" s="302"/>
      <c r="I12" s="302">
        <f>SUM(C12:H12)</f>
        <v>0</v>
      </c>
    </row>
    <row r="13" spans="1:9" x14ac:dyDescent="0.25">
      <c r="A13" s="316"/>
      <c r="B13" s="320"/>
      <c r="C13" s="302"/>
      <c r="D13" s="302"/>
      <c r="E13" s="302"/>
      <c r="F13" s="302"/>
      <c r="G13" s="302"/>
      <c r="H13" s="302"/>
      <c r="I13" s="302"/>
    </row>
    <row r="14" spans="1:9" s="101" customFormat="1" x14ac:dyDescent="0.25">
      <c r="A14" s="322" t="s">
        <v>804</v>
      </c>
      <c r="B14" s="322"/>
      <c r="C14" s="323">
        <f t="shared" ref="C14:I14" si="1">SUM(C13:C13)</f>
        <v>0</v>
      </c>
      <c r="D14" s="323">
        <f t="shared" si="1"/>
        <v>0</v>
      </c>
      <c r="E14" s="323">
        <f t="shared" si="1"/>
        <v>0</v>
      </c>
      <c r="F14" s="323">
        <f t="shared" si="1"/>
        <v>0</v>
      </c>
      <c r="G14" s="323">
        <f t="shared" si="1"/>
        <v>0</v>
      </c>
      <c r="H14" s="323">
        <f t="shared" si="1"/>
        <v>0</v>
      </c>
      <c r="I14" s="323">
        <f t="shared" si="1"/>
        <v>0</v>
      </c>
    </row>
    <row r="15" spans="1:9" x14ac:dyDescent="0.25">
      <c r="A15" s="320"/>
      <c r="B15" s="320"/>
      <c r="C15" s="302"/>
      <c r="D15" s="302"/>
      <c r="E15" s="302"/>
      <c r="F15" s="302"/>
      <c r="G15" s="302"/>
      <c r="H15" s="302"/>
      <c r="I15" s="302">
        <f>SUM(C15:H15)</f>
        <v>0</v>
      </c>
    </row>
    <row r="16" spans="1:9" x14ac:dyDescent="0.25">
      <c r="A16" s="320"/>
      <c r="B16" s="320"/>
      <c r="C16" s="302"/>
      <c r="D16" s="302"/>
      <c r="E16" s="302"/>
      <c r="F16" s="302"/>
      <c r="G16" s="302"/>
      <c r="H16" s="302"/>
      <c r="I16" s="302">
        <f>SUM(C16:H16)</f>
        <v>0</v>
      </c>
    </row>
    <row r="17" spans="1:9" x14ac:dyDescent="0.25">
      <c r="A17" s="320" t="s">
        <v>890</v>
      </c>
      <c r="B17" s="450">
        <v>2018</v>
      </c>
      <c r="C17" s="302"/>
      <c r="D17" s="302">
        <v>35000</v>
      </c>
      <c r="E17" s="302">
        <v>43000</v>
      </c>
      <c r="F17" s="302"/>
      <c r="G17" s="302"/>
      <c r="H17" s="302"/>
      <c r="I17" s="302">
        <f>SUM(C17:H17)</f>
        <v>78000</v>
      </c>
    </row>
    <row r="18" spans="1:9" s="101" customFormat="1" x14ac:dyDescent="0.25">
      <c r="A18" s="322" t="s">
        <v>805</v>
      </c>
      <c r="B18" s="322"/>
      <c r="C18" s="323">
        <f t="shared" ref="C18:I18" si="2">SUM(C15:C17)</f>
        <v>0</v>
      </c>
      <c r="D18" s="323">
        <f t="shared" si="2"/>
        <v>35000</v>
      </c>
      <c r="E18" s="323">
        <f t="shared" si="2"/>
        <v>43000</v>
      </c>
      <c r="F18" s="323">
        <f t="shared" si="2"/>
        <v>0</v>
      </c>
      <c r="G18" s="323">
        <f t="shared" si="2"/>
        <v>0</v>
      </c>
      <c r="H18" s="323">
        <f t="shared" si="2"/>
        <v>0</v>
      </c>
      <c r="I18" s="323">
        <f t="shared" si="2"/>
        <v>78000</v>
      </c>
    </row>
    <row r="19" spans="1:9" x14ac:dyDescent="0.25">
      <c r="A19" s="320"/>
      <c r="B19" s="320"/>
      <c r="C19" s="302"/>
      <c r="D19" s="302"/>
      <c r="E19" s="302"/>
      <c r="F19" s="302"/>
      <c r="G19" s="302"/>
      <c r="H19" s="302"/>
      <c r="I19" s="302">
        <f>SUM(C19:H19)</f>
        <v>0</v>
      </c>
    </row>
    <row r="20" spans="1:9" x14ac:dyDescent="0.25">
      <c r="A20" s="316"/>
      <c r="B20" s="320"/>
      <c r="C20" s="302"/>
      <c r="D20" s="302"/>
      <c r="E20" s="302"/>
      <c r="F20" s="302"/>
      <c r="G20" s="302"/>
      <c r="H20" s="302"/>
      <c r="I20" s="302">
        <f>SUM(C20:H20)</f>
        <v>0</v>
      </c>
    </row>
    <row r="21" spans="1:9" x14ac:dyDescent="0.25">
      <c r="A21" s="317"/>
      <c r="B21" s="320"/>
      <c r="C21" s="302"/>
      <c r="D21" s="302"/>
      <c r="E21" s="302"/>
      <c r="F21" s="302"/>
      <c r="G21" s="302"/>
      <c r="H21" s="302"/>
      <c r="I21" s="302">
        <f>SUM(C21:H21)</f>
        <v>0</v>
      </c>
    </row>
    <row r="22" spans="1:9" s="101" customFormat="1" x14ac:dyDescent="0.25">
      <c r="A22" s="322" t="s">
        <v>806</v>
      </c>
      <c r="B22" s="322"/>
      <c r="C22" s="323">
        <f t="shared" ref="C22:I22" si="3">SUM(C19:C21)</f>
        <v>0</v>
      </c>
      <c r="D22" s="323">
        <f t="shared" si="3"/>
        <v>0</v>
      </c>
      <c r="E22" s="323">
        <f t="shared" si="3"/>
        <v>0</v>
      </c>
      <c r="F22" s="323">
        <f t="shared" si="3"/>
        <v>0</v>
      </c>
      <c r="G22" s="323">
        <f t="shared" si="3"/>
        <v>0</v>
      </c>
      <c r="H22" s="323">
        <f t="shared" si="3"/>
        <v>0</v>
      </c>
      <c r="I22" s="323">
        <f t="shared" si="3"/>
        <v>0</v>
      </c>
    </row>
    <row r="23" spans="1:9" s="101" customFormat="1" x14ac:dyDescent="0.25">
      <c r="A23" s="324" t="s">
        <v>807</v>
      </c>
      <c r="B23" s="325"/>
      <c r="C23" s="294">
        <f t="shared" ref="C23:I23" si="4">+C22+C18+C14+C11</f>
        <v>0</v>
      </c>
      <c r="D23" s="294">
        <f t="shared" si="4"/>
        <v>35000</v>
      </c>
      <c r="E23" s="294">
        <f t="shared" si="4"/>
        <v>43000</v>
      </c>
      <c r="F23" s="294">
        <f t="shared" si="4"/>
        <v>0</v>
      </c>
      <c r="G23" s="294">
        <f t="shared" si="4"/>
        <v>0</v>
      </c>
      <c r="H23" s="294">
        <f t="shared" si="4"/>
        <v>0</v>
      </c>
      <c r="I23" s="294">
        <f t="shared" si="4"/>
        <v>78000</v>
      </c>
    </row>
    <row r="27" spans="1:9" x14ac:dyDescent="0.25">
      <c r="I27" s="88" t="s">
        <v>924</v>
      </c>
    </row>
  </sheetData>
  <sheetProtection selectLockedCells="1" selectUnlockedCells="1"/>
  <mergeCells count="2">
    <mergeCell ref="A3:B3"/>
    <mergeCell ref="A4:I4"/>
  </mergeCells>
  <pageMargins left="0.83958333333333335" right="0.83888888888888891" top="0.74791666666666667" bottom="0.74861111111111112" header="0.51180555555555551" footer="0.31527777777777777"/>
  <pageSetup paperSize="9" scale="85" firstPageNumber="0" orientation="landscape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view="pageBreakPreview" zoomScale="62" zoomScaleNormal="62" zoomScaleSheetLayoutView="62" workbookViewId="0">
      <selection activeCell="D2" sqref="D2"/>
    </sheetView>
  </sheetViews>
  <sheetFormatPr defaultRowHeight="15.75" x14ac:dyDescent="0.25"/>
  <cols>
    <col min="1" max="1" width="58.28515625" style="13" customWidth="1"/>
    <col min="2" max="3" width="15.5703125" style="14" bestFit="1" customWidth="1"/>
    <col min="4" max="4" width="15.140625" style="14" customWidth="1"/>
    <col min="5" max="7" width="0" style="14" hidden="1" customWidth="1"/>
    <col min="8" max="16384" width="9.140625" style="13"/>
  </cols>
  <sheetData>
    <row r="1" spans="1:7" ht="18.75" x14ac:dyDescent="0.25">
      <c r="D1" s="15" t="s">
        <v>9</v>
      </c>
      <c r="G1" s="16" t="s">
        <v>10</v>
      </c>
    </row>
    <row r="2" spans="1:7" x14ac:dyDescent="0.25">
      <c r="D2" s="16" t="s">
        <v>937</v>
      </c>
      <c r="G2" s="16" t="s">
        <v>11</v>
      </c>
    </row>
    <row r="3" spans="1:7" x14ac:dyDescent="0.25">
      <c r="D3" s="16"/>
      <c r="G3" s="16"/>
    </row>
    <row r="4" spans="1:7" ht="40.5" x14ac:dyDescent="0.3">
      <c r="A4" s="17" t="s">
        <v>879</v>
      </c>
    </row>
    <row r="5" spans="1:7" ht="20.25" x14ac:dyDescent="0.3">
      <c r="A5" s="17"/>
    </row>
    <row r="6" spans="1:7" ht="50.25" customHeight="1" x14ac:dyDescent="0.35">
      <c r="A6" s="18" t="s">
        <v>875</v>
      </c>
    </row>
    <row r="7" spans="1:7" ht="19.5" x14ac:dyDescent="0.35">
      <c r="A7" s="18"/>
    </row>
    <row r="8" spans="1:7" x14ac:dyDescent="0.25">
      <c r="B8" s="466" t="s">
        <v>12</v>
      </c>
      <c r="C8" s="466"/>
      <c r="D8" s="466"/>
      <c r="E8" s="466" t="s">
        <v>13</v>
      </c>
      <c r="F8" s="466"/>
      <c r="G8" s="466"/>
    </row>
    <row r="9" spans="1:7" s="22" customFormat="1" ht="47.25" x14ac:dyDescent="0.25">
      <c r="A9" s="19" t="s">
        <v>14</v>
      </c>
      <c r="B9" s="20" t="s">
        <v>15</v>
      </c>
      <c r="C9" s="20" t="s">
        <v>16</v>
      </c>
      <c r="D9" s="21" t="s">
        <v>17</v>
      </c>
      <c r="E9" s="20" t="s">
        <v>15</v>
      </c>
      <c r="F9" s="20" t="s">
        <v>16</v>
      </c>
      <c r="G9" s="21" t="s">
        <v>17</v>
      </c>
    </row>
    <row r="10" spans="1:7" x14ac:dyDescent="0.25">
      <c r="A10" s="23" t="s">
        <v>18</v>
      </c>
      <c r="B10" s="24">
        <f>+'2 Össz'!C9</f>
        <v>1010579441</v>
      </c>
      <c r="C10" s="24">
        <f>+'2 Össz'!D9</f>
        <v>742260693</v>
      </c>
      <c r="D10" s="25">
        <f t="shared" ref="D10:D17" si="0">SUM(B10:C10)</f>
        <v>1752840134</v>
      </c>
      <c r="E10" s="24">
        <f>+'2 Össz'!F9</f>
        <v>0</v>
      </c>
      <c r="F10" s="24">
        <f>+'2 Össz'!G9</f>
        <v>0</v>
      </c>
      <c r="G10" s="25">
        <f t="shared" ref="G10:G17" si="1">SUM(E10:F10)</f>
        <v>0</v>
      </c>
    </row>
    <row r="11" spans="1:7" x14ac:dyDescent="0.25">
      <c r="A11" s="23" t="s">
        <v>19</v>
      </c>
      <c r="B11" s="24">
        <f>+'2 Össz'!C10</f>
        <v>189701787</v>
      </c>
      <c r="C11" s="24">
        <f>+'2 Össz'!D10</f>
        <v>141863510</v>
      </c>
      <c r="D11" s="25">
        <f t="shared" si="0"/>
        <v>331565297</v>
      </c>
      <c r="E11" s="24">
        <f>+'2 Össz'!F10</f>
        <v>0</v>
      </c>
      <c r="F11" s="24">
        <f>+'2 Össz'!G10</f>
        <v>0</v>
      </c>
      <c r="G11" s="25">
        <f t="shared" si="1"/>
        <v>0</v>
      </c>
    </row>
    <row r="12" spans="1:7" x14ac:dyDescent="0.25">
      <c r="A12" s="23" t="s">
        <v>20</v>
      </c>
      <c r="B12" s="24">
        <f>+'2 Össz'!C16</f>
        <v>641372008</v>
      </c>
      <c r="C12" s="24">
        <f>+'2 Össz'!D16</f>
        <v>757217208</v>
      </c>
      <c r="D12" s="25">
        <f t="shared" si="0"/>
        <v>1398589216</v>
      </c>
      <c r="E12" s="24">
        <f>+'2 Össz'!F16</f>
        <v>0</v>
      </c>
      <c r="F12" s="24">
        <f>+'2 Össz'!G16</f>
        <v>0</v>
      </c>
      <c r="G12" s="25">
        <f t="shared" si="1"/>
        <v>0</v>
      </c>
    </row>
    <row r="13" spans="1:7" x14ac:dyDescent="0.25">
      <c r="A13" s="23" t="s">
        <v>21</v>
      </c>
      <c r="B13" s="24">
        <f>+'2 Össz'!C17</f>
        <v>59800000</v>
      </c>
      <c r="C13" s="24">
        <f>+'2 Össz'!D17</f>
        <v>0</v>
      </c>
      <c r="D13" s="25">
        <f t="shared" si="0"/>
        <v>59800000</v>
      </c>
      <c r="E13" s="24">
        <f>+'2 Össz'!F17</f>
        <v>0</v>
      </c>
      <c r="F13" s="24">
        <f>+'2 Össz'!G17</f>
        <v>0</v>
      </c>
      <c r="G13" s="25">
        <f t="shared" si="1"/>
        <v>0</v>
      </c>
    </row>
    <row r="14" spans="1:7" x14ac:dyDescent="0.25">
      <c r="A14" s="23" t="s">
        <v>22</v>
      </c>
      <c r="B14" s="24">
        <f>+'2 Össz'!C32</f>
        <v>78370600</v>
      </c>
      <c r="C14" s="24">
        <f>+'2 Össz'!D32</f>
        <v>47950000</v>
      </c>
      <c r="D14" s="25">
        <f t="shared" si="0"/>
        <v>126320600</v>
      </c>
      <c r="E14" s="24">
        <f>+'2 Össz'!F32</f>
        <v>0</v>
      </c>
      <c r="F14" s="24">
        <f>+'2 Össz'!G32</f>
        <v>0</v>
      </c>
      <c r="G14" s="25">
        <f t="shared" si="1"/>
        <v>0</v>
      </c>
    </row>
    <row r="15" spans="1:7" x14ac:dyDescent="0.25">
      <c r="A15" s="23" t="s">
        <v>23</v>
      </c>
      <c r="B15" s="24">
        <f>+'2 Össz'!C41</f>
        <v>89210006</v>
      </c>
      <c r="C15" s="24">
        <f>+'2 Össz'!D41</f>
        <v>245850310</v>
      </c>
      <c r="D15" s="25">
        <f t="shared" si="0"/>
        <v>335060316</v>
      </c>
      <c r="E15" s="24">
        <f>+'2 Össz'!F41</f>
        <v>0</v>
      </c>
      <c r="F15" s="24">
        <f>+'2 Össz'!G41</f>
        <v>0</v>
      </c>
      <c r="G15" s="25">
        <f t="shared" si="1"/>
        <v>0</v>
      </c>
    </row>
    <row r="16" spans="1:7" x14ac:dyDescent="0.25">
      <c r="A16" s="23" t="s">
        <v>24</v>
      </c>
      <c r="B16" s="24">
        <f>+'2 Össz'!C46</f>
        <v>3036006361</v>
      </c>
      <c r="C16" s="24">
        <f>+'2 Össz'!D46</f>
        <v>596738000</v>
      </c>
      <c r="D16" s="25">
        <f t="shared" si="0"/>
        <v>3632744361</v>
      </c>
      <c r="E16" s="24">
        <f>+'2 Össz'!F46</f>
        <v>0</v>
      </c>
      <c r="F16" s="24">
        <f>+'2 Össz'!G46</f>
        <v>0</v>
      </c>
      <c r="G16" s="25">
        <f t="shared" si="1"/>
        <v>0</v>
      </c>
    </row>
    <row r="17" spans="1:7" x14ac:dyDescent="0.25">
      <c r="A17" s="23" t="s">
        <v>25</v>
      </c>
      <c r="B17" s="24">
        <f>+'2 Össz'!C56</f>
        <v>17867000</v>
      </c>
      <c r="C17" s="24">
        <f>+'2 Össz'!D56</f>
        <v>0</v>
      </c>
      <c r="D17" s="25">
        <f t="shared" si="0"/>
        <v>17867000</v>
      </c>
      <c r="E17" s="24">
        <f>+'2 Össz'!F56</f>
        <v>0</v>
      </c>
      <c r="F17" s="24">
        <f>+'2 Össz'!G56</f>
        <v>0</v>
      </c>
      <c r="G17" s="25">
        <f t="shared" si="1"/>
        <v>0</v>
      </c>
    </row>
    <row r="18" spans="1:7" s="27" customFormat="1" x14ac:dyDescent="0.25">
      <c r="A18" s="26" t="s">
        <v>26</v>
      </c>
      <c r="B18" s="25">
        <f t="shared" ref="B18:G18" si="2">SUM(B10:B17)</f>
        <v>5122907203</v>
      </c>
      <c r="C18" s="25">
        <f t="shared" si="2"/>
        <v>2531879721</v>
      </c>
      <c r="D18" s="25">
        <f t="shared" si="2"/>
        <v>7654786924</v>
      </c>
      <c r="E18" s="25">
        <f t="shared" si="2"/>
        <v>0</v>
      </c>
      <c r="F18" s="25">
        <f t="shared" si="2"/>
        <v>0</v>
      </c>
      <c r="G18" s="25">
        <f t="shared" si="2"/>
        <v>0</v>
      </c>
    </row>
    <row r="19" spans="1:7" s="27" customFormat="1" x14ac:dyDescent="0.25">
      <c r="A19" s="26" t="s">
        <v>27</v>
      </c>
      <c r="B19" s="25">
        <f>+'2 Össz'!C75</f>
        <v>119500000</v>
      </c>
      <c r="C19" s="25">
        <f>+'2 Össz'!D75</f>
        <v>0</v>
      </c>
      <c r="D19" s="25">
        <f>SUM(B19:C19)</f>
        <v>119500000</v>
      </c>
      <c r="E19" s="25">
        <f>+'2 Össz'!F75</f>
        <v>0</v>
      </c>
      <c r="F19" s="25">
        <f>+'2 Össz'!G75</f>
        <v>0</v>
      </c>
      <c r="G19" s="25">
        <f>SUM(E19:F19)</f>
        <v>0</v>
      </c>
    </row>
    <row r="20" spans="1:7" s="27" customFormat="1" x14ac:dyDescent="0.25">
      <c r="A20" s="28" t="s">
        <v>28</v>
      </c>
      <c r="B20" s="29">
        <f t="shared" ref="B20:G20" si="3">+B19+B18</f>
        <v>5242407203</v>
      </c>
      <c r="C20" s="29">
        <f t="shared" si="3"/>
        <v>2531879721</v>
      </c>
      <c r="D20" s="29">
        <f t="shared" si="3"/>
        <v>7774286924</v>
      </c>
      <c r="E20" s="29">
        <f t="shared" si="3"/>
        <v>0</v>
      </c>
      <c r="F20" s="29">
        <f t="shared" si="3"/>
        <v>0</v>
      </c>
      <c r="G20" s="29">
        <f t="shared" si="3"/>
        <v>0</v>
      </c>
    </row>
    <row r="21" spans="1:7" x14ac:dyDescent="0.25">
      <c r="A21" s="23" t="s">
        <v>29</v>
      </c>
      <c r="B21" s="24">
        <f>+'2 Össz'!C92</f>
        <v>1341631133</v>
      </c>
      <c r="C21" s="24">
        <f>+'2 Össz'!D92</f>
        <v>1255114721</v>
      </c>
      <c r="D21" s="25">
        <f t="shared" ref="D21:D27" si="4">SUM(B21:C21)</f>
        <v>2596745854</v>
      </c>
      <c r="E21" s="24">
        <f>+'2 Össz'!F92</f>
        <v>0</v>
      </c>
      <c r="F21" s="24">
        <f>+'2 Össz'!G92</f>
        <v>0</v>
      </c>
      <c r="G21" s="25">
        <f t="shared" ref="G21:G27" si="5">SUM(E21:F21)</f>
        <v>0</v>
      </c>
    </row>
    <row r="22" spans="1:7" x14ac:dyDescent="0.25">
      <c r="A22" s="23" t="s">
        <v>30</v>
      </c>
      <c r="B22" s="24">
        <f>+'2 Össz'!C93</f>
        <v>2555754453</v>
      </c>
      <c r="C22" s="24">
        <f>+'2 Össz'!D93</f>
        <v>664156000</v>
      </c>
      <c r="D22" s="25">
        <f t="shared" si="4"/>
        <v>3219910453</v>
      </c>
      <c r="E22" s="24">
        <f>+'2 Össz'!F93</f>
        <v>0</v>
      </c>
      <c r="F22" s="24">
        <f>+'2 Össz'!G93</f>
        <v>0</v>
      </c>
      <c r="G22" s="25">
        <f t="shared" si="5"/>
        <v>0</v>
      </c>
    </row>
    <row r="23" spans="1:7" x14ac:dyDescent="0.25">
      <c r="A23" s="23" t="s">
        <v>31</v>
      </c>
      <c r="B23" s="24">
        <f>+'2 Össz'!C100</f>
        <v>436700000</v>
      </c>
      <c r="C23" s="24">
        <f>+'2 Össz'!D100</f>
        <v>0</v>
      </c>
      <c r="D23" s="25">
        <f t="shared" si="4"/>
        <v>436700000</v>
      </c>
      <c r="E23" s="24" t="e">
        <f>+'2 Össz'!F100</f>
        <v>#REF!</v>
      </c>
      <c r="F23" s="24">
        <f>+'2 Össz'!G100</f>
        <v>0</v>
      </c>
      <c r="G23" s="25" t="e">
        <f t="shared" si="5"/>
        <v>#REF!</v>
      </c>
    </row>
    <row r="24" spans="1:7" x14ac:dyDescent="0.25">
      <c r="A24" s="23" t="s">
        <v>32</v>
      </c>
      <c r="B24" s="24">
        <f>+'2 Össz'!C112</f>
        <v>240456932</v>
      </c>
      <c r="C24" s="24">
        <f>+'2 Össz'!D112</f>
        <v>176290000</v>
      </c>
      <c r="D24" s="25">
        <f t="shared" si="4"/>
        <v>416746932</v>
      </c>
      <c r="E24" s="24">
        <f>+'2 Össz'!F112</f>
        <v>0</v>
      </c>
      <c r="F24" s="24">
        <f>+'2 Össz'!G112</f>
        <v>0</v>
      </c>
      <c r="G24" s="25">
        <f t="shared" si="5"/>
        <v>0</v>
      </c>
    </row>
    <row r="25" spans="1:7" x14ac:dyDescent="0.25">
      <c r="A25" s="23" t="s">
        <v>33</v>
      </c>
      <c r="B25" s="24">
        <f>+'2 Össz'!C118</f>
        <v>109500000</v>
      </c>
      <c r="C25" s="24">
        <f>+'2 Össz'!D118</f>
        <v>0</v>
      </c>
      <c r="D25" s="25">
        <f t="shared" si="4"/>
        <v>109500000</v>
      </c>
      <c r="E25" s="24">
        <f>+'2 Össz'!F118</f>
        <v>0</v>
      </c>
      <c r="F25" s="24">
        <f>+'2 Össz'!G118</f>
        <v>0</v>
      </c>
      <c r="G25" s="25">
        <f t="shared" si="5"/>
        <v>0</v>
      </c>
    </row>
    <row r="26" spans="1:7" x14ac:dyDescent="0.25">
      <c r="A26" s="23" t="s">
        <v>34</v>
      </c>
      <c r="B26" s="24">
        <f>+'2 Össz'!C119</f>
        <v>7740600</v>
      </c>
      <c r="C26" s="24">
        <f>+'2 Össz'!D119</f>
        <v>0</v>
      </c>
      <c r="D26" s="25">
        <f t="shared" si="4"/>
        <v>7740600</v>
      </c>
      <c r="E26" s="24">
        <f>+'2 Össz'!F119</f>
        <v>0</v>
      </c>
      <c r="F26" s="24">
        <f>+'2 Össz'!G119</f>
        <v>0</v>
      </c>
      <c r="G26" s="25">
        <f t="shared" si="5"/>
        <v>0</v>
      </c>
    </row>
    <row r="27" spans="1:7" x14ac:dyDescent="0.25">
      <c r="A27" s="23" t="s">
        <v>35</v>
      </c>
      <c r="B27" s="24">
        <f>+'2 Össz'!C125</f>
        <v>29400000</v>
      </c>
      <c r="C27" s="24">
        <f>+'2 Össz'!D125</f>
        <v>0</v>
      </c>
      <c r="D27" s="25">
        <f t="shared" si="4"/>
        <v>29400000</v>
      </c>
      <c r="E27" s="24">
        <f>+'2 Össz'!F125</f>
        <v>0</v>
      </c>
      <c r="F27" s="24">
        <f>+'2 Össz'!G125</f>
        <v>0</v>
      </c>
      <c r="G27" s="25">
        <f t="shared" si="5"/>
        <v>0</v>
      </c>
    </row>
    <row r="28" spans="1:7" s="27" customFormat="1" x14ac:dyDescent="0.25">
      <c r="A28" s="26" t="s">
        <v>36</v>
      </c>
      <c r="B28" s="25">
        <f t="shared" ref="B28:G28" si="6">SUM(B21:B27)</f>
        <v>4721183118</v>
      </c>
      <c r="C28" s="25">
        <f t="shared" si="6"/>
        <v>2095560721</v>
      </c>
      <c r="D28" s="25">
        <f t="shared" si="6"/>
        <v>6816743839</v>
      </c>
      <c r="E28" s="25" t="e">
        <f t="shared" si="6"/>
        <v>#REF!</v>
      </c>
      <c r="F28" s="25">
        <f t="shared" si="6"/>
        <v>0</v>
      </c>
      <c r="G28" s="25" t="e">
        <f t="shared" si="6"/>
        <v>#REF!</v>
      </c>
    </row>
    <row r="29" spans="1:7" s="27" customFormat="1" x14ac:dyDescent="0.25">
      <c r="A29" s="26" t="s">
        <v>37</v>
      </c>
      <c r="B29" s="25">
        <f>+'2 Össz'!C153</f>
        <v>841603368</v>
      </c>
      <c r="C29" s="25">
        <f>+'2 Össz'!D153</f>
        <v>115939717</v>
      </c>
      <c r="D29" s="25">
        <f>SUM(B29:C29)</f>
        <v>957543085</v>
      </c>
      <c r="E29" s="25">
        <f>+'2 Össz'!F153</f>
        <v>0</v>
      </c>
      <c r="F29" s="25">
        <f>+'2 Össz'!G153</f>
        <v>0</v>
      </c>
      <c r="G29" s="25">
        <f>SUM(E29:F29)</f>
        <v>0</v>
      </c>
    </row>
    <row r="30" spans="1:7" s="27" customFormat="1" x14ac:dyDescent="0.25">
      <c r="A30" s="28" t="s">
        <v>38</v>
      </c>
      <c r="B30" s="29">
        <f t="shared" ref="B30:G30" si="7">+B29+B28</f>
        <v>5562786486</v>
      </c>
      <c r="C30" s="29">
        <f t="shared" si="7"/>
        <v>2211500438</v>
      </c>
      <c r="D30" s="29">
        <f t="shared" si="7"/>
        <v>7774286924</v>
      </c>
      <c r="E30" s="29" t="e">
        <f t="shared" si="7"/>
        <v>#REF!</v>
      </c>
      <c r="F30" s="29">
        <f t="shared" si="7"/>
        <v>0</v>
      </c>
      <c r="G30" s="29" t="e">
        <f t="shared" si="7"/>
        <v>#REF!</v>
      </c>
    </row>
    <row r="33" spans="2:7" x14ac:dyDescent="0.25">
      <c r="B33" s="14">
        <f t="shared" ref="B33:G33" si="8">+B30-B20</f>
        <v>320379283</v>
      </c>
      <c r="C33" s="14">
        <f t="shared" si="8"/>
        <v>-320379283</v>
      </c>
      <c r="D33" s="14">
        <f t="shared" si="8"/>
        <v>0</v>
      </c>
      <c r="E33" s="14" t="e">
        <f t="shared" si="8"/>
        <v>#REF!</v>
      </c>
      <c r="F33" s="14">
        <f t="shared" si="8"/>
        <v>0</v>
      </c>
      <c r="G33" s="14" t="e">
        <f t="shared" si="8"/>
        <v>#REF!</v>
      </c>
    </row>
  </sheetData>
  <sheetProtection selectLockedCells="1" selectUnlockedCells="1"/>
  <mergeCells count="2">
    <mergeCell ref="B8:D8"/>
    <mergeCell ref="E8:G8"/>
  </mergeCells>
  <pageMargins left="0.70833333333333337" right="0.40972222222222221" top="0.74791666666666667" bottom="0.74861111111111112" header="0.51180555555555551" footer="0.31527777777777777"/>
  <pageSetup paperSize="9" scale="87" firstPageNumber="0" orientation="portrait" horizontalDpi="300" verticalDpi="300" r:id="rId1"/>
  <headerFooter alignWithMargins="0"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331"/>
  <sheetViews>
    <sheetView view="pageBreakPreview" zoomScale="80" zoomScaleSheetLayoutView="80" workbookViewId="0">
      <selection activeCell="B2" sqref="B2"/>
    </sheetView>
  </sheetViews>
  <sheetFormatPr defaultRowHeight="15.75" x14ac:dyDescent="0.25"/>
  <cols>
    <col min="1" max="1" width="88" style="13" customWidth="1"/>
    <col min="2" max="2" width="15" style="13" customWidth="1"/>
    <col min="3" max="5" width="9.140625" style="13"/>
    <col min="6" max="6" width="38.85546875" style="13" customWidth="1"/>
    <col min="7" max="16384" width="9.140625" style="13"/>
  </cols>
  <sheetData>
    <row r="1" spans="1:7" x14ac:dyDescent="0.25">
      <c r="B1" s="15" t="s">
        <v>808</v>
      </c>
    </row>
    <row r="2" spans="1:7" x14ac:dyDescent="0.25">
      <c r="B2" s="16" t="s">
        <v>937</v>
      </c>
    </row>
    <row r="4" spans="1:7" ht="19.350000000000001" customHeight="1" x14ac:dyDescent="0.3">
      <c r="A4" s="464" t="s">
        <v>879</v>
      </c>
      <c r="B4" s="464"/>
    </row>
    <row r="5" spans="1:7" ht="18.75" x14ac:dyDescent="0.3">
      <c r="A5" s="35"/>
      <c r="B5" s="91"/>
    </row>
    <row r="6" spans="1:7" ht="39.75" customHeight="1" x14ac:dyDescent="0.25">
      <c r="A6" s="468" t="s">
        <v>809</v>
      </c>
      <c r="B6" s="468"/>
      <c r="C6" s="326"/>
      <c r="D6" s="326"/>
      <c r="E6" s="326"/>
      <c r="G6" s="326"/>
    </row>
    <row r="8" spans="1:7" x14ac:dyDescent="0.25">
      <c r="A8" s="327" t="s">
        <v>464</v>
      </c>
      <c r="B8" s="328" t="s">
        <v>706</v>
      </c>
    </row>
    <row r="9" spans="1:7" x14ac:dyDescent="0.25">
      <c r="A9" s="329" t="s">
        <v>18</v>
      </c>
      <c r="B9" s="146"/>
    </row>
    <row r="10" spans="1:7" x14ac:dyDescent="0.25">
      <c r="A10" s="330" t="s">
        <v>19</v>
      </c>
      <c r="B10" s="146"/>
    </row>
    <row r="11" spans="1:7" x14ac:dyDescent="0.25">
      <c r="A11" s="329" t="s">
        <v>20</v>
      </c>
      <c r="B11" s="146">
        <f>2638+712</f>
        <v>3350</v>
      </c>
    </row>
    <row r="12" spans="1:7" x14ac:dyDescent="0.25">
      <c r="A12" s="329" t="s">
        <v>21</v>
      </c>
      <c r="B12" s="146"/>
    </row>
    <row r="13" spans="1:7" x14ac:dyDescent="0.25">
      <c r="A13" s="329" t="s">
        <v>22</v>
      </c>
      <c r="B13" s="146"/>
    </row>
    <row r="14" spans="1:7" x14ac:dyDescent="0.25">
      <c r="A14" s="329" t="s">
        <v>23</v>
      </c>
      <c r="B14" s="146">
        <f>108916+29407+1905</f>
        <v>140228</v>
      </c>
    </row>
    <row r="15" spans="1:7" x14ac:dyDescent="0.25">
      <c r="A15" s="329" t="s">
        <v>24</v>
      </c>
      <c r="B15" s="146"/>
    </row>
    <row r="16" spans="1:7" x14ac:dyDescent="0.25">
      <c r="A16" s="329" t="s">
        <v>25</v>
      </c>
      <c r="B16" s="146"/>
    </row>
    <row r="17" spans="1:3" s="101" customFormat="1" x14ac:dyDescent="0.25">
      <c r="A17" s="328" t="s">
        <v>810</v>
      </c>
      <c r="B17" s="331">
        <f>SUM(B9:B16)</f>
        <v>143578</v>
      </c>
    </row>
    <row r="18" spans="1:3" ht="31.5" x14ac:dyDescent="0.25">
      <c r="A18" s="67" t="s">
        <v>811</v>
      </c>
      <c r="B18" s="146"/>
    </row>
    <row r="19" spans="1:3" ht="31.5" x14ac:dyDescent="0.25">
      <c r="A19" s="67" t="s">
        <v>812</v>
      </c>
      <c r="B19" s="146">
        <v>143578</v>
      </c>
    </row>
    <row r="20" spans="1:3" s="101" customFormat="1" x14ac:dyDescent="0.25">
      <c r="A20" s="58" t="s">
        <v>813</v>
      </c>
      <c r="B20" s="331">
        <f>SUM(B18:B19)</f>
        <v>143578</v>
      </c>
    </row>
    <row r="21" spans="1:3" x14ac:dyDescent="0.25">
      <c r="A21" s="318" t="s">
        <v>814</v>
      </c>
      <c r="B21" s="332">
        <v>0</v>
      </c>
    </row>
    <row r="22" spans="1:3" s="101" customFormat="1" x14ac:dyDescent="0.25">
      <c r="A22" s="328" t="s">
        <v>326</v>
      </c>
      <c r="B22" s="331">
        <f>+B21+B20</f>
        <v>143578</v>
      </c>
      <c r="C22" s="13">
        <f>+B22-B17</f>
        <v>0</v>
      </c>
    </row>
    <row r="23" spans="1:3" x14ac:dyDescent="0.25">
      <c r="A23" s="89"/>
      <c r="B23" s="89"/>
    </row>
    <row r="24" spans="1:3" x14ac:dyDescent="0.25">
      <c r="A24" s="327" t="s">
        <v>815</v>
      </c>
      <c r="B24" s="328" t="s">
        <v>706</v>
      </c>
    </row>
    <row r="25" spans="1:3" x14ac:dyDescent="0.25">
      <c r="A25" s="329" t="s">
        <v>18</v>
      </c>
      <c r="B25" s="146"/>
    </row>
    <row r="26" spans="1:3" x14ac:dyDescent="0.25">
      <c r="A26" s="330" t="s">
        <v>19</v>
      </c>
      <c r="B26" s="146"/>
    </row>
    <row r="27" spans="1:3" x14ac:dyDescent="0.25">
      <c r="A27" s="333" t="s">
        <v>20</v>
      </c>
      <c r="B27" s="146">
        <f>3400+918</f>
        <v>4318</v>
      </c>
    </row>
    <row r="28" spans="1:3" x14ac:dyDescent="0.25">
      <c r="A28" s="329" t="s">
        <v>21</v>
      </c>
      <c r="B28" s="146"/>
    </row>
    <row r="29" spans="1:3" x14ac:dyDescent="0.25">
      <c r="A29" s="329" t="s">
        <v>22</v>
      </c>
      <c r="B29" s="146"/>
    </row>
    <row r="30" spans="1:3" x14ac:dyDescent="0.25">
      <c r="A30" s="329" t="s">
        <v>23</v>
      </c>
      <c r="B30" s="146"/>
    </row>
    <row r="31" spans="1:3" x14ac:dyDescent="0.25">
      <c r="A31" s="329" t="s">
        <v>24</v>
      </c>
      <c r="B31" s="146">
        <f>209520-B27</f>
        <v>205202</v>
      </c>
    </row>
    <row r="32" spans="1:3" x14ac:dyDescent="0.25">
      <c r="A32" s="329" t="s">
        <v>25</v>
      </c>
      <c r="B32" s="146"/>
    </row>
    <row r="33" spans="1:3" x14ac:dyDescent="0.25">
      <c r="A33" s="328" t="s">
        <v>810</v>
      </c>
      <c r="B33" s="331">
        <f>SUM(B25:B32)</f>
        <v>209520</v>
      </c>
    </row>
    <row r="34" spans="1:3" s="101" customFormat="1" ht="31.5" x14ac:dyDescent="0.25">
      <c r="A34" s="67" t="s">
        <v>811</v>
      </c>
      <c r="B34" s="146"/>
    </row>
    <row r="35" spans="1:3" ht="31.5" x14ac:dyDescent="0.25">
      <c r="A35" s="67" t="s">
        <v>812</v>
      </c>
      <c r="B35" s="146">
        <v>209520</v>
      </c>
    </row>
    <row r="36" spans="1:3" x14ac:dyDescent="0.25">
      <c r="A36" s="58" t="s">
        <v>813</v>
      </c>
      <c r="B36" s="331">
        <f>SUM(B34:B35)</f>
        <v>209520</v>
      </c>
    </row>
    <row r="37" spans="1:3" s="101" customFormat="1" x14ac:dyDescent="0.25">
      <c r="A37" s="318" t="s">
        <v>814</v>
      </c>
      <c r="B37" s="332">
        <v>0</v>
      </c>
    </row>
    <row r="38" spans="1:3" x14ac:dyDescent="0.25">
      <c r="A38" s="328" t="s">
        <v>326</v>
      </c>
      <c r="B38" s="331">
        <f>+B37+B36</f>
        <v>209520</v>
      </c>
      <c r="C38" s="13">
        <f>+B38-B33</f>
        <v>0</v>
      </c>
    </row>
    <row r="39" spans="1:3" s="101" customFormat="1" x14ac:dyDescent="0.25">
      <c r="A39" s="334"/>
      <c r="B39" s="335"/>
    </row>
    <row r="40" spans="1:3" x14ac:dyDescent="0.25">
      <c r="A40" s="336" t="s">
        <v>517</v>
      </c>
      <c r="B40" s="328" t="s">
        <v>706</v>
      </c>
    </row>
    <row r="41" spans="1:3" x14ac:dyDescent="0.25">
      <c r="A41" s="329" t="s">
        <v>18</v>
      </c>
      <c r="B41" s="146">
        <v>609</v>
      </c>
    </row>
    <row r="42" spans="1:3" x14ac:dyDescent="0.25">
      <c r="A42" s="330" t="s">
        <v>19</v>
      </c>
      <c r="B42" s="146">
        <v>134</v>
      </c>
    </row>
    <row r="43" spans="1:3" x14ac:dyDescent="0.25">
      <c r="A43" s="329" t="s">
        <v>20</v>
      </c>
      <c r="B43" s="146">
        <f>4750+1283</f>
        <v>6033</v>
      </c>
    </row>
    <row r="44" spans="1:3" x14ac:dyDescent="0.25">
      <c r="A44" s="329" t="s">
        <v>21</v>
      </c>
      <c r="B44" s="146"/>
    </row>
    <row r="45" spans="1:3" x14ac:dyDescent="0.25">
      <c r="A45" s="329" t="s">
        <v>22</v>
      </c>
      <c r="B45" s="146"/>
    </row>
    <row r="46" spans="1:3" x14ac:dyDescent="0.25">
      <c r="A46" s="329" t="s">
        <v>23</v>
      </c>
      <c r="B46" s="146">
        <f>107142+28928+1778-1</f>
        <v>137847</v>
      </c>
    </row>
    <row r="47" spans="1:3" x14ac:dyDescent="0.25">
      <c r="A47" s="329" t="s">
        <v>24</v>
      </c>
      <c r="B47" s="146"/>
    </row>
    <row r="48" spans="1:3" x14ac:dyDescent="0.25">
      <c r="A48" s="329" t="s">
        <v>25</v>
      </c>
      <c r="B48" s="146"/>
    </row>
    <row r="49" spans="1:3" x14ac:dyDescent="0.25">
      <c r="A49" s="328" t="s">
        <v>810</v>
      </c>
      <c r="B49" s="331">
        <f>SUM(B41:B48)</f>
        <v>144623</v>
      </c>
    </row>
    <row r="50" spans="1:3" ht="31.5" x14ac:dyDescent="0.25">
      <c r="A50" s="67" t="s">
        <v>811</v>
      </c>
      <c r="B50" s="146"/>
    </row>
    <row r="51" spans="1:3" s="101" customFormat="1" ht="31.5" x14ac:dyDescent="0.25">
      <c r="A51" s="67" t="s">
        <v>812</v>
      </c>
      <c r="B51" s="146">
        <v>144623</v>
      </c>
    </row>
    <row r="52" spans="1:3" x14ac:dyDescent="0.25">
      <c r="A52" s="58" t="s">
        <v>813</v>
      </c>
      <c r="B52" s="331">
        <f>SUM(B50:B51)</f>
        <v>144623</v>
      </c>
    </row>
    <row r="53" spans="1:3" x14ac:dyDescent="0.25">
      <c r="A53" s="318" t="s">
        <v>814</v>
      </c>
      <c r="B53" s="332">
        <v>0</v>
      </c>
    </row>
    <row r="54" spans="1:3" s="101" customFormat="1" x14ac:dyDescent="0.25">
      <c r="A54" s="328" t="s">
        <v>326</v>
      </c>
      <c r="B54" s="331">
        <f>+B53+B52</f>
        <v>144623</v>
      </c>
      <c r="C54" s="13">
        <f>+B54-B49</f>
        <v>0</v>
      </c>
    </row>
    <row r="55" spans="1:3" x14ac:dyDescent="0.25">
      <c r="A55" s="334"/>
      <c r="B55" s="335"/>
    </row>
    <row r="56" spans="1:3" s="101" customFormat="1" x14ac:dyDescent="0.25">
      <c r="A56" s="327" t="s">
        <v>816</v>
      </c>
      <c r="B56" s="328" t="s">
        <v>706</v>
      </c>
    </row>
    <row r="57" spans="1:3" x14ac:dyDescent="0.25">
      <c r="A57" s="329" t="s">
        <v>18</v>
      </c>
      <c r="B57" s="146"/>
    </row>
    <row r="58" spans="1:3" x14ac:dyDescent="0.25">
      <c r="A58" s="330" t="s">
        <v>19</v>
      </c>
      <c r="B58" s="146"/>
    </row>
    <row r="59" spans="1:3" x14ac:dyDescent="0.25">
      <c r="A59" s="329" t="s">
        <v>20</v>
      </c>
      <c r="B59" s="146">
        <v>18699</v>
      </c>
    </row>
    <row r="60" spans="1:3" x14ac:dyDescent="0.25">
      <c r="A60" s="329" t="s">
        <v>21</v>
      </c>
      <c r="B60" s="146"/>
    </row>
    <row r="61" spans="1:3" x14ac:dyDescent="0.25">
      <c r="A61" s="329" t="s">
        <v>22</v>
      </c>
      <c r="B61" s="146"/>
    </row>
    <row r="62" spans="1:3" x14ac:dyDescent="0.25">
      <c r="A62" s="329" t="s">
        <v>23</v>
      </c>
      <c r="B62" s="146">
        <f>132455+35763+1016</f>
        <v>169234</v>
      </c>
    </row>
    <row r="63" spans="1:3" x14ac:dyDescent="0.25">
      <c r="A63" s="329" t="s">
        <v>24</v>
      </c>
      <c r="B63" s="146"/>
    </row>
    <row r="64" spans="1:3" x14ac:dyDescent="0.25">
      <c r="A64" s="329" t="s">
        <v>25</v>
      </c>
      <c r="B64" s="146"/>
    </row>
    <row r="65" spans="1:3" x14ac:dyDescent="0.25">
      <c r="A65" s="328" t="s">
        <v>810</v>
      </c>
      <c r="B65" s="331">
        <f>SUM(B57:B64)</f>
        <v>187933</v>
      </c>
    </row>
    <row r="66" spans="1:3" ht="31.5" x14ac:dyDescent="0.25">
      <c r="A66" s="67" t="s">
        <v>811</v>
      </c>
      <c r="B66" s="146"/>
    </row>
    <row r="67" spans="1:3" ht="31.5" x14ac:dyDescent="0.25">
      <c r="A67" s="67" t="s">
        <v>812</v>
      </c>
      <c r="B67" s="146">
        <f>169234+18699</f>
        <v>187933</v>
      </c>
    </row>
    <row r="68" spans="1:3" x14ac:dyDescent="0.25">
      <c r="A68" s="58" t="s">
        <v>813</v>
      </c>
      <c r="B68" s="331">
        <f>SUM(B66:B67)</f>
        <v>187933</v>
      </c>
    </row>
    <row r="69" spans="1:3" x14ac:dyDescent="0.25">
      <c r="A69" s="318" t="s">
        <v>814</v>
      </c>
      <c r="B69" s="337">
        <v>0</v>
      </c>
    </row>
    <row r="70" spans="1:3" x14ac:dyDescent="0.25">
      <c r="A70" s="328" t="s">
        <v>326</v>
      </c>
      <c r="B70" s="331">
        <f>+B69+B68</f>
        <v>187933</v>
      </c>
      <c r="C70" s="13">
        <f>+B70-B65</f>
        <v>0</v>
      </c>
    </row>
    <row r="71" spans="1:3" s="101" customFormat="1" x14ac:dyDescent="0.25">
      <c r="A71" s="334"/>
      <c r="B71" s="335"/>
    </row>
    <row r="72" spans="1:3" s="101" customFormat="1" x14ac:dyDescent="0.25">
      <c r="A72" s="336" t="s">
        <v>438</v>
      </c>
      <c r="B72" s="328" t="s">
        <v>706</v>
      </c>
    </row>
    <row r="73" spans="1:3" x14ac:dyDescent="0.25">
      <c r="A73" s="329" t="s">
        <v>18</v>
      </c>
      <c r="B73" s="146"/>
    </row>
    <row r="74" spans="1:3" x14ac:dyDescent="0.25">
      <c r="A74" s="330" t="s">
        <v>19</v>
      </c>
      <c r="B74" s="146"/>
    </row>
    <row r="75" spans="1:3" x14ac:dyDescent="0.25">
      <c r="A75" s="329" t="s">
        <v>20</v>
      </c>
      <c r="B75" s="146">
        <v>6287</v>
      </c>
    </row>
    <row r="76" spans="1:3" x14ac:dyDescent="0.25">
      <c r="A76" s="329" t="s">
        <v>21</v>
      </c>
      <c r="B76" s="146"/>
    </row>
    <row r="77" spans="1:3" x14ac:dyDescent="0.25">
      <c r="A77" s="329" t="s">
        <v>22</v>
      </c>
      <c r="B77" s="146"/>
    </row>
    <row r="78" spans="1:3" x14ac:dyDescent="0.25">
      <c r="A78" s="329" t="s">
        <v>23</v>
      </c>
      <c r="B78" s="146"/>
    </row>
    <row r="79" spans="1:3" x14ac:dyDescent="0.25">
      <c r="A79" s="329" t="s">
        <v>24</v>
      </c>
      <c r="B79" s="146"/>
    </row>
    <row r="80" spans="1:3" x14ac:dyDescent="0.25">
      <c r="A80" s="329" t="s">
        <v>25</v>
      </c>
      <c r="B80" s="146">
        <v>0</v>
      </c>
    </row>
    <row r="81" spans="1:3" x14ac:dyDescent="0.25">
      <c r="A81" s="328" t="s">
        <v>810</v>
      </c>
      <c r="B81" s="331">
        <f>SUM(B73:B80)</f>
        <v>6287</v>
      </c>
    </row>
    <row r="82" spans="1:3" ht="31.5" x14ac:dyDescent="0.25">
      <c r="A82" s="67" t="s">
        <v>811</v>
      </c>
      <c r="B82" s="146"/>
    </row>
    <row r="83" spans="1:3" ht="31.5" x14ac:dyDescent="0.25">
      <c r="A83" s="67" t="s">
        <v>812</v>
      </c>
      <c r="B83" s="146">
        <v>6287</v>
      </c>
    </row>
    <row r="84" spans="1:3" x14ac:dyDescent="0.25">
      <c r="A84" s="58" t="s">
        <v>813</v>
      </c>
      <c r="B84" s="331">
        <f>SUM(B82:B83)</f>
        <v>6287</v>
      </c>
    </row>
    <row r="85" spans="1:3" x14ac:dyDescent="0.25">
      <c r="A85" s="318" t="s">
        <v>814</v>
      </c>
      <c r="B85" s="337">
        <v>0</v>
      </c>
    </row>
    <row r="86" spans="1:3" x14ac:dyDescent="0.25">
      <c r="A86" s="328" t="s">
        <v>326</v>
      </c>
      <c r="B86" s="331">
        <f>+B85+B84</f>
        <v>6287</v>
      </c>
      <c r="C86" s="13">
        <f>+B86-B81</f>
        <v>0</v>
      </c>
    </row>
    <row r="87" spans="1:3" x14ac:dyDescent="0.25">
      <c r="A87" s="89"/>
      <c r="B87" s="89"/>
    </row>
    <row r="88" spans="1:3" x14ac:dyDescent="0.25">
      <c r="A88" s="336" t="s">
        <v>474</v>
      </c>
      <c r="B88" s="328" t="s">
        <v>706</v>
      </c>
    </row>
    <row r="89" spans="1:3" x14ac:dyDescent="0.25">
      <c r="A89" s="329" t="s">
        <v>18</v>
      </c>
      <c r="B89" s="146">
        <v>0</v>
      </c>
    </row>
    <row r="90" spans="1:3" x14ac:dyDescent="0.25">
      <c r="A90" s="330" t="s">
        <v>19</v>
      </c>
      <c r="B90" s="146">
        <v>0</v>
      </c>
    </row>
    <row r="91" spans="1:3" x14ac:dyDescent="0.25">
      <c r="A91" s="329" t="s">
        <v>20</v>
      </c>
      <c r="B91" s="146">
        <v>4875</v>
      </c>
    </row>
    <row r="92" spans="1:3" x14ac:dyDescent="0.25">
      <c r="A92" s="329" t="s">
        <v>21</v>
      </c>
      <c r="B92" s="146"/>
    </row>
    <row r="93" spans="1:3" x14ac:dyDescent="0.25">
      <c r="A93" s="329" t="s">
        <v>22</v>
      </c>
      <c r="B93" s="146"/>
    </row>
    <row r="94" spans="1:3" x14ac:dyDescent="0.25">
      <c r="A94" s="329" t="s">
        <v>23</v>
      </c>
      <c r="B94" s="146">
        <v>185246</v>
      </c>
    </row>
    <row r="95" spans="1:3" x14ac:dyDescent="0.25">
      <c r="A95" s="329" t="s">
        <v>24</v>
      </c>
      <c r="B95" s="146"/>
    </row>
    <row r="96" spans="1:3" x14ac:dyDescent="0.25">
      <c r="A96" s="329" t="s">
        <v>25</v>
      </c>
      <c r="B96" s="146"/>
    </row>
    <row r="97" spans="1:3" x14ac:dyDescent="0.25">
      <c r="A97" s="328" t="s">
        <v>810</v>
      </c>
      <c r="B97" s="331">
        <f>SUM(B89:B96)</f>
        <v>190121</v>
      </c>
    </row>
    <row r="98" spans="1:3" ht="31.5" x14ac:dyDescent="0.25">
      <c r="A98" s="67" t="s">
        <v>811</v>
      </c>
      <c r="B98" s="146"/>
    </row>
    <row r="99" spans="1:3" ht="31.5" x14ac:dyDescent="0.25">
      <c r="A99" s="67" t="s">
        <v>812</v>
      </c>
      <c r="B99" s="146">
        <v>190121</v>
      </c>
    </row>
    <row r="100" spans="1:3" x14ac:dyDescent="0.25">
      <c r="A100" s="58" t="s">
        <v>813</v>
      </c>
      <c r="B100" s="331">
        <f>SUM(B98:B99)</f>
        <v>190121</v>
      </c>
    </row>
    <row r="101" spans="1:3" x14ac:dyDescent="0.25">
      <c r="A101" s="318" t="s">
        <v>814</v>
      </c>
      <c r="B101" s="337">
        <v>0</v>
      </c>
    </row>
    <row r="102" spans="1:3" x14ac:dyDescent="0.25">
      <c r="A102" s="328" t="s">
        <v>326</v>
      </c>
      <c r="B102" s="331">
        <f>+B101+B100</f>
        <v>190121</v>
      </c>
      <c r="C102" s="13">
        <f>+B102-B97</f>
        <v>0</v>
      </c>
    </row>
    <row r="103" spans="1:3" x14ac:dyDescent="0.25">
      <c r="A103" s="89"/>
      <c r="B103" s="89"/>
    </row>
    <row r="104" spans="1:3" x14ac:dyDescent="0.25">
      <c r="A104" s="336" t="s">
        <v>440</v>
      </c>
      <c r="B104" s="328" t="s">
        <v>706</v>
      </c>
    </row>
    <row r="105" spans="1:3" x14ac:dyDescent="0.25">
      <c r="A105" s="329" t="s">
        <v>18</v>
      </c>
      <c r="B105" s="146"/>
    </row>
    <row r="106" spans="1:3" x14ac:dyDescent="0.25">
      <c r="A106" s="330" t="s">
        <v>19</v>
      </c>
      <c r="B106" s="146"/>
    </row>
    <row r="107" spans="1:3" x14ac:dyDescent="0.25">
      <c r="A107" s="329" t="s">
        <v>20</v>
      </c>
      <c r="B107" s="146">
        <v>5770</v>
      </c>
    </row>
    <row r="108" spans="1:3" x14ac:dyDescent="0.25">
      <c r="A108" s="329" t="s">
        <v>21</v>
      </c>
      <c r="B108" s="146"/>
    </row>
    <row r="109" spans="1:3" x14ac:dyDescent="0.25">
      <c r="A109" s="329" t="s">
        <v>22</v>
      </c>
      <c r="B109" s="146"/>
    </row>
    <row r="110" spans="1:3" x14ac:dyDescent="0.25">
      <c r="A110" s="329" t="s">
        <v>23</v>
      </c>
      <c r="B110" s="146"/>
    </row>
    <row r="111" spans="1:3" x14ac:dyDescent="0.25">
      <c r="A111" s="329" t="s">
        <v>24</v>
      </c>
      <c r="B111" s="146"/>
    </row>
    <row r="112" spans="1:3" x14ac:dyDescent="0.25">
      <c r="A112" s="329" t="s">
        <v>25</v>
      </c>
      <c r="B112" s="146"/>
    </row>
    <row r="113" spans="1:3" x14ac:dyDescent="0.25">
      <c r="A113" s="328" t="s">
        <v>810</v>
      </c>
      <c r="B113" s="331">
        <f>SUM(B105:B112)</f>
        <v>5770</v>
      </c>
    </row>
    <row r="114" spans="1:3" ht="31.5" x14ac:dyDescent="0.25">
      <c r="A114" s="67" t="s">
        <v>811</v>
      </c>
      <c r="B114" s="146"/>
    </row>
    <row r="115" spans="1:3" ht="31.5" x14ac:dyDescent="0.25">
      <c r="A115" s="67" t="s">
        <v>812</v>
      </c>
      <c r="B115" s="146">
        <v>5770</v>
      </c>
    </row>
    <row r="116" spans="1:3" x14ac:dyDescent="0.25">
      <c r="A116" s="58" t="s">
        <v>813</v>
      </c>
      <c r="B116" s="331">
        <f>SUM(B114:B115)</f>
        <v>5770</v>
      </c>
    </row>
    <row r="117" spans="1:3" x14ac:dyDescent="0.25">
      <c r="A117" s="318" t="s">
        <v>814</v>
      </c>
      <c r="B117" s="337">
        <v>0</v>
      </c>
    </row>
    <row r="118" spans="1:3" x14ac:dyDescent="0.25">
      <c r="A118" s="328" t="s">
        <v>326</v>
      </c>
      <c r="B118" s="331">
        <f>+B117+B116</f>
        <v>5770</v>
      </c>
      <c r="C118" s="13">
        <f>+B118-B113</f>
        <v>0</v>
      </c>
    </row>
    <row r="119" spans="1:3" x14ac:dyDescent="0.25">
      <c r="A119" s="89"/>
      <c r="B119" s="89"/>
    </row>
    <row r="120" spans="1:3" x14ac:dyDescent="0.25">
      <c r="A120" s="336" t="s">
        <v>817</v>
      </c>
      <c r="B120" s="328" t="s">
        <v>706</v>
      </c>
    </row>
    <row r="121" spans="1:3" x14ac:dyDescent="0.25">
      <c r="A121" s="329" t="s">
        <v>18</v>
      </c>
      <c r="B121" s="146">
        <v>0</v>
      </c>
    </row>
    <row r="122" spans="1:3" x14ac:dyDescent="0.25">
      <c r="A122" s="330" t="s">
        <v>19</v>
      </c>
      <c r="B122" s="146">
        <v>0</v>
      </c>
    </row>
    <row r="123" spans="1:3" x14ac:dyDescent="0.25">
      <c r="A123" s="329" t="s">
        <v>20</v>
      </c>
      <c r="B123" s="146">
        <v>4875</v>
      </c>
    </row>
    <row r="124" spans="1:3" x14ac:dyDescent="0.25">
      <c r="A124" s="329" t="s">
        <v>21</v>
      </c>
      <c r="B124" s="146"/>
    </row>
    <row r="125" spans="1:3" x14ac:dyDescent="0.25">
      <c r="A125" s="329" t="s">
        <v>22</v>
      </c>
      <c r="B125" s="146"/>
    </row>
    <row r="126" spans="1:3" x14ac:dyDescent="0.25">
      <c r="A126" s="329" t="s">
        <v>23</v>
      </c>
      <c r="B126" s="146">
        <v>185250</v>
      </c>
    </row>
    <row r="127" spans="1:3" x14ac:dyDescent="0.25">
      <c r="A127" s="329" t="s">
        <v>24</v>
      </c>
      <c r="B127" s="146"/>
    </row>
    <row r="128" spans="1:3" x14ac:dyDescent="0.25">
      <c r="A128" s="329" t="s">
        <v>25</v>
      </c>
      <c r="B128" s="146"/>
    </row>
    <row r="129" spans="1:3" x14ac:dyDescent="0.25">
      <c r="A129" s="328" t="s">
        <v>810</v>
      </c>
      <c r="B129" s="331">
        <f>SUM(B121:B128)</f>
        <v>190125</v>
      </c>
    </row>
    <row r="130" spans="1:3" ht="31.5" x14ac:dyDescent="0.25">
      <c r="A130" s="67" t="s">
        <v>811</v>
      </c>
      <c r="B130" s="146"/>
    </row>
    <row r="131" spans="1:3" ht="31.5" x14ac:dyDescent="0.25">
      <c r="A131" s="67" t="s">
        <v>812</v>
      </c>
      <c r="B131" s="146">
        <v>190125</v>
      </c>
    </row>
    <row r="132" spans="1:3" x14ac:dyDescent="0.25">
      <c r="A132" s="58" t="s">
        <v>813</v>
      </c>
      <c r="B132" s="331">
        <f>SUM(B130:B131)</f>
        <v>190125</v>
      </c>
    </row>
    <row r="133" spans="1:3" x14ac:dyDescent="0.25">
      <c r="A133" s="318" t="s">
        <v>814</v>
      </c>
      <c r="B133" s="337">
        <v>0</v>
      </c>
    </row>
    <row r="134" spans="1:3" x14ac:dyDescent="0.25">
      <c r="A134" s="328" t="s">
        <v>326</v>
      </c>
      <c r="B134" s="331">
        <f>+B133+B132</f>
        <v>190125</v>
      </c>
      <c r="C134" s="13">
        <f>+B134-B129</f>
        <v>0</v>
      </c>
    </row>
    <row r="135" spans="1:3" s="79" customFormat="1" x14ac:dyDescent="0.25">
      <c r="A135" s="334"/>
      <c r="B135" s="335"/>
    </row>
    <row r="136" spans="1:3" x14ac:dyDescent="0.25">
      <c r="A136" s="327" t="s">
        <v>469</v>
      </c>
      <c r="B136" s="328" t="s">
        <v>706</v>
      </c>
    </row>
    <row r="137" spans="1:3" x14ac:dyDescent="0.25">
      <c r="A137" s="329" t="s">
        <v>18</v>
      </c>
      <c r="B137" s="146"/>
    </row>
    <row r="138" spans="1:3" x14ac:dyDescent="0.25">
      <c r="A138" s="330" t="s">
        <v>19</v>
      </c>
      <c r="B138" s="146"/>
    </row>
    <row r="139" spans="1:3" x14ac:dyDescent="0.25">
      <c r="A139" s="329" t="s">
        <v>20</v>
      </c>
      <c r="B139" s="146">
        <f>1350+365</f>
        <v>1715</v>
      </c>
    </row>
    <row r="140" spans="1:3" x14ac:dyDescent="0.25">
      <c r="A140" s="329" t="s">
        <v>21</v>
      </c>
      <c r="B140" s="146"/>
    </row>
    <row r="141" spans="1:3" x14ac:dyDescent="0.25">
      <c r="A141" s="329" t="s">
        <v>22</v>
      </c>
      <c r="B141" s="146"/>
    </row>
    <row r="142" spans="1:3" x14ac:dyDescent="0.25">
      <c r="A142" s="329" t="s">
        <v>23</v>
      </c>
      <c r="B142" s="146">
        <f>63996+17279+381</f>
        <v>81656</v>
      </c>
    </row>
    <row r="143" spans="1:3" x14ac:dyDescent="0.25">
      <c r="A143" s="329" t="s">
        <v>24</v>
      </c>
      <c r="B143" s="146"/>
    </row>
    <row r="144" spans="1:3" x14ac:dyDescent="0.25">
      <c r="A144" s="329" t="s">
        <v>25</v>
      </c>
      <c r="B144" s="146"/>
    </row>
    <row r="145" spans="1:3" x14ac:dyDescent="0.25">
      <c r="A145" s="328" t="s">
        <v>810</v>
      </c>
      <c r="B145" s="331">
        <f>SUM(B137:B144)</f>
        <v>83371</v>
      </c>
    </row>
    <row r="146" spans="1:3" ht="31.5" x14ac:dyDescent="0.25">
      <c r="A146" s="67" t="s">
        <v>811</v>
      </c>
      <c r="B146" s="146"/>
    </row>
    <row r="147" spans="1:3" ht="31.5" x14ac:dyDescent="0.25">
      <c r="A147" s="67" t="s">
        <v>812</v>
      </c>
      <c r="B147" s="146">
        <v>83371</v>
      </c>
    </row>
    <row r="148" spans="1:3" x14ac:dyDescent="0.25">
      <c r="A148" s="58" t="s">
        <v>813</v>
      </c>
      <c r="B148" s="331">
        <f>SUM(B146:B147)</f>
        <v>83371</v>
      </c>
    </row>
    <row r="149" spans="1:3" x14ac:dyDescent="0.25">
      <c r="A149" s="318" t="s">
        <v>814</v>
      </c>
      <c r="B149" s="146">
        <v>0</v>
      </c>
    </row>
    <row r="150" spans="1:3" x14ac:dyDescent="0.25">
      <c r="A150" s="328" t="s">
        <v>326</v>
      </c>
      <c r="B150" s="331">
        <f>+B149+B148</f>
        <v>83371</v>
      </c>
      <c r="C150" s="13">
        <f>+B150-B145</f>
        <v>0</v>
      </c>
    </row>
    <row r="152" spans="1:3" x14ac:dyDescent="0.25">
      <c r="A152" s="327" t="s">
        <v>467</v>
      </c>
      <c r="B152" s="328" t="s">
        <v>706</v>
      </c>
    </row>
    <row r="153" spans="1:3" x14ac:dyDescent="0.25">
      <c r="A153" s="329" t="s">
        <v>18</v>
      </c>
      <c r="B153" s="146"/>
    </row>
    <row r="154" spans="1:3" x14ac:dyDescent="0.25">
      <c r="A154" s="330" t="s">
        <v>19</v>
      </c>
      <c r="B154" s="146"/>
    </row>
    <row r="155" spans="1:3" x14ac:dyDescent="0.25">
      <c r="A155" s="329" t="s">
        <v>20</v>
      </c>
      <c r="B155" s="146">
        <v>40246</v>
      </c>
    </row>
    <row r="156" spans="1:3" x14ac:dyDescent="0.25">
      <c r="A156" s="329" t="s">
        <v>21</v>
      </c>
      <c r="B156" s="146"/>
    </row>
    <row r="157" spans="1:3" x14ac:dyDescent="0.25">
      <c r="A157" s="329" t="s">
        <v>22</v>
      </c>
      <c r="B157" s="146"/>
    </row>
    <row r="158" spans="1:3" x14ac:dyDescent="0.25">
      <c r="A158" s="329" t="s">
        <v>23</v>
      </c>
      <c r="B158" s="146">
        <v>449199</v>
      </c>
    </row>
    <row r="159" spans="1:3" x14ac:dyDescent="0.25">
      <c r="A159" s="329" t="s">
        <v>24</v>
      </c>
      <c r="B159" s="146"/>
    </row>
    <row r="160" spans="1:3" x14ac:dyDescent="0.25">
      <c r="A160" s="329" t="s">
        <v>25</v>
      </c>
      <c r="B160" s="146"/>
    </row>
    <row r="161" spans="1:3" x14ac:dyDescent="0.25">
      <c r="A161" s="328" t="s">
        <v>810</v>
      </c>
      <c r="B161" s="331">
        <f>SUM(B153:B160)</f>
        <v>489445</v>
      </c>
    </row>
    <row r="162" spans="1:3" ht="31.5" x14ac:dyDescent="0.25">
      <c r="A162" s="67" t="s">
        <v>811</v>
      </c>
      <c r="B162" s="146">
        <v>0</v>
      </c>
    </row>
    <row r="163" spans="1:3" ht="31.5" x14ac:dyDescent="0.25">
      <c r="A163" s="67" t="s">
        <v>812</v>
      </c>
      <c r="B163" s="146">
        <v>495427</v>
      </c>
    </row>
    <row r="164" spans="1:3" x14ac:dyDescent="0.25">
      <c r="A164" s="58" t="s">
        <v>813</v>
      </c>
      <c r="B164" s="331">
        <f>SUM(B162:B163)</f>
        <v>495427</v>
      </c>
    </row>
    <row r="165" spans="1:3" x14ac:dyDescent="0.25">
      <c r="A165" s="318" t="s">
        <v>814</v>
      </c>
      <c r="B165" s="146">
        <v>0</v>
      </c>
    </row>
    <row r="166" spans="1:3" x14ac:dyDescent="0.25">
      <c r="A166" s="328" t="s">
        <v>326</v>
      </c>
      <c r="B166" s="331">
        <f>+B165+B164</f>
        <v>495427</v>
      </c>
      <c r="C166" s="13">
        <f>+B166-B161</f>
        <v>5982</v>
      </c>
    </row>
    <row r="168" spans="1:3" x14ac:dyDescent="0.25">
      <c r="A168" s="336" t="s">
        <v>471</v>
      </c>
      <c r="B168" s="328" t="s">
        <v>706</v>
      </c>
    </row>
    <row r="169" spans="1:3" x14ac:dyDescent="0.25">
      <c r="A169" s="329" t="s">
        <v>18</v>
      </c>
      <c r="B169" s="146">
        <v>12650</v>
      </c>
    </row>
    <row r="170" spans="1:3" x14ac:dyDescent="0.25">
      <c r="A170" s="330" t="s">
        <v>19</v>
      </c>
      <c r="B170" s="146">
        <v>3098</v>
      </c>
    </row>
    <row r="171" spans="1:3" x14ac:dyDescent="0.25">
      <c r="A171" s="329" t="s">
        <v>20</v>
      </c>
      <c r="B171" s="146">
        <f>9215+2488</f>
        <v>11703</v>
      </c>
    </row>
    <row r="172" spans="1:3" x14ac:dyDescent="0.25">
      <c r="A172" s="329" t="s">
        <v>21</v>
      </c>
      <c r="B172" s="146"/>
    </row>
    <row r="173" spans="1:3" x14ac:dyDescent="0.25">
      <c r="A173" s="329" t="s">
        <v>22</v>
      </c>
      <c r="B173" s="146"/>
    </row>
    <row r="174" spans="1:3" x14ac:dyDescent="0.25">
      <c r="A174" s="329" t="s">
        <v>23</v>
      </c>
      <c r="B174" s="146">
        <f>218794+59075+3425</f>
        <v>281294</v>
      </c>
    </row>
    <row r="175" spans="1:3" x14ac:dyDescent="0.25">
      <c r="A175" s="329" t="s">
        <v>24</v>
      </c>
      <c r="B175" s="146"/>
    </row>
    <row r="176" spans="1:3" x14ac:dyDescent="0.25">
      <c r="A176" s="329" t="s">
        <v>25</v>
      </c>
      <c r="B176" s="146"/>
    </row>
    <row r="177" spans="1:3" x14ac:dyDescent="0.25">
      <c r="A177" s="328" t="s">
        <v>810</v>
      </c>
      <c r="B177" s="331">
        <f>SUM(B169:B176)</f>
        <v>308745</v>
      </c>
    </row>
    <row r="178" spans="1:3" ht="31.5" x14ac:dyDescent="0.25">
      <c r="A178" s="67" t="s">
        <v>811</v>
      </c>
      <c r="B178" s="146"/>
    </row>
    <row r="179" spans="1:3" ht="31.5" x14ac:dyDescent="0.25">
      <c r="A179" s="67" t="s">
        <v>812</v>
      </c>
      <c r="B179" s="146">
        <f>262434+30874</f>
        <v>293308</v>
      </c>
    </row>
    <row r="180" spans="1:3" x14ac:dyDescent="0.25">
      <c r="A180" s="58" t="s">
        <v>813</v>
      </c>
      <c r="B180" s="331">
        <f>SUM(B178:B179)</f>
        <v>293308</v>
      </c>
    </row>
    <row r="181" spans="1:3" x14ac:dyDescent="0.25">
      <c r="A181" s="318" t="s">
        <v>814</v>
      </c>
      <c r="B181" s="146">
        <v>15437</v>
      </c>
    </row>
    <row r="182" spans="1:3" x14ac:dyDescent="0.25">
      <c r="A182" s="328" t="s">
        <v>326</v>
      </c>
      <c r="B182" s="331">
        <f>+B181+B180</f>
        <v>308745</v>
      </c>
      <c r="C182" s="13">
        <f>+B182-B177</f>
        <v>0</v>
      </c>
    </row>
    <row r="184" spans="1:3" x14ac:dyDescent="0.25">
      <c r="A184" s="327" t="s">
        <v>472</v>
      </c>
      <c r="B184" s="328" t="s">
        <v>706</v>
      </c>
    </row>
    <row r="185" spans="1:3" x14ac:dyDescent="0.25">
      <c r="A185" s="329" t="s">
        <v>18</v>
      </c>
      <c r="B185" s="146">
        <v>15728</v>
      </c>
    </row>
    <row r="186" spans="1:3" x14ac:dyDescent="0.25">
      <c r="A186" s="330" t="s">
        <v>19</v>
      </c>
      <c r="B186" s="146">
        <v>3802</v>
      </c>
    </row>
    <row r="187" spans="1:3" x14ac:dyDescent="0.25">
      <c r="A187" s="329" t="s">
        <v>20</v>
      </c>
      <c r="B187" s="146">
        <f>9642+2603</f>
        <v>12245</v>
      </c>
    </row>
    <row r="188" spans="1:3" x14ac:dyDescent="0.25">
      <c r="A188" s="329" t="s">
        <v>21</v>
      </c>
      <c r="B188" s="146"/>
    </row>
    <row r="189" spans="1:3" x14ac:dyDescent="0.25">
      <c r="A189" s="329" t="s">
        <v>22</v>
      </c>
      <c r="B189" s="146"/>
    </row>
    <row r="190" spans="1:3" x14ac:dyDescent="0.25">
      <c r="A190" s="329" t="s">
        <v>23</v>
      </c>
      <c r="B190" s="146">
        <f>118106+31889+3052</f>
        <v>153047</v>
      </c>
    </row>
    <row r="191" spans="1:3" x14ac:dyDescent="0.25">
      <c r="A191" s="329" t="s">
        <v>24</v>
      </c>
      <c r="B191" s="146"/>
    </row>
    <row r="192" spans="1:3" x14ac:dyDescent="0.25">
      <c r="A192" s="329" t="s">
        <v>25</v>
      </c>
      <c r="B192" s="146"/>
    </row>
    <row r="193" spans="1:3" x14ac:dyDescent="0.25">
      <c r="A193" s="328" t="s">
        <v>810</v>
      </c>
      <c r="B193" s="331">
        <f>SUM(B185:B192)</f>
        <v>184822</v>
      </c>
    </row>
    <row r="194" spans="1:3" ht="31.5" x14ac:dyDescent="0.25">
      <c r="A194" s="67" t="s">
        <v>811</v>
      </c>
      <c r="B194" s="146"/>
    </row>
    <row r="195" spans="1:3" ht="31.5" x14ac:dyDescent="0.25">
      <c r="A195" s="67" t="s">
        <v>812</v>
      </c>
      <c r="B195" s="146">
        <f>157099+18482</f>
        <v>175581</v>
      </c>
    </row>
    <row r="196" spans="1:3" x14ac:dyDescent="0.25">
      <c r="A196" s="58" t="s">
        <v>813</v>
      </c>
      <c r="B196" s="331">
        <f>SUM(B194:B195)</f>
        <v>175581</v>
      </c>
    </row>
    <row r="197" spans="1:3" x14ac:dyDescent="0.25">
      <c r="A197" s="318" t="s">
        <v>814</v>
      </c>
      <c r="B197" s="146">
        <v>9241</v>
      </c>
    </row>
    <row r="198" spans="1:3" x14ac:dyDescent="0.25">
      <c r="A198" s="328" t="s">
        <v>326</v>
      </c>
      <c r="B198" s="331">
        <f>+B197+B196</f>
        <v>184822</v>
      </c>
      <c r="C198" s="13">
        <f>+B198-B193</f>
        <v>0</v>
      </c>
    </row>
    <row r="200" spans="1:3" x14ac:dyDescent="0.25">
      <c r="A200" s="327" t="s">
        <v>441</v>
      </c>
      <c r="B200" s="328" t="s">
        <v>706</v>
      </c>
    </row>
    <row r="201" spans="1:3" x14ac:dyDescent="0.25">
      <c r="A201" s="329" t="s">
        <v>18</v>
      </c>
      <c r="B201" s="146">
        <f>311669+1</f>
        <v>311670</v>
      </c>
    </row>
    <row r="202" spans="1:3" x14ac:dyDescent="0.25">
      <c r="A202" s="330" t="s">
        <v>19</v>
      </c>
      <c r="B202" s="146">
        <v>68567</v>
      </c>
    </row>
    <row r="203" spans="1:3" x14ac:dyDescent="0.25">
      <c r="A203" s="329" t="s">
        <v>20</v>
      </c>
      <c r="B203" s="146">
        <f>44656+43150+23707</f>
        <v>111513</v>
      </c>
    </row>
    <row r="204" spans="1:3" x14ac:dyDescent="0.25">
      <c r="A204" s="329" t="s">
        <v>21</v>
      </c>
      <c r="B204" s="146"/>
    </row>
    <row r="205" spans="1:3" x14ac:dyDescent="0.25">
      <c r="A205" s="329" t="s">
        <v>22</v>
      </c>
      <c r="B205" s="146"/>
    </row>
    <row r="206" spans="1:3" x14ac:dyDescent="0.25">
      <c r="A206" s="329" t="s">
        <v>23</v>
      </c>
      <c r="B206" s="146">
        <f>6496+1754</f>
        <v>8250</v>
      </c>
    </row>
    <row r="207" spans="1:3" x14ac:dyDescent="0.25">
      <c r="A207" s="329" t="s">
        <v>24</v>
      </c>
      <c r="B207" s="146"/>
    </row>
    <row r="208" spans="1:3" x14ac:dyDescent="0.25">
      <c r="A208" s="329" t="s">
        <v>25</v>
      </c>
      <c r="B208" s="146"/>
    </row>
    <row r="209" spans="1:3" x14ac:dyDescent="0.25">
      <c r="A209" s="328" t="s">
        <v>810</v>
      </c>
      <c r="B209" s="331">
        <f>SUM(B201:B208)</f>
        <v>500000</v>
      </c>
    </row>
    <row r="210" spans="1:3" ht="31.5" x14ac:dyDescent="0.25">
      <c r="A210" s="67" t="s">
        <v>811</v>
      </c>
      <c r="B210" s="146">
        <v>0</v>
      </c>
    </row>
    <row r="211" spans="1:3" ht="31.5" x14ac:dyDescent="0.25">
      <c r="A211" s="67" t="s">
        <v>812</v>
      </c>
      <c r="B211" s="146">
        <v>500000</v>
      </c>
    </row>
    <row r="212" spans="1:3" x14ac:dyDescent="0.25">
      <c r="A212" s="58" t="s">
        <v>813</v>
      </c>
      <c r="B212" s="331">
        <f>SUM(B210:B211)</f>
        <v>500000</v>
      </c>
    </row>
    <row r="213" spans="1:3" x14ac:dyDescent="0.25">
      <c r="A213" s="318" t="s">
        <v>814</v>
      </c>
      <c r="B213" s="146">
        <v>0</v>
      </c>
    </row>
    <row r="214" spans="1:3" x14ac:dyDescent="0.25">
      <c r="A214" s="328" t="s">
        <v>326</v>
      </c>
      <c r="B214" s="331">
        <f>+B213+B212</f>
        <v>500000</v>
      </c>
      <c r="C214" s="13">
        <f>+B214-B209</f>
        <v>0</v>
      </c>
    </row>
    <row r="216" spans="1:3" x14ac:dyDescent="0.25">
      <c r="A216" s="327" t="s">
        <v>477</v>
      </c>
      <c r="B216" s="328" t="s">
        <v>706</v>
      </c>
    </row>
    <row r="217" spans="1:3" x14ac:dyDescent="0.25">
      <c r="A217" s="329" t="s">
        <v>18</v>
      </c>
      <c r="B217" s="146"/>
    </row>
    <row r="218" spans="1:3" x14ac:dyDescent="0.25">
      <c r="A218" s="330" t="s">
        <v>19</v>
      </c>
      <c r="B218" s="146"/>
    </row>
    <row r="219" spans="1:3" x14ac:dyDescent="0.25">
      <c r="A219" s="329" t="s">
        <v>20</v>
      </c>
      <c r="B219" s="146">
        <f>4139+1117</f>
        <v>5256</v>
      </c>
    </row>
    <row r="220" spans="1:3" x14ac:dyDescent="0.25">
      <c r="A220" s="329" t="s">
        <v>21</v>
      </c>
      <c r="B220" s="146"/>
    </row>
    <row r="221" spans="1:3" x14ac:dyDescent="0.25">
      <c r="A221" s="329" t="s">
        <v>22</v>
      </c>
      <c r="B221" s="146"/>
    </row>
    <row r="222" spans="1:3" x14ac:dyDescent="0.25">
      <c r="A222" s="329" t="s">
        <v>23</v>
      </c>
      <c r="B222" s="146">
        <f>736722+198915+1</f>
        <v>935638</v>
      </c>
    </row>
    <row r="223" spans="1:3" x14ac:dyDescent="0.25">
      <c r="A223" s="329" t="s">
        <v>24</v>
      </c>
      <c r="B223" s="146"/>
    </row>
    <row r="224" spans="1:3" x14ac:dyDescent="0.25">
      <c r="A224" s="329" t="s">
        <v>25</v>
      </c>
      <c r="B224" s="146"/>
    </row>
    <row r="225" spans="1:3" x14ac:dyDescent="0.25">
      <c r="A225" s="328" t="s">
        <v>810</v>
      </c>
      <c r="B225" s="331">
        <f>SUM(B217:B224)</f>
        <v>940894</v>
      </c>
    </row>
    <row r="226" spans="1:3" ht="31.5" x14ac:dyDescent="0.25">
      <c r="A226" s="67" t="s">
        <v>811</v>
      </c>
      <c r="B226" s="146">
        <v>0</v>
      </c>
    </row>
    <row r="227" spans="1:3" ht="31.5" x14ac:dyDescent="0.25">
      <c r="A227" s="67" t="s">
        <v>812</v>
      </c>
      <c r="B227" s="146">
        <f>846805+94089</f>
        <v>940894</v>
      </c>
    </row>
    <row r="228" spans="1:3" x14ac:dyDescent="0.25">
      <c r="A228" s="58" t="s">
        <v>813</v>
      </c>
      <c r="B228" s="331">
        <f>SUM(B226:B227)</f>
        <v>940894</v>
      </c>
    </row>
    <row r="229" spans="1:3" x14ac:dyDescent="0.25">
      <c r="A229" s="318" t="s">
        <v>814</v>
      </c>
      <c r="B229" s="146">
        <v>0</v>
      </c>
    </row>
    <row r="230" spans="1:3" x14ac:dyDescent="0.25">
      <c r="A230" s="328" t="s">
        <v>326</v>
      </c>
      <c r="B230" s="331">
        <f>+B229+B228</f>
        <v>940894</v>
      </c>
      <c r="C230" s="13">
        <f>+B230-B225</f>
        <v>0</v>
      </c>
    </row>
    <row r="232" spans="1:3" x14ac:dyDescent="0.25">
      <c r="A232" s="327" t="s">
        <v>476</v>
      </c>
      <c r="B232" s="328" t="s">
        <v>706</v>
      </c>
    </row>
    <row r="233" spans="1:3" x14ac:dyDescent="0.25">
      <c r="A233" s="329" t="s">
        <v>18</v>
      </c>
      <c r="B233" s="146"/>
    </row>
    <row r="234" spans="1:3" x14ac:dyDescent="0.25">
      <c r="A234" s="330" t="s">
        <v>19</v>
      </c>
      <c r="B234" s="146"/>
    </row>
    <row r="235" spans="1:3" x14ac:dyDescent="0.25">
      <c r="A235" s="329" t="s">
        <v>20</v>
      </c>
      <c r="B235" s="146">
        <v>0</v>
      </c>
    </row>
    <row r="236" spans="1:3" x14ac:dyDescent="0.25">
      <c r="A236" s="329" t="s">
        <v>21</v>
      </c>
      <c r="B236" s="146"/>
    </row>
    <row r="237" spans="1:3" x14ac:dyDescent="0.25">
      <c r="A237" s="329" t="s">
        <v>22</v>
      </c>
      <c r="B237" s="146"/>
    </row>
    <row r="238" spans="1:3" x14ac:dyDescent="0.25">
      <c r="A238" s="329" t="s">
        <v>23</v>
      </c>
      <c r="B238" s="146">
        <v>86900</v>
      </c>
    </row>
    <row r="239" spans="1:3" x14ac:dyDescent="0.25">
      <c r="A239" s="329" t="s">
        <v>24</v>
      </c>
      <c r="B239" s="146"/>
    </row>
    <row r="240" spans="1:3" x14ac:dyDescent="0.25">
      <c r="A240" s="329" t="s">
        <v>25</v>
      </c>
      <c r="B240" s="146"/>
    </row>
    <row r="241" spans="1:3" x14ac:dyDescent="0.25">
      <c r="A241" s="328" t="s">
        <v>810</v>
      </c>
      <c r="B241" s="331">
        <f>SUM(B233:B240)</f>
        <v>86900</v>
      </c>
    </row>
    <row r="242" spans="1:3" ht="31.5" x14ac:dyDescent="0.25">
      <c r="A242" s="67" t="s">
        <v>811</v>
      </c>
      <c r="B242" s="146">
        <v>0</v>
      </c>
    </row>
    <row r="243" spans="1:3" ht="31.5" x14ac:dyDescent="0.25">
      <c r="A243" s="67" t="s">
        <v>812</v>
      </c>
      <c r="B243" s="146">
        <f>+B241</f>
        <v>86900</v>
      </c>
    </row>
    <row r="244" spans="1:3" x14ac:dyDescent="0.25">
      <c r="A244" s="58" t="s">
        <v>813</v>
      </c>
      <c r="B244" s="331">
        <f>SUM(B242:B243)</f>
        <v>86900</v>
      </c>
    </row>
    <row r="245" spans="1:3" x14ac:dyDescent="0.25">
      <c r="A245" s="318" t="s">
        <v>814</v>
      </c>
      <c r="B245" s="146">
        <v>0</v>
      </c>
    </row>
    <row r="246" spans="1:3" x14ac:dyDescent="0.25">
      <c r="A246" s="328" t="s">
        <v>326</v>
      </c>
      <c r="B246" s="331">
        <f>+B245+B244</f>
        <v>86900</v>
      </c>
      <c r="C246" s="13">
        <f>+B246-B241</f>
        <v>0</v>
      </c>
    </row>
    <row r="248" spans="1:3" x14ac:dyDescent="0.25">
      <c r="A248" s="327" t="s">
        <v>435</v>
      </c>
      <c r="B248" s="328" t="s">
        <v>706</v>
      </c>
    </row>
    <row r="249" spans="1:3" x14ac:dyDescent="0.25">
      <c r="A249" s="329" t="s">
        <v>18</v>
      </c>
      <c r="B249" s="146">
        <v>20083</v>
      </c>
    </row>
    <row r="250" spans="1:3" x14ac:dyDescent="0.25">
      <c r="A250" s="330" t="s">
        <v>19</v>
      </c>
      <c r="B250" s="146">
        <v>4418</v>
      </c>
    </row>
    <row r="251" spans="1:3" x14ac:dyDescent="0.25">
      <c r="A251" s="329" t="s">
        <v>20</v>
      </c>
      <c r="B251" s="146">
        <f>29487+525+7962</f>
        <v>37974</v>
      </c>
    </row>
    <row r="252" spans="1:3" x14ac:dyDescent="0.25">
      <c r="A252" s="329" t="s">
        <v>21</v>
      </c>
      <c r="B252" s="146"/>
    </row>
    <row r="253" spans="1:3" x14ac:dyDescent="0.25">
      <c r="A253" s="329" t="s">
        <v>22</v>
      </c>
      <c r="B253" s="146"/>
    </row>
    <row r="254" spans="1:3" x14ac:dyDescent="0.25">
      <c r="A254" s="329" t="s">
        <v>23</v>
      </c>
      <c r="B254" s="146">
        <v>4900</v>
      </c>
    </row>
    <row r="255" spans="1:3" x14ac:dyDescent="0.25">
      <c r="A255" s="329" t="s">
        <v>24</v>
      </c>
      <c r="B255" s="146"/>
    </row>
    <row r="256" spans="1:3" x14ac:dyDescent="0.25">
      <c r="A256" s="329" t="s">
        <v>25</v>
      </c>
      <c r="B256" s="146"/>
    </row>
    <row r="257" spans="1:3" x14ac:dyDescent="0.25">
      <c r="A257" s="328" t="s">
        <v>810</v>
      </c>
      <c r="B257" s="331">
        <f>SUM(B249:B256)</f>
        <v>67375</v>
      </c>
    </row>
    <row r="258" spans="1:3" ht="31.5" x14ac:dyDescent="0.25">
      <c r="A258" s="67" t="s">
        <v>811</v>
      </c>
      <c r="B258" s="146">
        <v>0</v>
      </c>
    </row>
    <row r="259" spans="1:3" ht="31.5" x14ac:dyDescent="0.25">
      <c r="A259" s="67" t="s">
        <v>812</v>
      </c>
      <c r="B259" s="146">
        <v>67375</v>
      </c>
    </row>
    <row r="260" spans="1:3" x14ac:dyDescent="0.25">
      <c r="A260" s="58" t="s">
        <v>813</v>
      </c>
      <c r="B260" s="331">
        <f>SUM(B258:B259)</f>
        <v>67375</v>
      </c>
    </row>
    <row r="261" spans="1:3" x14ac:dyDescent="0.25">
      <c r="A261" s="318" t="s">
        <v>814</v>
      </c>
      <c r="B261" s="146">
        <v>0</v>
      </c>
    </row>
    <row r="262" spans="1:3" x14ac:dyDescent="0.25">
      <c r="A262" s="328" t="s">
        <v>326</v>
      </c>
      <c r="B262" s="331">
        <f>+B261+B260</f>
        <v>67375</v>
      </c>
      <c r="C262" s="13">
        <f>+B262-B257</f>
        <v>0</v>
      </c>
    </row>
    <row r="264" spans="1:3" x14ac:dyDescent="0.25">
      <c r="A264" s="327" t="s">
        <v>818</v>
      </c>
      <c r="B264" s="328" t="s">
        <v>706</v>
      </c>
    </row>
    <row r="265" spans="1:3" x14ac:dyDescent="0.25">
      <c r="A265" s="329" t="s">
        <v>18</v>
      </c>
      <c r="B265" s="146">
        <v>4462</v>
      </c>
    </row>
    <row r="266" spans="1:3" x14ac:dyDescent="0.25">
      <c r="A266" s="330" t="s">
        <v>19</v>
      </c>
      <c r="B266" s="146">
        <v>983</v>
      </c>
    </row>
    <row r="267" spans="1:3" x14ac:dyDescent="0.25">
      <c r="A267" s="329" t="s">
        <v>20</v>
      </c>
      <c r="B267" s="146">
        <f>886+270+239</f>
        <v>1395</v>
      </c>
    </row>
    <row r="268" spans="1:3" x14ac:dyDescent="0.25">
      <c r="A268" s="329" t="s">
        <v>21</v>
      </c>
      <c r="B268" s="146"/>
    </row>
    <row r="269" spans="1:3" x14ac:dyDescent="0.25">
      <c r="A269" s="329" t="s">
        <v>22</v>
      </c>
      <c r="B269" s="146"/>
    </row>
    <row r="270" spans="1:3" x14ac:dyDescent="0.25">
      <c r="A270" s="329" t="s">
        <v>23</v>
      </c>
      <c r="B270" s="146">
        <v>2160</v>
      </c>
    </row>
    <row r="271" spans="1:3" x14ac:dyDescent="0.25">
      <c r="A271" s="329" t="s">
        <v>24</v>
      </c>
      <c r="B271" s="146"/>
    </row>
    <row r="272" spans="1:3" x14ac:dyDescent="0.25">
      <c r="A272" s="329" t="s">
        <v>25</v>
      </c>
      <c r="B272" s="146"/>
    </row>
    <row r="273" spans="1:3" x14ac:dyDescent="0.25">
      <c r="A273" s="328" t="s">
        <v>810</v>
      </c>
      <c r="B273" s="331">
        <f>SUM(B265:B272)</f>
        <v>9000</v>
      </c>
    </row>
    <row r="274" spans="1:3" ht="31.5" x14ac:dyDescent="0.25">
      <c r="A274" s="67" t="s">
        <v>811</v>
      </c>
      <c r="B274" s="146">
        <v>9000</v>
      </c>
    </row>
    <row r="275" spans="1:3" ht="31.5" x14ac:dyDescent="0.25">
      <c r="A275" s="67" t="s">
        <v>812</v>
      </c>
      <c r="B275" s="146"/>
    </row>
    <row r="276" spans="1:3" x14ac:dyDescent="0.25">
      <c r="A276" s="58" t="s">
        <v>813</v>
      </c>
      <c r="B276" s="331">
        <f>SUM(B274:B275)</f>
        <v>9000</v>
      </c>
    </row>
    <row r="277" spans="1:3" x14ac:dyDescent="0.25">
      <c r="A277" s="318" t="s">
        <v>814</v>
      </c>
      <c r="B277" s="146">
        <v>0</v>
      </c>
    </row>
    <row r="278" spans="1:3" x14ac:dyDescent="0.25">
      <c r="A278" s="328" t="s">
        <v>326</v>
      </c>
      <c r="B278" s="331">
        <f>+B277+B276</f>
        <v>9000</v>
      </c>
      <c r="C278" s="13">
        <f>+B278-B273</f>
        <v>0</v>
      </c>
    </row>
    <row r="280" spans="1:3" ht="31.5" x14ac:dyDescent="0.25">
      <c r="A280" s="327" t="s">
        <v>908</v>
      </c>
      <c r="B280" s="328" t="s">
        <v>706</v>
      </c>
    </row>
    <row r="281" spans="1:3" x14ac:dyDescent="0.25">
      <c r="A281" s="329" t="s">
        <v>18</v>
      </c>
      <c r="B281" s="146">
        <v>35310</v>
      </c>
    </row>
    <row r="282" spans="1:3" x14ac:dyDescent="0.25">
      <c r="A282" s="330" t="s">
        <v>19</v>
      </c>
      <c r="B282" s="146">
        <v>5990</v>
      </c>
    </row>
    <row r="283" spans="1:3" x14ac:dyDescent="0.25">
      <c r="A283" s="329" t="s">
        <v>20</v>
      </c>
      <c r="B283" s="146">
        <v>95105</v>
      </c>
    </row>
    <row r="284" spans="1:3" x14ac:dyDescent="0.25">
      <c r="A284" s="329" t="s">
        <v>21</v>
      </c>
      <c r="B284" s="146"/>
    </row>
    <row r="285" spans="1:3" x14ac:dyDescent="0.25">
      <c r="A285" s="329" t="s">
        <v>22</v>
      </c>
      <c r="B285" s="146"/>
    </row>
    <row r="286" spans="1:3" x14ac:dyDescent="0.25">
      <c r="A286" s="329" t="s">
        <v>23</v>
      </c>
      <c r="B286" s="146">
        <v>18060</v>
      </c>
    </row>
    <row r="287" spans="1:3" x14ac:dyDescent="0.25">
      <c r="A287" s="329" t="s">
        <v>24</v>
      </c>
      <c r="B287" s="146"/>
    </row>
    <row r="288" spans="1:3" x14ac:dyDescent="0.25">
      <c r="A288" s="329" t="s">
        <v>25</v>
      </c>
      <c r="B288" s="146"/>
    </row>
    <row r="289" spans="1:3" x14ac:dyDescent="0.25">
      <c r="A289" s="328" t="s">
        <v>810</v>
      </c>
      <c r="B289" s="331">
        <f>SUM(B281:B288)</f>
        <v>154465</v>
      </c>
    </row>
    <row r="290" spans="1:3" ht="31.5" x14ac:dyDescent="0.25">
      <c r="A290" s="67" t="s">
        <v>811</v>
      </c>
      <c r="B290" s="146">
        <f>+B289</f>
        <v>154465</v>
      </c>
    </row>
    <row r="291" spans="1:3" ht="31.5" x14ac:dyDescent="0.25">
      <c r="A291" s="67" t="s">
        <v>812</v>
      </c>
      <c r="B291" s="146"/>
    </row>
    <row r="292" spans="1:3" x14ac:dyDescent="0.25">
      <c r="A292" s="58" t="s">
        <v>813</v>
      </c>
      <c r="B292" s="331">
        <f>SUM(B290:B291)</f>
        <v>154465</v>
      </c>
    </row>
    <row r="293" spans="1:3" x14ac:dyDescent="0.25">
      <c r="A293" s="318" t="s">
        <v>814</v>
      </c>
      <c r="B293" s="146">
        <v>0</v>
      </c>
    </row>
    <row r="294" spans="1:3" x14ac:dyDescent="0.25">
      <c r="A294" s="328" t="s">
        <v>326</v>
      </c>
      <c r="B294" s="331">
        <f>+B293+B292</f>
        <v>154465</v>
      </c>
      <c r="C294" s="13">
        <f>+B294-B289</f>
        <v>0</v>
      </c>
    </row>
    <row r="296" spans="1:3" ht="31.5" x14ac:dyDescent="0.25">
      <c r="A296" s="327" t="s">
        <v>909</v>
      </c>
      <c r="B296" s="328" t="s">
        <v>706</v>
      </c>
    </row>
    <row r="297" spans="1:3" x14ac:dyDescent="0.25">
      <c r="A297" s="329" t="s">
        <v>18</v>
      </c>
      <c r="B297" s="146">
        <v>4149</v>
      </c>
    </row>
    <row r="298" spans="1:3" x14ac:dyDescent="0.25">
      <c r="A298" s="330" t="s">
        <v>19</v>
      </c>
      <c r="B298" s="146">
        <v>913</v>
      </c>
    </row>
    <row r="299" spans="1:3" x14ac:dyDescent="0.25">
      <c r="A299" s="329" t="s">
        <v>20</v>
      </c>
      <c r="B299" s="146">
        <v>3771</v>
      </c>
    </row>
    <row r="300" spans="1:3" x14ac:dyDescent="0.25">
      <c r="A300" s="329" t="s">
        <v>21</v>
      </c>
      <c r="B300" s="146"/>
    </row>
    <row r="301" spans="1:3" x14ac:dyDescent="0.25">
      <c r="A301" s="329" t="s">
        <v>22</v>
      </c>
      <c r="B301" s="146"/>
    </row>
    <row r="302" spans="1:3" x14ac:dyDescent="0.25">
      <c r="A302" s="329" t="s">
        <v>23</v>
      </c>
      <c r="B302" s="146">
        <v>91167</v>
      </c>
    </row>
    <row r="303" spans="1:3" x14ac:dyDescent="0.25">
      <c r="A303" s="329" t="s">
        <v>24</v>
      </c>
      <c r="B303" s="146"/>
    </row>
    <row r="304" spans="1:3" x14ac:dyDescent="0.25">
      <c r="A304" s="329" t="s">
        <v>25</v>
      </c>
      <c r="B304" s="146"/>
    </row>
    <row r="305" spans="1:3" x14ac:dyDescent="0.25">
      <c r="A305" s="328" t="s">
        <v>810</v>
      </c>
      <c r="B305" s="331">
        <f>SUM(B297:B304)</f>
        <v>100000</v>
      </c>
    </row>
    <row r="306" spans="1:3" ht="31.5" x14ac:dyDescent="0.25">
      <c r="A306" s="67" t="s">
        <v>811</v>
      </c>
      <c r="B306" s="146">
        <f>+B305</f>
        <v>100000</v>
      </c>
    </row>
    <row r="307" spans="1:3" ht="31.5" x14ac:dyDescent="0.25">
      <c r="A307" s="67" t="s">
        <v>812</v>
      </c>
      <c r="B307" s="146"/>
    </row>
    <row r="308" spans="1:3" x14ac:dyDescent="0.25">
      <c r="A308" s="58" t="s">
        <v>813</v>
      </c>
      <c r="B308" s="331">
        <f>SUM(B306:B307)</f>
        <v>100000</v>
      </c>
    </row>
    <row r="309" spans="1:3" x14ac:dyDescent="0.25">
      <c r="A309" s="318" t="s">
        <v>814</v>
      </c>
      <c r="B309" s="146">
        <v>0</v>
      </c>
    </row>
    <row r="310" spans="1:3" x14ac:dyDescent="0.25">
      <c r="A310" s="328" t="s">
        <v>326</v>
      </c>
      <c r="B310" s="331">
        <f>+B309+B308</f>
        <v>100000</v>
      </c>
      <c r="C310" s="13">
        <f>+B310-B305</f>
        <v>0</v>
      </c>
    </row>
    <row r="312" spans="1:3" x14ac:dyDescent="0.25">
      <c r="A312" s="327" t="s">
        <v>910</v>
      </c>
      <c r="B312" s="328" t="s">
        <v>706</v>
      </c>
    </row>
    <row r="313" spans="1:3" x14ac:dyDescent="0.25">
      <c r="A313" s="329" t="s">
        <v>18</v>
      </c>
      <c r="B313" s="146">
        <v>10800</v>
      </c>
    </row>
    <row r="314" spans="1:3" x14ac:dyDescent="0.25">
      <c r="A314" s="330" t="s">
        <v>19</v>
      </c>
      <c r="B314" s="146">
        <v>2376</v>
      </c>
    </row>
    <row r="315" spans="1:3" x14ac:dyDescent="0.25">
      <c r="A315" s="329" t="s">
        <v>20</v>
      </c>
      <c r="B315" s="146">
        <v>21116</v>
      </c>
    </row>
    <row r="316" spans="1:3" x14ac:dyDescent="0.25">
      <c r="A316" s="329" t="s">
        <v>21</v>
      </c>
      <c r="B316" s="146"/>
    </row>
    <row r="317" spans="1:3" x14ac:dyDescent="0.25">
      <c r="A317" s="329" t="s">
        <v>22</v>
      </c>
      <c r="B317" s="146"/>
    </row>
    <row r="318" spans="1:3" x14ac:dyDescent="0.25">
      <c r="A318" s="329" t="s">
        <v>23</v>
      </c>
      <c r="B318" s="146">
        <v>538640</v>
      </c>
    </row>
    <row r="319" spans="1:3" x14ac:dyDescent="0.25">
      <c r="A319" s="329" t="s">
        <v>24</v>
      </c>
      <c r="B319" s="146"/>
    </row>
    <row r="320" spans="1:3" x14ac:dyDescent="0.25">
      <c r="A320" s="329" t="s">
        <v>25</v>
      </c>
      <c r="B320" s="146"/>
    </row>
    <row r="321" spans="1:3" x14ac:dyDescent="0.25">
      <c r="A321" s="328" t="s">
        <v>810</v>
      </c>
      <c r="B321" s="331">
        <f>SUM(B313:B320)</f>
        <v>572932</v>
      </c>
    </row>
    <row r="322" spans="1:3" ht="31.5" x14ac:dyDescent="0.25">
      <c r="A322" s="67" t="s">
        <v>811</v>
      </c>
      <c r="B322" s="146">
        <f>+B321</f>
        <v>572932</v>
      </c>
    </row>
    <row r="323" spans="1:3" ht="31.5" x14ac:dyDescent="0.25">
      <c r="A323" s="67" t="s">
        <v>812</v>
      </c>
      <c r="B323" s="146"/>
    </row>
    <row r="324" spans="1:3" x14ac:dyDescent="0.25">
      <c r="A324" s="58" t="s">
        <v>813</v>
      </c>
      <c r="B324" s="331">
        <f>SUM(B322:B323)</f>
        <v>572932</v>
      </c>
    </row>
    <row r="325" spans="1:3" x14ac:dyDescent="0.25">
      <c r="A325" s="318" t="s">
        <v>814</v>
      </c>
      <c r="B325" s="146">
        <v>0</v>
      </c>
    </row>
    <row r="326" spans="1:3" x14ac:dyDescent="0.25">
      <c r="A326" s="328" t="s">
        <v>326</v>
      </c>
      <c r="B326" s="331">
        <f>+B325+B324</f>
        <v>572932</v>
      </c>
      <c r="C326" s="13">
        <f>+B326-B321</f>
        <v>0</v>
      </c>
    </row>
    <row r="331" spans="1:3" x14ac:dyDescent="0.25">
      <c r="B331" s="88" t="s">
        <v>924</v>
      </c>
    </row>
  </sheetData>
  <sheetProtection selectLockedCells="1" selectUnlockedCells="1"/>
  <mergeCells count="2">
    <mergeCell ref="A4:B4"/>
    <mergeCell ref="A6:B6"/>
  </mergeCells>
  <printOptions horizontalCentered="1"/>
  <pageMargins left="0.7368055555555556" right="0.70833333333333337" top="0.74791666666666667" bottom="0.74861111111111112" header="0.51180555555555551" footer="0.31527777777777777"/>
  <pageSetup paperSize="9" scale="68" firstPageNumber="0" orientation="portrait" horizontalDpi="300" verticalDpi="300" r:id="rId1"/>
  <headerFooter alignWithMargins="0">
    <oddFooter>&amp;R&amp;P</oddFooter>
  </headerFooter>
  <rowBreaks count="6" manualBreakCount="6">
    <brk id="54" max="16383" man="1"/>
    <brk id="102" max="16383" man="1"/>
    <brk id="150" max="16383" man="1"/>
    <brk id="198" max="16383" man="1"/>
    <brk id="246" max="16383" man="1"/>
    <brk id="295" max="1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23"/>
  <sheetViews>
    <sheetView view="pageBreakPreview" zoomScale="80" zoomScaleSheetLayoutView="80" workbookViewId="0">
      <selection activeCell="E2" sqref="E2"/>
    </sheetView>
  </sheetViews>
  <sheetFormatPr defaultRowHeight="12.75" x14ac:dyDescent="0.2"/>
  <cols>
    <col min="1" max="1" width="21" style="338" customWidth="1"/>
    <col min="2" max="2" width="29.140625" style="338" customWidth="1"/>
    <col min="3" max="3" width="18.42578125" style="338" customWidth="1"/>
    <col min="4" max="4" width="9.28515625" style="338" customWidth="1"/>
    <col min="5" max="5" width="12.5703125" style="338" customWidth="1"/>
    <col min="6" max="16384" width="9.140625" style="338"/>
  </cols>
  <sheetData>
    <row r="1" spans="1:5" ht="15.75" x14ac:dyDescent="0.25">
      <c r="E1" s="15" t="s">
        <v>819</v>
      </c>
    </row>
    <row r="2" spans="1:5" ht="15.75" x14ac:dyDescent="0.25">
      <c r="D2" s="339"/>
      <c r="E2" s="16" t="s">
        <v>937</v>
      </c>
    </row>
    <row r="3" spans="1:5" x14ac:dyDescent="0.2">
      <c r="E3" s="340"/>
    </row>
    <row r="4" spans="1:5" ht="15.75" x14ac:dyDescent="0.25">
      <c r="A4" s="482" t="s">
        <v>896</v>
      </c>
      <c r="B4" s="482"/>
      <c r="C4" s="482"/>
      <c r="D4" s="482"/>
      <c r="E4" s="482"/>
    </row>
    <row r="8" spans="1:5" ht="12.75" customHeight="1" x14ac:dyDescent="0.2">
      <c r="A8" s="483" t="s">
        <v>820</v>
      </c>
      <c r="B8" s="484" t="s">
        <v>565</v>
      </c>
      <c r="C8" s="485" t="s">
        <v>821</v>
      </c>
      <c r="D8" s="485"/>
      <c r="E8" s="485"/>
    </row>
    <row r="9" spans="1:5" ht="25.5" x14ac:dyDescent="0.2">
      <c r="A9" s="483"/>
      <c r="B9" s="484"/>
      <c r="C9" s="341" t="s">
        <v>822</v>
      </c>
      <c r="D9" s="341" t="s">
        <v>823</v>
      </c>
      <c r="E9" s="342" t="s">
        <v>824</v>
      </c>
    </row>
    <row r="10" spans="1:5" x14ac:dyDescent="0.2">
      <c r="A10" s="343">
        <v>1</v>
      </c>
      <c r="B10" s="344">
        <v>2</v>
      </c>
      <c r="C10" s="344">
        <v>3</v>
      </c>
      <c r="D10" s="344">
        <v>4</v>
      </c>
      <c r="E10" s="345">
        <v>5</v>
      </c>
    </row>
    <row r="11" spans="1:5" s="350" customFormat="1" ht="47.25" x14ac:dyDescent="0.25">
      <c r="A11" s="346" t="s">
        <v>825</v>
      </c>
      <c r="B11" s="347" t="s">
        <v>826</v>
      </c>
      <c r="C11" s="347" t="s">
        <v>827</v>
      </c>
      <c r="D11" s="348">
        <v>167</v>
      </c>
      <c r="E11" s="349">
        <f>480+4268</f>
        <v>4748</v>
      </c>
    </row>
    <row r="12" spans="1:5" s="350" customFormat="1" ht="31.5" x14ac:dyDescent="0.25">
      <c r="A12" s="351" t="s">
        <v>825</v>
      </c>
      <c r="B12" s="352" t="s">
        <v>828</v>
      </c>
      <c r="C12" s="347" t="s">
        <v>829</v>
      </c>
      <c r="D12" s="353">
        <v>7</v>
      </c>
      <c r="E12" s="354">
        <v>214</v>
      </c>
    </row>
    <row r="13" spans="1:5" s="350" customFormat="1" ht="31.5" x14ac:dyDescent="0.25">
      <c r="A13" s="351" t="s">
        <v>825</v>
      </c>
      <c r="B13" s="352" t="s">
        <v>830</v>
      </c>
      <c r="C13" s="347" t="s">
        <v>829</v>
      </c>
      <c r="D13" s="353">
        <v>4</v>
      </c>
      <c r="E13" s="354">
        <v>409</v>
      </c>
    </row>
    <row r="14" spans="1:5" s="350" customFormat="1" ht="31.5" x14ac:dyDescent="0.25">
      <c r="A14" s="351" t="s">
        <v>825</v>
      </c>
      <c r="B14" s="352" t="s">
        <v>831</v>
      </c>
      <c r="C14" s="347" t="s">
        <v>829</v>
      </c>
      <c r="D14" s="353">
        <v>3</v>
      </c>
      <c r="E14" s="354">
        <v>47</v>
      </c>
    </row>
    <row r="15" spans="1:5" s="350" customFormat="1" ht="31.5" x14ac:dyDescent="0.25">
      <c r="A15" s="351" t="s">
        <v>825</v>
      </c>
      <c r="B15" s="352" t="s">
        <v>898</v>
      </c>
      <c r="C15" s="347" t="s">
        <v>829</v>
      </c>
      <c r="D15" s="353">
        <v>6</v>
      </c>
      <c r="E15" s="354">
        <v>1028</v>
      </c>
    </row>
    <row r="16" spans="1:5" s="350" customFormat="1" ht="31.5" x14ac:dyDescent="0.25">
      <c r="A16" s="355"/>
      <c r="B16" s="352" t="s">
        <v>832</v>
      </c>
      <c r="C16" s="347" t="s">
        <v>829</v>
      </c>
      <c r="D16" s="353">
        <v>30</v>
      </c>
      <c r="E16" s="354">
        <v>263</v>
      </c>
    </row>
    <row r="17" spans="1:6" s="350" customFormat="1" ht="31.5" x14ac:dyDescent="0.25">
      <c r="A17" s="355"/>
      <c r="B17" s="352" t="s">
        <v>833</v>
      </c>
      <c r="C17" s="347" t="s">
        <v>829</v>
      </c>
      <c r="D17" s="353"/>
      <c r="E17" s="354"/>
    </row>
    <row r="18" spans="1:6" s="350" customFormat="1" ht="63.95" customHeight="1" x14ac:dyDescent="0.25">
      <c r="A18" s="356"/>
      <c r="B18" s="357" t="s">
        <v>834</v>
      </c>
      <c r="C18" s="347" t="s">
        <v>835</v>
      </c>
      <c r="D18" s="358">
        <v>536</v>
      </c>
      <c r="E18" s="359">
        <v>5575</v>
      </c>
    </row>
    <row r="19" spans="1:6" ht="18.75" x14ac:dyDescent="0.3">
      <c r="A19" s="486" t="s">
        <v>836</v>
      </c>
      <c r="B19" s="486"/>
      <c r="C19" s="486"/>
      <c r="D19" s="486"/>
      <c r="E19" s="360">
        <f>SUM(E11:E18)</f>
        <v>12284</v>
      </c>
      <c r="F19" s="88"/>
    </row>
    <row r="23" spans="1:6" ht="15.75" x14ac:dyDescent="0.25">
      <c r="E23" s="88" t="s">
        <v>924</v>
      </c>
    </row>
  </sheetData>
  <sheetProtection selectLockedCells="1" selectUnlockedCells="1"/>
  <mergeCells count="5">
    <mergeCell ref="A4:E4"/>
    <mergeCell ref="A8:A9"/>
    <mergeCell ref="B8:B9"/>
    <mergeCell ref="C8:E8"/>
    <mergeCell ref="A19:D19"/>
  </mergeCells>
  <printOptions horizontalCentered="1"/>
  <pageMargins left="0.55138888888888893" right="0.42986111111111114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158"/>
  <sheetViews>
    <sheetView view="pageBreakPreview" zoomScale="80" zoomScaleSheetLayoutView="80" workbookViewId="0">
      <selection activeCell="E2" sqref="E2"/>
    </sheetView>
  </sheetViews>
  <sheetFormatPr defaultRowHeight="15.75" x14ac:dyDescent="0.25"/>
  <cols>
    <col min="1" max="1" width="78" style="13" customWidth="1"/>
    <col min="2" max="2" width="10.42578125" style="13" customWidth="1"/>
    <col min="3" max="4" width="11.5703125" style="13" customWidth="1"/>
    <col min="5" max="5" width="11.5703125" style="88" customWidth="1"/>
    <col min="6" max="16384" width="9.140625" style="13"/>
  </cols>
  <sheetData>
    <row r="1" spans="1:5" x14ac:dyDescent="0.25">
      <c r="E1" s="15" t="s">
        <v>837</v>
      </c>
    </row>
    <row r="2" spans="1:5" x14ac:dyDescent="0.25">
      <c r="E2" s="16" t="s">
        <v>937</v>
      </c>
    </row>
    <row r="3" spans="1:5" ht="26.25" customHeight="1" x14ac:dyDescent="0.3">
      <c r="A3" s="35" t="s">
        <v>879</v>
      </c>
      <c r="B3" s="90"/>
      <c r="C3" s="90"/>
      <c r="D3" s="90"/>
      <c r="E3" s="361"/>
    </row>
    <row r="4" spans="1:5" ht="15.6" customHeight="1" x14ac:dyDescent="0.25">
      <c r="A4" s="468" t="s">
        <v>838</v>
      </c>
      <c r="B4" s="468"/>
      <c r="C4" s="468"/>
      <c r="D4" s="468"/>
      <c r="E4" s="468"/>
    </row>
    <row r="6" spans="1:5" ht="47.25" x14ac:dyDescent="0.25">
      <c r="A6" s="19" t="s">
        <v>14</v>
      </c>
      <c r="B6" s="48" t="s">
        <v>41</v>
      </c>
      <c r="C6" s="49" t="s">
        <v>920</v>
      </c>
      <c r="D6" s="49" t="s">
        <v>919</v>
      </c>
      <c r="E6" s="362" t="s">
        <v>918</v>
      </c>
    </row>
    <row r="7" spans="1:5" x14ac:dyDescent="0.25">
      <c r="A7" s="52" t="s">
        <v>42</v>
      </c>
      <c r="B7" s="53" t="s">
        <v>43</v>
      </c>
      <c r="C7" s="24">
        <v>1095761</v>
      </c>
      <c r="D7" s="24">
        <v>1182263</v>
      </c>
      <c r="E7" s="109">
        <f>+'2 Össz'!E7/1000</f>
        <v>1624024.3459999999</v>
      </c>
    </row>
    <row r="8" spans="1:5" x14ac:dyDescent="0.25">
      <c r="A8" s="54" t="s">
        <v>44</v>
      </c>
      <c r="B8" s="53" t="s">
        <v>45</v>
      </c>
      <c r="C8" s="24">
        <v>46371</v>
      </c>
      <c r="D8" s="24">
        <v>47981</v>
      </c>
      <c r="E8" s="109">
        <f>+'2 Össz'!E8/1000</f>
        <v>128815.788</v>
      </c>
    </row>
    <row r="9" spans="1:5" s="114" customFormat="1" x14ac:dyDescent="0.25">
      <c r="A9" s="111" t="s">
        <v>46</v>
      </c>
      <c r="B9" s="363" t="s">
        <v>47</v>
      </c>
      <c r="C9" s="99">
        <f>SUM(C7:C8)</f>
        <v>1142132</v>
      </c>
      <c r="D9" s="99">
        <f>SUM(D7:D8)</f>
        <v>1230244</v>
      </c>
      <c r="E9" s="99">
        <f>SUM(E7:E8)</f>
        <v>1752840.1339999998</v>
      </c>
    </row>
    <row r="10" spans="1:5" s="27" customFormat="1" x14ac:dyDescent="0.25">
      <c r="A10" s="57" t="s">
        <v>48</v>
      </c>
      <c r="B10" s="56" t="s">
        <v>49</v>
      </c>
      <c r="C10" s="25">
        <v>277713</v>
      </c>
      <c r="D10" s="25">
        <v>255739</v>
      </c>
      <c r="E10" s="109">
        <f>+'2 Össz'!E10/1000</f>
        <v>331565.29700000002</v>
      </c>
    </row>
    <row r="11" spans="1:5" x14ac:dyDescent="0.25">
      <c r="A11" s="54" t="s">
        <v>50</v>
      </c>
      <c r="B11" s="53" t="s">
        <v>51</v>
      </c>
      <c r="C11" s="24">
        <v>244998</v>
      </c>
      <c r="D11" s="24">
        <v>259476</v>
      </c>
      <c r="E11" s="109">
        <f>+'2 Össz'!E11/1000</f>
        <v>275310.38199999998</v>
      </c>
    </row>
    <row r="12" spans="1:5" x14ac:dyDescent="0.25">
      <c r="A12" s="54" t="s">
        <v>52</v>
      </c>
      <c r="B12" s="53" t="s">
        <v>53</v>
      </c>
      <c r="C12" s="24">
        <v>14319</v>
      </c>
      <c r="D12" s="24">
        <v>13834</v>
      </c>
      <c r="E12" s="109">
        <f>+'2 Össz'!E12/1000</f>
        <v>15917.96</v>
      </c>
    </row>
    <row r="13" spans="1:5" x14ac:dyDescent="0.25">
      <c r="A13" s="54" t="s">
        <v>54</v>
      </c>
      <c r="B13" s="53" t="s">
        <v>55</v>
      </c>
      <c r="C13" s="24">
        <v>368794</v>
      </c>
      <c r="D13" s="24">
        <v>407140</v>
      </c>
      <c r="E13" s="109">
        <f>+'2 Össz'!E13/1000</f>
        <v>748601.15599999996</v>
      </c>
    </row>
    <row r="14" spans="1:5" x14ac:dyDescent="0.25">
      <c r="A14" s="54" t="s">
        <v>56</v>
      </c>
      <c r="B14" s="53" t="s">
        <v>57</v>
      </c>
      <c r="C14" s="24">
        <v>4737</v>
      </c>
      <c r="D14" s="24">
        <v>6280</v>
      </c>
      <c r="E14" s="109">
        <f>+'2 Össz'!E14/1000</f>
        <v>52581.012000000002</v>
      </c>
    </row>
    <row r="15" spans="1:5" x14ac:dyDescent="0.25">
      <c r="A15" s="54" t="s">
        <v>58</v>
      </c>
      <c r="B15" s="53" t="s">
        <v>59</v>
      </c>
      <c r="C15" s="24">
        <v>275566</v>
      </c>
      <c r="D15" s="24">
        <v>191140</v>
      </c>
      <c r="E15" s="109">
        <f>+'2 Össz'!E15/1000</f>
        <v>306178.70600000001</v>
      </c>
    </row>
    <row r="16" spans="1:5" s="114" customFormat="1" x14ac:dyDescent="0.25">
      <c r="A16" s="97" t="s">
        <v>60</v>
      </c>
      <c r="B16" s="363" t="s">
        <v>61</v>
      </c>
      <c r="C16" s="99">
        <f>SUM(C11:C15)</f>
        <v>908414</v>
      </c>
      <c r="D16" s="99">
        <f>SUM(D11:D15)</f>
        <v>877870</v>
      </c>
      <c r="E16" s="99">
        <f>SUM(E11:E15)</f>
        <v>1398589.216</v>
      </c>
    </row>
    <row r="17" spans="1:5" s="27" customFormat="1" x14ac:dyDescent="0.25">
      <c r="A17" s="58" t="s">
        <v>62</v>
      </c>
      <c r="B17" s="56" t="s">
        <v>63</v>
      </c>
      <c r="C17" s="25">
        <v>54799</v>
      </c>
      <c r="D17" s="25">
        <v>48715</v>
      </c>
      <c r="E17" s="109">
        <f>+'2 Össz'!E17/1000</f>
        <v>59800</v>
      </c>
    </row>
    <row r="18" spans="1:5" x14ac:dyDescent="0.25">
      <c r="A18" s="59" t="s">
        <v>64</v>
      </c>
      <c r="B18" s="53" t="s">
        <v>65</v>
      </c>
      <c r="C18" s="24"/>
      <c r="D18" s="24"/>
      <c r="E18" s="109">
        <f>+'2 Össz'!E18/1000</f>
        <v>0</v>
      </c>
    </row>
    <row r="19" spans="1:5" x14ac:dyDescent="0.25">
      <c r="A19" s="59" t="s">
        <v>66</v>
      </c>
      <c r="B19" s="53" t="s">
        <v>67</v>
      </c>
      <c r="C19" s="24">
        <v>10848</v>
      </c>
      <c r="D19" s="24">
        <v>6792</v>
      </c>
      <c r="E19" s="109">
        <f>+'2 Össz'!E19/1000</f>
        <v>2200</v>
      </c>
    </row>
    <row r="20" spans="1:5" x14ac:dyDescent="0.25">
      <c r="A20" s="59" t="s">
        <v>68</v>
      </c>
      <c r="B20" s="53" t="s">
        <v>69</v>
      </c>
      <c r="C20" s="24"/>
      <c r="D20" s="24"/>
      <c r="E20" s="109">
        <f>+'2 Össz'!E20/1000</f>
        <v>0</v>
      </c>
    </row>
    <row r="21" spans="1:5" x14ac:dyDescent="0.25">
      <c r="A21" s="59" t="s">
        <v>70</v>
      </c>
      <c r="B21" s="53" t="s">
        <v>71</v>
      </c>
      <c r="C21" s="24"/>
      <c r="D21" s="24"/>
      <c r="E21" s="109">
        <f>+'2 Össz'!E21/1000</f>
        <v>0</v>
      </c>
    </row>
    <row r="22" spans="1:5" x14ac:dyDescent="0.25">
      <c r="A22" s="59" t="s">
        <v>643</v>
      </c>
      <c r="B22" s="53" t="s">
        <v>73</v>
      </c>
      <c r="C22" s="24"/>
      <c r="D22" s="24"/>
      <c r="E22" s="109">
        <f>+'2 Össz'!E22/1000</f>
        <v>0</v>
      </c>
    </row>
    <row r="23" spans="1:5" x14ac:dyDescent="0.25">
      <c r="A23" s="59" t="s">
        <v>74</v>
      </c>
      <c r="B23" s="53" t="s">
        <v>75</v>
      </c>
      <c r="C23" s="24">
        <v>150628</v>
      </c>
      <c r="D23" s="24">
        <v>17100</v>
      </c>
      <c r="E23" s="109">
        <f>+'2 Össz'!E23/1000</f>
        <v>9740.6</v>
      </c>
    </row>
    <row r="24" spans="1:5" x14ac:dyDescent="0.25">
      <c r="A24" s="59" t="s">
        <v>76</v>
      </c>
      <c r="B24" s="53" t="s">
        <v>77</v>
      </c>
      <c r="C24" s="24"/>
      <c r="D24" s="24"/>
      <c r="E24" s="109">
        <f>+'2 Össz'!E24/1000</f>
        <v>0</v>
      </c>
    </row>
    <row r="25" spans="1:5" x14ac:dyDescent="0.25">
      <c r="A25" s="59" t="s">
        <v>78</v>
      </c>
      <c r="B25" s="53" t="s">
        <v>79</v>
      </c>
      <c r="C25" s="24">
        <v>4000</v>
      </c>
      <c r="D25" s="24">
        <v>4500</v>
      </c>
      <c r="E25" s="109">
        <f>+'2 Össz'!E25/1000</f>
        <v>0</v>
      </c>
    </row>
    <row r="26" spans="1:5" x14ac:dyDescent="0.25">
      <c r="A26" s="59" t="s">
        <v>80</v>
      </c>
      <c r="B26" s="53" t="s">
        <v>81</v>
      </c>
      <c r="C26" s="24"/>
      <c r="D26" s="24"/>
      <c r="E26" s="109">
        <f>+'2 Össz'!E26/1000</f>
        <v>0</v>
      </c>
    </row>
    <row r="27" spans="1:5" x14ac:dyDescent="0.25">
      <c r="A27" s="60" t="s">
        <v>82</v>
      </c>
      <c r="B27" s="53" t="s">
        <v>83</v>
      </c>
      <c r="C27" s="24"/>
      <c r="D27" s="24"/>
      <c r="E27" s="109">
        <f>+'2 Össz'!E27/1000</f>
        <v>0</v>
      </c>
    </row>
    <row r="28" spans="1:5" x14ac:dyDescent="0.25">
      <c r="A28" s="59" t="s">
        <v>84</v>
      </c>
      <c r="B28" s="53" t="s">
        <v>85</v>
      </c>
      <c r="C28" s="24"/>
      <c r="D28" s="24"/>
      <c r="E28" s="109">
        <f>+'2 Össz'!E28/1000</f>
        <v>0</v>
      </c>
    </row>
    <row r="29" spans="1:5" x14ac:dyDescent="0.25">
      <c r="A29" s="59" t="s">
        <v>86</v>
      </c>
      <c r="B29" s="53" t="s">
        <v>87</v>
      </c>
      <c r="C29" s="24">
        <v>72469</v>
      </c>
      <c r="D29" s="24">
        <v>87554</v>
      </c>
      <c r="E29" s="109">
        <f>+'2 Össz'!E29/1000</f>
        <v>50880</v>
      </c>
    </row>
    <row r="30" spans="1:5" x14ac:dyDescent="0.25">
      <c r="A30" s="60" t="s">
        <v>88</v>
      </c>
      <c r="B30" s="53" t="s">
        <v>89</v>
      </c>
      <c r="C30" s="24"/>
      <c r="D30" s="24"/>
      <c r="E30" s="109">
        <f>+'2 Össz'!E30/1000</f>
        <v>40000</v>
      </c>
    </row>
    <row r="31" spans="1:5" x14ac:dyDescent="0.25">
      <c r="A31" s="60" t="s">
        <v>90</v>
      </c>
      <c r="B31" s="53" t="s">
        <v>89</v>
      </c>
      <c r="C31" s="24"/>
      <c r="D31" s="24"/>
      <c r="E31" s="109">
        <f>+'2 Össz'!E31/1000</f>
        <v>23500</v>
      </c>
    </row>
    <row r="32" spans="1:5" s="114" customFormat="1" x14ac:dyDescent="0.25">
      <c r="A32" s="152" t="s">
        <v>91</v>
      </c>
      <c r="B32" s="363" t="s">
        <v>92</v>
      </c>
      <c r="C32" s="99">
        <f>SUM(C18:C31)</f>
        <v>237945</v>
      </c>
      <c r="D32" s="99">
        <f>SUM(D18:D31)</f>
        <v>115946</v>
      </c>
      <c r="E32" s="99">
        <f>SUM(E18:E31)</f>
        <v>126320.6</v>
      </c>
    </row>
    <row r="33" spans="1:5" s="114" customFormat="1" x14ac:dyDescent="0.25">
      <c r="A33" s="364" t="s">
        <v>93</v>
      </c>
      <c r="B33" s="363" t="s">
        <v>94</v>
      </c>
      <c r="C33" s="99">
        <f>+C32+C17+C16+C10+C9</f>
        <v>2621003</v>
      </c>
      <c r="D33" s="99">
        <f>+D32+D17+D16+D10+D9</f>
        <v>2528514</v>
      </c>
      <c r="E33" s="99">
        <f>+E32+E17+E16+E10+E9</f>
        <v>3669115.247</v>
      </c>
    </row>
    <row r="34" spans="1:5" x14ac:dyDescent="0.25">
      <c r="A34" s="64" t="s">
        <v>95</v>
      </c>
      <c r="B34" s="53" t="s">
        <v>96</v>
      </c>
      <c r="C34" s="24">
        <v>200</v>
      </c>
      <c r="D34" s="24">
        <v>367</v>
      </c>
      <c r="E34" s="109">
        <f>+'2 Össz'!E34/1000</f>
        <v>370</v>
      </c>
    </row>
    <row r="35" spans="1:5" x14ac:dyDescent="0.25">
      <c r="A35" s="64" t="s">
        <v>97</v>
      </c>
      <c r="B35" s="53" t="s">
        <v>98</v>
      </c>
      <c r="C35" s="24">
        <v>245</v>
      </c>
      <c r="D35" s="24">
        <v>37632</v>
      </c>
      <c r="E35" s="109">
        <f>+'2 Össz'!E35/1000</f>
        <v>35995.855118110238</v>
      </c>
    </row>
    <row r="36" spans="1:5" x14ac:dyDescent="0.25">
      <c r="A36" s="64" t="s">
        <v>99</v>
      </c>
      <c r="B36" s="53" t="s">
        <v>100</v>
      </c>
      <c r="C36" s="24">
        <v>3916</v>
      </c>
      <c r="D36" s="24">
        <v>3978</v>
      </c>
      <c r="E36" s="109">
        <f>+'2 Össz'!E36/1000</f>
        <v>1994</v>
      </c>
    </row>
    <row r="37" spans="1:5" x14ac:dyDescent="0.25">
      <c r="A37" s="64" t="s">
        <v>101</v>
      </c>
      <c r="B37" s="53" t="s">
        <v>102</v>
      </c>
      <c r="C37" s="24">
        <v>39948</v>
      </c>
      <c r="D37" s="24">
        <v>22722</v>
      </c>
      <c r="E37" s="109">
        <f>+'2 Össz'!E37/1000</f>
        <v>226191.57488188977</v>
      </c>
    </row>
    <row r="38" spans="1:5" x14ac:dyDescent="0.25">
      <c r="A38" s="65" t="s">
        <v>103</v>
      </c>
      <c r="B38" s="53" t="s">
        <v>104</v>
      </c>
      <c r="C38" s="24"/>
      <c r="D38" s="24"/>
      <c r="E38" s="109">
        <f>+'2 Össz'!E38/1000</f>
        <v>0</v>
      </c>
    </row>
    <row r="39" spans="1:5" x14ac:dyDescent="0.25">
      <c r="A39" s="65" t="s">
        <v>105</v>
      </c>
      <c r="B39" s="53" t="s">
        <v>106</v>
      </c>
      <c r="C39" s="24"/>
      <c r="D39" s="24"/>
      <c r="E39" s="109">
        <f>+'2 Össz'!E39/1000</f>
        <v>0</v>
      </c>
    </row>
    <row r="40" spans="1:5" x14ac:dyDescent="0.25">
      <c r="A40" s="65" t="s">
        <v>107</v>
      </c>
      <c r="B40" s="53" t="s">
        <v>108</v>
      </c>
      <c r="C40" s="24">
        <v>11300</v>
      </c>
      <c r="D40" s="24">
        <v>7229</v>
      </c>
      <c r="E40" s="109">
        <f>+'2 Össz'!E40/1000</f>
        <v>70508.885999999999</v>
      </c>
    </row>
    <row r="41" spans="1:5" s="114" customFormat="1" x14ac:dyDescent="0.25">
      <c r="A41" s="98" t="s">
        <v>109</v>
      </c>
      <c r="B41" s="363" t="s">
        <v>110</v>
      </c>
      <c r="C41" s="99">
        <f>SUM(C34:C40)</f>
        <v>55609</v>
      </c>
      <c r="D41" s="99">
        <f>SUM(D34:D40)</f>
        <v>71928</v>
      </c>
      <c r="E41" s="99">
        <f>SUM(E34:E40)</f>
        <v>335060.31599999999</v>
      </c>
    </row>
    <row r="42" spans="1:5" x14ac:dyDescent="0.25">
      <c r="A42" s="67" t="s">
        <v>111</v>
      </c>
      <c r="B42" s="53" t="s">
        <v>112</v>
      </c>
      <c r="C42" s="24">
        <v>71243</v>
      </c>
      <c r="D42" s="24">
        <v>73040</v>
      </c>
      <c r="E42" s="109">
        <f>+'2 Össz'!E42/1000</f>
        <v>2833596.2710000002</v>
      </c>
    </row>
    <row r="43" spans="1:5" x14ac:dyDescent="0.25">
      <c r="A43" s="67" t="s">
        <v>113</v>
      </c>
      <c r="B43" s="53" t="s">
        <v>114</v>
      </c>
      <c r="C43" s="24"/>
      <c r="D43" s="24"/>
      <c r="E43" s="109">
        <f>+'2 Össz'!E43/1000</f>
        <v>0</v>
      </c>
    </row>
    <row r="44" spans="1:5" x14ac:dyDescent="0.25">
      <c r="A44" s="67" t="s">
        <v>115</v>
      </c>
      <c r="B44" s="53" t="s">
        <v>116</v>
      </c>
      <c r="C44" s="24">
        <v>354</v>
      </c>
      <c r="D44" s="24">
        <v>0</v>
      </c>
      <c r="E44" s="109">
        <f>+'2 Össz'!E44/1000</f>
        <v>20000</v>
      </c>
    </row>
    <row r="45" spans="1:5" x14ac:dyDescent="0.25">
      <c r="A45" s="67" t="s">
        <v>117</v>
      </c>
      <c r="B45" s="53" t="s">
        <v>118</v>
      </c>
      <c r="C45" s="24">
        <v>19340</v>
      </c>
      <c r="D45" s="24">
        <v>5805</v>
      </c>
      <c r="E45" s="109">
        <f>+'2 Össz'!E45/1000</f>
        <v>779148.09</v>
      </c>
    </row>
    <row r="46" spans="1:5" s="114" customFormat="1" x14ac:dyDescent="0.25">
      <c r="A46" s="97" t="s">
        <v>119</v>
      </c>
      <c r="B46" s="363" t="s">
        <v>120</v>
      </c>
      <c r="C46" s="99">
        <f>SUM(C42:C45)</f>
        <v>90937</v>
      </c>
      <c r="D46" s="99">
        <f>SUM(D42:D45)</f>
        <v>78845</v>
      </c>
      <c r="E46" s="99">
        <f>SUM(E42:E45)</f>
        <v>3632744.361</v>
      </c>
    </row>
    <row r="47" spans="1:5" hidden="1" x14ac:dyDescent="0.25">
      <c r="A47" s="67" t="s">
        <v>839</v>
      </c>
      <c r="B47" s="53" t="s">
        <v>122</v>
      </c>
      <c r="C47" s="24"/>
      <c r="D47" s="24"/>
      <c r="E47" s="109">
        <f>+'2 Össz'!E47</f>
        <v>0</v>
      </c>
    </row>
    <row r="48" spans="1:5" hidden="1" x14ac:dyDescent="0.25">
      <c r="A48" s="67" t="s">
        <v>646</v>
      </c>
      <c r="B48" s="53" t="s">
        <v>124</v>
      </c>
      <c r="C48" s="24"/>
      <c r="D48" s="24"/>
      <c r="E48" s="109">
        <f>+'2 Össz'!E48</f>
        <v>0</v>
      </c>
    </row>
    <row r="49" spans="1:5" hidden="1" x14ac:dyDescent="0.25">
      <c r="A49" s="67" t="s">
        <v>840</v>
      </c>
      <c r="B49" s="53" t="s">
        <v>126</v>
      </c>
      <c r="C49" s="24"/>
      <c r="D49" s="24"/>
      <c r="E49" s="109">
        <f>+'2 Össz'!E49</f>
        <v>0</v>
      </c>
    </row>
    <row r="50" spans="1:5" x14ac:dyDescent="0.25">
      <c r="A50" s="67" t="s">
        <v>127</v>
      </c>
      <c r="B50" s="53" t="s">
        <v>128</v>
      </c>
      <c r="C50" s="24">
        <v>0</v>
      </c>
      <c r="D50" s="24"/>
      <c r="E50" s="109">
        <f>+'2 Össz'!E50/1000</f>
        <v>0</v>
      </c>
    </row>
    <row r="51" spans="1:5" x14ac:dyDescent="0.25">
      <c r="A51" s="67" t="s">
        <v>841</v>
      </c>
      <c r="B51" s="53" t="s">
        <v>130</v>
      </c>
      <c r="C51" s="24"/>
      <c r="D51" s="24"/>
      <c r="E51" s="109">
        <f>+'2 Össz'!E51/1000</f>
        <v>17867</v>
      </c>
    </row>
    <row r="52" spans="1:5" x14ac:dyDescent="0.25">
      <c r="A52" s="67" t="s">
        <v>842</v>
      </c>
      <c r="B52" s="53" t="s">
        <v>132</v>
      </c>
      <c r="C52" s="24"/>
      <c r="D52" s="24"/>
      <c r="E52" s="109">
        <f>+'2 Össz'!E52/1000</f>
        <v>0</v>
      </c>
    </row>
    <row r="53" spans="1:5" x14ac:dyDescent="0.25">
      <c r="A53" s="67" t="s">
        <v>133</v>
      </c>
      <c r="B53" s="53" t="s">
        <v>134</v>
      </c>
      <c r="C53" s="24"/>
      <c r="D53" s="24"/>
      <c r="E53" s="109">
        <f>+'2 Össz'!E53/1000</f>
        <v>0</v>
      </c>
    </row>
    <row r="54" spans="1:5" x14ac:dyDescent="0.25">
      <c r="A54" s="67" t="s">
        <v>135</v>
      </c>
      <c r="B54" s="53" t="s">
        <v>136</v>
      </c>
      <c r="C54" s="24"/>
      <c r="D54" s="24"/>
      <c r="E54" s="109">
        <f>+'2 Össz'!E54/1000</f>
        <v>0</v>
      </c>
    </row>
    <row r="55" spans="1:5" x14ac:dyDescent="0.25">
      <c r="A55" s="67" t="s">
        <v>137</v>
      </c>
      <c r="B55" s="53" t="s">
        <v>138</v>
      </c>
      <c r="C55" s="24"/>
      <c r="D55" s="24">
        <v>3000</v>
      </c>
      <c r="E55" s="109">
        <f>+'2 Össz'!E55/1000</f>
        <v>0</v>
      </c>
    </row>
    <row r="56" spans="1:5" s="114" customFormat="1" x14ac:dyDescent="0.25">
      <c r="A56" s="152" t="s">
        <v>139</v>
      </c>
      <c r="B56" s="363" t="s">
        <v>140</v>
      </c>
      <c r="C56" s="99">
        <f>SUM(C47:C55)</f>
        <v>0</v>
      </c>
      <c r="D56" s="99">
        <f>SUM(D47:D55)</f>
        <v>3000</v>
      </c>
      <c r="E56" s="99">
        <f>SUM(E47:E55)</f>
        <v>17867</v>
      </c>
    </row>
    <row r="57" spans="1:5" s="114" customFormat="1" x14ac:dyDescent="0.25">
      <c r="A57" s="364" t="s">
        <v>141</v>
      </c>
      <c r="B57" s="363" t="s">
        <v>142</v>
      </c>
      <c r="C57" s="99">
        <f>+C56+C46+C41</f>
        <v>146546</v>
      </c>
      <c r="D57" s="99">
        <f>+D56+D46+D41</f>
        <v>153773</v>
      </c>
      <c r="E57" s="99">
        <f>+E56+E46+E41</f>
        <v>3985671.6770000001</v>
      </c>
    </row>
    <row r="58" spans="1:5" s="114" customFormat="1" x14ac:dyDescent="0.25">
      <c r="A58" s="98" t="s">
        <v>143</v>
      </c>
      <c r="B58" s="363" t="s">
        <v>144</v>
      </c>
      <c r="C58" s="99">
        <f>+C56+C46+C41+C32+C17+C16+C10+C9</f>
        <v>2767549</v>
      </c>
      <c r="D58" s="99">
        <f>+D56+D46+D41+D32+D17+D16+D10+D9</f>
        <v>2682287</v>
      </c>
      <c r="E58" s="99">
        <f>+E56+E46+E41+E32+E17+E16+E10+E9</f>
        <v>7654786.9240000006</v>
      </c>
    </row>
    <row r="59" spans="1:5" x14ac:dyDescent="0.25">
      <c r="A59" s="67" t="s">
        <v>145</v>
      </c>
      <c r="B59" s="54" t="s">
        <v>146</v>
      </c>
      <c r="C59" s="24"/>
      <c r="D59" s="24"/>
      <c r="E59" s="109">
        <f>+'2 Össz'!E59/1000</f>
        <v>0</v>
      </c>
    </row>
    <row r="60" spans="1:5" x14ac:dyDescent="0.25">
      <c r="A60" s="67" t="s">
        <v>147</v>
      </c>
      <c r="B60" s="54" t="s">
        <v>148</v>
      </c>
      <c r="C60" s="24"/>
      <c r="D60" s="24"/>
      <c r="E60" s="109">
        <f>+'2 Össz'!E60/1000</f>
        <v>0</v>
      </c>
    </row>
    <row r="61" spans="1:5" x14ac:dyDescent="0.25">
      <c r="A61" s="67" t="s">
        <v>149</v>
      </c>
      <c r="B61" s="54" t="s">
        <v>150</v>
      </c>
      <c r="C61" s="24"/>
      <c r="D61" s="24"/>
      <c r="E61" s="109">
        <f>+'2 Össz'!E61/1000</f>
        <v>88500</v>
      </c>
    </row>
    <row r="62" spans="1:5" s="114" customFormat="1" x14ac:dyDescent="0.25">
      <c r="A62" s="152" t="s">
        <v>151</v>
      </c>
      <c r="B62" s="97" t="s">
        <v>152</v>
      </c>
      <c r="C62" s="365">
        <f>SUM(C59:C61)</f>
        <v>0</v>
      </c>
      <c r="D62" s="365">
        <f>SUM(D59:D61)</f>
        <v>0</v>
      </c>
      <c r="E62" s="365">
        <f>SUM(E59:E61)</f>
        <v>88500</v>
      </c>
    </row>
    <row r="63" spans="1:5" x14ac:dyDescent="0.25">
      <c r="A63" s="73" t="s">
        <v>153</v>
      </c>
      <c r="B63" s="54" t="s">
        <v>154</v>
      </c>
      <c r="C63" s="24"/>
      <c r="D63" s="24"/>
      <c r="E63" s="109">
        <f>+'2 Össz'!E63/1000</f>
        <v>0</v>
      </c>
    </row>
    <row r="64" spans="1:5" x14ac:dyDescent="0.25">
      <c r="A64" s="73" t="s">
        <v>155</v>
      </c>
      <c r="B64" s="54" t="s">
        <v>156</v>
      </c>
      <c r="C64" s="24"/>
      <c r="D64" s="24"/>
      <c r="E64" s="109">
        <f>+'2 Össz'!E64/1000</f>
        <v>0</v>
      </c>
    </row>
    <row r="65" spans="1:5" x14ac:dyDescent="0.25">
      <c r="A65" s="73" t="s">
        <v>157</v>
      </c>
      <c r="B65" s="54" t="s">
        <v>158</v>
      </c>
      <c r="C65" s="24">
        <v>25996</v>
      </c>
      <c r="D65" s="24">
        <v>26494</v>
      </c>
      <c r="E65" s="109">
        <f>+'2 Össz'!E65/1000</f>
        <v>31000</v>
      </c>
    </row>
    <row r="66" spans="1:5" x14ac:dyDescent="0.25">
      <c r="A66" s="73" t="s">
        <v>159</v>
      </c>
      <c r="B66" s="54" t="s">
        <v>160</v>
      </c>
      <c r="C66" s="24"/>
      <c r="D66" s="24"/>
      <c r="E66" s="109">
        <f>+'2 Össz'!E66/1000</f>
        <v>0</v>
      </c>
    </row>
    <row r="67" spans="1:5" s="114" customFormat="1" hidden="1" x14ac:dyDescent="0.25">
      <c r="A67" s="73" t="s">
        <v>161</v>
      </c>
      <c r="B67" s="54" t="s">
        <v>162</v>
      </c>
      <c r="C67" s="24"/>
      <c r="D67" s="24"/>
      <c r="E67" s="109">
        <f>+'2 Össz'!E67</f>
        <v>0</v>
      </c>
    </row>
    <row r="68" spans="1:5" hidden="1" x14ac:dyDescent="0.25">
      <c r="A68" s="73" t="s">
        <v>163</v>
      </c>
      <c r="B68" s="54" t="s">
        <v>164</v>
      </c>
      <c r="C68" s="24"/>
      <c r="D68" s="24"/>
      <c r="E68" s="109">
        <f>+'2 Össz'!E68</f>
        <v>0</v>
      </c>
    </row>
    <row r="69" spans="1:5" hidden="1" x14ac:dyDescent="0.25">
      <c r="A69" s="73" t="s">
        <v>165</v>
      </c>
      <c r="B69" s="54" t="s">
        <v>166</v>
      </c>
      <c r="C69" s="24"/>
      <c r="D69" s="24"/>
      <c r="E69" s="109">
        <f>+'2 Össz'!E69</f>
        <v>0</v>
      </c>
    </row>
    <row r="70" spans="1:5" hidden="1" x14ac:dyDescent="0.25">
      <c r="A70" s="73" t="s">
        <v>167</v>
      </c>
      <c r="B70" s="54" t="s">
        <v>168</v>
      </c>
      <c r="C70" s="24"/>
      <c r="D70" s="24"/>
      <c r="E70" s="109">
        <f>+'2 Össz'!E70</f>
        <v>0</v>
      </c>
    </row>
    <row r="71" spans="1:5" x14ac:dyDescent="0.25">
      <c r="A71" s="366" t="s">
        <v>169</v>
      </c>
      <c r="B71" s="97" t="s">
        <v>170</v>
      </c>
      <c r="C71" s="112">
        <f>SUM(C62:C70)</f>
        <v>25996</v>
      </c>
      <c r="D71" s="112">
        <f>SUM(D62:D70)</f>
        <v>26494</v>
      </c>
      <c r="E71" s="112">
        <f>SUM(E62:E70)</f>
        <v>119500</v>
      </c>
    </row>
    <row r="72" spans="1:5" hidden="1" x14ac:dyDescent="0.25">
      <c r="A72" s="73" t="s">
        <v>171</v>
      </c>
      <c r="B72" s="54" t="s">
        <v>172</v>
      </c>
      <c r="C72" s="24"/>
      <c r="D72" s="24"/>
      <c r="E72" s="109">
        <f>+'2 Össz'!E72</f>
        <v>0</v>
      </c>
    </row>
    <row r="73" spans="1:5" hidden="1" x14ac:dyDescent="0.25">
      <c r="A73" s="67" t="s">
        <v>173</v>
      </c>
      <c r="B73" s="54" t="s">
        <v>174</v>
      </c>
      <c r="C73" s="24"/>
      <c r="D73" s="24"/>
      <c r="E73" s="109">
        <f>+'2 Össz'!E73</f>
        <v>0</v>
      </c>
    </row>
    <row r="74" spans="1:5" s="114" customFormat="1" hidden="1" x14ac:dyDescent="0.25">
      <c r="A74" s="67" t="s">
        <v>175</v>
      </c>
      <c r="B74" s="54" t="s">
        <v>176</v>
      </c>
      <c r="C74" s="24"/>
      <c r="D74" s="24"/>
      <c r="E74" s="109">
        <f>+'2 Össz'!E74</f>
        <v>0</v>
      </c>
    </row>
    <row r="75" spans="1:5" s="114" customFormat="1" x14ac:dyDescent="0.25">
      <c r="A75" s="366" t="s">
        <v>177</v>
      </c>
      <c r="B75" s="97" t="s">
        <v>178</v>
      </c>
      <c r="C75" s="367">
        <f>+C73+C72+C71+C74</f>
        <v>25996</v>
      </c>
      <c r="D75" s="367">
        <f>+D73+D72+D71+D74</f>
        <v>26494</v>
      </c>
      <c r="E75" s="367">
        <f>+E73+E72+E71+E74</f>
        <v>119500</v>
      </c>
    </row>
    <row r="76" spans="1:5" s="114" customFormat="1" x14ac:dyDescent="0.25">
      <c r="A76" s="124" t="s">
        <v>179</v>
      </c>
      <c r="B76" s="124" t="s">
        <v>180</v>
      </c>
      <c r="C76" s="99">
        <f>+C58+C75</f>
        <v>2793545</v>
      </c>
      <c r="D76" s="99">
        <f>+D58+D75</f>
        <v>2708781</v>
      </c>
      <c r="E76" s="99">
        <f>+E58+E75</f>
        <v>7774286.9240000006</v>
      </c>
    </row>
    <row r="77" spans="1:5" x14ac:dyDescent="0.25">
      <c r="B77" s="79"/>
      <c r="C77" s="80"/>
      <c r="D77" s="80"/>
      <c r="E77" s="368"/>
    </row>
    <row r="78" spans="1:5" x14ac:dyDescent="0.25">
      <c r="B78" s="79"/>
      <c r="C78" s="80"/>
      <c r="D78" s="80"/>
      <c r="E78" s="368"/>
    </row>
    <row r="79" spans="1:5" ht="47.25" x14ac:dyDescent="0.25">
      <c r="A79" s="19" t="s">
        <v>14</v>
      </c>
      <c r="B79" s="48" t="s">
        <v>181</v>
      </c>
      <c r="C79" s="49" t="s">
        <v>920</v>
      </c>
      <c r="D79" s="49" t="s">
        <v>919</v>
      </c>
      <c r="E79" s="362" t="s">
        <v>918</v>
      </c>
    </row>
    <row r="80" spans="1:5" x14ac:dyDescent="0.25">
      <c r="A80" s="52" t="s">
        <v>182</v>
      </c>
      <c r="B80" s="65" t="s">
        <v>183</v>
      </c>
      <c r="C80" s="24">
        <v>192822</v>
      </c>
      <c r="D80" s="24">
        <v>189754</v>
      </c>
      <c r="E80" s="109">
        <f>+'2 Össz'!E80/1000</f>
        <v>213799.174</v>
      </c>
    </row>
    <row r="81" spans="1:5" x14ac:dyDescent="0.25">
      <c r="A81" s="54" t="s">
        <v>184</v>
      </c>
      <c r="B81" s="65" t="s">
        <v>185</v>
      </c>
      <c r="C81" s="24">
        <v>188771</v>
      </c>
      <c r="D81" s="24">
        <v>184639</v>
      </c>
      <c r="E81" s="109">
        <f>+'2 Össz'!E81/1000</f>
        <v>179100.86799999999</v>
      </c>
    </row>
    <row r="82" spans="1:5" x14ac:dyDescent="0.25">
      <c r="A82" s="54" t="s">
        <v>843</v>
      </c>
      <c r="B82" s="65" t="s">
        <v>187</v>
      </c>
      <c r="C82" s="24">
        <v>495242</v>
      </c>
      <c r="D82" s="24">
        <v>505549</v>
      </c>
      <c r="E82" s="109">
        <f>+'2 Össz'!E82/1000</f>
        <v>544695.43000000005</v>
      </c>
    </row>
    <row r="83" spans="1:5" x14ac:dyDescent="0.25">
      <c r="A83" s="54" t="s">
        <v>188</v>
      </c>
      <c r="B83" s="65" t="s">
        <v>189</v>
      </c>
      <c r="C83" s="24">
        <v>12979</v>
      </c>
      <c r="D83" s="24">
        <v>17421</v>
      </c>
      <c r="E83" s="109">
        <f>+'2 Össz'!E83/1000</f>
        <v>13507.23</v>
      </c>
    </row>
    <row r="84" spans="1:5" x14ac:dyDescent="0.25">
      <c r="A84" s="54" t="s">
        <v>190</v>
      </c>
      <c r="B84" s="65" t="s">
        <v>191</v>
      </c>
      <c r="C84" s="24">
        <v>83362</v>
      </c>
      <c r="D84" s="24">
        <v>111629</v>
      </c>
      <c r="E84" s="109">
        <f>+'2 Össz'!E84/1000</f>
        <v>210179.33199999999</v>
      </c>
    </row>
    <row r="85" spans="1:5" x14ac:dyDescent="0.25">
      <c r="A85" s="54" t="s">
        <v>192</v>
      </c>
      <c r="B85" s="65" t="s">
        <v>193</v>
      </c>
      <c r="C85" s="24"/>
      <c r="D85" s="24"/>
      <c r="E85" s="109">
        <f>+'2 Össz'!E85/1000</f>
        <v>0</v>
      </c>
    </row>
    <row r="86" spans="1:5" s="114" customFormat="1" x14ac:dyDescent="0.25">
      <c r="A86" s="97" t="s">
        <v>194</v>
      </c>
      <c r="B86" s="98" t="s">
        <v>195</v>
      </c>
      <c r="C86" s="99">
        <f>SUM(C80:C85)</f>
        <v>973176</v>
      </c>
      <c r="D86" s="99">
        <f>SUM(D80:D85)</f>
        <v>1008992</v>
      </c>
      <c r="E86" s="99">
        <f>SUM(E80:E85)</f>
        <v>1161282.034</v>
      </c>
    </row>
    <row r="87" spans="1:5" x14ac:dyDescent="0.25">
      <c r="A87" s="54" t="s">
        <v>196</v>
      </c>
      <c r="B87" s="65" t="s">
        <v>197</v>
      </c>
      <c r="C87" s="24"/>
      <c r="D87" s="24"/>
      <c r="E87" s="109">
        <f>+'2 Össz'!E87/1000</f>
        <v>0</v>
      </c>
    </row>
    <row r="88" spans="1:5" x14ac:dyDescent="0.25">
      <c r="A88" s="54" t="s">
        <v>628</v>
      </c>
      <c r="B88" s="65" t="s">
        <v>199</v>
      </c>
      <c r="C88" s="24"/>
      <c r="D88" s="24"/>
      <c r="E88" s="109">
        <f>+'2 Össz'!E88/1000</f>
        <v>0</v>
      </c>
    </row>
    <row r="89" spans="1:5" x14ac:dyDescent="0.25">
      <c r="A89" s="54" t="s">
        <v>629</v>
      </c>
      <c r="B89" s="65" t="s">
        <v>201</v>
      </c>
      <c r="C89" s="24"/>
      <c r="D89" s="24"/>
      <c r="E89" s="109">
        <f>+'2 Össz'!E89/1000</f>
        <v>0</v>
      </c>
    </row>
    <row r="90" spans="1:5" x14ac:dyDescent="0.25">
      <c r="A90" s="54" t="s">
        <v>630</v>
      </c>
      <c r="B90" s="65" t="s">
        <v>203</v>
      </c>
      <c r="C90" s="24"/>
      <c r="D90" s="24"/>
      <c r="E90" s="109">
        <f>+'2 Össz'!E90/1000</f>
        <v>0</v>
      </c>
    </row>
    <row r="91" spans="1:5" x14ac:dyDescent="0.25">
      <c r="A91" s="54" t="s">
        <v>204</v>
      </c>
      <c r="B91" s="65" t="s">
        <v>205</v>
      </c>
      <c r="C91" s="24">
        <v>706902</v>
      </c>
      <c r="D91" s="24">
        <v>785401</v>
      </c>
      <c r="E91" s="109">
        <f>+'2 Össz'!E91/1000</f>
        <v>1435463.82</v>
      </c>
    </row>
    <row r="92" spans="1:5" s="114" customFormat="1" x14ac:dyDescent="0.25">
      <c r="A92" s="97" t="s">
        <v>206</v>
      </c>
      <c r="B92" s="98" t="s">
        <v>207</v>
      </c>
      <c r="C92" s="99">
        <f>+C91+C90+C89+C88+C87+C86</f>
        <v>1680078</v>
      </c>
      <c r="D92" s="99">
        <f>+D91+D90+D89+D88+D87+D86</f>
        <v>1794393</v>
      </c>
      <c r="E92" s="99">
        <f>+E91+E90+E89+E88+E87+E86</f>
        <v>2596745.8540000003</v>
      </c>
    </row>
    <row r="93" spans="1:5" s="27" customFormat="1" x14ac:dyDescent="0.25">
      <c r="A93" s="57" t="s">
        <v>208</v>
      </c>
      <c r="B93" s="66" t="s">
        <v>209</v>
      </c>
      <c r="C93" s="25">
        <v>12794</v>
      </c>
      <c r="D93" s="25">
        <v>641405</v>
      </c>
      <c r="E93" s="109">
        <f>+'2 Össz'!E93/1000</f>
        <v>3219910.4530000002</v>
      </c>
    </row>
    <row r="94" spans="1:5" x14ac:dyDescent="0.25">
      <c r="A94" s="54" t="s">
        <v>210</v>
      </c>
      <c r="B94" s="65" t="s">
        <v>211</v>
      </c>
      <c r="C94" s="24"/>
      <c r="D94" s="24"/>
      <c r="E94" s="109">
        <f>+'2 Össz'!E94/1000</f>
        <v>0</v>
      </c>
    </row>
    <row r="95" spans="1:5" x14ac:dyDescent="0.25">
      <c r="A95" s="54" t="s">
        <v>212</v>
      </c>
      <c r="B95" s="65" t="s">
        <v>213</v>
      </c>
      <c r="C95" s="24"/>
      <c r="D95" s="24"/>
      <c r="E95" s="109">
        <f>+'2 Össz'!E95/1000</f>
        <v>0</v>
      </c>
    </row>
    <row r="96" spans="1:5" x14ac:dyDescent="0.25">
      <c r="A96" s="54" t="s">
        <v>214</v>
      </c>
      <c r="B96" s="65" t="s">
        <v>215</v>
      </c>
      <c r="C96" s="24"/>
      <c r="D96" s="24"/>
      <c r="E96" s="109">
        <f>+'2 Össz'!E96/1000</f>
        <v>0</v>
      </c>
    </row>
    <row r="97" spans="1:5" x14ac:dyDescent="0.25">
      <c r="A97" s="54" t="s">
        <v>216</v>
      </c>
      <c r="B97" s="65" t="s">
        <v>217</v>
      </c>
      <c r="C97" s="24">
        <v>115339</v>
      </c>
      <c r="D97" s="24">
        <v>121791</v>
      </c>
      <c r="E97" s="109">
        <f>+'2 Össz'!E97/1000</f>
        <v>115500</v>
      </c>
    </row>
    <row r="98" spans="1:5" x14ac:dyDescent="0.25">
      <c r="A98" s="54" t="s">
        <v>218</v>
      </c>
      <c r="B98" s="65" t="s">
        <v>219</v>
      </c>
      <c r="C98" s="24">
        <v>375523</v>
      </c>
      <c r="D98" s="24">
        <v>326308</v>
      </c>
      <c r="E98" s="109">
        <f>+'2 Össz'!E98/1000</f>
        <v>318200</v>
      </c>
    </row>
    <row r="99" spans="1:5" x14ac:dyDescent="0.25">
      <c r="A99" s="54" t="s">
        <v>220</v>
      </c>
      <c r="B99" s="65" t="s">
        <v>221</v>
      </c>
      <c r="C99" s="24">
        <v>5449</v>
      </c>
      <c r="D99" s="24">
        <v>3325</v>
      </c>
      <c r="E99" s="109">
        <f>+'2 Össz'!E99/1000</f>
        <v>3000</v>
      </c>
    </row>
    <row r="100" spans="1:5" s="114" customFormat="1" x14ac:dyDescent="0.25">
      <c r="A100" s="97" t="s">
        <v>222</v>
      </c>
      <c r="B100" s="98" t="s">
        <v>223</v>
      </c>
      <c r="C100" s="99">
        <f>SUM(C94:C99)</f>
        <v>496311</v>
      </c>
      <c r="D100" s="99">
        <f>SUM(D94:D99)</f>
        <v>451424</v>
      </c>
      <c r="E100" s="99">
        <f>SUM(E94:E99)</f>
        <v>436700</v>
      </c>
    </row>
    <row r="101" spans="1:5" x14ac:dyDescent="0.25">
      <c r="A101" s="67" t="s">
        <v>631</v>
      </c>
      <c r="B101" s="65" t="s">
        <v>225</v>
      </c>
      <c r="C101" s="24">
        <v>1239</v>
      </c>
      <c r="D101" s="24">
        <v>1594</v>
      </c>
      <c r="E101" s="109">
        <f>+'2 Össz'!E101/1000</f>
        <v>956</v>
      </c>
    </row>
    <row r="102" spans="1:5" x14ac:dyDescent="0.25">
      <c r="A102" s="67" t="s">
        <v>226</v>
      </c>
      <c r="B102" s="65" t="s">
        <v>227</v>
      </c>
      <c r="C102" s="24">
        <v>201691</v>
      </c>
      <c r="D102" s="24">
        <v>203439</v>
      </c>
      <c r="E102" s="109">
        <f>+'2 Össz'!E102/1000</f>
        <v>197828.35</v>
      </c>
    </row>
    <row r="103" spans="1:5" x14ac:dyDescent="0.25">
      <c r="A103" s="67" t="s">
        <v>228</v>
      </c>
      <c r="B103" s="65" t="s">
        <v>229</v>
      </c>
      <c r="C103" s="24">
        <v>7869</v>
      </c>
      <c r="D103" s="24">
        <v>7014</v>
      </c>
      <c r="E103" s="109">
        <f>+'2 Össz'!E103/1000</f>
        <v>5521</v>
      </c>
    </row>
    <row r="104" spans="1:5" x14ac:dyDescent="0.25">
      <c r="A104" s="67" t="s">
        <v>230</v>
      </c>
      <c r="B104" s="65" t="s">
        <v>231</v>
      </c>
      <c r="C104" s="24">
        <v>22791</v>
      </c>
      <c r="D104" s="24">
        <v>23360</v>
      </c>
      <c r="E104" s="109">
        <f>+'2 Össz'!E104/1000</f>
        <v>7973</v>
      </c>
    </row>
    <row r="105" spans="1:5" x14ac:dyDescent="0.25">
      <c r="A105" s="67" t="s">
        <v>232</v>
      </c>
      <c r="B105" s="65" t="s">
        <v>233</v>
      </c>
      <c r="C105" s="24">
        <v>151058</v>
      </c>
      <c r="D105" s="24">
        <v>154598</v>
      </c>
      <c r="E105" s="109">
        <f>+'2 Össz'!E105/1000</f>
        <v>156873.45000000001</v>
      </c>
    </row>
    <row r="106" spans="1:5" x14ac:dyDescent="0.25">
      <c r="A106" s="67" t="s">
        <v>234</v>
      </c>
      <c r="B106" s="65" t="s">
        <v>235</v>
      </c>
      <c r="C106" s="24">
        <v>54181</v>
      </c>
      <c r="D106" s="24">
        <v>54137</v>
      </c>
      <c r="E106" s="109">
        <f>+'2 Össz'!E106/1000</f>
        <v>47563.131999999998</v>
      </c>
    </row>
    <row r="107" spans="1:5" x14ac:dyDescent="0.25">
      <c r="A107" s="67" t="s">
        <v>236</v>
      </c>
      <c r="B107" s="65" t="s">
        <v>237</v>
      </c>
      <c r="C107" s="24">
        <v>1590</v>
      </c>
      <c r="D107" s="24">
        <v>0</v>
      </c>
      <c r="E107" s="109">
        <f>+'2 Össz'!E107/1000</f>
        <v>0</v>
      </c>
    </row>
    <row r="108" spans="1:5" x14ac:dyDescent="0.25">
      <c r="A108" s="67" t="s">
        <v>238</v>
      </c>
      <c r="B108" s="65" t="s">
        <v>239</v>
      </c>
      <c r="C108" s="24">
        <v>12</v>
      </c>
      <c r="D108" s="24">
        <v>5</v>
      </c>
      <c r="E108" s="109">
        <f>+'2 Össz'!E108/1000</f>
        <v>22</v>
      </c>
    </row>
    <row r="109" spans="1:5" x14ac:dyDescent="0.25">
      <c r="A109" s="67" t="s">
        <v>240</v>
      </c>
      <c r="B109" s="65" t="s">
        <v>241</v>
      </c>
      <c r="C109" s="24">
        <v>7</v>
      </c>
      <c r="D109" s="24">
        <v>3</v>
      </c>
      <c r="E109" s="109">
        <f>+'2 Össz'!E109/1000</f>
        <v>10</v>
      </c>
    </row>
    <row r="110" spans="1:5" x14ac:dyDescent="0.25">
      <c r="A110" s="67" t="s">
        <v>242</v>
      </c>
      <c r="B110" s="65" t="s">
        <v>243</v>
      </c>
      <c r="C110" s="24">
        <v>1367</v>
      </c>
      <c r="D110" s="24">
        <v>3889</v>
      </c>
      <c r="E110" s="109">
        <f>+'2 Össz'!E110/1000</f>
        <v>0</v>
      </c>
    </row>
    <row r="111" spans="1:5" x14ac:dyDescent="0.25">
      <c r="A111" s="67" t="s">
        <v>244</v>
      </c>
      <c r="B111" s="65" t="s">
        <v>245</v>
      </c>
      <c r="C111" s="24">
        <v>2094</v>
      </c>
      <c r="D111" s="24">
        <v>3085</v>
      </c>
      <c r="E111" s="109">
        <f>+'2 Össz'!E111/1000</f>
        <v>0</v>
      </c>
    </row>
    <row r="112" spans="1:5" s="114" customFormat="1" x14ac:dyDescent="0.25">
      <c r="A112" s="152" t="s">
        <v>246</v>
      </c>
      <c r="B112" s="98" t="s">
        <v>247</v>
      </c>
      <c r="C112" s="99">
        <f>SUM(C101:C111)</f>
        <v>443899</v>
      </c>
      <c r="D112" s="99">
        <f>SUM(D101:D111)</f>
        <v>451124</v>
      </c>
      <c r="E112" s="99">
        <f>SUM(E101:E111)</f>
        <v>416746.93200000003</v>
      </c>
    </row>
    <row r="113" spans="1:5" x14ac:dyDescent="0.25">
      <c r="A113" s="67" t="s">
        <v>248</v>
      </c>
      <c r="B113" s="65" t="s">
        <v>249</v>
      </c>
      <c r="C113" s="24"/>
      <c r="D113" s="24"/>
      <c r="E113" s="109">
        <f>+'2 Össz'!E113/1000</f>
        <v>0</v>
      </c>
    </row>
    <row r="114" spans="1:5" x14ac:dyDescent="0.25">
      <c r="A114" s="67" t="s">
        <v>250</v>
      </c>
      <c r="B114" s="65" t="s">
        <v>251</v>
      </c>
      <c r="C114" s="24">
        <v>19895</v>
      </c>
      <c r="D114" s="24">
        <v>3294</v>
      </c>
      <c r="E114" s="109">
        <f>+'2 Össz'!E114/1000</f>
        <v>109000</v>
      </c>
    </row>
    <row r="115" spans="1:5" x14ac:dyDescent="0.25">
      <c r="A115" s="67" t="s">
        <v>252</v>
      </c>
      <c r="B115" s="65" t="s">
        <v>253</v>
      </c>
      <c r="C115" s="24">
        <v>2661</v>
      </c>
      <c r="D115" s="24">
        <v>401</v>
      </c>
      <c r="E115" s="109">
        <f>+'2 Össz'!E115/1000</f>
        <v>500</v>
      </c>
    </row>
    <row r="116" spans="1:5" x14ac:dyDescent="0.25">
      <c r="A116" s="67" t="s">
        <v>254</v>
      </c>
      <c r="B116" s="65" t="s">
        <v>255</v>
      </c>
      <c r="C116" s="24"/>
      <c r="D116" s="24">
        <v>204</v>
      </c>
      <c r="E116" s="109">
        <f>+'2 Össz'!E116</f>
        <v>0</v>
      </c>
    </row>
    <row r="117" spans="1:5" hidden="1" x14ac:dyDescent="0.25">
      <c r="A117" s="67" t="s">
        <v>256</v>
      </c>
      <c r="B117" s="65" t="s">
        <v>257</v>
      </c>
      <c r="C117" s="24"/>
      <c r="D117" s="24"/>
      <c r="E117" s="109">
        <f>+'2 Össz'!E117</f>
        <v>0</v>
      </c>
    </row>
    <row r="118" spans="1:5" s="114" customFormat="1" x14ac:dyDescent="0.25">
      <c r="A118" s="97" t="s">
        <v>258</v>
      </c>
      <c r="B118" s="98" t="s">
        <v>259</v>
      </c>
      <c r="C118" s="99">
        <f>SUM(C113:C117)</f>
        <v>22556</v>
      </c>
      <c r="D118" s="99">
        <f>SUM(D113:D117)</f>
        <v>3899</v>
      </c>
      <c r="E118" s="99">
        <f>SUM(E113:E117)</f>
        <v>109500</v>
      </c>
    </row>
    <row r="119" spans="1:5" s="27" customFormat="1" x14ac:dyDescent="0.25">
      <c r="A119" s="57" t="s">
        <v>260</v>
      </c>
      <c r="B119" s="66" t="s">
        <v>261</v>
      </c>
      <c r="C119" s="25">
        <v>7048</v>
      </c>
      <c r="D119" s="25">
        <v>24441</v>
      </c>
      <c r="E119" s="109">
        <f>+'2 Össz'!E119/1000</f>
        <v>7740.6</v>
      </c>
    </row>
    <row r="120" spans="1:5" hidden="1" x14ac:dyDescent="0.25">
      <c r="A120" s="67" t="s">
        <v>632</v>
      </c>
      <c r="B120" s="65" t="s">
        <v>263</v>
      </c>
      <c r="C120" s="24"/>
      <c r="D120" s="24"/>
      <c r="E120" s="109">
        <f>+'2 Össz'!E120/1000</f>
        <v>0</v>
      </c>
    </row>
    <row r="121" spans="1:5" hidden="1" x14ac:dyDescent="0.25">
      <c r="A121" s="54" t="s">
        <v>634</v>
      </c>
      <c r="B121" s="65" t="s">
        <v>265</v>
      </c>
      <c r="C121" s="24"/>
      <c r="D121" s="24"/>
      <c r="E121" s="109">
        <f>+'2 Össz'!E121/1000</f>
        <v>0</v>
      </c>
    </row>
    <row r="122" spans="1:5" ht="31.5" hidden="1" x14ac:dyDescent="0.25">
      <c r="A122" s="67" t="s">
        <v>266</v>
      </c>
      <c r="B122" s="65" t="s">
        <v>267</v>
      </c>
      <c r="C122" s="24"/>
      <c r="D122" s="24"/>
      <c r="E122" s="109">
        <f>+'2 Össz'!E122/1000</f>
        <v>0</v>
      </c>
    </row>
    <row r="123" spans="1:5" x14ac:dyDescent="0.25">
      <c r="A123" s="67" t="s">
        <v>634</v>
      </c>
      <c r="B123" s="65" t="s">
        <v>269</v>
      </c>
      <c r="C123" s="24">
        <v>12</v>
      </c>
      <c r="D123" s="24">
        <v>45</v>
      </c>
      <c r="E123" s="109">
        <f>+'2 Össz'!E123/1000</f>
        <v>0</v>
      </c>
    </row>
    <row r="124" spans="1:5" x14ac:dyDescent="0.25">
      <c r="A124" s="67" t="s">
        <v>270</v>
      </c>
      <c r="B124" s="65" t="s">
        <v>271</v>
      </c>
      <c r="C124" s="24">
        <v>6985</v>
      </c>
      <c r="D124" s="24">
        <v>4599</v>
      </c>
      <c r="E124" s="109">
        <f>+'2 Össz'!E124/1000</f>
        <v>29400</v>
      </c>
    </row>
    <row r="125" spans="1:5" s="114" customFormat="1" x14ac:dyDescent="0.25">
      <c r="A125" s="97" t="s">
        <v>272</v>
      </c>
      <c r="B125" s="98" t="s">
        <v>273</v>
      </c>
      <c r="C125" s="99">
        <f>SUM(C120:C124)</f>
        <v>6997</v>
      </c>
      <c r="D125" s="99">
        <f>SUM(D120:D124)</f>
        <v>4644</v>
      </c>
      <c r="E125" s="99">
        <f>SUM(E120:E124)</f>
        <v>29400</v>
      </c>
    </row>
    <row r="126" spans="1:5" s="114" customFormat="1" x14ac:dyDescent="0.25">
      <c r="A126" s="152" t="s">
        <v>274</v>
      </c>
      <c r="B126" s="98" t="s">
        <v>275</v>
      </c>
      <c r="C126" s="99">
        <f>+C125+C119+C118+C112+C100+C93+C92</f>
        <v>2669683</v>
      </c>
      <c r="D126" s="99">
        <f>+D125+D119+D118+D112+D100+D93+D92</f>
        <v>3371330</v>
      </c>
      <c r="E126" s="99">
        <f>+E125+E119+E118+E112+E100+E93+E92</f>
        <v>6816743.8390000006</v>
      </c>
    </row>
    <row r="127" spans="1:5" s="114" customFormat="1" x14ac:dyDescent="0.25">
      <c r="A127" s="369" t="s">
        <v>276</v>
      </c>
      <c r="B127" s="133"/>
      <c r="C127" s="134">
        <f>+C119+C112+C100+C92-C33</f>
        <v>6333</v>
      </c>
      <c r="D127" s="134">
        <f>+D119+D112+D100+D92-D33</f>
        <v>192868</v>
      </c>
      <c r="E127" s="134">
        <f>+E119+E112+E100+E92-E33</f>
        <v>-211181.86099999957</v>
      </c>
    </row>
    <row r="128" spans="1:5" s="114" customFormat="1" x14ac:dyDescent="0.25">
      <c r="A128" s="369" t="s">
        <v>277</v>
      </c>
      <c r="B128" s="133"/>
      <c r="C128" s="134">
        <f>+C125+C118+C93-C57</f>
        <v>-104199</v>
      </c>
      <c r="D128" s="134">
        <f>+D125+D118+D93-D57</f>
        <v>496175</v>
      </c>
      <c r="E128" s="134">
        <f>+E125+E118+E93-E57</f>
        <v>-626861.22399999993</v>
      </c>
    </row>
    <row r="129" spans="1:5" x14ac:dyDescent="0.25">
      <c r="A129" s="73" t="s">
        <v>278</v>
      </c>
      <c r="B129" s="54" t="s">
        <v>279</v>
      </c>
      <c r="C129" s="24"/>
      <c r="D129" s="24"/>
      <c r="E129" s="109">
        <f>+'2 Össz'!E129/1000</f>
        <v>0</v>
      </c>
    </row>
    <row r="130" spans="1:5" x14ac:dyDescent="0.25">
      <c r="A130" s="67" t="s">
        <v>776</v>
      </c>
      <c r="B130" s="54" t="s">
        <v>281</v>
      </c>
      <c r="C130" s="24"/>
      <c r="D130" s="24"/>
      <c r="E130" s="109">
        <f>+'2 Össz'!E130/1000</f>
        <v>0</v>
      </c>
    </row>
    <row r="131" spans="1:5" x14ac:dyDescent="0.25">
      <c r="A131" s="73" t="s">
        <v>282</v>
      </c>
      <c r="B131" s="54" t="s">
        <v>283</v>
      </c>
      <c r="C131" s="24"/>
      <c r="D131" s="24">
        <v>88500</v>
      </c>
      <c r="E131" s="109">
        <f>+'2 Össz'!E131/1000</f>
        <v>88500</v>
      </c>
    </row>
    <row r="132" spans="1:5" s="114" customFormat="1" x14ac:dyDescent="0.25">
      <c r="A132" s="152" t="s">
        <v>779</v>
      </c>
      <c r="B132" s="97" t="s">
        <v>285</v>
      </c>
      <c r="C132" s="99">
        <f>SUM(C129:C131)</f>
        <v>0</v>
      </c>
      <c r="D132" s="99">
        <f>SUM(D129:D131)</f>
        <v>88500</v>
      </c>
      <c r="E132" s="99">
        <f>SUM(E129:E131)</f>
        <v>88500</v>
      </c>
    </row>
    <row r="133" spans="1:5" hidden="1" x14ac:dyDescent="0.25">
      <c r="A133" s="67" t="s">
        <v>286</v>
      </c>
      <c r="B133" s="54" t="s">
        <v>287</v>
      </c>
      <c r="C133" s="24"/>
      <c r="D133" s="24"/>
      <c r="E133" s="109">
        <f>+'2 Össz'!E133</f>
        <v>0</v>
      </c>
    </row>
    <row r="134" spans="1:5" hidden="1" x14ac:dyDescent="0.25">
      <c r="A134" s="73" t="s">
        <v>781</v>
      </c>
      <c r="B134" s="54" t="s">
        <v>289</v>
      </c>
      <c r="C134" s="24"/>
      <c r="D134" s="24"/>
      <c r="E134" s="109">
        <f>+'2 Össz'!E134</f>
        <v>0</v>
      </c>
    </row>
    <row r="135" spans="1:5" hidden="1" x14ac:dyDescent="0.25">
      <c r="A135" s="67" t="s">
        <v>290</v>
      </c>
      <c r="B135" s="54" t="s">
        <v>291</v>
      </c>
      <c r="C135" s="24"/>
      <c r="D135" s="24"/>
      <c r="E135" s="109">
        <f>+'2 Össz'!E135</f>
        <v>0</v>
      </c>
    </row>
    <row r="136" spans="1:5" hidden="1" x14ac:dyDescent="0.25">
      <c r="A136" s="73" t="s">
        <v>783</v>
      </c>
      <c r="B136" s="54" t="s">
        <v>293</v>
      </c>
      <c r="C136" s="24"/>
      <c r="D136" s="24"/>
      <c r="E136" s="109">
        <f>+'2 Össz'!E136</f>
        <v>0</v>
      </c>
    </row>
    <row r="137" spans="1:5" s="114" customFormat="1" x14ac:dyDescent="0.25">
      <c r="A137" s="366" t="s">
        <v>294</v>
      </c>
      <c r="B137" s="97" t="s">
        <v>295</v>
      </c>
      <c r="C137" s="99">
        <f>SUM(C133:C136)</f>
        <v>0</v>
      </c>
      <c r="D137" s="99">
        <f>SUM(D133:D136)</f>
        <v>0</v>
      </c>
      <c r="E137" s="99">
        <f>SUM(E133:E136)</f>
        <v>0</v>
      </c>
    </row>
    <row r="138" spans="1:5" x14ac:dyDescent="0.25">
      <c r="A138" s="54" t="s">
        <v>296</v>
      </c>
      <c r="B138" s="54" t="s">
        <v>297</v>
      </c>
      <c r="C138" s="24">
        <v>282408</v>
      </c>
      <c r="D138" s="24">
        <v>206382</v>
      </c>
      <c r="E138" s="109">
        <f>+'2 Össz'!E138/1000</f>
        <v>249263.15</v>
      </c>
    </row>
    <row r="139" spans="1:5" x14ac:dyDescent="0.25">
      <c r="A139" s="54" t="s">
        <v>298</v>
      </c>
      <c r="B139" s="54" t="s">
        <v>297</v>
      </c>
      <c r="C139" s="24">
        <v>38700</v>
      </c>
      <c r="D139" s="24">
        <v>11827</v>
      </c>
      <c r="E139" s="109">
        <f>+'2 Össz'!E139/1000</f>
        <v>619779.93500000006</v>
      </c>
    </row>
    <row r="140" spans="1:5" x14ac:dyDescent="0.25">
      <c r="A140" s="54" t="s">
        <v>299</v>
      </c>
      <c r="B140" s="54" t="s">
        <v>300</v>
      </c>
      <c r="C140" s="24"/>
      <c r="D140" s="24"/>
      <c r="E140" s="109">
        <f>+'2 Össz'!E140/1000</f>
        <v>0</v>
      </c>
    </row>
    <row r="141" spans="1:5" x14ac:dyDescent="0.25">
      <c r="A141" s="54" t="s">
        <v>301</v>
      </c>
      <c r="B141" s="54" t="s">
        <v>300</v>
      </c>
      <c r="C141" s="24"/>
      <c r="D141" s="24"/>
      <c r="E141" s="109">
        <f>+'2 Össz'!E141/1000</f>
        <v>0</v>
      </c>
    </row>
    <row r="142" spans="1:5" s="114" customFormat="1" x14ac:dyDescent="0.25">
      <c r="A142" s="97" t="s">
        <v>302</v>
      </c>
      <c r="B142" s="97" t="s">
        <v>303</v>
      </c>
      <c r="C142" s="99">
        <f>SUM(C138:C141)</f>
        <v>321108</v>
      </c>
      <c r="D142" s="99">
        <f>SUM(D138:D141)</f>
        <v>218209</v>
      </c>
      <c r="E142" s="99">
        <f>SUM(E138:E141)</f>
        <v>869043.08500000008</v>
      </c>
    </row>
    <row r="143" spans="1:5" x14ac:dyDescent="0.25">
      <c r="A143" s="73" t="s">
        <v>304</v>
      </c>
      <c r="B143" s="54" t="s">
        <v>305</v>
      </c>
      <c r="C143" s="24">
        <v>26494</v>
      </c>
      <c r="D143" s="24">
        <v>35475</v>
      </c>
      <c r="E143" s="109">
        <f>+'2 Össz'!E143/1000</f>
        <v>0</v>
      </c>
    </row>
    <row r="144" spans="1:5" x14ac:dyDescent="0.25">
      <c r="A144" s="73" t="s">
        <v>306</v>
      </c>
      <c r="B144" s="54" t="s">
        <v>307</v>
      </c>
      <c r="C144" s="24"/>
      <c r="D144" s="24"/>
      <c r="E144" s="109">
        <f>+'2 Össz'!E144/1000</f>
        <v>0</v>
      </c>
    </row>
    <row r="145" spans="1:6" hidden="1" x14ac:dyDescent="0.25">
      <c r="A145" s="73" t="s">
        <v>308</v>
      </c>
      <c r="B145" s="54" t="s">
        <v>309</v>
      </c>
      <c r="C145" s="24"/>
      <c r="D145" s="24"/>
      <c r="E145" s="109">
        <f>+'2 Össz'!E145</f>
        <v>0</v>
      </c>
    </row>
    <row r="146" spans="1:6" hidden="1" x14ac:dyDescent="0.25">
      <c r="A146" s="73" t="s">
        <v>784</v>
      </c>
      <c r="B146" s="54" t="s">
        <v>311</v>
      </c>
      <c r="C146" s="24"/>
      <c r="D146" s="24"/>
      <c r="E146" s="109">
        <f>+'2 Össz'!E146</f>
        <v>0</v>
      </c>
    </row>
    <row r="147" spans="1:6" hidden="1" x14ac:dyDescent="0.25">
      <c r="A147" s="67" t="s">
        <v>312</v>
      </c>
      <c r="B147" s="54" t="s">
        <v>313</v>
      </c>
      <c r="C147" s="24"/>
      <c r="D147" s="24"/>
      <c r="E147" s="109">
        <f>+'2 Össz'!E147</f>
        <v>0</v>
      </c>
    </row>
    <row r="148" spans="1:6" hidden="1" x14ac:dyDescent="0.25">
      <c r="A148" s="67" t="s">
        <v>314</v>
      </c>
      <c r="B148" s="54" t="s">
        <v>315</v>
      </c>
      <c r="C148" s="24"/>
      <c r="D148" s="24"/>
      <c r="E148" s="109">
        <f>+'2 Össz'!E148</f>
        <v>0</v>
      </c>
    </row>
    <row r="149" spans="1:6" s="114" customFormat="1" x14ac:dyDescent="0.25">
      <c r="A149" s="152" t="s">
        <v>316</v>
      </c>
      <c r="B149" s="97" t="s">
        <v>317</v>
      </c>
      <c r="C149" s="99">
        <f>+C142+C137+C132+C143</f>
        <v>347602</v>
      </c>
      <c r="D149" s="99">
        <f>+D142+D137+D132+D143</f>
        <v>342184</v>
      </c>
      <c r="E149" s="99">
        <f>+E142+E137+E132+E143</f>
        <v>957543.08500000008</v>
      </c>
    </row>
    <row r="150" spans="1:6" hidden="1" x14ac:dyDescent="0.25">
      <c r="A150" s="73" t="s">
        <v>318</v>
      </c>
      <c r="B150" s="54" t="s">
        <v>319</v>
      </c>
      <c r="C150" s="24"/>
      <c r="D150" s="24"/>
      <c r="E150" s="109">
        <f>+'2 Össz'!E150</f>
        <v>0</v>
      </c>
    </row>
    <row r="151" spans="1:6" hidden="1" x14ac:dyDescent="0.25">
      <c r="A151" s="67" t="s">
        <v>320</v>
      </c>
      <c r="B151" s="54" t="s">
        <v>321</v>
      </c>
      <c r="C151" s="24"/>
      <c r="D151" s="24"/>
      <c r="E151" s="109">
        <f>+'2 Össz'!E151</f>
        <v>0</v>
      </c>
    </row>
    <row r="152" spans="1:6" hidden="1" x14ac:dyDescent="0.25">
      <c r="A152" s="67" t="s">
        <v>322</v>
      </c>
      <c r="B152" s="54" t="s">
        <v>323</v>
      </c>
      <c r="C152" s="24"/>
      <c r="D152" s="24"/>
      <c r="E152" s="109">
        <f>+'2 Össz'!E152</f>
        <v>0</v>
      </c>
    </row>
    <row r="153" spans="1:6" s="114" customFormat="1" x14ac:dyDescent="0.25">
      <c r="A153" s="366" t="s">
        <v>324</v>
      </c>
      <c r="B153" s="97" t="s">
        <v>325</v>
      </c>
      <c r="C153" s="99">
        <f>+C152+C150+C149</f>
        <v>347602</v>
      </c>
      <c r="D153" s="99">
        <f>+D152+D150+D149</f>
        <v>342184</v>
      </c>
      <c r="E153" s="99">
        <f>+E152+E150+E149</f>
        <v>957543.08500000008</v>
      </c>
    </row>
    <row r="154" spans="1:6" s="114" customFormat="1" x14ac:dyDescent="0.25">
      <c r="A154" s="124" t="s">
        <v>326</v>
      </c>
      <c r="B154" s="124" t="s">
        <v>327</v>
      </c>
      <c r="C154" s="99">
        <f>+C126+C153</f>
        <v>3017285</v>
      </c>
      <c r="D154" s="99">
        <f>+D126+D153</f>
        <v>3713514</v>
      </c>
      <c r="E154" s="99">
        <f>+E126+E153</f>
        <v>7774286.9240000006</v>
      </c>
    </row>
    <row r="155" spans="1:6" x14ac:dyDescent="0.25">
      <c r="C155" s="14">
        <f>+C154-C76</f>
        <v>223740</v>
      </c>
      <c r="D155" s="14">
        <f>+D154-D76</f>
        <v>1004733</v>
      </c>
      <c r="E155" s="14">
        <f>+E154-E76</f>
        <v>0</v>
      </c>
      <c r="F155" s="14"/>
    </row>
    <row r="156" spans="1:6" x14ac:dyDescent="0.25">
      <c r="A156" s="88"/>
      <c r="C156" s="14"/>
      <c r="D156" s="14"/>
      <c r="E156" s="14"/>
    </row>
    <row r="157" spans="1:6" x14ac:dyDescent="0.25">
      <c r="C157" s="14"/>
    </row>
    <row r="158" spans="1:6" x14ac:dyDescent="0.25">
      <c r="E158" s="88" t="s">
        <v>924</v>
      </c>
    </row>
  </sheetData>
  <sheetProtection selectLockedCells="1" selectUnlockedCells="1"/>
  <mergeCells count="1">
    <mergeCell ref="A4:E4"/>
  </mergeCells>
  <printOptions horizontalCentered="1"/>
  <pageMargins left="0.70833333333333337" right="0.55000000000000004" top="0.51180555555555551" bottom="0.59097222222222223" header="0.51180555555555551" footer="0.31527777777777777"/>
  <pageSetup paperSize="9" scale="70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R156"/>
  <sheetViews>
    <sheetView view="pageBreakPreview" zoomScale="80" zoomScaleSheetLayoutView="80" workbookViewId="0">
      <selection activeCell="O2" sqref="O2"/>
    </sheetView>
  </sheetViews>
  <sheetFormatPr defaultRowHeight="15" x14ac:dyDescent="0.25"/>
  <cols>
    <col min="1" max="1" width="76.28515625" customWidth="1"/>
    <col min="2" max="2" width="10.28515625" customWidth="1"/>
    <col min="3" max="3" width="11" bestFit="1" customWidth="1"/>
    <col min="4" max="4" width="12.85546875" style="370" customWidth="1"/>
    <col min="5" max="15" width="12.85546875" customWidth="1"/>
    <col min="16" max="16" width="15.5703125" style="370" customWidth="1"/>
    <col min="17" max="17" width="10.5703125" customWidth="1"/>
  </cols>
  <sheetData>
    <row r="1" spans="1:18" ht="15.75" x14ac:dyDescent="0.25">
      <c r="O1" s="15" t="s">
        <v>844</v>
      </c>
    </row>
    <row r="2" spans="1:18" ht="15.75" x14ac:dyDescent="0.25">
      <c r="O2" s="16" t="s">
        <v>937</v>
      </c>
    </row>
    <row r="3" spans="1:18" ht="18.75" x14ac:dyDescent="0.3">
      <c r="A3" s="35" t="s">
        <v>879</v>
      </c>
      <c r="B3" s="371"/>
      <c r="C3" s="371"/>
      <c r="D3" s="372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2"/>
    </row>
    <row r="4" spans="1:18" ht="15.75" x14ac:dyDescent="0.25">
      <c r="A4" s="373" t="s">
        <v>845</v>
      </c>
      <c r="B4" s="374"/>
      <c r="C4" s="374"/>
      <c r="D4" s="375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5"/>
    </row>
    <row r="6" spans="1:18" x14ac:dyDescent="0.25">
      <c r="A6" s="376"/>
    </row>
    <row r="7" spans="1:18" s="380" customFormat="1" ht="31.5" x14ac:dyDescent="0.25">
      <c r="A7" s="19" t="s">
        <v>14</v>
      </c>
      <c r="B7" s="48" t="s">
        <v>41</v>
      </c>
      <c r="C7" s="48" t="s">
        <v>566</v>
      </c>
      <c r="D7" s="377" t="s">
        <v>846</v>
      </c>
      <c r="E7" s="378" t="s">
        <v>847</v>
      </c>
      <c r="F7" s="378" t="s">
        <v>848</v>
      </c>
      <c r="G7" s="378" t="s">
        <v>849</v>
      </c>
      <c r="H7" s="378" t="s">
        <v>850</v>
      </c>
      <c r="I7" s="378" t="s">
        <v>851</v>
      </c>
      <c r="J7" s="378" t="s">
        <v>852</v>
      </c>
      <c r="K7" s="378" t="s">
        <v>853</v>
      </c>
      <c r="L7" s="378" t="s">
        <v>854</v>
      </c>
      <c r="M7" s="378" t="s">
        <v>855</v>
      </c>
      <c r="N7" s="378" t="s">
        <v>856</v>
      </c>
      <c r="O7" s="378" t="s">
        <v>857</v>
      </c>
      <c r="P7" s="377"/>
      <c r="Q7" s="379"/>
      <c r="R7" s="379"/>
    </row>
    <row r="8" spans="1:18" ht="15.75" x14ac:dyDescent="0.25">
      <c r="A8" s="52" t="s">
        <v>42</v>
      </c>
      <c r="B8" s="53" t="s">
        <v>43</v>
      </c>
      <c r="C8" s="381">
        <f>+'2 Össz'!E7/1000</f>
        <v>1624024.3459999999</v>
      </c>
      <c r="D8" s="24">
        <f t="shared" ref="D8:N8" si="0">+ROUND($C$8/12,0)</f>
        <v>135335</v>
      </c>
      <c r="E8" s="24">
        <f t="shared" si="0"/>
        <v>135335</v>
      </c>
      <c r="F8" s="24">
        <f t="shared" si="0"/>
        <v>135335</v>
      </c>
      <c r="G8" s="24">
        <f t="shared" si="0"/>
        <v>135335</v>
      </c>
      <c r="H8" s="24">
        <f t="shared" si="0"/>
        <v>135335</v>
      </c>
      <c r="I8" s="24">
        <f t="shared" si="0"/>
        <v>135335</v>
      </c>
      <c r="J8" s="24">
        <f t="shared" si="0"/>
        <v>135335</v>
      </c>
      <c r="K8" s="24">
        <f t="shared" si="0"/>
        <v>135335</v>
      </c>
      <c r="L8" s="24">
        <f t="shared" si="0"/>
        <v>135335</v>
      </c>
      <c r="M8" s="24">
        <f t="shared" si="0"/>
        <v>135335</v>
      </c>
      <c r="N8" s="24">
        <f t="shared" si="0"/>
        <v>135335</v>
      </c>
      <c r="O8" s="24">
        <f>+ROUND($C$8/12,0)+4</f>
        <v>135339</v>
      </c>
      <c r="P8" s="382">
        <f t="shared" ref="P8:P39" si="1">+C8-SUM(D8:O8)</f>
        <v>0.34599999990314245</v>
      </c>
      <c r="Q8" s="383"/>
      <c r="R8" s="376"/>
    </row>
    <row r="9" spans="1:18" ht="15.75" x14ac:dyDescent="0.25">
      <c r="A9" s="54" t="s">
        <v>44</v>
      </c>
      <c r="B9" s="53" t="s">
        <v>45</v>
      </c>
      <c r="C9" s="381">
        <f>+'2 Össz'!E8/1000</f>
        <v>128815.788</v>
      </c>
      <c r="D9" s="24">
        <f t="shared" ref="D9:N9" si="2">+ROUND($C$9/12,0)</f>
        <v>10735</v>
      </c>
      <c r="E9" s="24">
        <f t="shared" si="2"/>
        <v>10735</v>
      </c>
      <c r="F9" s="24">
        <f t="shared" si="2"/>
        <v>10735</v>
      </c>
      <c r="G9" s="24">
        <f t="shared" si="2"/>
        <v>10735</v>
      </c>
      <c r="H9" s="24">
        <f t="shared" si="2"/>
        <v>10735</v>
      </c>
      <c r="I9" s="24">
        <f t="shared" si="2"/>
        <v>10735</v>
      </c>
      <c r="J9" s="24">
        <f t="shared" si="2"/>
        <v>10735</v>
      </c>
      <c r="K9" s="24">
        <f t="shared" si="2"/>
        <v>10735</v>
      </c>
      <c r="L9" s="24">
        <f t="shared" si="2"/>
        <v>10735</v>
      </c>
      <c r="M9" s="24">
        <f t="shared" si="2"/>
        <v>10735</v>
      </c>
      <c r="N9" s="24">
        <f t="shared" si="2"/>
        <v>10735</v>
      </c>
      <c r="O9" s="24">
        <f>+ROUND($C$9/12,0)-4</f>
        <v>10731</v>
      </c>
      <c r="P9" s="382">
        <f t="shared" si="1"/>
        <v>-0.21199999999953434</v>
      </c>
      <c r="Q9" s="383"/>
      <c r="R9" s="376"/>
    </row>
    <row r="10" spans="1:18" s="387" customFormat="1" ht="15.75" x14ac:dyDescent="0.25">
      <c r="A10" s="111" t="s">
        <v>46</v>
      </c>
      <c r="B10" s="363" t="s">
        <v>47</v>
      </c>
      <c r="C10" s="99">
        <f t="shared" ref="C10:O10" si="3">SUM(C8:C9)</f>
        <v>1752840.1339999998</v>
      </c>
      <c r="D10" s="99">
        <f t="shared" si="3"/>
        <v>146070</v>
      </c>
      <c r="E10" s="99">
        <f t="shared" si="3"/>
        <v>146070</v>
      </c>
      <c r="F10" s="99">
        <f t="shared" si="3"/>
        <v>146070</v>
      </c>
      <c r="G10" s="99">
        <f t="shared" si="3"/>
        <v>146070</v>
      </c>
      <c r="H10" s="99">
        <f t="shared" si="3"/>
        <v>146070</v>
      </c>
      <c r="I10" s="99">
        <f t="shared" si="3"/>
        <v>146070</v>
      </c>
      <c r="J10" s="99">
        <f t="shared" si="3"/>
        <v>146070</v>
      </c>
      <c r="K10" s="99">
        <f t="shared" si="3"/>
        <v>146070</v>
      </c>
      <c r="L10" s="99">
        <f t="shared" si="3"/>
        <v>146070</v>
      </c>
      <c r="M10" s="99">
        <f t="shared" si="3"/>
        <v>146070</v>
      </c>
      <c r="N10" s="99">
        <f t="shared" si="3"/>
        <v>146070</v>
      </c>
      <c r="O10" s="99">
        <f t="shared" si="3"/>
        <v>146070</v>
      </c>
      <c r="P10" s="382">
        <f t="shared" si="1"/>
        <v>0.13399999984540045</v>
      </c>
      <c r="Q10" s="385"/>
      <c r="R10" s="386"/>
    </row>
    <row r="11" spans="1:18" s="390" customFormat="1" ht="15.75" x14ac:dyDescent="0.25">
      <c r="A11" s="57" t="s">
        <v>858</v>
      </c>
      <c r="B11" s="56" t="s">
        <v>49</v>
      </c>
      <c r="C11" s="381">
        <f>+'2 Össz'!E10/1000</f>
        <v>331565.29700000002</v>
      </c>
      <c r="D11" s="146">
        <f t="shared" ref="D11:N11" si="4">+ROUND($C$11/12,0)</f>
        <v>27630</v>
      </c>
      <c r="E11" s="146">
        <f t="shared" si="4"/>
        <v>27630</v>
      </c>
      <c r="F11" s="146">
        <f t="shared" si="4"/>
        <v>27630</v>
      </c>
      <c r="G11" s="146">
        <f t="shared" si="4"/>
        <v>27630</v>
      </c>
      <c r="H11" s="146">
        <f t="shared" si="4"/>
        <v>27630</v>
      </c>
      <c r="I11" s="146">
        <f t="shared" si="4"/>
        <v>27630</v>
      </c>
      <c r="J11" s="146">
        <f t="shared" si="4"/>
        <v>27630</v>
      </c>
      <c r="K11" s="146">
        <f t="shared" si="4"/>
        <v>27630</v>
      </c>
      <c r="L11" s="146">
        <f t="shared" si="4"/>
        <v>27630</v>
      </c>
      <c r="M11" s="146">
        <f t="shared" si="4"/>
        <v>27630</v>
      </c>
      <c r="N11" s="146">
        <f t="shared" si="4"/>
        <v>27630</v>
      </c>
      <c r="O11" s="146">
        <f>+ROUND($C$11/12,0)+5</f>
        <v>27635</v>
      </c>
      <c r="P11" s="382">
        <f t="shared" si="1"/>
        <v>0.2970000000204891</v>
      </c>
      <c r="Q11" s="388"/>
      <c r="R11" s="389"/>
    </row>
    <row r="12" spans="1:18" ht="15.75" x14ac:dyDescent="0.25">
      <c r="A12" s="54" t="s">
        <v>50</v>
      </c>
      <c r="B12" s="53" t="s">
        <v>51</v>
      </c>
      <c r="C12" s="381">
        <f>+'2 Össz'!E11/1000</f>
        <v>275310.38199999998</v>
      </c>
      <c r="D12" s="24">
        <f t="shared" ref="D12:N12" si="5">+ROUND($C$12/12,0)</f>
        <v>22943</v>
      </c>
      <c r="E12" s="24">
        <f t="shared" si="5"/>
        <v>22943</v>
      </c>
      <c r="F12" s="24">
        <f t="shared" si="5"/>
        <v>22943</v>
      </c>
      <c r="G12" s="24">
        <f t="shared" si="5"/>
        <v>22943</v>
      </c>
      <c r="H12" s="24">
        <f t="shared" si="5"/>
        <v>22943</v>
      </c>
      <c r="I12" s="24">
        <f t="shared" si="5"/>
        <v>22943</v>
      </c>
      <c r="J12" s="24">
        <f t="shared" si="5"/>
        <v>22943</v>
      </c>
      <c r="K12" s="24">
        <f t="shared" si="5"/>
        <v>22943</v>
      </c>
      <c r="L12" s="24">
        <f t="shared" si="5"/>
        <v>22943</v>
      </c>
      <c r="M12" s="24">
        <f t="shared" si="5"/>
        <v>22943</v>
      </c>
      <c r="N12" s="24">
        <f t="shared" si="5"/>
        <v>22943</v>
      </c>
      <c r="O12" s="24">
        <f>+ROUND($C$12/12,0)-6</f>
        <v>22937</v>
      </c>
      <c r="P12" s="382">
        <f t="shared" si="1"/>
        <v>0.38199999998323619</v>
      </c>
      <c r="Q12" s="383"/>
      <c r="R12" s="376"/>
    </row>
    <row r="13" spans="1:18" ht="15.75" x14ac:dyDescent="0.25">
      <c r="A13" s="54" t="s">
        <v>52</v>
      </c>
      <c r="B13" s="53" t="s">
        <v>53</v>
      </c>
      <c r="C13" s="381">
        <f>+'2 Össz'!E12/1000</f>
        <v>15917.96</v>
      </c>
      <c r="D13" s="24">
        <f t="shared" ref="D13:N13" si="6">+ROUND($C$13/12,0)</f>
        <v>1326</v>
      </c>
      <c r="E13" s="24">
        <f t="shared" si="6"/>
        <v>1326</v>
      </c>
      <c r="F13" s="24">
        <f t="shared" si="6"/>
        <v>1326</v>
      </c>
      <c r="G13" s="24">
        <f t="shared" si="6"/>
        <v>1326</v>
      </c>
      <c r="H13" s="24">
        <f t="shared" si="6"/>
        <v>1326</v>
      </c>
      <c r="I13" s="24">
        <f t="shared" si="6"/>
        <v>1326</v>
      </c>
      <c r="J13" s="24">
        <f t="shared" si="6"/>
        <v>1326</v>
      </c>
      <c r="K13" s="24">
        <f t="shared" si="6"/>
        <v>1326</v>
      </c>
      <c r="L13" s="24">
        <f t="shared" si="6"/>
        <v>1326</v>
      </c>
      <c r="M13" s="24">
        <f t="shared" si="6"/>
        <v>1326</v>
      </c>
      <c r="N13" s="24">
        <f t="shared" si="6"/>
        <v>1326</v>
      </c>
      <c r="O13" s="24">
        <f>+ROUND($C$13/12,0)+6</f>
        <v>1332</v>
      </c>
      <c r="P13" s="382">
        <f t="shared" si="1"/>
        <v>-4.0000000000873115E-2</v>
      </c>
      <c r="Q13" s="383"/>
      <c r="R13" s="376"/>
    </row>
    <row r="14" spans="1:18" ht="15.75" x14ac:dyDescent="0.25">
      <c r="A14" s="54" t="s">
        <v>54</v>
      </c>
      <c r="B14" s="53" t="s">
        <v>55</v>
      </c>
      <c r="C14" s="381">
        <f>+'2 Össz'!E13/1000</f>
        <v>748601.15599999996</v>
      </c>
      <c r="D14" s="24">
        <f t="shared" ref="D14:N14" si="7">+ROUND($C$14/12,0)</f>
        <v>62383</v>
      </c>
      <c r="E14" s="24">
        <f t="shared" si="7"/>
        <v>62383</v>
      </c>
      <c r="F14" s="24">
        <f t="shared" si="7"/>
        <v>62383</v>
      </c>
      <c r="G14" s="24">
        <f t="shared" si="7"/>
        <v>62383</v>
      </c>
      <c r="H14" s="24">
        <f t="shared" si="7"/>
        <v>62383</v>
      </c>
      <c r="I14" s="24">
        <f t="shared" si="7"/>
        <v>62383</v>
      </c>
      <c r="J14" s="24">
        <f t="shared" si="7"/>
        <v>62383</v>
      </c>
      <c r="K14" s="24">
        <f t="shared" si="7"/>
        <v>62383</v>
      </c>
      <c r="L14" s="24">
        <f t="shared" si="7"/>
        <v>62383</v>
      </c>
      <c r="M14" s="24">
        <f t="shared" si="7"/>
        <v>62383</v>
      </c>
      <c r="N14" s="24">
        <f t="shared" si="7"/>
        <v>62383</v>
      </c>
      <c r="O14" s="24">
        <f>+ROUND($C$14/12,0)+5</f>
        <v>62388</v>
      </c>
      <c r="P14" s="382">
        <f t="shared" si="1"/>
        <v>0.15599999995902181</v>
      </c>
      <c r="Q14" s="383"/>
      <c r="R14" s="376"/>
    </row>
    <row r="15" spans="1:18" ht="15.75" x14ac:dyDescent="0.25">
      <c r="A15" s="54" t="s">
        <v>56</v>
      </c>
      <c r="B15" s="53" t="s">
        <v>57</v>
      </c>
      <c r="C15" s="381">
        <f>+'2 Össz'!E14/1000</f>
        <v>52581.012000000002</v>
      </c>
      <c r="D15" s="24">
        <f t="shared" ref="D15:N15" si="8">+ROUND($C$15/12,0)</f>
        <v>4382</v>
      </c>
      <c r="E15" s="24">
        <f t="shared" si="8"/>
        <v>4382</v>
      </c>
      <c r="F15" s="24">
        <f t="shared" si="8"/>
        <v>4382</v>
      </c>
      <c r="G15" s="24">
        <f t="shared" si="8"/>
        <v>4382</v>
      </c>
      <c r="H15" s="24">
        <f t="shared" si="8"/>
        <v>4382</v>
      </c>
      <c r="I15" s="24">
        <f t="shared" si="8"/>
        <v>4382</v>
      </c>
      <c r="J15" s="24">
        <f t="shared" si="8"/>
        <v>4382</v>
      </c>
      <c r="K15" s="24">
        <f t="shared" si="8"/>
        <v>4382</v>
      </c>
      <c r="L15" s="24">
        <f t="shared" si="8"/>
        <v>4382</v>
      </c>
      <c r="M15" s="24">
        <f t="shared" si="8"/>
        <v>4382</v>
      </c>
      <c r="N15" s="24">
        <f t="shared" si="8"/>
        <v>4382</v>
      </c>
      <c r="O15" s="24">
        <f>+ROUND($C$15/12,0)-3</f>
        <v>4379</v>
      </c>
      <c r="P15" s="382">
        <f t="shared" si="1"/>
        <v>1.2000000002444722E-2</v>
      </c>
      <c r="Q15" s="383"/>
      <c r="R15" s="376"/>
    </row>
    <row r="16" spans="1:18" ht="15.75" x14ac:dyDescent="0.25">
      <c r="A16" s="54" t="s">
        <v>58</v>
      </c>
      <c r="B16" s="53" t="s">
        <v>59</v>
      </c>
      <c r="C16" s="381">
        <f>+'2 Össz'!E15/1000</f>
        <v>306178.70600000001</v>
      </c>
      <c r="D16" s="24">
        <f t="shared" ref="D16:N16" si="9">+ROUND($C$16/12,0)</f>
        <v>25515</v>
      </c>
      <c r="E16" s="24">
        <f t="shared" si="9"/>
        <v>25515</v>
      </c>
      <c r="F16" s="24">
        <f t="shared" si="9"/>
        <v>25515</v>
      </c>
      <c r="G16" s="24">
        <f t="shared" si="9"/>
        <v>25515</v>
      </c>
      <c r="H16" s="24">
        <f t="shared" si="9"/>
        <v>25515</v>
      </c>
      <c r="I16" s="24">
        <f t="shared" si="9"/>
        <v>25515</v>
      </c>
      <c r="J16" s="24">
        <f t="shared" si="9"/>
        <v>25515</v>
      </c>
      <c r="K16" s="24">
        <f t="shared" si="9"/>
        <v>25515</v>
      </c>
      <c r="L16" s="24">
        <f t="shared" si="9"/>
        <v>25515</v>
      </c>
      <c r="M16" s="24">
        <f t="shared" si="9"/>
        <v>25515</v>
      </c>
      <c r="N16" s="24">
        <f t="shared" si="9"/>
        <v>25515</v>
      </c>
      <c r="O16" s="24">
        <f>+ROUND($C$16/12,0)-1</f>
        <v>25514</v>
      </c>
      <c r="P16" s="382">
        <f t="shared" si="1"/>
        <v>-0.29399999999441206</v>
      </c>
      <c r="Q16" s="383"/>
      <c r="R16" s="376"/>
    </row>
    <row r="17" spans="1:18" s="387" customFormat="1" ht="15.75" x14ac:dyDescent="0.25">
      <c r="A17" s="97" t="s">
        <v>60</v>
      </c>
      <c r="B17" s="363" t="s">
        <v>61</v>
      </c>
      <c r="C17" s="99">
        <f t="shared" ref="C17:O17" si="10">SUM(C12:C16)</f>
        <v>1398589.216</v>
      </c>
      <c r="D17" s="99">
        <f t="shared" si="10"/>
        <v>116549</v>
      </c>
      <c r="E17" s="99">
        <f t="shared" si="10"/>
        <v>116549</v>
      </c>
      <c r="F17" s="99">
        <f t="shared" si="10"/>
        <v>116549</v>
      </c>
      <c r="G17" s="99">
        <f t="shared" si="10"/>
        <v>116549</v>
      </c>
      <c r="H17" s="99">
        <f t="shared" si="10"/>
        <v>116549</v>
      </c>
      <c r="I17" s="99">
        <f t="shared" si="10"/>
        <v>116549</v>
      </c>
      <c r="J17" s="99">
        <f t="shared" si="10"/>
        <v>116549</v>
      </c>
      <c r="K17" s="99">
        <f t="shared" si="10"/>
        <v>116549</v>
      </c>
      <c r="L17" s="99">
        <f t="shared" si="10"/>
        <v>116549</v>
      </c>
      <c r="M17" s="99">
        <f t="shared" si="10"/>
        <v>116549</v>
      </c>
      <c r="N17" s="99">
        <f t="shared" si="10"/>
        <v>116549</v>
      </c>
      <c r="O17" s="99">
        <f t="shared" si="10"/>
        <v>116550</v>
      </c>
      <c r="P17" s="382">
        <f t="shared" si="1"/>
        <v>0.21600000001490116</v>
      </c>
      <c r="Q17" s="385"/>
      <c r="R17" s="386"/>
    </row>
    <row r="18" spans="1:18" s="390" customFormat="1" ht="15.75" x14ac:dyDescent="0.25">
      <c r="A18" s="58" t="s">
        <v>62</v>
      </c>
      <c r="B18" s="56" t="s">
        <v>63</v>
      </c>
      <c r="C18" s="381">
        <f>+'2 Össz'!E17/1000</f>
        <v>59800</v>
      </c>
      <c r="D18" s="146">
        <f t="shared" ref="D18:N18" si="11">+ROUND($C$18/12,0)</f>
        <v>4983</v>
      </c>
      <c r="E18" s="146">
        <f t="shared" si="11"/>
        <v>4983</v>
      </c>
      <c r="F18" s="146">
        <f t="shared" si="11"/>
        <v>4983</v>
      </c>
      <c r="G18" s="146">
        <f t="shared" si="11"/>
        <v>4983</v>
      </c>
      <c r="H18" s="146">
        <f t="shared" si="11"/>
        <v>4983</v>
      </c>
      <c r="I18" s="146">
        <f t="shared" si="11"/>
        <v>4983</v>
      </c>
      <c r="J18" s="146">
        <f t="shared" si="11"/>
        <v>4983</v>
      </c>
      <c r="K18" s="146">
        <f t="shared" si="11"/>
        <v>4983</v>
      </c>
      <c r="L18" s="146">
        <f t="shared" si="11"/>
        <v>4983</v>
      </c>
      <c r="M18" s="146">
        <f t="shared" si="11"/>
        <v>4983</v>
      </c>
      <c r="N18" s="146">
        <f t="shared" si="11"/>
        <v>4983</v>
      </c>
      <c r="O18" s="146">
        <f>+ROUND($C$18/12,0)+4</f>
        <v>4987</v>
      </c>
      <c r="P18" s="382">
        <f t="shared" si="1"/>
        <v>0</v>
      </c>
      <c r="Q18" s="388"/>
      <c r="R18" s="389"/>
    </row>
    <row r="19" spans="1:18" ht="15.75" x14ac:dyDescent="0.25">
      <c r="A19" s="59" t="s">
        <v>64</v>
      </c>
      <c r="B19" s="53" t="s">
        <v>65</v>
      </c>
      <c r="C19" s="381">
        <f>+'2 Össz'!E18/1000</f>
        <v>0</v>
      </c>
      <c r="D19" s="24">
        <f t="shared" ref="D19:O19" si="12">+ROUND($C$19/12,0)</f>
        <v>0</v>
      </c>
      <c r="E19" s="24">
        <f t="shared" si="12"/>
        <v>0</v>
      </c>
      <c r="F19" s="24">
        <f t="shared" si="12"/>
        <v>0</v>
      </c>
      <c r="G19" s="24">
        <f t="shared" si="12"/>
        <v>0</v>
      </c>
      <c r="H19" s="24">
        <f t="shared" si="12"/>
        <v>0</v>
      </c>
      <c r="I19" s="24">
        <f t="shared" si="12"/>
        <v>0</v>
      </c>
      <c r="J19" s="24">
        <f t="shared" si="12"/>
        <v>0</v>
      </c>
      <c r="K19" s="24">
        <f t="shared" si="12"/>
        <v>0</v>
      </c>
      <c r="L19" s="24">
        <f t="shared" si="12"/>
        <v>0</v>
      </c>
      <c r="M19" s="24">
        <f t="shared" si="12"/>
        <v>0</v>
      </c>
      <c r="N19" s="24">
        <f t="shared" si="12"/>
        <v>0</v>
      </c>
      <c r="O19" s="24">
        <f t="shared" si="12"/>
        <v>0</v>
      </c>
      <c r="P19" s="382">
        <f t="shared" si="1"/>
        <v>0</v>
      </c>
      <c r="Q19" s="383"/>
      <c r="R19" s="376"/>
    </row>
    <row r="20" spans="1:18" ht="15.75" x14ac:dyDescent="0.25">
      <c r="A20" s="59" t="s">
        <v>66</v>
      </c>
      <c r="B20" s="53" t="s">
        <v>67</v>
      </c>
      <c r="C20" s="381">
        <f>+'2 Össz'!E19/1000</f>
        <v>2200</v>
      </c>
      <c r="D20" s="24">
        <v>0</v>
      </c>
      <c r="E20" s="24">
        <v>0</v>
      </c>
      <c r="F20" s="24">
        <v>0</v>
      </c>
      <c r="G20" s="24">
        <v>2200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382">
        <f t="shared" si="1"/>
        <v>0</v>
      </c>
      <c r="Q20" s="383"/>
      <c r="R20" s="376"/>
    </row>
    <row r="21" spans="1:18" ht="15.75" x14ac:dyDescent="0.25">
      <c r="A21" s="59" t="s">
        <v>68</v>
      </c>
      <c r="B21" s="53" t="s">
        <v>69</v>
      </c>
      <c r="C21" s="381">
        <f>+'2 Össz'!E20/1000</f>
        <v>0</v>
      </c>
      <c r="D21" s="24">
        <f t="shared" ref="D21:O21" si="13">+ROUND($C$21/12,0)</f>
        <v>0</v>
      </c>
      <c r="E21" s="24">
        <f t="shared" si="13"/>
        <v>0</v>
      </c>
      <c r="F21" s="24">
        <f t="shared" si="13"/>
        <v>0</v>
      </c>
      <c r="G21" s="24">
        <f t="shared" si="13"/>
        <v>0</v>
      </c>
      <c r="H21" s="24">
        <f t="shared" si="13"/>
        <v>0</v>
      </c>
      <c r="I21" s="24">
        <f t="shared" si="13"/>
        <v>0</v>
      </c>
      <c r="J21" s="24">
        <f t="shared" si="13"/>
        <v>0</v>
      </c>
      <c r="K21" s="24">
        <f t="shared" si="13"/>
        <v>0</v>
      </c>
      <c r="L21" s="24">
        <f t="shared" si="13"/>
        <v>0</v>
      </c>
      <c r="M21" s="24">
        <f t="shared" si="13"/>
        <v>0</v>
      </c>
      <c r="N21" s="24">
        <f t="shared" si="13"/>
        <v>0</v>
      </c>
      <c r="O21" s="24">
        <f t="shared" si="13"/>
        <v>0</v>
      </c>
      <c r="P21" s="382">
        <f t="shared" si="1"/>
        <v>0</v>
      </c>
      <c r="Q21" s="383"/>
      <c r="R21" s="376"/>
    </row>
    <row r="22" spans="1:18" ht="15.75" x14ac:dyDescent="0.25">
      <c r="A22" s="59" t="s">
        <v>70</v>
      </c>
      <c r="B22" s="53" t="s">
        <v>71</v>
      </c>
      <c r="C22" s="381">
        <f>+'2 Össz'!E21/1000</f>
        <v>0</v>
      </c>
      <c r="D22" s="24">
        <f t="shared" ref="D22:O22" si="14">+ROUND($C$22/12,0)</f>
        <v>0</v>
      </c>
      <c r="E22" s="24">
        <f t="shared" si="14"/>
        <v>0</v>
      </c>
      <c r="F22" s="24">
        <f t="shared" si="14"/>
        <v>0</v>
      </c>
      <c r="G22" s="24">
        <f t="shared" si="14"/>
        <v>0</v>
      </c>
      <c r="H22" s="24">
        <f t="shared" si="14"/>
        <v>0</v>
      </c>
      <c r="I22" s="24">
        <f t="shared" si="14"/>
        <v>0</v>
      </c>
      <c r="J22" s="24">
        <f t="shared" si="14"/>
        <v>0</v>
      </c>
      <c r="K22" s="24">
        <f t="shared" si="14"/>
        <v>0</v>
      </c>
      <c r="L22" s="24">
        <f t="shared" si="14"/>
        <v>0</v>
      </c>
      <c r="M22" s="24">
        <f t="shared" si="14"/>
        <v>0</v>
      </c>
      <c r="N22" s="24">
        <f t="shared" si="14"/>
        <v>0</v>
      </c>
      <c r="O22" s="24">
        <f t="shared" si="14"/>
        <v>0</v>
      </c>
      <c r="P22" s="382">
        <f t="shared" si="1"/>
        <v>0</v>
      </c>
      <c r="Q22" s="383"/>
      <c r="R22" s="376"/>
    </row>
    <row r="23" spans="1:18" ht="15.75" x14ac:dyDescent="0.25">
      <c r="A23" s="59" t="s">
        <v>643</v>
      </c>
      <c r="B23" s="53" t="s">
        <v>73</v>
      </c>
      <c r="C23" s="381">
        <f>+'2 Össz'!E22/1000</f>
        <v>0</v>
      </c>
      <c r="D23" s="24">
        <f t="shared" ref="D23:O23" si="15">+ROUND($C$23/12,0)</f>
        <v>0</v>
      </c>
      <c r="E23" s="24">
        <f t="shared" si="15"/>
        <v>0</v>
      </c>
      <c r="F23" s="24">
        <f t="shared" si="15"/>
        <v>0</v>
      </c>
      <c r="G23" s="24">
        <f t="shared" si="15"/>
        <v>0</v>
      </c>
      <c r="H23" s="24">
        <f t="shared" si="15"/>
        <v>0</v>
      </c>
      <c r="I23" s="24">
        <f t="shared" si="15"/>
        <v>0</v>
      </c>
      <c r="J23" s="24">
        <f t="shared" si="15"/>
        <v>0</v>
      </c>
      <c r="K23" s="24">
        <f t="shared" si="15"/>
        <v>0</v>
      </c>
      <c r="L23" s="24">
        <f t="shared" si="15"/>
        <v>0</v>
      </c>
      <c r="M23" s="24">
        <f t="shared" si="15"/>
        <v>0</v>
      </c>
      <c r="N23" s="24">
        <f t="shared" si="15"/>
        <v>0</v>
      </c>
      <c r="O23" s="24">
        <f t="shared" si="15"/>
        <v>0</v>
      </c>
      <c r="P23" s="382">
        <f t="shared" si="1"/>
        <v>0</v>
      </c>
      <c r="Q23" s="383"/>
      <c r="R23" s="376"/>
    </row>
    <row r="24" spans="1:18" ht="15.75" x14ac:dyDescent="0.25">
      <c r="A24" s="59" t="s">
        <v>74</v>
      </c>
      <c r="B24" s="53" t="s">
        <v>75</v>
      </c>
      <c r="C24" s="381">
        <f>+'2 Össz'!E23/1000</f>
        <v>9740.6</v>
      </c>
      <c r="D24" s="24">
        <f t="shared" ref="D24:N24" si="16">+ROUND($C$24/12,0)</f>
        <v>812</v>
      </c>
      <c r="E24" s="24">
        <f t="shared" si="16"/>
        <v>812</v>
      </c>
      <c r="F24" s="24">
        <f t="shared" si="16"/>
        <v>812</v>
      </c>
      <c r="G24" s="24">
        <f t="shared" si="16"/>
        <v>812</v>
      </c>
      <c r="H24" s="24">
        <f t="shared" si="16"/>
        <v>812</v>
      </c>
      <c r="I24" s="24">
        <f t="shared" si="16"/>
        <v>812</v>
      </c>
      <c r="J24" s="24">
        <f t="shared" si="16"/>
        <v>812</v>
      </c>
      <c r="K24" s="24">
        <f t="shared" si="16"/>
        <v>812</v>
      </c>
      <c r="L24" s="24">
        <f t="shared" si="16"/>
        <v>812</v>
      </c>
      <c r="M24" s="24">
        <f t="shared" si="16"/>
        <v>812</v>
      </c>
      <c r="N24" s="24">
        <f t="shared" si="16"/>
        <v>812</v>
      </c>
      <c r="O24" s="24">
        <f>+ROUND($C$24/12,0)-3</f>
        <v>809</v>
      </c>
      <c r="P24" s="382">
        <f t="shared" si="1"/>
        <v>-0.3999999999996362</v>
      </c>
      <c r="Q24" s="383"/>
      <c r="R24" s="376"/>
    </row>
    <row r="25" spans="1:18" ht="15.75" x14ac:dyDescent="0.25">
      <c r="A25" s="59" t="s">
        <v>76</v>
      </c>
      <c r="B25" s="53" t="s">
        <v>77</v>
      </c>
      <c r="C25" s="381">
        <f>+'2 Össz'!E24/1000</f>
        <v>0</v>
      </c>
      <c r="D25" s="24">
        <f t="shared" ref="D25:O25" si="17">+ROUND($C$25/12,0)</f>
        <v>0</v>
      </c>
      <c r="E25" s="24">
        <f t="shared" si="17"/>
        <v>0</v>
      </c>
      <c r="F25" s="24">
        <f t="shared" si="17"/>
        <v>0</v>
      </c>
      <c r="G25" s="24">
        <f t="shared" si="17"/>
        <v>0</v>
      </c>
      <c r="H25" s="24">
        <f t="shared" si="17"/>
        <v>0</v>
      </c>
      <c r="I25" s="24">
        <f t="shared" si="17"/>
        <v>0</v>
      </c>
      <c r="J25" s="24">
        <f t="shared" si="17"/>
        <v>0</v>
      </c>
      <c r="K25" s="24">
        <f t="shared" si="17"/>
        <v>0</v>
      </c>
      <c r="L25" s="24">
        <f t="shared" si="17"/>
        <v>0</v>
      </c>
      <c r="M25" s="24">
        <f t="shared" si="17"/>
        <v>0</v>
      </c>
      <c r="N25" s="24">
        <f t="shared" si="17"/>
        <v>0</v>
      </c>
      <c r="O25" s="24">
        <f t="shared" si="17"/>
        <v>0</v>
      </c>
      <c r="P25" s="382">
        <f t="shared" si="1"/>
        <v>0</v>
      </c>
      <c r="Q25" s="383"/>
      <c r="R25" s="376"/>
    </row>
    <row r="26" spans="1:18" ht="15.75" x14ac:dyDescent="0.25">
      <c r="A26" s="59" t="s">
        <v>78</v>
      </c>
      <c r="B26" s="53" t="s">
        <v>79</v>
      </c>
      <c r="C26" s="381">
        <f>+'2 Össz'!E25/1000</f>
        <v>0</v>
      </c>
      <c r="D26" s="24">
        <f t="shared" ref="D26:O26" si="18">+ROUND($C$26/12,0)</f>
        <v>0</v>
      </c>
      <c r="E26" s="24">
        <f t="shared" si="18"/>
        <v>0</v>
      </c>
      <c r="F26" s="24">
        <f t="shared" si="18"/>
        <v>0</v>
      </c>
      <c r="G26" s="24">
        <f t="shared" si="18"/>
        <v>0</v>
      </c>
      <c r="H26" s="24">
        <f t="shared" si="18"/>
        <v>0</v>
      </c>
      <c r="I26" s="24">
        <f t="shared" si="18"/>
        <v>0</v>
      </c>
      <c r="J26" s="24">
        <f t="shared" si="18"/>
        <v>0</v>
      </c>
      <c r="K26" s="24">
        <f t="shared" si="18"/>
        <v>0</v>
      </c>
      <c r="L26" s="24">
        <f t="shared" si="18"/>
        <v>0</v>
      </c>
      <c r="M26" s="24">
        <f t="shared" si="18"/>
        <v>0</v>
      </c>
      <c r="N26" s="24">
        <f t="shared" si="18"/>
        <v>0</v>
      </c>
      <c r="O26" s="24">
        <f t="shared" si="18"/>
        <v>0</v>
      </c>
      <c r="P26" s="382">
        <f t="shared" si="1"/>
        <v>0</v>
      </c>
      <c r="Q26" s="383"/>
      <c r="R26" s="376"/>
    </row>
    <row r="27" spans="1:18" ht="15.75" x14ac:dyDescent="0.25">
      <c r="A27" s="59" t="s">
        <v>80</v>
      </c>
      <c r="B27" s="53" t="s">
        <v>81</v>
      </c>
      <c r="C27" s="381">
        <f>+'2 Össz'!E26/1000</f>
        <v>0</v>
      </c>
      <c r="D27" s="24">
        <f t="shared" ref="D27:O27" si="19">+ROUND($C$27/12,0)</f>
        <v>0</v>
      </c>
      <c r="E27" s="24">
        <f t="shared" si="19"/>
        <v>0</v>
      </c>
      <c r="F27" s="24">
        <f t="shared" si="19"/>
        <v>0</v>
      </c>
      <c r="G27" s="24">
        <f t="shared" si="19"/>
        <v>0</v>
      </c>
      <c r="H27" s="24">
        <f t="shared" si="19"/>
        <v>0</v>
      </c>
      <c r="I27" s="24">
        <f t="shared" si="19"/>
        <v>0</v>
      </c>
      <c r="J27" s="24">
        <f t="shared" si="19"/>
        <v>0</v>
      </c>
      <c r="K27" s="24">
        <f t="shared" si="19"/>
        <v>0</v>
      </c>
      <c r="L27" s="24">
        <f t="shared" si="19"/>
        <v>0</v>
      </c>
      <c r="M27" s="24">
        <f t="shared" si="19"/>
        <v>0</v>
      </c>
      <c r="N27" s="24">
        <f t="shared" si="19"/>
        <v>0</v>
      </c>
      <c r="O27" s="24">
        <f t="shared" si="19"/>
        <v>0</v>
      </c>
      <c r="P27" s="382">
        <f t="shared" si="1"/>
        <v>0</v>
      </c>
      <c r="Q27" s="383"/>
      <c r="R27" s="376"/>
    </row>
    <row r="28" spans="1:18" ht="15.75" x14ac:dyDescent="0.25">
      <c r="A28" s="60" t="s">
        <v>82</v>
      </c>
      <c r="B28" s="53" t="s">
        <v>83</v>
      </c>
      <c r="C28" s="381">
        <f>+'2 Össz'!E27/1000</f>
        <v>0</v>
      </c>
      <c r="D28" s="24">
        <f t="shared" ref="D28:O29" si="20">+ROUND($C$28/12,0)</f>
        <v>0</v>
      </c>
      <c r="E28" s="24">
        <f t="shared" si="20"/>
        <v>0</v>
      </c>
      <c r="F28" s="24">
        <f t="shared" si="20"/>
        <v>0</v>
      </c>
      <c r="G28" s="24">
        <f t="shared" si="20"/>
        <v>0</v>
      </c>
      <c r="H28" s="24">
        <f t="shared" si="20"/>
        <v>0</v>
      </c>
      <c r="I28" s="24">
        <f t="shared" si="20"/>
        <v>0</v>
      </c>
      <c r="J28" s="24">
        <f t="shared" si="20"/>
        <v>0</v>
      </c>
      <c r="K28" s="24">
        <f t="shared" si="20"/>
        <v>0</v>
      </c>
      <c r="L28" s="24">
        <f t="shared" si="20"/>
        <v>0</v>
      </c>
      <c r="M28" s="24">
        <f t="shared" si="20"/>
        <v>0</v>
      </c>
      <c r="N28" s="24">
        <f t="shared" si="20"/>
        <v>0</v>
      </c>
      <c r="O28" s="24">
        <f t="shared" si="20"/>
        <v>0</v>
      </c>
      <c r="P28" s="382">
        <f t="shared" si="1"/>
        <v>0</v>
      </c>
      <c r="Q28" s="383"/>
      <c r="R28" s="376"/>
    </row>
    <row r="29" spans="1:18" ht="15.75" x14ac:dyDescent="0.25">
      <c r="A29" s="59" t="s">
        <v>84</v>
      </c>
      <c r="B29" s="53" t="s">
        <v>85</v>
      </c>
      <c r="C29" s="381">
        <f>+'2 Össz'!E28/1000</f>
        <v>0</v>
      </c>
      <c r="D29" s="24">
        <f t="shared" si="20"/>
        <v>0</v>
      </c>
      <c r="E29" s="24">
        <f t="shared" si="20"/>
        <v>0</v>
      </c>
      <c r="F29" s="24">
        <f t="shared" si="20"/>
        <v>0</v>
      </c>
      <c r="G29" s="24">
        <f t="shared" si="20"/>
        <v>0</v>
      </c>
      <c r="H29" s="24">
        <f t="shared" si="20"/>
        <v>0</v>
      </c>
      <c r="I29" s="24">
        <f t="shared" si="20"/>
        <v>0</v>
      </c>
      <c r="J29" s="24">
        <f t="shared" si="20"/>
        <v>0</v>
      </c>
      <c r="K29" s="24">
        <f t="shared" si="20"/>
        <v>0</v>
      </c>
      <c r="L29" s="24">
        <f t="shared" si="20"/>
        <v>0</v>
      </c>
      <c r="M29" s="24">
        <f t="shared" si="20"/>
        <v>0</v>
      </c>
      <c r="N29" s="24">
        <f t="shared" si="20"/>
        <v>0</v>
      </c>
      <c r="O29" s="24">
        <f t="shared" si="20"/>
        <v>0</v>
      </c>
      <c r="P29" s="382">
        <f t="shared" si="1"/>
        <v>0</v>
      </c>
      <c r="Q29" s="383"/>
      <c r="R29" s="376"/>
    </row>
    <row r="30" spans="1:18" ht="15.75" x14ac:dyDescent="0.25">
      <c r="A30" s="59" t="s">
        <v>86</v>
      </c>
      <c r="B30" s="53" t="s">
        <v>87</v>
      </c>
      <c r="C30" s="381">
        <f>+'2 Össz'!E29/1000</f>
        <v>50880</v>
      </c>
      <c r="D30" s="24">
        <f t="shared" ref="D30:N30" si="21">+ROUND($C$30/12,0)</f>
        <v>4240</v>
      </c>
      <c r="E30" s="24">
        <f t="shared" si="21"/>
        <v>4240</v>
      </c>
      <c r="F30" s="24">
        <f t="shared" si="21"/>
        <v>4240</v>
      </c>
      <c r="G30" s="24">
        <f t="shared" si="21"/>
        <v>4240</v>
      </c>
      <c r="H30" s="24">
        <f t="shared" si="21"/>
        <v>4240</v>
      </c>
      <c r="I30" s="24">
        <f t="shared" si="21"/>
        <v>4240</v>
      </c>
      <c r="J30" s="24">
        <f t="shared" si="21"/>
        <v>4240</v>
      </c>
      <c r="K30" s="24">
        <f t="shared" si="21"/>
        <v>4240</v>
      </c>
      <c r="L30" s="24">
        <f t="shared" si="21"/>
        <v>4240</v>
      </c>
      <c r="M30" s="24">
        <f t="shared" si="21"/>
        <v>4240</v>
      </c>
      <c r="N30" s="24">
        <f t="shared" si="21"/>
        <v>4240</v>
      </c>
      <c r="O30" s="24">
        <f>+ROUND($C$30/12,0)</f>
        <v>4240</v>
      </c>
      <c r="P30" s="382">
        <f t="shared" si="1"/>
        <v>0</v>
      </c>
      <c r="Q30" s="383"/>
      <c r="R30" s="376"/>
    </row>
    <row r="31" spans="1:18" ht="15.75" x14ac:dyDescent="0.25">
      <c r="A31" s="60" t="s">
        <v>88</v>
      </c>
      <c r="B31" s="53" t="s">
        <v>89</v>
      </c>
      <c r="C31" s="381">
        <f>+'2 Össz'!E30/1000</f>
        <v>40000</v>
      </c>
      <c r="D31" s="24"/>
      <c r="E31" s="24"/>
      <c r="F31" s="24"/>
      <c r="G31" s="24"/>
      <c r="H31" s="24">
        <v>10000</v>
      </c>
      <c r="I31" s="24"/>
      <c r="J31" s="24"/>
      <c r="K31" s="24">
        <v>10000</v>
      </c>
      <c r="L31" s="24"/>
      <c r="M31" s="24">
        <v>10000</v>
      </c>
      <c r="N31" s="24"/>
      <c r="O31" s="24">
        <v>10000</v>
      </c>
      <c r="P31" s="382">
        <f t="shared" si="1"/>
        <v>0</v>
      </c>
      <c r="Q31" s="383"/>
      <c r="R31" s="376"/>
    </row>
    <row r="32" spans="1:18" ht="15.75" x14ac:dyDescent="0.25">
      <c r="A32" s="60" t="s">
        <v>90</v>
      </c>
      <c r="B32" s="53" t="s">
        <v>89</v>
      </c>
      <c r="C32" s="381">
        <f>+'2 Össz'!E31/1000</f>
        <v>23500</v>
      </c>
      <c r="D32" s="24"/>
      <c r="E32" s="24"/>
      <c r="F32" s="24"/>
      <c r="G32" s="24">
        <v>1000</v>
      </c>
      <c r="H32" s="24">
        <v>9200</v>
      </c>
      <c r="I32" s="24">
        <v>1000</v>
      </c>
      <c r="J32" s="24"/>
      <c r="K32" s="24"/>
      <c r="L32" s="24"/>
      <c r="M32" s="24">
        <v>1000</v>
      </c>
      <c r="N32" s="24">
        <v>10000</v>
      </c>
      <c r="O32" s="24">
        <v>1300</v>
      </c>
      <c r="P32" s="382">
        <f t="shared" si="1"/>
        <v>0</v>
      </c>
      <c r="Q32" s="383"/>
      <c r="R32" s="376"/>
    </row>
    <row r="33" spans="1:18" s="387" customFormat="1" ht="15.75" x14ac:dyDescent="0.25">
      <c r="A33" s="152" t="s">
        <v>91</v>
      </c>
      <c r="B33" s="363" t="s">
        <v>92</v>
      </c>
      <c r="C33" s="384">
        <f t="shared" ref="C33:O33" si="22">SUM(C19:C32)</f>
        <v>126320.6</v>
      </c>
      <c r="D33" s="99">
        <f t="shared" si="22"/>
        <v>5052</v>
      </c>
      <c r="E33" s="99">
        <f t="shared" si="22"/>
        <v>5052</v>
      </c>
      <c r="F33" s="99">
        <f t="shared" si="22"/>
        <v>5052</v>
      </c>
      <c r="G33" s="99">
        <f t="shared" si="22"/>
        <v>8252</v>
      </c>
      <c r="H33" s="99">
        <f t="shared" si="22"/>
        <v>24252</v>
      </c>
      <c r="I33" s="99">
        <f t="shared" si="22"/>
        <v>6052</v>
      </c>
      <c r="J33" s="99">
        <f t="shared" si="22"/>
        <v>5052</v>
      </c>
      <c r="K33" s="99">
        <f t="shared" si="22"/>
        <v>15052</v>
      </c>
      <c r="L33" s="99">
        <f t="shared" si="22"/>
        <v>5052</v>
      </c>
      <c r="M33" s="99">
        <f t="shared" si="22"/>
        <v>16052</v>
      </c>
      <c r="N33" s="99">
        <f t="shared" si="22"/>
        <v>15052</v>
      </c>
      <c r="O33" s="99">
        <f t="shared" si="22"/>
        <v>16349</v>
      </c>
      <c r="P33" s="382">
        <f t="shared" si="1"/>
        <v>-0.39999999999417923</v>
      </c>
      <c r="Q33" s="385"/>
      <c r="R33" s="386"/>
    </row>
    <row r="34" spans="1:18" s="387" customFormat="1" ht="15.75" x14ac:dyDescent="0.25">
      <c r="A34" s="364" t="s">
        <v>93</v>
      </c>
      <c r="B34" s="363" t="s">
        <v>94</v>
      </c>
      <c r="C34" s="384">
        <f t="shared" ref="C34:O34" si="23">+C33+C18+C17+C11+C10</f>
        <v>3669115.247</v>
      </c>
      <c r="D34" s="99">
        <f t="shared" si="23"/>
        <v>300284</v>
      </c>
      <c r="E34" s="99">
        <f t="shared" si="23"/>
        <v>300284</v>
      </c>
      <c r="F34" s="99">
        <f t="shared" si="23"/>
        <v>300284</v>
      </c>
      <c r="G34" s="99">
        <f t="shared" si="23"/>
        <v>303484</v>
      </c>
      <c r="H34" s="99">
        <f t="shared" si="23"/>
        <v>319484</v>
      </c>
      <c r="I34" s="99">
        <f t="shared" si="23"/>
        <v>301284</v>
      </c>
      <c r="J34" s="99">
        <f t="shared" si="23"/>
        <v>300284</v>
      </c>
      <c r="K34" s="99">
        <f t="shared" si="23"/>
        <v>310284</v>
      </c>
      <c r="L34" s="99">
        <f t="shared" si="23"/>
        <v>300284</v>
      </c>
      <c r="M34" s="99">
        <f t="shared" si="23"/>
        <v>311284</v>
      </c>
      <c r="N34" s="99">
        <f t="shared" si="23"/>
        <v>310284</v>
      </c>
      <c r="O34" s="99">
        <f t="shared" si="23"/>
        <v>311591</v>
      </c>
      <c r="P34" s="382">
        <f t="shared" si="1"/>
        <v>0.24699999997392297</v>
      </c>
      <c r="Q34" s="383"/>
      <c r="R34" s="386"/>
    </row>
    <row r="35" spans="1:18" ht="15.75" x14ac:dyDescent="0.25">
      <c r="A35" s="64" t="s">
        <v>95</v>
      </c>
      <c r="B35" s="53" t="s">
        <v>96</v>
      </c>
      <c r="C35" s="381">
        <f>+'2 Össz'!E34/1000</f>
        <v>370</v>
      </c>
      <c r="D35" s="24"/>
      <c r="E35" s="24"/>
      <c r="F35" s="24"/>
      <c r="G35" s="24">
        <v>370</v>
      </c>
      <c r="H35" s="24"/>
      <c r="I35" s="24"/>
      <c r="J35" s="24"/>
      <c r="K35" s="24"/>
      <c r="L35" s="24"/>
      <c r="M35" s="24"/>
      <c r="N35" s="24"/>
      <c r="O35" s="24"/>
      <c r="P35" s="382">
        <f t="shared" si="1"/>
        <v>0</v>
      </c>
      <c r="Q35" s="383"/>
      <c r="R35" s="376"/>
    </row>
    <row r="36" spans="1:18" ht="15.75" x14ac:dyDescent="0.25">
      <c r="A36" s="64" t="s">
        <v>97</v>
      </c>
      <c r="B36" s="53" t="s">
        <v>98</v>
      </c>
      <c r="C36" s="381">
        <f>+'2 Össz'!E35/1000</f>
        <v>35995.855118110238</v>
      </c>
      <c r="D36" s="24">
        <v>5236.8</v>
      </c>
      <c r="E36" s="24"/>
      <c r="F36" s="24"/>
      <c r="G36" s="24">
        <v>30759</v>
      </c>
      <c r="H36" s="24"/>
      <c r="I36" s="24"/>
      <c r="J36" s="24"/>
      <c r="K36" s="24"/>
      <c r="L36" s="24"/>
      <c r="M36" s="24"/>
      <c r="N36" s="24"/>
      <c r="O36" s="24"/>
      <c r="P36" s="382">
        <f t="shared" si="1"/>
        <v>5.5118110234616324E-2</v>
      </c>
      <c r="Q36" s="383"/>
      <c r="R36" s="376"/>
    </row>
    <row r="37" spans="1:18" ht="15.75" x14ac:dyDescent="0.25">
      <c r="A37" s="64" t="s">
        <v>99</v>
      </c>
      <c r="B37" s="53" t="s">
        <v>100</v>
      </c>
      <c r="C37" s="381">
        <f>+'2 Össz'!E36/1000</f>
        <v>1994</v>
      </c>
      <c r="D37" s="24"/>
      <c r="E37" s="24"/>
      <c r="F37" s="24"/>
      <c r="G37" s="24"/>
      <c r="H37" s="24">
        <v>1994</v>
      </c>
      <c r="I37" s="24"/>
      <c r="J37" s="24"/>
      <c r="K37" s="24"/>
      <c r="L37" s="24"/>
      <c r="M37" s="24"/>
      <c r="N37" s="24"/>
      <c r="O37" s="24"/>
      <c r="P37" s="382">
        <f t="shared" si="1"/>
        <v>0</v>
      </c>
      <c r="Q37" s="383"/>
      <c r="R37" s="376"/>
    </row>
    <row r="38" spans="1:18" ht="15.75" x14ac:dyDescent="0.25">
      <c r="A38" s="64" t="s">
        <v>101</v>
      </c>
      <c r="B38" s="53" t="s">
        <v>102</v>
      </c>
      <c r="C38" s="381">
        <f>+'2 Össz'!E37/1000</f>
        <v>226191.57488188977</v>
      </c>
      <c r="D38" s="24"/>
      <c r="E38" s="24"/>
      <c r="F38" s="24">
        <v>5600</v>
      </c>
      <c r="G38" s="24">
        <v>6496</v>
      </c>
      <c r="H38" s="24">
        <v>682</v>
      </c>
      <c r="I38" s="24">
        <v>8698</v>
      </c>
      <c r="J38" s="24">
        <v>7134</v>
      </c>
      <c r="K38" s="24">
        <v>89041</v>
      </c>
      <c r="L38" s="24"/>
      <c r="M38" s="24"/>
      <c r="N38" s="24">
        <v>108541</v>
      </c>
      <c r="O38" s="24"/>
      <c r="P38" s="382">
        <f t="shared" si="1"/>
        <v>-0.42511811022995971</v>
      </c>
      <c r="Q38" s="383"/>
      <c r="R38" s="376"/>
    </row>
    <row r="39" spans="1:18" ht="15.75" x14ac:dyDescent="0.25">
      <c r="A39" s="65" t="s">
        <v>103</v>
      </c>
      <c r="B39" s="53" t="s">
        <v>104</v>
      </c>
      <c r="C39" s="381">
        <f>+'2 Össz'!E38/1000</f>
        <v>0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382">
        <f t="shared" si="1"/>
        <v>0</v>
      </c>
      <c r="Q39" s="383"/>
      <c r="R39" s="376"/>
    </row>
    <row r="40" spans="1:18" ht="15.75" x14ac:dyDescent="0.25">
      <c r="A40" s="65" t="s">
        <v>105</v>
      </c>
      <c r="B40" s="53" t="s">
        <v>106</v>
      </c>
      <c r="C40" s="381">
        <f>+'2 Össz'!E39/1000</f>
        <v>0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382">
        <f t="shared" ref="P40:P71" si="24">+C40-SUM(D40:O40)</f>
        <v>0</v>
      </c>
      <c r="Q40" s="383"/>
      <c r="R40" s="376"/>
    </row>
    <row r="41" spans="1:18" ht="15.75" x14ac:dyDescent="0.25">
      <c r="A41" s="65" t="s">
        <v>107</v>
      </c>
      <c r="B41" s="53" t="s">
        <v>108</v>
      </c>
      <c r="C41" s="381">
        <f>+'2 Össz'!E40/1000</f>
        <v>70508.885999999999</v>
      </c>
      <c r="D41" s="24">
        <f t="shared" ref="D41:K41" si="25">ROUND(SUM(D35:D40)*0.27,0)</f>
        <v>1414</v>
      </c>
      <c r="E41" s="24">
        <f t="shared" si="25"/>
        <v>0</v>
      </c>
      <c r="F41" s="24">
        <f t="shared" si="25"/>
        <v>1512</v>
      </c>
      <c r="G41" s="24">
        <f t="shared" si="25"/>
        <v>10159</v>
      </c>
      <c r="H41" s="24">
        <f t="shared" si="25"/>
        <v>723</v>
      </c>
      <c r="I41" s="24">
        <f t="shared" si="25"/>
        <v>2348</v>
      </c>
      <c r="J41" s="24">
        <f t="shared" si="25"/>
        <v>1926</v>
      </c>
      <c r="K41" s="24">
        <f t="shared" si="25"/>
        <v>24041</v>
      </c>
      <c r="L41" s="24">
        <f>ROUND(SUM(L35:L40)*0.27,0)</f>
        <v>0</v>
      </c>
      <c r="M41" s="24">
        <f>ROUND(SUM(M35:M40)*0.27,0)</f>
        <v>0</v>
      </c>
      <c r="N41" s="24">
        <f>ROUND(SUM(N35:N40)*0.27,0)-920</f>
        <v>28386</v>
      </c>
      <c r="O41" s="24">
        <f>ROUND(SUM(O35:O40)*0.27,0)</f>
        <v>0</v>
      </c>
      <c r="P41" s="382">
        <f t="shared" si="24"/>
        <v>-0.11400000000139698</v>
      </c>
      <c r="Q41" s="383"/>
      <c r="R41" s="376"/>
    </row>
    <row r="42" spans="1:18" s="387" customFormat="1" ht="15.75" x14ac:dyDescent="0.25">
      <c r="A42" s="98" t="s">
        <v>109</v>
      </c>
      <c r="B42" s="363" t="s">
        <v>110</v>
      </c>
      <c r="C42" s="384">
        <f t="shared" ref="C42:O42" si="26">SUM(C35:C41)</f>
        <v>335060.31599999999</v>
      </c>
      <c r="D42" s="99">
        <f t="shared" si="26"/>
        <v>6650.8</v>
      </c>
      <c r="E42" s="99">
        <f t="shared" si="26"/>
        <v>0</v>
      </c>
      <c r="F42" s="99">
        <f t="shared" si="26"/>
        <v>7112</v>
      </c>
      <c r="G42" s="99">
        <f t="shared" si="26"/>
        <v>47784</v>
      </c>
      <c r="H42" s="99">
        <f t="shared" si="26"/>
        <v>3399</v>
      </c>
      <c r="I42" s="99">
        <f t="shared" si="26"/>
        <v>11046</v>
      </c>
      <c r="J42" s="99">
        <f t="shared" si="26"/>
        <v>9060</v>
      </c>
      <c r="K42" s="99">
        <f t="shared" si="26"/>
        <v>113082</v>
      </c>
      <c r="L42" s="99">
        <f t="shared" si="26"/>
        <v>0</v>
      </c>
      <c r="M42" s="99">
        <f t="shared" si="26"/>
        <v>0</v>
      </c>
      <c r="N42" s="99">
        <f t="shared" si="26"/>
        <v>136927</v>
      </c>
      <c r="O42" s="99">
        <f t="shared" si="26"/>
        <v>0</v>
      </c>
      <c r="P42" s="382">
        <f t="shared" si="24"/>
        <v>-0.48399999999674037</v>
      </c>
      <c r="Q42" s="383"/>
      <c r="R42" s="386"/>
    </row>
    <row r="43" spans="1:18" ht="15.75" x14ac:dyDescent="0.25">
      <c r="A43" s="67" t="s">
        <v>111</v>
      </c>
      <c r="B43" s="53" t="s">
        <v>112</v>
      </c>
      <c r="C43" s="381">
        <f>+'2 Össz'!E42/1000</f>
        <v>2833596.2710000002</v>
      </c>
      <c r="D43" s="24">
        <v>50000</v>
      </c>
      <c r="E43" s="24">
        <v>65000</v>
      </c>
      <c r="F43" s="24">
        <f>85000+12369</f>
        <v>97369</v>
      </c>
      <c r="G43" s="24">
        <v>105000</v>
      </c>
      <c r="H43" s="24">
        <v>128916</v>
      </c>
      <c r="I43" s="24">
        <v>156220</v>
      </c>
      <c r="J43" s="24">
        <v>93996</v>
      </c>
      <c r="K43" s="24">
        <f>244627+144636</f>
        <v>389263</v>
      </c>
      <c r="L43" s="24">
        <f>218794+118106</f>
        <v>336900</v>
      </c>
      <c r="M43" s="24">
        <v>232455</v>
      </c>
      <c r="N43" s="24">
        <v>807877</v>
      </c>
      <c r="O43" s="24">
        <v>370600</v>
      </c>
      <c r="P43" s="382">
        <f t="shared" si="24"/>
        <v>0.27100000018253922</v>
      </c>
      <c r="Q43" s="383"/>
      <c r="R43" s="376"/>
    </row>
    <row r="44" spans="1:18" ht="15.75" x14ac:dyDescent="0.25">
      <c r="A44" s="67" t="s">
        <v>113</v>
      </c>
      <c r="B44" s="53" t="s">
        <v>114</v>
      </c>
      <c r="C44" s="381">
        <f>+'2 Össz'!E43/1000</f>
        <v>0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382">
        <f t="shared" si="24"/>
        <v>0</v>
      </c>
      <c r="Q44" s="383"/>
      <c r="R44" s="376"/>
    </row>
    <row r="45" spans="1:18" ht="15.75" x14ac:dyDescent="0.25">
      <c r="A45" s="67" t="s">
        <v>115</v>
      </c>
      <c r="B45" s="53" t="s">
        <v>116</v>
      </c>
      <c r="C45" s="381">
        <f>+'2 Össz'!E44/1000</f>
        <v>20000</v>
      </c>
      <c r="D45" s="24"/>
      <c r="E45" s="24"/>
      <c r="F45" s="24"/>
      <c r="G45" s="24">
        <v>5000</v>
      </c>
      <c r="H45" s="24" t="s">
        <v>425</v>
      </c>
      <c r="I45" s="24"/>
      <c r="J45" s="24">
        <v>5000</v>
      </c>
      <c r="K45" s="24"/>
      <c r="L45" s="24">
        <v>5000</v>
      </c>
      <c r="M45" s="24" t="s">
        <v>425</v>
      </c>
      <c r="N45" s="24"/>
      <c r="O45" s="24">
        <v>5000</v>
      </c>
      <c r="P45" s="382">
        <f t="shared" si="24"/>
        <v>0</v>
      </c>
      <c r="Q45" s="383"/>
      <c r="R45" s="376"/>
    </row>
    <row r="46" spans="1:18" ht="15.75" x14ac:dyDescent="0.25">
      <c r="A46" s="67" t="s">
        <v>117</v>
      </c>
      <c r="B46" s="53" t="s">
        <v>118</v>
      </c>
      <c r="C46" s="381">
        <f>+'2 Össz'!E45/1000</f>
        <v>779148.09</v>
      </c>
      <c r="D46" s="24">
        <f t="shared" ref="D46:M46" si="27">ROUND(SUM(D43:D45)*0.27,0)</f>
        <v>13500</v>
      </c>
      <c r="E46" s="24">
        <f t="shared" si="27"/>
        <v>17550</v>
      </c>
      <c r="F46" s="24">
        <f t="shared" si="27"/>
        <v>26290</v>
      </c>
      <c r="G46" s="24">
        <f t="shared" si="27"/>
        <v>29700</v>
      </c>
      <c r="H46" s="24">
        <f t="shared" si="27"/>
        <v>34807</v>
      </c>
      <c r="I46" s="24">
        <f t="shared" si="27"/>
        <v>42179</v>
      </c>
      <c r="J46" s="24">
        <f t="shared" si="27"/>
        <v>26729</v>
      </c>
      <c r="K46" s="24">
        <f t="shared" si="27"/>
        <v>105101</v>
      </c>
      <c r="L46" s="24">
        <f t="shared" si="27"/>
        <v>92313</v>
      </c>
      <c r="M46" s="24">
        <f t="shared" si="27"/>
        <v>62763</v>
      </c>
      <c r="N46" s="24">
        <f>ROUND(SUM(N43:N45)*0.27,0)+8677</f>
        <v>226804</v>
      </c>
      <c r="O46" s="24">
        <f>ROUND(SUM(O43:O45)*0.27,0)</f>
        <v>101412</v>
      </c>
      <c r="P46" s="382">
        <f t="shared" si="24"/>
        <v>8.999999996740371E-2</v>
      </c>
      <c r="Q46" s="383"/>
      <c r="R46" s="376"/>
    </row>
    <row r="47" spans="1:18" s="387" customFormat="1" ht="15.75" x14ac:dyDescent="0.25">
      <c r="A47" s="97" t="s">
        <v>119</v>
      </c>
      <c r="B47" s="363" t="s">
        <v>120</v>
      </c>
      <c r="C47" s="384">
        <f t="shared" ref="C47:O47" si="28">SUM(C43:C46)</f>
        <v>3632744.361</v>
      </c>
      <c r="D47" s="99">
        <f t="shared" si="28"/>
        <v>63500</v>
      </c>
      <c r="E47" s="99">
        <f t="shared" si="28"/>
        <v>82550</v>
      </c>
      <c r="F47" s="99">
        <f t="shared" si="28"/>
        <v>123659</v>
      </c>
      <c r="G47" s="99">
        <f t="shared" si="28"/>
        <v>139700</v>
      </c>
      <c r="H47" s="99">
        <f t="shared" si="28"/>
        <v>163723</v>
      </c>
      <c r="I47" s="99">
        <f t="shared" si="28"/>
        <v>198399</v>
      </c>
      <c r="J47" s="99">
        <f t="shared" si="28"/>
        <v>125725</v>
      </c>
      <c r="K47" s="99">
        <f t="shared" si="28"/>
        <v>494364</v>
      </c>
      <c r="L47" s="99">
        <f t="shared" si="28"/>
        <v>434213</v>
      </c>
      <c r="M47" s="99">
        <f t="shared" si="28"/>
        <v>295218</v>
      </c>
      <c r="N47" s="99">
        <f t="shared" si="28"/>
        <v>1034681</v>
      </c>
      <c r="O47" s="99">
        <f t="shared" si="28"/>
        <v>477012</v>
      </c>
      <c r="P47" s="382">
        <f t="shared" si="24"/>
        <v>0.36100000003352761</v>
      </c>
      <c r="Q47" s="383"/>
      <c r="R47" s="386"/>
    </row>
    <row r="48" spans="1:18" ht="15.75" hidden="1" x14ac:dyDescent="0.25">
      <c r="A48" s="67" t="s">
        <v>839</v>
      </c>
      <c r="B48" s="53" t="s">
        <v>122</v>
      </c>
      <c r="C48" s="381">
        <f>+'2 Össz'!E47</f>
        <v>0</v>
      </c>
      <c r="D48" s="24">
        <f t="shared" ref="D48:O48" si="29">+ROUND($C$48/12,0)</f>
        <v>0</v>
      </c>
      <c r="E48" s="24">
        <f t="shared" si="29"/>
        <v>0</v>
      </c>
      <c r="F48" s="24">
        <f t="shared" si="29"/>
        <v>0</v>
      </c>
      <c r="G48" s="24">
        <f t="shared" si="29"/>
        <v>0</v>
      </c>
      <c r="H48" s="24">
        <f t="shared" si="29"/>
        <v>0</v>
      </c>
      <c r="I48" s="24">
        <f t="shared" si="29"/>
        <v>0</v>
      </c>
      <c r="J48" s="24">
        <f t="shared" si="29"/>
        <v>0</v>
      </c>
      <c r="K48" s="24">
        <f t="shared" si="29"/>
        <v>0</v>
      </c>
      <c r="L48" s="24">
        <f t="shared" si="29"/>
        <v>0</v>
      </c>
      <c r="M48" s="24">
        <f t="shared" si="29"/>
        <v>0</v>
      </c>
      <c r="N48" s="24">
        <f t="shared" si="29"/>
        <v>0</v>
      </c>
      <c r="O48" s="24">
        <f t="shared" si="29"/>
        <v>0</v>
      </c>
      <c r="P48" s="382">
        <f t="shared" si="24"/>
        <v>0</v>
      </c>
      <c r="Q48" s="383"/>
      <c r="R48" s="376"/>
    </row>
    <row r="49" spans="1:18" ht="15.75" hidden="1" x14ac:dyDescent="0.25">
      <c r="A49" s="67" t="s">
        <v>646</v>
      </c>
      <c r="B49" s="53" t="s">
        <v>124</v>
      </c>
      <c r="C49" s="381">
        <f>+'2 Össz'!E48</f>
        <v>0</v>
      </c>
      <c r="D49" s="24">
        <f t="shared" ref="D49:O49" si="30">+ROUND($C$49/12,0)</f>
        <v>0</v>
      </c>
      <c r="E49" s="24">
        <f t="shared" si="30"/>
        <v>0</v>
      </c>
      <c r="F49" s="24">
        <f t="shared" si="30"/>
        <v>0</v>
      </c>
      <c r="G49" s="24">
        <f t="shared" si="30"/>
        <v>0</v>
      </c>
      <c r="H49" s="24">
        <f t="shared" si="30"/>
        <v>0</v>
      </c>
      <c r="I49" s="24">
        <f t="shared" si="30"/>
        <v>0</v>
      </c>
      <c r="J49" s="24">
        <f t="shared" si="30"/>
        <v>0</v>
      </c>
      <c r="K49" s="24">
        <f t="shared" si="30"/>
        <v>0</v>
      </c>
      <c r="L49" s="24">
        <f t="shared" si="30"/>
        <v>0</v>
      </c>
      <c r="M49" s="24">
        <f t="shared" si="30"/>
        <v>0</v>
      </c>
      <c r="N49" s="24">
        <f t="shared" si="30"/>
        <v>0</v>
      </c>
      <c r="O49" s="24">
        <f t="shared" si="30"/>
        <v>0</v>
      </c>
      <c r="P49" s="382">
        <f t="shared" si="24"/>
        <v>0</v>
      </c>
      <c r="Q49" s="383"/>
      <c r="R49" s="376"/>
    </row>
    <row r="50" spans="1:18" ht="15.75" hidden="1" x14ac:dyDescent="0.25">
      <c r="A50" s="67" t="s">
        <v>840</v>
      </c>
      <c r="B50" s="53" t="s">
        <v>126</v>
      </c>
      <c r="C50" s="381">
        <f>+'2 Össz'!E49</f>
        <v>0</v>
      </c>
      <c r="D50" s="24">
        <f t="shared" ref="D50:O50" si="31">+ROUND($C$50/12,0)</f>
        <v>0</v>
      </c>
      <c r="E50" s="24">
        <f t="shared" si="31"/>
        <v>0</v>
      </c>
      <c r="F50" s="24">
        <f t="shared" si="31"/>
        <v>0</v>
      </c>
      <c r="G50" s="24">
        <f t="shared" si="31"/>
        <v>0</v>
      </c>
      <c r="H50" s="24">
        <f t="shared" si="31"/>
        <v>0</v>
      </c>
      <c r="I50" s="24">
        <f t="shared" si="31"/>
        <v>0</v>
      </c>
      <c r="J50" s="24">
        <f t="shared" si="31"/>
        <v>0</v>
      </c>
      <c r="K50" s="24">
        <f t="shared" si="31"/>
        <v>0</v>
      </c>
      <c r="L50" s="24">
        <f t="shared" si="31"/>
        <v>0</v>
      </c>
      <c r="M50" s="24">
        <f t="shared" si="31"/>
        <v>0</v>
      </c>
      <c r="N50" s="24">
        <f t="shared" si="31"/>
        <v>0</v>
      </c>
      <c r="O50" s="24">
        <f t="shared" si="31"/>
        <v>0</v>
      </c>
      <c r="P50" s="382">
        <f t="shared" si="24"/>
        <v>0</v>
      </c>
      <c r="Q50" s="383"/>
      <c r="R50" s="376"/>
    </row>
    <row r="51" spans="1:18" ht="15.75" x14ac:dyDescent="0.25">
      <c r="A51" s="67" t="s">
        <v>127</v>
      </c>
      <c r="B51" s="53" t="s">
        <v>128</v>
      </c>
      <c r="C51" s="381">
        <f>+'2 Össz'!E50/1000</f>
        <v>0</v>
      </c>
      <c r="D51" s="24">
        <f t="shared" ref="D51:O51" si="32">+ROUND($C$51/12,0)</f>
        <v>0</v>
      </c>
      <c r="E51" s="24">
        <f t="shared" si="32"/>
        <v>0</v>
      </c>
      <c r="F51" s="24">
        <f t="shared" si="32"/>
        <v>0</v>
      </c>
      <c r="G51" s="24">
        <f t="shared" si="32"/>
        <v>0</v>
      </c>
      <c r="H51" s="24">
        <f t="shared" si="32"/>
        <v>0</v>
      </c>
      <c r="I51" s="24">
        <f t="shared" si="32"/>
        <v>0</v>
      </c>
      <c r="J51" s="24">
        <f t="shared" si="32"/>
        <v>0</v>
      </c>
      <c r="K51" s="24">
        <f t="shared" si="32"/>
        <v>0</v>
      </c>
      <c r="L51" s="24">
        <f t="shared" si="32"/>
        <v>0</v>
      </c>
      <c r="M51" s="24">
        <f t="shared" si="32"/>
        <v>0</v>
      </c>
      <c r="N51" s="24">
        <f t="shared" si="32"/>
        <v>0</v>
      </c>
      <c r="O51" s="24">
        <f t="shared" si="32"/>
        <v>0</v>
      </c>
      <c r="P51" s="382">
        <f t="shared" si="24"/>
        <v>0</v>
      </c>
      <c r="Q51" s="383"/>
      <c r="R51" s="376"/>
    </row>
    <row r="52" spans="1:18" ht="15.75" x14ac:dyDescent="0.25">
      <c r="A52" s="67" t="s">
        <v>841</v>
      </c>
      <c r="B52" s="53" t="s">
        <v>130</v>
      </c>
      <c r="C52" s="381">
        <f>+'2 Össz'!E51/1000</f>
        <v>17867</v>
      </c>
      <c r="D52" s="24">
        <f t="shared" ref="D52:N52" si="33">+ROUND($C$52/12,0)</f>
        <v>1489</v>
      </c>
      <c r="E52" s="24">
        <f t="shared" si="33"/>
        <v>1489</v>
      </c>
      <c r="F52" s="24">
        <f t="shared" si="33"/>
        <v>1489</v>
      </c>
      <c r="G52" s="24">
        <f t="shared" si="33"/>
        <v>1489</v>
      </c>
      <c r="H52" s="24">
        <f t="shared" si="33"/>
        <v>1489</v>
      </c>
      <c r="I52" s="24">
        <f t="shared" si="33"/>
        <v>1489</v>
      </c>
      <c r="J52" s="24">
        <f t="shared" si="33"/>
        <v>1489</v>
      </c>
      <c r="K52" s="24">
        <f t="shared" si="33"/>
        <v>1489</v>
      </c>
      <c r="L52" s="24">
        <f t="shared" si="33"/>
        <v>1489</v>
      </c>
      <c r="M52" s="24">
        <f t="shared" si="33"/>
        <v>1489</v>
      </c>
      <c r="N52" s="24">
        <f t="shared" si="33"/>
        <v>1489</v>
      </c>
      <c r="O52" s="24">
        <f>+ROUND($C$52/12,0)-1</f>
        <v>1488</v>
      </c>
      <c r="P52" s="382">
        <f t="shared" si="24"/>
        <v>0</v>
      </c>
      <c r="Q52" s="383"/>
      <c r="R52" s="376"/>
    </row>
    <row r="53" spans="1:18" ht="15.75" x14ac:dyDescent="0.25">
      <c r="A53" s="67" t="s">
        <v>842</v>
      </c>
      <c r="B53" s="53" t="s">
        <v>132</v>
      </c>
      <c r="C53" s="381">
        <f>+'2 Össz'!E52/1000</f>
        <v>0</v>
      </c>
      <c r="D53" s="24">
        <f t="shared" ref="D53:O53" si="34">+ROUND($C$53/12,0)</f>
        <v>0</v>
      </c>
      <c r="E53" s="24">
        <f t="shared" si="34"/>
        <v>0</v>
      </c>
      <c r="F53" s="24">
        <f t="shared" si="34"/>
        <v>0</v>
      </c>
      <c r="G53" s="24">
        <f t="shared" si="34"/>
        <v>0</v>
      </c>
      <c r="H53" s="24">
        <f t="shared" si="34"/>
        <v>0</v>
      </c>
      <c r="I53" s="24">
        <f t="shared" si="34"/>
        <v>0</v>
      </c>
      <c r="J53" s="24">
        <f t="shared" si="34"/>
        <v>0</v>
      </c>
      <c r="K53" s="24">
        <f t="shared" si="34"/>
        <v>0</v>
      </c>
      <c r="L53" s="24">
        <f t="shared" si="34"/>
        <v>0</v>
      </c>
      <c r="M53" s="24">
        <f t="shared" si="34"/>
        <v>0</v>
      </c>
      <c r="N53" s="24">
        <f t="shared" si="34"/>
        <v>0</v>
      </c>
      <c r="O53" s="24">
        <f t="shared" si="34"/>
        <v>0</v>
      </c>
      <c r="P53" s="382">
        <f t="shared" si="24"/>
        <v>0</v>
      </c>
      <c r="Q53" s="383"/>
      <c r="R53" s="376"/>
    </row>
    <row r="54" spans="1:18" ht="15.75" x14ac:dyDescent="0.25">
      <c r="A54" s="67" t="s">
        <v>133</v>
      </c>
      <c r="B54" s="53" t="s">
        <v>134</v>
      </c>
      <c r="C54" s="381">
        <f>+'2 Össz'!E53/1000</f>
        <v>0</v>
      </c>
      <c r="D54" s="24">
        <f t="shared" ref="D54:O55" si="35">+ROUND($C$54/12,0)</f>
        <v>0</v>
      </c>
      <c r="E54" s="24">
        <f t="shared" si="35"/>
        <v>0</v>
      </c>
      <c r="F54" s="24">
        <f t="shared" si="35"/>
        <v>0</v>
      </c>
      <c r="G54" s="24">
        <f t="shared" si="35"/>
        <v>0</v>
      </c>
      <c r="H54" s="24">
        <f t="shared" si="35"/>
        <v>0</v>
      </c>
      <c r="I54" s="24">
        <f t="shared" si="35"/>
        <v>0</v>
      </c>
      <c r="J54" s="24">
        <f t="shared" si="35"/>
        <v>0</v>
      </c>
      <c r="K54" s="24">
        <f t="shared" si="35"/>
        <v>0</v>
      </c>
      <c r="L54" s="24">
        <f t="shared" si="35"/>
        <v>0</v>
      </c>
      <c r="M54" s="24">
        <f t="shared" si="35"/>
        <v>0</v>
      </c>
      <c r="N54" s="24">
        <f t="shared" si="35"/>
        <v>0</v>
      </c>
      <c r="O54" s="24">
        <f t="shared" si="35"/>
        <v>0</v>
      </c>
      <c r="P54" s="382">
        <f t="shared" si="24"/>
        <v>0</v>
      </c>
      <c r="Q54" s="383"/>
      <c r="R54" s="376"/>
    </row>
    <row r="55" spans="1:18" ht="15.75" x14ac:dyDescent="0.25">
      <c r="A55" s="67" t="s">
        <v>135</v>
      </c>
      <c r="B55" s="53" t="s">
        <v>136</v>
      </c>
      <c r="C55" s="381">
        <f>+'2 Össz'!E54/1000</f>
        <v>0</v>
      </c>
      <c r="D55" s="24">
        <f t="shared" si="35"/>
        <v>0</v>
      </c>
      <c r="E55" s="24">
        <f t="shared" si="35"/>
        <v>0</v>
      </c>
      <c r="F55" s="24">
        <f t="shared" si="35"/>
        <v>0</v>
      </c>
      <c r="G55" s="24">
        <f t="shared" si="35"/>
        <v>0</v>
      </c>
      <c r="H55" s="24">
        <f t="shared" si="35"/>
        <v>0</v>
      </c>
      <c r="I55" s="24">
        <f t="shared" si="35"/>
        <v>0</v>
      </c>
      <c r="J55" s="24">
        <f t="shared" si="35"/>
        <v>0</v>
      </c>
      <c r="K55" s="24">
        <f t="shared" si="35"/>
        <v>0</v>
      </c>
      <c r="L55" s="24">
        <f t="shared" si="35"/>
        <v>0</v>
      </c>
      <c r="M55" s="24">
        <f t="shared" si="35"/>
        <v>0</v>
      </c>
      <c r="N55" s="24">
        <f t="shared" si="35"/>
        <v>0</v>
      </c>
      <c r="O55" s="24">
        <f t="shared" si="35"/>
        <v>0</v>
      </c>
      <c r="P55" s="382">
        <f t="shared" si="24"/>
        <v>0</v>
      </c>
      <c r="Q55" s="383"/>
      <c r="R55" s="376"/>
    </row>
    <row r="56" spans="1:18" ht="15.75" x14ac:dyDescent="0.25">
      <c r="A56" s="67" t="s">
        <v>137</v>
      </c>
      <c r="B56" s="53" t="s">
        <v>138</v>
      </c>
      <c r="C56" s="381">
        <f>+'2 Össz'!E55/1000</f>
        <v>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382">
        <f t="shared" si="24"/>
        <v>0</v>
      </c>
      <c r="Q56" s="383"/>
      <c r="R56" s="376"/>
    </row>
    <row r="57" spans="1:18" s="387" customFormat="1" ht="15.75" x14ac:dyDescent="0.25">
      <c r="A57" s="152" t="s">
        <v>139</v>
      </c>
      <c r="B57" s="363" t="s">
        <v>140</v>
      </c>
      <c r="C57" s="384">
        <f t="shared" ref="C57:O57" si="36">SUM(C48:C56)</f>
        <v>17867</v>
      </c>
      <c r="D57" s="99">
        <f t="shared" si="36"/>
        <v>1489</v>
      </c>
      <c r="E57" s="99">
        <f t="shared" si="36"/>
        <v>1489</v>
      </c>
      <c r="F57" s="99">
        <f t="shared" si="36"/>
        <v>1489</v>
      </c>
      <c r="G57" s="99">
        <f t="shared" si="36"/>
        <v>1489</v>
      </c>
      <c r="H57" s="99">
        <f t="shared" si="36"/>
        <v>1489</v>
      </c>
      <c r="I57" s="99">
        <f t="shared" si="36"/>
        <v>1489</v>
      </c>
      <c r="J57" s="99">
        <f t="shared" si="36"/>
        <v>1489</v>
      </c>
      <c r="K57" s="99">
        <f t="shared" si="36"/>
        <v>1489</v>
      </c>
      <c r="L57" s="99">
        <f t="shared" si="36"/>
        <v>1489</v>
      </c>
      <c r="M57" s="99">
        <f t="shared" si="36"/>
        <v>1489</v>
      </c>
      <c r="N57" s="99">
        <f t="shared" si="36"/>
        <v>1489</v>
      </c>
      <c r="O57" s="99">
        <f t="shared" si="36"/>
        <v>1488</v>
      </c>
      <c r="P57" s="382">
        <f t="shared" si="24"/>
        <v>0</v>
      </c>
      <c r="Q57" s="383"/>
      <c r="R57" s="386"/>
    </row>
    <row r="58" spans="1:18" s="387" customFormat="1" ht="15.75" x14ac:dyDescent="0.25">
      <c r="A58" s="364" t="s">
        <v>141</v>
      </c>
      <c r="B58" s="363" t="s">
        <v>142</v>
      </c>
      <c r="C58" s="384">
        <f t="shared" ref="C58:O58" si="37">+C57+C47+C42</f>
        <v>3985671.6770000001</v>
      </c>
      <c r="D58" s="99">
        <f t="shared" si="37"/>
        <v>71639.8</v>
      </c>
      <c r="E58" s="99">
        <f t="shared" si="37"/>
        <v>84039</v>
      </c>
      <c r="F58" s="99">
        <f t="shared" si="37"/>
        <v>132260</v>
      </c>
      <c r="G58" s="99">
        <f t="shared" si="37"/>
        <v>188973</v>
      </c>
      <c r="H58" s="99">
        <f t="shared" si="37"/>
        <v>168611</v>
      </c>
      <c r="I58" s="99">
        <f t="shared" si="37"/>
        <v>210934</v>
      </c>
      <c r="J58" s="99">
        <f t="shared" si="37"/>
        <v>136274</v>
      </c>
      <c r="K58" s="99">
        <f t="shared" si="37"/>
        <v>608935</v>
      </c>
      <c r="L58" s="99">
        <f t="shared" si="37"/>
        <v>435702</v>
      </c>
      <c r="M58" s="99">
        <f t="shared" si="37"/>
        <v>296707</v>
      </c>
      <c r="N58" s="99">
        <f t="shared" si="37"/>
        <v>1173097</v>
      </c>
      <c r="O58" s="99">
        <f t="shared" si="37"/>
        <v>478500</v>
      </c>
      <c r="P58" s="382">
        <f t="shared" si="24"/>
        <v>-0.12299999967217445</v>
      </c>
      <c r="Q58" s="383"/>
      <c r="R58" s="386"/>
    </row>
    <row r="59" spans="1:18" s="387" customFormat="1" ht="15.75" x14ac:dyDescent="0.25">
      <c r="A59" s="98" t="s">
        <v>143</v>
      </c>
      <c r="B59" s="363" t="s">
        <v>144</v>
      </c>
      <c r="C59" s="384">
        <f>+C34+C58</f>
        <v>7654786.9240000006</v>
      </c>
      <c r="D59" s="99">
        <f t="shared" ref="D59:O59" si="38">+D57+D47+D42+D33+D18+D17+D11+D10</f>
        <v>371923.8</v>
      </c>
      <c r="E59" s="99">
        <f t="shared" si="38"/>
        <v>384323</v>
      </c>
      <c r="F59" s="99">
        <f t="shared" si="38"/>
        <v>432544</v>
      </c>
      <c r="G59" s="99">
        <f t="shared" si="38"/>
        <v>492457</v>
      </c>
      <c r="H59" s="99">
        <f t="shared" si="38"/>
        <v>488095</v>
      </c>
      <c r="I59" s="99">
        <f t="shared" si="38"/>
        <v>512218</v>
      </c>
      <c r="J59" s="99">
        <f t="shared" si="38"/>
        <v>436558</v>
      </c>
      <c r="K59" s="99">
        <f t="shared" si="38"/>
        <v>919219</v>
      </c>
      <c r="L59" s="99">
        <f t="shared" si="38"/>
        <v>735986</v>
      </c>
      <c r="M59" s="99">
        <f t="shared" si="38"/>
        <v>607991</v>
      </c>
      <c r="N59" s="99">
        <f t="shared" si="38"/>
        <v>1483381</v>
      </c>
      <c r="O59" s="99">
        <f t="shared" si="38"/>
        <v>790091</v>
      </c>
      <c r="P59" s="382">
        <f t="shared" si="24"/>
        <v>0.1240000007674098</v>
      </c>
      <c r="Q59" s="385"/>
      <c r="R59" s="386"/>
    </row>
    <row r="60" spans="1:18" ht="15.75" hidden="1" x14ac:dyDescent="0.25">
      <c r="A60" s="67" t="s">
        <v>145</v>
      </c>
      <c r="B60" s="54" t="s">
        <v>146</v>
      </c>
      <c r="C60" s="381">
        <f>+'2 Össz'!E59</f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382">
        <f t="shared" si="24"/>
        <v>0</v>
      </c>
      <c r="Q60" s="383"/>
      <c r="R60" s="376"/>
    </row>
    <row r="61" spans="1:18" ht="15.75" hidden="1" x14ac:dyDescent="0.25">
      <c r="A61" s="67" t="s">
        <v>147</v>
      </c>
      <c r="B61" s="54" t="s">
        <v>148</v>
      </c>
      <c r="C61" s="381">
        <f>+'2 Össz'!E60</f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382">
        <f t="shared" si="24"/>
        <v>0</v>
      </c>
      <c r="Q61" s="383"/>
      <c r="R61" s="376"/>
    </row>
    <row r="62" spans="1:18" ht="15.75" x14ac:dyDescent="0.25">
      <c r="A62" s="67" t="s">
        <v>149</v>
      </c>
      <c r="B62" s="54" t="s">
        <v>150</v>
      </c>
      <c r="C62" s="381">
        <f>+'2 Össz'!E61/1000</f>
        <v>88500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>
        <v>88500</v>
      </c>
      <c r="P62" s="382">
        <f t="shared" si="24"/>
        <v>0</v>
      </c>
      <c r="Q62" s="383"/>
      <c r="R62" s="376"/>
    </row>
    <row r="63" spans="1:18" s="387" customFormat="1" ht="15.75" x14ac:dyDescent="0.25">
      <c r="A63" s="152" t="s">
        <v>151</v>
      </c>
      <c r="B63" s="97" t="s">
        <v>152</v>
      </c>
      <c r="C63" s="384">
        <f t="shared" ref="C63:O63" si="39">SUM(C60:C62)</f>
        <v>88500</v>
      </c>
      <c r="D63" s="365">
        <f t="shared" si="39"/>
        <v>0</v>
      </c>
      <c r="E63" s="365">
        <f t="shared" si="39"/>
        <v>0</v>
      </c>
      <c r="F63" s="365">
        <f t="shared" si="39"/>
        <v>0</v>
      </c>
      <c r="G63" s="365">
        <f t="shared" si="39"/>
        <v>0</v>
      </c>
      <c r="H63" s="365">
        <f t="shared" si="39"/>
        <v>0</v>
      </c>
      <c r="I63" s="365">
        <f t="shared" si="39"/>
        <v>0</v>
      </c>
      <c r="J63" s="365">
        <f t="shared" si="39"/>
        <v>0</v>
      </c>
      <c r="K63" s="365">
        <f t="shared" si="39"/>
        <v>0</v>
      </c>
      <c r="L63" s="365">
        <f t="shared" si="39"/>
        <v>0</v>
      </c>
      <c r="M63" s="365">
        <f t="shared" si="39"/>
        <v>0</v>
      </c>
      <c r="N63" s="365">
        <f t="shared" si="39"/>
        <v>0</v>
      </c>
      <c r="O63" s="365">
        <f t="shared" si="39"/>
        <v>88500</v>
      </c>
      <c r="P63" s="382">
        <f t="shared" si="24"/>
        <v>0</v>
      </c>
      <c r="Q63" s="385"/>
      <c r="R63" s="386"/>
    </row>
    <row r="64" spans="1:18" s="391" customFormat="1" ht="15.75" hidden="1" x14ac:dyDescent="0.25">
      <c r="A64" s="73" t="s">
        <v>153</v>
      </c>
      <c r="B64" s="54" t="s">
        <v>154</v>
      </c>
      <c r="C64" s="381">
        <f>+'2 Össz'!E63</f>
        <v>0</v>
      </c>
      <c r="D64" s="24">
        <f t="shared" ref="D64:O65" si="40">+ROUND($C$65/12,0)</f>
        <v>0</v>
      </c>
      <c r="E64" s="24">
        <f t="shared" si="40"/>
        <v>0</v>
      </c>
      <c r="F64" s="24">
        <f t="shared" si="40"/>
        <v>0</v>
      </c>
      <c r="G64" s="24">
        <f t="shared" si="40"/>
        <v>0</v>
      </c>
      <c r="H64" s="24">
        <f t="shared" si="40"/>
        <v>0</v>
      </c>
      <c r="I64" s="24">
        <f t="shared" si="40"/>
        <v>0</v>
      </c>
      <c r="J64" s="24">
        <f t="shared" si="40"/>
        <v>0</v>
      </c>
      <c r="K64" s="24">
        <f t="shared" si="40"/>
        <v>0</v>
      </c>
      <c r="L64" s="24">
        <f t="shared" si="40"/>
        <v>0</v>
      </c>
      <c r="M64" s="24">
        <f t="shared" si="40"/>
        <v>0</v>
      </c>
      <c r="N64" s="24">
        <f t="shared" si="40"/>
        <v>0</v>
      </c>
      <c r="O64" s="24">
        <f t="shared" si="40"/>
        <v>0</v>
      </c>
      <c r="P64" s="382">
        <f t="shared" si="24"/>
        <v>0</v>
      </c>
      <c r="Q64" s="388"/>
      <c r="R64" s="389"/>
    </row>
    <row r="65" spans="1:18" ht="15.75" x14ac:dyDescent="0.25">
      <c r="A65" s="73" t="s">
        <v>155</v>
      </c>
      <c r="B65" s="54" t="s">
        <v>156</v>
      </c>
      <c r="C65" s="381">
        <f>+'2 Össz'!E64/1000</f>
        <v>0</v>
      </c>
      <c r="D65" s="24">
        <f t="shared" si="40"/>
        <v>0</v>
      </c>
      <c r="E65" s="24">
        <f t="shared" si="40"/>
        <v>0</v>
      </c>
      <c r="F65" s="24">
        <f t="shared" si="40"/>
        <v>0</v>
      </c>
      <c r="G65" s="24">
        <f t="shared" si="40"/>
        <v>0</v>
      </c>
      <c r="H65" s="24">
        <f t="shared" si="40"/>
        <v>0</v>
      </c>
      <c r="I65" s="24">
        <f t="shared" si="40"/>
        <v>0</v>
      </c>
      <c r="J65" s="24">
        <f t="shared" si="40"/>
        <v>0</v>
      </c>
      <c r="K65" s="24">
        <f t="shared" si="40"/>
        <v>0</v>
      </c>
      <c r="L65" s="24">
        <f t="shared" si="40"/>
        <v>0</v>
      </c>
      <c r="M65" s="24">
        <f t="shared" si="40"/>
        <v>0</v>
      </c>
      <c r="N65" s="24">
        <f t="shared" si="40"/>
        <v>0</v>
      </c>
      <c r="O65" s="24">
        <f t="shared" si="40"/>
        <v>0</v>
      </c>
      <c r="P65" s="382">
        <f t="shared" si="24"/>
        <v>0</v>
      </c>
      <c r="Q65" s="383"/>
      <c r="R65" s="376"/>
    </row>
    <row r="66" spans="1:18" ht="15.75" x14ac:dyDescent="0.25">
      <c r="A66" s="73" t="s">
        <v>157</v>
      </c>
      <c r="B66" s="54" t="s">
        <v>158</v>
      </c>
      <c r="C66" s="381">
        <f>+'2 Össz'!E65/1000</f>
        <v>31000</v>
      </c>
      <c r="D66" s="24">
        <v>31000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382">
        <f t="shared" si="24"/>
        <v>0</v>
      </c>
      <c r="Q66" s="383"/>
      <c r="R66" s="376"/>
    </row>
    <row r="67" spans="1:18" ht="15.75" hidden="1" x14ac:dyDescent="0.25">
      <c r="A67" s="73" t="s">
        <v>859</v>
      </c>
      <c r="B67" s="54" t="s">
        <v>160</v>
      </c>
      <c r="C67" s="381">
        <f>+'2 Össz'!E66</f>
        <v>0</v>
      </c>
      <c r="D67" s="24">
        <f t="shared" ref="D67:O67" si="41">+ROUND($C$67/12,0)</f>
        <v>0</v>
      </c>
      <c r="E67" s="24">
        <f t="shared" si="41"/>
        <v>0</v>
      </c>
      <c r="F67" s="24">
        <f t="shared" si="41"/>
        <v>0</v>
      </c>
      <c r="G67" s="24">
        <f t="shared" si="41"/>
        <v>0</v>
      </c>
      <c r="H67" s="24">
        <f t="shared" si="41"/>
        <v>0</v>
      </c>
      <c r="I67" s="24">
        <f t="shared" si="41"/>
        <v>0</v>
      </c>
      <c r="J67" s="24">
        <f t="shared" si="41"/>
        <v>0</v>
      </c>
      <c r="K67" s="24">
        <f t="shared" si="41"/>
        <v>0</v>
      </c>
      <c r="L67" s="24">
        <f t="shared" si="41"/>
        <v>0</v>
      </c>
      <c r="M67" s="24">
        <f t="shared" si="41"/>
        <v>0</v>
      </c>
      <c r="N67" s="24">
        <f t="shared" si="41"/>
        <v>0</v>
      </c>
      <c r="O67" s="24">
        <f t="shared" si="41"/>
        <v>0</v>
      </c>
      <c r="P67" s="382">
        <f t="shared" si="24"/>
        <v>0</v>
      </c>
      <c r="Q67" s="383"/>
      <c r="R67" s="376"/>
    </row>
    <row r="68" spans="1:18" ht="15.75" hidden="1" x14ac:dyDescent="0.25">
      <c r="A68" s="73" t="s">
        <v>759</v>
      </c>
      <c r="B68" s="54" t="s">
        <v>162</v>
      </c>
      <c r="C68" s="381">
        <f>+'2 Össz'!E67</f>
        <v>0</v>
      </c>
      <c r="D68" s="24">
        <f t="shared" ref="D68:O68" si="42">+ROUND($C$68/12,0)</f>
        <v>0</v>
      </c>
      <c r="E68" s="24">
        <f t="shared" si="42"/>
        <v>0</v>
      </c>
      <c r="F68" s="24">
        <f t="shared" si="42"/>
        <v>0</v>
      </c>
      <c r="G68" s="24">
        <f t="shared" si="42"/>
        <v>0</v>
      </c>
      <c r="H68" s="24">
        <f t="shared" si="42"/>
        <v>0</v>
      </c>
      <c r="I68" s="24">
        <f t="shared" si="42"/>
        <v>0</v>
      </c>
      <c r="J68" s="24">
        <f t="shared" si="42"/>
        <v>0</v>
      </c>
      <c r="K68" s="24">
        <f t="shared" si="42"/>
        <v>0</v>
      </c>
      <c r="L68" s="24">
        <f t="shared" si="42"/>
        <v>0</v>
      </c>
      <c r="M68" s="24">
        <f t="shared" si="42"/>
        <v>0</v>
      </c>
      <c r="N68" s="24">
        <f t="shared" si="42"/>
        <v>0</v>
      </c>
      <c r="O68" s="24">
        <f t="shared" si="42"/>
        <v>0</v>
      </c>
      <c r="P68" s="382">
        <f t="shared" si="24"/>
        <v>0</v>
      </c>
      <c r="Q68" s="383"/>
      <c r="R68" s="376"/>
    </row>
    <row r="69" spans="1:18" ht="15.75" hidden="1" x14ac:dyDescent="0.25">
      <c r="A69" s="73" t="s">
        <v>163</v>
      </c>
      <c r="B69" s="54" t="s">
        <v>164</v>
      </c>
      <c r="C69" s="381">
        <f>+'2 Össz'!E68</f>
        <v>0</v>
      </c>
      <c r="D69" s="24">
        <f t="shared" ref="D69:O69" si="43">+ROUND($C$69/12,0)</f>
        <v>0</v>
      </c>
      <c r="E69" s="24">
        <f t="shared" si="43"/>
        <v>0</v>
      </c>
      <c r="F69" s="24">
        <f t="shared" si="43"/>
        <v>0</v>
      </c>
      <c r="G69" s="24">
        <f t="shared" si="43"/>
        <v>0</v>
      </c>
      <c r="H69" s="24">
        <f t="shared" si="43"/>
        <v>0</v>
      </c>
      <c r="I69" s="24">
        <f t="shared" si="43"/>
        <v>0</v>
      </c>
      <c r="J69" s="24">
        <f t="shared" si="43"/>
        <v>0</v>
      </c>
      <c r="K69" s="24">
        <f t="shared" si="43"/>
        <v>0</v>
      </c>
      <c r="L69" s="24">
        <f t="shared" si="43"/>
        <v>0</v>
      </c>
      <c r="M69" s="24">
        <f t="shared" si="43"/>
        <v>0</v>
      </c>
      <c r="N69" s="24">
        <f t="shared" si="43"/>
        <v>0</v>
      </c>
      <c r="O69" s="24">
        <f t="shared" si="43"/>
        <v>0</v>
      </c>
      <c r="P69" s="382">
        <f t="shared" si="24"/>
        <v>0</v>
      </c>
      <c r="Q69" s="383"/>
      <c r="R69" s="376"/>
    </row>
    <row r="70" spans="1:18" ht="15.75" hidden="1" x14ac:dyDescent="0.25">
      <c r="A70" s="73" t="s">
        <v>165</v>
      </c>
      <c r="B70" s="54" t="s">
        <v>166</v>
      </c>
      <c r="C70" s="381">
        <f>+'2 Össz'!E69</f>
        <v>0</v>
      </c>
      <c r="D70" s="24">
        <f t="shared" ref="D70:O71" si="44">+ROUND($C$70/12,0)</f>
        <v>0</v>
      </c>
      <c r="E70" s="24">
        <f t="shared" si="44"/>
        <v>0</v>
      </c>
      <c r="F70" s="24">
        <f t="shared" si="44"/>
        <v>0</v>
      </c>
      <c r="G70" s="24">
        <f t="shared" si="44"/>
        <v>0</v>
      </c>
      <c r="H70" s="24">
        <f t="shared" si="44"/>
        <v>0</v>
      </c>
      <c r="I70" s="24">
        <f t="shared" si="44"/>
        <v>0</v>
      </c>
      <c r="J70" s="24">
        <f t="shared" si="44"/>
        <v>0</v>
      </c>
      <c r="K70" s="24">
        <f t="shared" si="44"/>
        <v>0</v>
      </c>
      <c r="L70" s="24">
        <f t="shared" si="44"/>
        <v>0</v>
      </c>
      <c r="M70" s="24">
        <f t="shared" si="44"/>
        <v>0</v>
      </c>
      <c r="N70" s="24">
        <f t="shared" si="44"/>
        <v>0</v>
      </c>
      <c r="O70" s="24">
        <f t="shared" si="44"/>
        <v>0</v>
      </c>
      <c r="P70" s="382">
        <f t="shared" si="24"/>
        <v>0</v>
      </c>
      <c r="Q70" s="383"/>
      <c r="R70" s="376"/>
    </row>
    <row r="71" spans="1:18" ht="15.75" hidden="1" x14ac:dyDescent="0.25">
      <c r="A71" s="73" t="s">
        <v>167</v>
      </c>
      <c r="B71" s="54" t="s">
        <v>168</v>
      </c>
      <c r="C71" s="381">
        <f>+'2 Össz'!E70</f>
        <v>0</v>
      </c>
      <c r="D71" s="24">
        <f t="shared" si="44"/>
        <v>0</v>
      </c>
      <c r="E71" s="24">
        <f t="shared" si="44"/>
        <v>0</v>
      </c>
      <c r="F71" s="24">
        <f t="shared" si="44"/>
        <v>0</v>
      </c>
      <c r="G71" s="24">
        <f t="shared" si="44"/>
        <v>0</v>
      </c>
      <c r="H71" s="24">
        <f t="shared" si="44"/>
        <v>0</v>
      </c>
      <c r="I71" s="24">
        <f t="shared" si="44"/>
        <v>0</v>
      </c>
      <c r="J71" s="24">
        <f t="shared" si="44"/>
        <v>0</v>
      </c>
      <c r="K71" s="24">
        <f t="shared" si="44"/>
        <v>0</v>
      </c>
      <c r="L71" s="24">
        <f t="shared" si="44"/>
        <v>0</v>
      </c>
      <c r="M71" s="24">
        <f t="shared" si="44"/>
        <v>0</v>
      </c>
      <c r="N71" s="24">
        <f t="shared" si="44"/>
        <v>0</v>
      </c>
      <c r="O71" s="24">
        <f t="shared" si="44"/>
        <v>0</v>
      </c>
      <c r="P71" s="382">
        <f t="shared" si="24"/>
        <v>0</v>
      </c>
      <c r="Q71" s="383"/>
      <c r="R71" s="376"/>
    </row>
    <row r="72" spans="1:18" s="387" customFormat="1" ht="15.75" x14ac:dyDescent="0.25">
      <c r="A72" s="366" t="s">
        <v>169</v>
      </c>
      <c r="B72" s="97" t="s">
        <v>170</v>
      </c>
      <c r="C72" s="367">
        <f>+C70+C69+C68+C67+C66+C65+C64+C63+C71</f>
        <v>119500</v>
      </c>
      <c r="D72" s="367">
        <f t="shared" ref="D72:O72" si="45">+D70+D69+D68+D67+D66+D65+D64+D63</f>
        <v>31000</v>
      </c>
      <c r="E72" s="367">
        <f t="shared" si="45"/>
        <v>0</v>
      </c>
      <c r="F72" s="367">
        <f t="shared" si="45"/>
        <v>0</v>
      </c>
      <c r="G72" s="367">
        <f t="shared" si="45"/>
        <v>0</v>
      </c>
      <c r="H72" s="367">
        <f t="shared" si="45"/>
        <v>0</v>
      </c>
      <c r="I72" s="367">
        <f t="shared" si="45"/>
        <v>0</v>
      </c>
      <c r="J72" s="367">
        <f t="shared" si="45"/>
        <v>0</v>
      </c>
      <c r="K72" s="367">
        <f t="shared" si="45"/>
        <v>0</v>
      </c>
      <c r="L72" s="367">
        <f t="shared" si="45"/>
        <v>0</v>
      </c>
      <c r="M72" s="367">
        <f t="shared" si="45"/>
        <v>0</v>
      </c>
      <c r="N72" s="367">
        <f t="shared" si="45"/>
        <v>0</v>
      </c>
      <c r="O72" s="367">
        <f t="shared" si="45"/>
        <v>88500</v>
      </c>
      <c r="P72" s="382">
        <f t="shared" ref="P72:P77" si="46">+C72-SUM(D72:O72)</f>
        <v>0</v>
      </c>
      <c r="Q72" s="385"/>
      <c r="R72" s="386"/>
    </row>
    <row r="73" spans="1:18" s="392" customFormat="1" ht="15.75" hidden="1" x14ac:dyDescent="0.25">
      <c r="A73" s="73" t="s">
        <v>171</v>
      </c>
      <c r="B73" s="54" t="s">
        <v>172</v>
      </c>
      <c r="C73" s="381">
        <f>+'2 Össz'!E72</f>
        <v>0</v>
      </c>
      <c r="D73" s="24">
        <f t="shared" ref="D73:O73" si="47">+ROUND($C$73/12,0)</f>
        <v>0</v>
      </c>
      <c r="E73" s="24">
        <f t="shared" si="47"/>
        <v>0</v>
      </c>
      <c r="F73" s="24">
        <f t="shared" si="47"/>
        <v>0</v>
      </c>
      <c r="G73" s="24">
        <f t="shared" si="47"/>
        <v>0</v>
      </c>
      <c r="H73" s="24">
        <f t="shared" si="47"/>
        <v>0</v>
      </c>
      <c r="I73" s="24">
        <f t="shared" si="47"/>
        <v>0</v>
      </c>
      <c r="J73" s="24">
        <f t="shared" si="47"/>
        <v>0</v>
      </c>
      <c r="K73" s="24">
        <f t="shared" si="47"/>
        <v>0</v>
      </c>
      <c r="L73" s="24">
        <f t="shared" si="47"/>
        <v>0</v>
      </c>
      <c r="M73" s="24">
        <f t="shared" si="47"/>
        <v>0</v>
      </c>
      <c r="N73" s="24">
        <f t="shared" si="47"/>
        <v>0</v>
      </c>
      <c r="O73" s="24">
        <f t="shared" si="47"/>
        <v>0</v>
      </c>
      <c r="P73" s="382">
        <f t="shared" si="46"/>
        <v>0</v>
      </c>
      <c r="Q73" s="383"/>
      <c r="R73" s="376"/>
    </row>
    <row r="74" spans="1:18" ht="15.75" hidden="1" x14ac:dyDescent="0.25">
      <c r="A74" s="67" t="s">
        <v>173</v>
      </c>
      <c r="B74" s="54" t="s">
        <v>174</v>
      </c>
      <c r="C74" s="381">
        <f>+'2 Össz'!E73</f>
        <v>0</v>
      </c>
      <c r="D74" s="24">
        <f t="shared" ref="D74:O75" si="48">+ROUND($C$74/12,0)</f>
        <v>0</v>
      </c>
      <c r="E74" s="24">
        <f t="shared" si="48"/>
        <v>0</v>
      </c>
      <c r="F74" s="24">
        <f t="shared" si="48"/>
        <v>0</v>
      </c>
      <c r="G74" s="24">
        <f t="shared" si="48"/>
        <v>0</v>
      </c>
      <c r="H74" s="24">
        <f t="shared" si="48"/>
        <v>0</v>
      </c>
      <c r="I74" s="24">
        <f t="shared" si="48"/>
        <v>0</v>
      </c>
      <c r="J74" s="24">
        <f t="shared" si="48"/>
        <v>0</v>
      </c>
      <c r="K74" s="24">
        <f t="shared" si="48"/>
        <v>0</v>
      </c>
      <c r="L74" s="24">
        <f t="shared" si="48"/>
        <v>0</v>
      </c>
      <c r="M74" s="24">
        <f t="shared" si="48"/>
        <v>0</v>
      </c>
      <c r="N74" s="24">
        <f t="shared" si="48"/>
        <v>0</v>
      </c>
      <c r="O74" s="24">
        <f t="shared" si="48"/>
        <v>0</v>
      </c>
      <c r="P74" s="382">
        <f t="shared" si="46"/>
        <v>0</v>
      </c>
      <c r="Q74" s="383"/>
      <c r="R74" s="376"/>
    </row>
    <row r="75" spans="1:18" ht="15.75" hidden="1" x14ac:dyDescent="0.25">
      <c r="A75" s="67" t="s">
        <v>175</v>
      </c>
      <c r="B75" s="54" t="s">
        <v>176</v>
      </c>
      <c r="C75" s="381">
        <f>+'2 Össz'!E74</f>
        <v>0</v>
      </c>
      <c r="D75" s="24">
        <f t="shared" si="48"/>
        <v>0</v>
      </c>
      <c r="E75" s="24">
        <f t="shared" si="48"/>
        <v>0</v>
      </c>
      <c r="F75" s="24">
        <f t="shared" si="48"/>
        <v>0</v>
      </c>
      <c r="G75" s="24">
        <f t="shared" si="48"/>
        <v>0</v>
      </c>
      <c r="H75" s="24">
        <f t="shared" si="48"/>
        <v>0</v>
      </c>
      <c r="I75" s="24">
        <f t="shared" si="48"/>
        <v>0</v>
      </c>
      <c r="J75" s="24">
        <f t="shared" si="48"/>
        <v>0</v>
      </c>
      <c r="K75" s="24">
        <f t="shared" si="48"/>
        <v>0</v>
      </c>
      <c r="L75" s="24">
        <f t="shared" si="48"/>
        <v>0</v>
      </c>
      <c r="M75" s="24">
        <f t="shared" si="48"/>
        <v>0</v>
      </c>
      <c r="N75" s="24">
        <f t="shared" si="48"/>
        <v>0</v>
      </c>
      <c r="O75" s="24">
        <f t="shared" si="48"/>
        <v>0</v>
      </c>
      <c r="P75" s="382">
        <f t="shared" si="46"/>
        <v>0</v>
      </c>
      <c r="Q75" s="383"/>
      <c r="R75" s="376"/>
    </row>
    <row r="76" spans="1:18" s="387" customFormat="1" ht="15.75" x14ac:dyDescent="0.25">
      <c r="A76" s="366" t="s">
        <v>177</v>
      </c>
      <c r="B76" s="97" t="s">
        <v>178</v>
      </c>
      <c r="C76" s="367">
        <f>SUM(C72:C75)</f>
        <v>119500</v>
      </c>
      <c r="D76" s="367">
        <f>SUM(D72:D75)</f>
        <v>31000</v>
      </c>
      <c r="E76" s="367">
        <f t="shared" ref="E76:O76" si="49">+E74+E73+E72</f>
        <v>0</v>
      </c>
      <c r="F76" s="367">
        <f t="shared" si="49"/>
        <v>0</v>
      </c>
      <c r="G76" s="367">
        <f t="shared" si="49"/>
        <v>0</v>
      </c>
      <c r="H76" s="367">
        <f t="shared" si="49"/>
        <v>0</v>
      </c>
      <c r="I76" s="367">
        <f t="shared" si="49"/>
        <v>0</v>
      </c>
      <c r="J76" s="367">
        <f t="shared" si="49"/>
        <v>0</v>
      </c>
      <c r="K76" s="367">
        <f t="shared" si="49"/>
        <v>0</v>
      </c>
      <c r="L76" s="367">
        <f t="shared" si="49"/>
        <v>0</v>
      </c>
      <c r="M76" s="367">
        <f t="shared" si="49"/>
        <v>0</v>
      </c>
      <c r="N76" s="367">
        <f t="shared" si="49"/>
        <v>0</v>
      </c>
      <c r="O76" s="367">
        <f t="shared" si="49"/>
        <v>88500</v>
      </c>
      <c r="P76" s="382">
        <f t="shared" si="46"/>
        <v>0</v>
      </c>
      <c r="Q76" s="383"/>
      <c r="R76" s="386"/>
    </row>
    <row r="77" spans="1:18" s="387" customFormat="1" ht="15.75" x14ac:dyDescent="0.25">
      <c r="A77" s="124" t="s">
        <v>179</v>
      </c>
      <c r="B77" s="124" t="s">
        <v>180</v>
      </c>
      <c r="C77" s="99">
        <f t="shared" ref="C77:O77" si="50">+C59+C76</f>
        <v>7774286.9240000006</v>
      </c>
      <c r="D77" s="99">
        <f t="shared" si="50"/>
        <v>402923.8</v>
      </c>
      <c r="E77" s="99">
        <f t="shared" si="50"/>
        <v>384323</v>
      </c>
      <c r="F77" s="99">
        <f t="shared" si="50"/>
        <v>432544</v>
      </c>
      <c r="G77" s="99">
        <f t="shared" si="50"/>
        <v>492457</v>
      </c>
      <c r="H77" s="99">
        <f t="shared" si="50"/>
        <v>488095</v>
      </c>
      <c r="I77" s="99">
        <f t="shared" si="50"/>
        <v>512218</v>
      </c>
      <c r="J77" s="99">
        <f t="shared" si="50"/>
        <v>436558</v>
      </c>
      <c r="K77" s="99">
        <f t="shared" si="50"/>
        <v>919219</v>
      </c>
      <c r="L77" s="99">
        <f t="shared" si="50"/>
        <v>735986</v>
      </c>
      <c r="M77" s="99">
        <f t="shared" si="50"/>
        <v>607991</v>
      </c>
      <c r="N77" s="99">
        <f t="shared" si="50"/>
        <v>1483381</v>
      </c>
      <c r="O77" s="99">
        <f t="shared" si="50"/>
        <v>878591</v>
      </c>
      <c r="P77" s="382">
        <f t="shared" si="46"/>
        <v>0.1240000007674098</v>
      </c>
      <c r="Q77" s="383"/>
      <c r="R77" s="386"/>
    </row>
    <row r="78" spans="1:18" ht="15.75" hidden="1" x14ac:dyDescent="0.25">
      <c r="A78" s="13"/>
      <c r="B78" s="23"/>
      <c r="C78" s="381"/>
      <c r="D78" s="24"/>
      <c r="E78" s="393"/>
      <c r="F78" s="393"/>
      <c r="G78" s="393"/>
      <c r="H78" s="393"/>
      <c r="I78" s="393"/>
      <c r="J78" s="393"/>
      <c r="K78" s="393"/>
      <c r="L78" s="393"/>
      <c r="M78" s="393"/>
      <c r="N78" s="393"/>
      <c r="O78" s="393"/>
      <c r="P78" s="382"/>
      <c r="Q78" s="383"/>
      <c r="R78" s="376"/>
    </row>
    <row r="79" spans="1:18" s="380" customFormat="1" ht="31.5" x14ac:dyDescent="0.25">
      <c r="A79" s="19" t="s">
        <v>14</v>
      </c>
      <c r="B79" s="48" t="s">
        <v>41</v>
      </c>
      <c r="C79" s="48" t="s">
        <v>566</v>
      </c>
      <c r="D79" s="377" t="s">
        <v>846</v>
      </c>
      <c r="E79" s="378" t="s">
        <v>847</v>
      </c>
      <c r="F79" s="378" t="s">
        <v>848</v>
      </c>
      <c r="G79" s="378" t="s">
        <v>849</v>
      </c>
      <c r="H79" s="378" t="s">
        <v>850</v>
      </c>
      <c r="I79" s="378" t="s">
        <v>851</v>
      </c>
      <c r="J79" s="378" t="s">
        <v>852</v>
      </c>
      <c r="K79" s="378" t="s">
        <v>853</v>
      </c>
      <c r="L79" s="378" t="s">
        <v>854</v>
      </c>
      <c r="M79" s="378" t="s">
        <v>855</v>
      </c>
      <c r="N79" s="378" t="s">
        <v>856</v>
      </c>
      <c r="O79" s="378" t="s">
        <v>857</v>
      </c>
      <c r="P79" s="382"/>
      <c r="Q79" s="379"/>
      <c r="R79" s="379"/>
    </row>
    <row r="80" spans="1:18" ht="15.75" x14ac:dyDescent="0.25">
      <c r="A80" s="52" t="s">
        <v>182</v>
      </c>
      <c r="B80" s="65" t="s">
        <v>183</v>
      </c>
      <c r="C80" s="381">
        <f>+'2 Össz'!E80/1000</f>
        <v>213799.174</v>
      </c>
      <c r="D80" s="24">
        <f>+ROUND($C$80*0.12,0)</f>
        <v>25656</v>
      </c>
      <c r="E80" s="24">
        <f t="shared" ref="E80:N80" si="51">+ROUND($C$80*0.08,0)</f>
        <v>17104</v>
      </c>
      <c r="F80" s="24">
        <f t="shared" si="51"/>
        <v>17104</v>
      </c>
      <c r="G80" s="24">
        <f t="shared" si="51"/>
        <v>17104</v>
      </c>
      <c r="H80" s="24">
        <f t="shared" si="51"/>
        <v>17104</v>
      </c>
      <c r="I80" s="24">
        <f t="shared" si="51"/>
        <v>17104</v>
      </c>
      <c r="J80" s="24">
        <f t="shared" si="51"/>
        <v>17104</v>
      </c>
      <c r="K80" s="24">
        <f t="shared" si="51"/>
        <v>17104</v>
      </c>
      <c r="L80" s="24">
        <f t="shared" si="51"/>
        <v>17104</v>
      </c>
      <c r="M80" s="24">
        <f t="shared" si="51"/>
        <v>17104</v>
      </c>
      <c r="N80" s="24">
        <f t="shared" si="51"/>
        <v>17104</v>
      </c>
      <c r="O80" s="24">
        <f>+ROUND($C$80*0.08,0)-1</f>
        <v>17103</v>
      </c>
      <c r="P80" s="382">
        <f t="shared" ref="P80:P111" si="52">+C80-SUM(D80:O80)</f>
        <v>0.17399999999906868</v>
      </c>
      <c r="Q80" s="383"/>
      <c r="R80" s="376"/>
    </row>
    <row r="81" spans="1:18" ht="15.75" x14ac:dyDescent="0.25">
      <c r="A81" s="54" t="s">
        <v>184</v>
      </c>
      <c r="B81" s="65" t="s">
        <v>185</v>
      </c>
      <c r="C81" s="381">
        <f>+'2 Össz'!E81/1000</f>
        <v>179100.86799999999</v>
      </c>
      <c r="D81" s="24">
        <f>+ROUND($C$81*0.12,0)</f>
        <v>21492</v>
      </c>
      <c r="E81" s="24">
        <f t="shared" ref="E81:N81" si="53">+ROUND($C$81*0.08,0)</f>
        <v>14328</v>
      </c>
      <c r="F81" s="24">
        <f t="shared" si="53"/>
        <v>14328</v>
      </c>
      <c r="G81" s="24">
        <f t="shared" si="53"/>
        <v>14328</v>
      </c>
      <c r="H81" s="24">
        <f t="shared" si="53"/>
        <v>14328</v>
      </c>
      <c r="I81" s="24">
        <f t="shared" si="53"/>
        <v>14328</v>
      </c>
      <c r="J81" s="24">
        <f t="shared" si="53"/>
        <v>14328</v>
      </c>
      <c r="K81" s="24">
        <f t="shared" si="53"/>
        <v>14328</v>
      </c>
      <c r="L81" s="24">
        <f t="shared" si="53"/>
        <v>14328</v>
      </c>
      <c r="M81" s="24">
        <f t="shared" si="53"/>
        <v>14328</v>
      </c>
      <c r="N81" s="24">
        <f t="shared" si="53"/>
        <v>14328</v>
      </c>
      <c r="O81" s="24">
        <f>+ROUND($C$81*0.08,0)+1</f>
        <v>14329</v>
      </c>
      <c r="P81" s="382">
        <f t="shared" si="52"/>
        <v>-0.13200000001234002</v>
      </c>
      <c r="Q81" s="383"/>
      <c r="R81" s="376"/>
    </row>
    <row r="82" spans="1:18" ht="15.75" x14ac:dyDescent="0.25">
      <c r="A82" s="54" t="s">
        <v>843</v>
      </c>
      <c r="B82" s="65" t="s">
        <v>187</v>
      </c>
      <c r="C82" s="381">
        <f>+'2 Össz'!E82/1000</f>
        <v>544695.43000000005</v>
      </c>
      <c r="D82" s="24">
        <f>+ROUND($C$82*0.12,0)</f>
        <v>65363</v>
      </c>
      <c r="E82" s="24">
        <f t="shared" ref="E82:N82" si="54">+ROUND($C$82*0.08,0)</f>
        <v>43576</v>
      </c>
      <c r="F82" s="24">
        <f t="shared" si="54"/>
        <v>43576</v>
      </c>
      <c r="G82" s="24">
        <f t="shared" si="54"/>
        <v>43576</v>
      </c>
      <c r="H82" s="24">
        <f t="shared" si="54"/>
        <v>43576</v>
      </c>
      <c r="I82" s="24">
        <f t="shared" si="54"/>
        <v>43576</v>
      </c>
      <c r="J82" s="24">
        <f t="shared" si="54"/>
        <v>43576</v>
      </c>
      <c r="K82" s="24">
        <f t="shared" si="54"/>
        <v>43576</v>
      </c>
      <c r="L82" s="24">
        <f t="shared" si="54"/>
        <v>43576</v>
      </c>
      <c r="M82" s="24">
        <f t="shared" si="54"/>
        <v>43576</v>
      </c>
      <c r="N82" s="24">
        <f t="shared" si="54"/>
        <v>43576</v>
      </c>
      <c r="O82" s="24">
        <f>+ROUND($C$82*0.08,0)-3.6</f>
        <v>43572.4</v>
      </c>
      <c r="P82" s="382">
        <f t="shared" si="52"/>
        <v>3.0000000027939677E-2</v>
      </c>
      <c r="Q82" s="383"/>
      <c r="R82" s="376"/>
    </row>
    <row r="83" spans="1:18" ht="15.75" x14ac:dyDescent="0.25">
      <c r="A83" s="54" t="s">
        <v>188</v>
      </c>
      <c r="B83" s="65" t="s">
        <v>189</v>
      </c>
      <c r="C83" s="381">
        <f>+'2 Össz'!E83/1000</f>
        <v>13507.23</v>
      </c>
      <c r="D83" s="24">
        <f>+ROUND($C$83*0.12,0)</f>
        <v>1621</v>
      </c>
      <c r="E83" s="24">
        <f t="shared" ref="E83:N83" si="55">+ROUND($C$83*0.08,0)</f>
        <v>1081</v>
      </c>
      <c r="F83" s="24">
        <f t="shared" si="55"/>
        <v>1081</v>
      </c>
      <c r="G83" s="24">
        <f t="shared" si="55"/>
        <v>1081</v>
      </c>
      <c r="H83" s="24">
        <f t="shared" si="55"/>
        <v>1081</v>
      </c>
      <c r="I83" s="24">
        <f t="shared" si="55"/>
        <v>1081</v>
      </c>
      <c r="J83" s="24">
        <f t="shared" si="55"/>
        <v>1081</v>
      </c>
      <c r="K83" s="24">
        <f t="shared" si="55"/>
        <v>1081</v>
      </c>
      <c r="L83" s="24">
        <f t="shared" si="55"/>
        <v>1081</v>
      </c>
      <c r="M83" s="24">
        <f t="shared" si="55"/>
        <v>1081</v>
      </c>
      <c r="N83" s="24">
        <f t="shared" si="55"/>
        <v>1081</v>
      </c>
      <c r="O83" s="24">
        <f>+ROUND($C$83*0.08,0)-5</f>
        <v>1076</v>
      </c>
      <c r="P83" s="382">
        <f t="shared" si="52"/>
        <v>0.22999999999956344</v>
      </c>
      <c r="Q83" s="383"/>
      <c r="R83" s="376"/>
    </row>
    <row r="84" spans="1:18" ht="15.75" x14ac:dyDescent="0.25">
      <c r="A84" s="54" t="s">
        <v>190</v>
      </c>
      <c r="B84" s="65" t="s">
        <v>191</v>
      </c>
      <c r="C84" s="381">
        <f>+'2 Össz'!E84/1000</f>
        <v>210179.33199999999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>
        <f>203528.6+6650.8</f>
        <v>210179.4</v>
      </c>
      <c r="P84" s="382">
        <f t="shared" si="52"/>
        <v>-6.7999999999301508E-2</v>
      </c>
      <c r="Q84" s="383"/>
      <c r="R84" s="376"/>
    </row>
    <row r="85" spans="1:18" ht="15.75" x14ac:dyDescent="0.25">
      <c r="A85" s="54" t="s">
        <v>192</v>
      </c>
      <c r="B85" s="65" t="s">
        <v>193</v>
      </c>
      <c r="C85" s="381">
        <f>+'2 Össz'!E85/1000</f>
        <v>0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382">
        <f t="shared" si="52"/>
        <v>0</v>
      </c>
      <c r="Q85" s="383"/>
      <c r="R85" s="376"/>
    </row>
    <row r="86" spans="1:18" s="387" customFormat="1" ht="15.75" x14ac:dyDescent="0.25">
      <c r="A86" s="97" t="s">
        <v>194</v>
      </c>
      <c r="B86" s="98" t="s">
        <v>195</v>
      </c>
      <c r="C86" s="99">
        <f t="shared" ref="C86:O86" si="56">SUM(C80:C85)</f>
        <v>1161282.034</v>
      </c>
      <c r="D86" s="99">
        <f t="shared" si="56"/>
        <v>114132</v>
      </c>
      <c r="E86" s="99">
        <f t="shared" si="56"/>
        <v>76089</v>
      </c>
      <c r="F86" s="99">
        <f t="shared" si="56"/>
        <v>76089</v>
      </c>
      <c r="G86" s="99">
        <f t="shared" si="56"/>
        <v>76089</v>
      </c>
      <c r="H86" s="99">
        <f t="shared" si="56"/>
        <v>76089</v>
      </c>
      <c r="I86" s="99">
        <f t="shared" si="56"/>
        <v>76089</v>
      </c>
      <c r="J86" s="99">
        <f t="shared" si="56"/>
        <v>76089</v>
      </c>
      <c r="K86" s="99">
        <f t="shared" si="56"/>
        <v>76089</v>
      </c>
      <c r="L86" s="99">
        <f t="shared" si="56"/>
        <v>76089</v>
      </c>
      <c r="M86" s="99">
        <f t="shared" si="56"/>
        <v>76089</v>
      </c>
      <c r="N86" s="99">
        <f t="shared" si="56"/>
        <v>76089</v>
      </c>
      <c r="O86" s="99">
        <f t="shared" si="56"/>
        <v>286259.8</v>
      </c>
      <c r="P86" s="382">
        <f t="shared" si="52"/>
        <v>0.23399999993853271</v>
      </c>
      <c r="Q86" s="385"/>
      <c r="R86" s="386"/>
    </row>
    <row r="87" spans="1:18" ht="15.75" x14ac:dyDescent="0.25">
      <c r="A87" s="54" t="s">
        <v>196</v>
      </c>
      <c r="B87" s="65" t="s">
        <v>197</v>
      </c>
      <c r="C87" s="381">
        <f>+'2 Össz'!E87/1000</f>
        <v>0</v>
      </c>
      <c r="D87" s="24"/>
      <c r="E87" s="393"/>
      <c r="F87" s="393"/>
      <c r="G87" s="393"/>
      <c r="H87" s="393"/>
      <c r="I87" s="393"/>
      <c r="J87" s="393"/>
      <c r="K87" s="393"/>
      <c r="L87" s="393"/>
      <c r="M87" s="393"/>
      <c r="N87" s="393"/>
      <c r="O87" s="393"/>
      <c r="P87" s="382">
        <f t="shared" si="52"/>
        <v>0</v>
      </c>
      <c r="Q87" s="383"/>
      <c r="R87" s="376"/>
    </row>
    <row r="88" spans="1:18" ht="15.75" x14ac:dyDescent="0.25">
      <c r="A88" s="54" t="s">
        <v>628</v>
      </c>
      <c r="B88" s="65" t="s">
        <v>199</v>
      </c>
      <c r="C88" s="381">
        <f>+'2 Össz'!E88/1000</f>
        <v>0</v>
      </c>
      <c r="D88" s="24"/>
      <c r="E88" s="393"/>
      <c r="F88" s="393"/>
      <c r="G88" s="393"/>
      <c r="H88" s="393"/>
      <c r="I88" s="393"/>
      <c r="J88" s="393"/>
      <c r="K88" s="393"/>
      <c r="L88" s="393"/>
      <c r="M88" s="393"/>
      <c r="N88" s="393"/>
      <c r="O88" s="393"/>
      <c r="P88" s="382">
        <f t="shared" si="52"/>
        <v>0</v>
      </c>
      <c r="Q88" s="383"/>
      <c r="R88" s="376"/>
    </row>
    <row r="89" spans="1:18" ht="15.75" x14ac:dyDescent="0.25">
      <c r="A89" s="54" t="s">
        <v>629</v>
      </c>
      <c r="B89" s="65" t="s">
        <v>201</v>
      </c>
      <c r="C89" s="381">
        <f>+'2 Össz'!E89/1000</f>
        <v>0</v>
      </c>
      <c r="D89" s="24"/>
      <c r="E89" s="393"/>
      <c r="F89" s="393"/>
      <c r="G89" s="393"/>
      <c r="H89" s="393"/>
      <c r="I89" s="393"/>
      <c r="J89" s="393"/>
      <c r="K89" s="393"/>
      <c r="L89" s="393"/>
      <c r="M89" s="393"/>
      <c r="N89" s="393"/>
      <c r="O89" s="393"/>
      <c r="P89" s="382">
        <f t="shared" si="52"/>
        <v>0</v>
      </c>
      <c r="Q89" s="383"/>
      <c r="R89" s="376"/>
    </row>
    <row r="90" spans="1:18" ht="15.75" x14ac:dyDescent="0.25">
      <c r="A90" s="54" t="s">
        <v>630</v>
      </c>
      <c r="B90" s="65" t="s">
        <v>203</v>
      </c>
      <c r="C90" s="381">
        <f>+'2 Össz'!E90/1000</f>
        <v>0</v>
      </c>
      <c r="D90" s="24"/>
      <c r="E90" s="393"/>
      <c r="F90" s="393"/>
      <c r="G90" s="393"/>
      <c r="H90" s="393"/>
      <c r="I90" s="393"/>
      <c r="J90" s="393"/>
      <c r="K90" s="393"/>
      <c r="L90" s="393"/>
      <c r="M90" s="393"/>
      <c r="N90" s="393"/>
      <c r="O90" s="393"/>
      <c r="P90" s="382">
        <f t="shared" si="52"/>
        <v>0</v>
      </c>
      <c r="Q90" s="383"/>
      <c r="R90" s="376"/>
    </row>
    <row r="91" spans="1:18" ht="15.75" x14ac:dyDescent="0.25">
      <c r="A91" s="54" t="s">
        <v>204</v>
      </c>
      <c r="B91" s="65" t="s">
        <v>205</v>
      </c>
      <c r="C91" s="381">
        <f>+'2 Össz'!E91/1000</f>
        <v>1435463.82</v>
      </c>
      <c r="D91" s="24">
        <f>67375+6287</f>
        <v>73662</v>
      </c>
      <c r="E91" s="24">
        <f>28000</f>
        <v>28000</v>
      </c>
      <c r="F91" s="24">
        <v>4206</v>
      </c>
      <c r="G91" s="24"/>
      <c r="H91" s="24">
        <v>14949</v>
      </c>
      <c r="I91" s="24">
        <v>28940</v>
      </c>
      <c r="J91" s="24"/>
      <c r="K91" s="24">
        <v>367364</v>
      </c>
      <c r="L91" s="24">
        <v>95938</v>
      </c>
      <c r="M91" s="24">
        <v>145000</v>
      </c>
      <c r="N91" s="24">
        <v>475241</v>
      </c>
      <c r="O91" s="24">
        <v>202164</v>
      </c>
      <c r="P91" s="382">
        <f t="shared" si="52"/>
        <v>-0.17999999993480742</v>
      </c>
      <c r="Q91" s="383"/>
      <c r="R91" s="376"/>
    </row>
    <row r="92" spans="1:18" s="387" customFormat="1" ht="15.75" x14ac:dyDescent="0.25">
      <c r="A92" s="97" t="s">
        <v>206</v>
      </c>
      <c r="B92" s="98" t="s">
        <v>207</v>
      </c>
      <c r="C92" s="99">
        <f t="shared" ref="C92:O92" si="57">+C91+C90+C89+C88+C87+C86</f>
        <v>2596745.8540000003</v>
      </c>
      <c r="D92" s="99">
        <f t="shared" si="57"/>
        <v>187794</v>
      </c>
      <c r="E92" s="99">
        <f t="shared" si="57"/>
        <v>104089</v>
      </c>
      <c r="F92" s="99">
        <f t="shared" si="57"/>
        <v>80295</v>
      </c>
      <c r="G92" s="99">
        <f t="shared" si="57"/>
        <v>76089</v>
      </c>
      <c r="H92" s="99">
        <f t="shared" si="57"/>
        <v>91038</v>
      </c>
      <c r="I92" s="99">
        <f t="shared" si="57"/>
        <v>105029</v>
      </c>
      <c r="J92" s="99">
        <f t="shared" si="57"/>
        <v>76089</v>
      </c>
      <c r="K92" s="99">
        <f t="shared" si="57"/>
        <v>443453</v>
      </c>
      <c r="L92" s="99">
        <f t="shared" si="57"/>
        <v>172027</v>
      </c>
      <c r="M92" s="99">
        <f t="shared" si="57"/>
        <v>221089</v>
      </c>
      <c r="N92" s="99">
        <f t="shared" si="57"/>
        <v>551330</v>
      </c>
      <c r="O92" s="99">
        <f t="shared" si="57"/>
        <v>488423.8</v>
      </c>
      <c r="P92" s="382">
        <f t="shared" si="52"/>
        <v>5.4000000469386578E-2</v>
      </c>
      <c r="Q92" s="383"/>
      <c r="R92" s="386"/>
    </row>
    <row r="93" spans="1:18" s="390" customFormat="1" ht="15.75" x14ac:dyDescent="0.25">
      <c r="A93" s="57" t="s">
        <v>208</v>
      </c>
      <c r="B93" s="66" t="s">
        <v>209</v>
      </c>
      <c r="C93" s="381">
        <f>+'2 Össz'!E93/1000</f>
        <v>3219910.4530000002</v>
      </c>
      <c r="D93" s="331">
        <v>106651</v>
      </c>
      <c r="E93" s="331"/>
      <c r="F93" s="331">
        <v>186900</v>
      </c>
      <c r="G93" s="331"/>
      <c r="H93" s="331">
        <f>+ROUND($C$93/12,0)-53824</f>
        <v>214502</v>
      </c>
      <c r="I93" s="331">
        <f>+ROUND($C$93/12,0)-38050</f>
        <v>230276</v>
      </c>
      <c r="J93" s="331">
        <f>+ROUND($C$93/12,0)+26071</f>
        <v>294397</v>
      </c>
      <c r="K93" s="331">
        <v>226964</v>
      </c>
      <c r="L93" s="331">
        <f>461024-23921</f>
        <v>437103</v>
      </c>
      <c r="M93" s="331">
        <f>469298-19610-145000</f>
        <v>304688</v>
      </c>
      <c r="N93" s="331">
        <v>885979</v>
      </c>
      <c r="O93" s="331">
        <f>339101-6650.8</f>
        <v>332450.2</v>
      </c>
      <c r="P93" s="382">
        <f t="shared" si="52"/>
        <v>0.25300000002607703</v>
      </c>
      <c r="Q93" s="388"/>
      <c r="R93" s="389"/>
    </row>
    <row r="94" spans="1:18" ht="15.75" x14ac:dyDescent="0.25">
      <c r="A94" s="54" t="s">
        <v>210</v>
      </c>
      <c r="B94" s="65" t="s">
        <v>211</v>
      </c>
      <c r="C94" s="381">
        <f>+'2 Össz'!E94/1000</f>
        <v>0</v>
      </c>
      <c r="D94" s="24"/>
      <c r="E94" s="393"/>
      <c r="F94" s="393"/>
      <c r="G94" s="393"/>
      <c r="H94" s="393"/>
      <c r="I94" s="393"/>
      <c r="J94" s="393"/>
      <c r="K94" s="393"/>
      <c r="L94" s="393"/>
      <c r="M94" s="393"/>
      <c r="N94" s="393"/>
      <c r="O94" s="393"/>
      <c r="P94" s="382">
        <f t="shared" si="52"/>
        <v>0</v>
      </c>
      <c r="Q94" s="383"/>
      <c r="R94" s="376"/>
    </row>
    <row r="95" spans="1:18" ht="15.75" x14ac:dyDescent="0.25">
      <c r="A95" s="54" t="s">
        <v>212</v>
      </c>
      <c r="B95" s="65" t="s">
        <v>213</v>
      </c>
      <c r="C95" s="381">
        <f>+'2 Össz'!E95/1000</f>
        <v>0</v>
      </c>
      <c r="D95" s="24"/>
      <c r="E95" s="393"/>
      <c r="F95" s="393"/>
      <c r="G95" s="393"/>
      <c r="H95" s="393"/>
      <c r="I95" s="393"/>
      <c r="J95" s="393"/>
      <c r="K95" s="393"/>
      <c r="L95" s="393"/>
      <c r="M95" s="393"/>
      <c r="N95" s="393"/>
      <c r="O95" s="393"/>
      <c r="P95" s="382">
        <f t="shared" si="52"/>
        <v>0</v>
      </c>
      <c r="Q95" s="383"/>
      <c r="R95" s="376"/>
    </row>
    <row r="96" spans="1:18" ht="15.75" x14ac:dyDescent="0.25">
      <c r="A96" s="54" t="s">
        <v>214</v>
      </c>
      <c r="B96" s="65" t="s">
        <v>215</v>
      </c>
      <c r="C96" s="381">
        <f>+'2 Össz'!E96/1000</f>
        <v>0</v>
      </c>
      <c r="D96" s="24"/>
      <c r="E96" s="393"/>
      <c r="F96" s="393"/>
      <c r="G96" s="393"/>
      <c r="H96" s="393"/>
      <c r="I96" s="393"/>
      <c r="J96" s="393"/>
      <c r="K96" s="393"/>
      <c r="L96" s="393"/>
      <c r="M96" s="393"/>
      <c r="N96" s="393"/>
      <c r="O96" s="393"/>
      <c r="P96" s="382">
        <f t="shared" si="52"/>
        <v>0</v>
      </c>
      <c r="Q96" s="383"/>
      <c r="R96" s="376"/>
    </row>
    <row r="97" spans="1:18" ht="15.75" x14ac:dyDescent="0.25">
      <c r="A97" s="54" t="s">
        <v>216</v>
      </c>
      <c r="B97" s="65" t="s">
        <v>217</v>
      </c>
      <c r="C97" s="381">
        <f>+'2 Össz'!E97/1000</f>
        <v>115500</v>
      </c>
      <c r="D97" s="24"/>
      <c r="E97" s="24">
        <f>+ROUND($C$97/12,0)*2</f>
        <v>19250</v>
      </c>
      <c r="F97" s="24">
        <f>+ROUND($C$97/12,0)*2-507</f>
        <v>18743</v>
      </c>
      <c r="G97" s="24">
        <f>+ROUND($C$97/12,0)</f>
        <v>9625</v>
      </c>
      <c r="H97" s="24">
        <f>+ROUND($C$97/12,0)</f>
        <v>9625</v>
      </c>
      <c r="I97" s="24">
        <f>+ROUND($C$97/12,0)*2+507</f>
        <v>19757</v>
      </c>
      <c r="J97" s="24"/>
      <c r="K97" s="24"/>
      <c r="L97" s="24">
        <f>+ROUND($C$97/12,0)*2</f>
        <v>19250</v>
      </c>
      <c r="M97" s="24">
        <f>+ROUND($C$97/12,0)+4</f>
        <v>9629</v>
      </c>
      <c r="N97" s="24"/>
      <c r="O97" s="24">
        <f>+ROUND($C$97/12,0)-4</f>
        <v>9621</v>
      </c>
      <c r="P97" s="382">
        <f t="shared" si="52"/>
        <v>0</v>
      </c>
      <c r="Q97" s="383"/>
      <c r="R97" s="376"/>
    </row>
    <row r="98" spans="1:18" ht="15.75" x14ac:dyDescent="0.25">
      <c r="A98" s="54" t="s">
        <v>218</v>
      </c>
      <c r="B98" s="65" t="s">
        <v>219</v>
      </c>
      <c r="C98" s="381">
        <f>+'2 Össz'!E98/1000</f>
        <v>318200</v>
      </c>
      <c r="D98" s="24"/>
      <c r="E98" s="24">
        <f>+ROUND($C$98/12,0)*2</f>
        <v>53034</v>
      </c>
      <c r="F98" s="24">
        <f>+ROUND($C$98/12,0)*2</f>
        <v>53034</v>
      </c>
      <c r="G98" s="24">
        <f>+ROUND($C$98/12,0)</f>
        <v>26517</v>
      </c>
      <c r="H98" s="24">
        <f>+ROUND($C$98/12,0)*2</f>
        <v>53034</v>
      </c>
      <c r="I98" s="24">
        <f>+ROUND($C$98/12,0)*2</f>
        <v>53034</v>
      </c>
      <c r="J98" s="24"/>
      <c r="K98" s="24"/>
      <c r="L98" s="24">
        <f>+ROUND($C$98/12,0)*2</f>
        <v>53034</v>
      </c>
      <c r="M98" s="24">
        <f>+ROUND($C$98/12,0)-4</f>
        <v>26513</v>
      </c>
      <c r="N98" s="24"/>
      <c r="O98" s="24"/>
      <c r="P98" s="382">
        <f t="shared" si="52"/>
        <v>0</v>
      </c>
      <c r="Q98" s="383"/>
      <c r="R98" s="376"/>
    </row>
    <row r="99" spans="1:18" ht="15.75" x14ac:dyDescent="0.25">
      <c r="A99" s="54" t="s">
        <v>220</v>
      </c>
      <c r="B99" s="65" t="s">
        <v>221</v>
      </c>
      <c r="C99" s="381">
        <f>+'2 Össz'!E99/1000</f>
        <v>3000</v>
      </c>
      <c r="D99" s="24">
        <f t="shared" ref="D99:N99" si="58">+ROUND($C$99/12,0)</f>
        <v>250</v>
      </c>
      <c r="E99" s="24">
        <f t="shared" si="58"/>
        <v>250</v>
      </c>
      <c r="F99" s="24">
        <f t="shared" si="58"/>
        <v>250</v>
      </c>
      <c r="G99" s="24">
        <f t="shared" si="58"/>
        <v>250</v>
      </c>
      <c r="H99" s="24">
        <f t="shared" si="58"/>
        <v>250</v>
      </c>
      <c r="I99" s="24">
        <f t="shared" si="58"/>
        <v>250</v>
      </c>
      <c r="J99" s="24">
        <f t="shared" si="58"/>
        <v>250</v>
      </c>
      <c r="K99" s="24">
        <f t="shared" si="58"/>
        <v>250</v>
      </c>
      <c r="L99" s="24">
        <f t="shared" si="58"/>
        <v>250</v>
      </c>
      <c r="M99" s="24">
        <f t="shared" si="58"/>
        <v>250</v>
      </c>
      <c r="N99" s="24">
        <f t="shared" si="58"/>
        <v>250</v>
      </c>
      <c r="O99" s="24">
        <f>+ROUND($C$99/12,0)</f>
        <v>250</v>
      </c>
      <c r="P99" s="382">
        <f t="shared" si="52"/>
        <v>0</v>
      </c>
      <c r="Q99" s="383"/>
      <c r="R99" s="376"/>
    </row>
    <row r="100" spans="1:18" s="387" customFormat="1" ht="15.75" x14ac:dyDescent="0.25">
      <c r="A100" s="97" t="s">
        <v>222</v>
      </c>
      <c r="B100" s="98" t="s">
        <v>223</v>
      </c>
      <c r="C100" s="99">
        <f t="shared" ref="C100:O100" si="59">SUM(C94:C99)</f>
        <v>436700</v>
      </c>
      <c r="D100" s="99">
        <f t="shared" si="59"/>
        <v>250</v>
      </c>
      <c r="E100" s="99">
        <f t="shared" si="59"/>
        <v>72534</v>
      </c>
      <c r="F100" s="99">
        <f t="shared" si="59"/>
        <v>72027</v>
      </c>
      <c r="G100" s="99">
        <f t="shared" si="59"/>
        <v>36392</v>
      </c>
      <c r="H100" s="99">
        <f t="shared" si="59"/>
        <v>62909</v>
      </c>
      <c r="I100" s="99">
        <f t="shared" si="59"/>
        <v>73041</v>
      </c>
      <c r="J100" s="99">
        <f t="shared" si="59"/>
        <v>250</v>
      </c>
      <c r="K100" s="99">
        <f t="shared" si="59"/>
        <v>250</v>
      </c>
      <c r="L100" s="99">
        <f t="shared" si="59"/>
        <v>72534</v>
      </c>
      <c r="M100" s="99">
        <f t="shared" si="59"/>
        <v>36392</v>
      </c>
      <c r="N100" s="99">
        <f t="shared" si="59"/>
        <v>250</v>
      </c>
      <c r="O100" s="99">
        <f t="shared" si="59"/>
        <v>9871</v>
      </c>
      <c r="P100" s="382">
        <f t="shared" si="52"/>
        <v>0</v>
      </c>
      <c r="Q100" s="383"/>
      <c r="R100" s="386"/>
    </row>
    <row r="101" spans="1:18" ht="15.75" x14ac:dyDescent="0.25">
      <c r="A101" s="67" t="s">
        <v>224</v>
      </c>
      <c r="B101" s="65" t="s">
        <v>225</v>
      </c>
      <c r="C101" s="381">
        <f>+'2 Össz'!E101/1000</f>
        <v>956</v>
      </c>
      <c r="D101" s="24">
        <f t="shared" ref="D101:N101" si="60">+ROUND($C$101/12,0)</f>
        <v>80</v>
      </c>
      <c r="E101" s="24">
        <f t="shared" si="60"/>
        <v>80</v>
      </c>
      <c r="F101" s="24">
        <f t="shared" si="60"/>
        <v>80</v>
      </c>
      <c r="G101" s="24">
        <f t="shared" si="60"/>
        <v>80</v>
      </c>
      <c r="H101" s="24">
        <f t="shared" si="60"/>
        <v>80</v>
      </c>
      <c r="I101" s="24">
        <f t="shared" si="60"/>
        <v>80</v>
      </c>
      <c r="J101" s="24">
        <f t="shared" si="60"/>
        <v>80</v>
      </c>
      <c r="K101" s="24">
        <f t="shared" si="60"/>
        <v>80</v>
      </c>
      <c r="L101" s="24">
        <f t="shared" si="60"/>
        <v>80</v>
      </c>
      <c r="M101" s="24">
        <f t="shared" si="60"/>
        <v>80</v>
      </c>
      <c r="N101" s="24">
        <f t="shared" si="60"/>
        <v>80</v>
      </c>
      <c r="O101" s="24">
        <f>+ROUND($C$101/12,0)-4</f>
        <v>76</v>
      </c>
      <c r="P101" s="382">
        <f t="shared" si="52"/>
        <v>0</v>
      </c>
      <c r="Q101" s="383"/>
      <c r="R101" s="376"/>
    </row>
    <row r="102" spans="1:18" ht="15.75" x14ac:dyDescent="0.25">
      <c r="A102" s="67" t="s">
        <v>226</v>
      </c>
      <c r="B102" s="65" t="s">
        <v>227</v>
      </c>
      <c r="C102" s="381">
        <f>+'2 Össz'!E102/1000</f>
        <v>197828.35</v>
      </c>
      <c r="D102" s="24">
        <f t="shared" ref="D102:N102" si="61">+ROUND($C$102/12,0)</f>
        <v>16486</v>
      </c>
      <c r="E102" s="24">
        <f t="shared" si="61"/>
        <v>16486</v>
      </c>
      <c r="F102" s="24">
        <f t="shared" si="61"/>
        <v>16486</v>
      </c>
      <c r="G102" s="24">
        <f t="shared" si="61"/>
        <v>16486</v>
      </c>
      <c r="H102" s="24">
        <f t="shared" si="61"/>
        <v>16486</v>
      </c>
      <c r="I102" s="24">
        <f t="shared" si="61"/>
        <v>16486</v>
      </c>
      <c r="J102" s="24">
        <f t="shared" si="61"/>
        <v>16486</v>
      </c>
      <c r="K102" s="24">
        <f t="shared" si="61"/>
        <v>16486</v>
      </c>
      <c r="L102" s="24">
        <f t="shared" si="61"/>
        <v>16486</v>
      </c>
      <c r="M102" s="24">
        <f t="shared" si="61"/>
        <v>16486</v>
      </c>
      <c r="N102" s="24">
        <f t="shared" si="61"/>
        <v>16486</v>
      </c>
      <c r="O102" s="24">
        <f>+ROUND($C$102/12,0)-3.7</f>
        <v>16482.3</v>
      </c>
      <c r="P102" s="382">
        <f t="shared" si="52"/>
        <v>5.0000000017462298E-2</v>
      </c>
      <c r="Q102" s="383"/>
      <c r="R102" s="376"/>
    </row>
    <row r="103" spans="1:18" ht="15.75" x14ac:dyDescent="0.25">
      <c r="A103" s="67" t="s">
        <v>228</v>
      </c>
      <c r="B103" s="65" t="s">
        <v>229</v>
      </c>
      <c r="C103" s="381">
        <f>+'2 Össz'!E103/1000</f>
        <v>5521</v>
      </c>
      <c r="D103" s="24">
        <f t="shared" ref="D103:N103" si="62">+ROUND($C$103/12,0)</f>
        <v>460</v>
      </c>
      <c r="E103" s="24">
        <f t="shared" si="62"/>
        <v>460</v>
      </c>
      <c r="F103" s="24">
        <f t="shared" si="62"/>
        <v>460</v>
      </c>
      <c r="G103" s="24">
        <f t="shared" si="62"/>
        <v>460</v>
      </c>
      <c r="H103" s="24">
        <f t="shared" si="62"/>
        <v>460</v>
      </c>
      <c r="I103" s="24">
        <f t="shared" si="62"/>
        <v>460</v>
      </c>
      <c r="J103" s="24">
        <f t="shared" si="62"/>
        <v>460</v>
      </c>
      <c r="K103" s="24">
        <f t="shared" si="62"/>
        <v>460</v>
      </c>
      <c r="L103" s="24">
        <f t="shared" si="62"/>
        <v>460</v>
      </c>
      <c r="M103" s="24">
        <f t="shared" si="62"/>
        <v>460</v>
      </c>
      <c r="N103" s="24">
        <f t="shared" si="62"/>
        <v>460</v>
      </c>
      <c r="O103" s="24">
        <f>+ROUND($C$103/12,0)+1</f>
        <v>461</v>
      </c>
      <c r="P103" s="382">
        <f t="shared" si="52"/>
        <v>0</v>
      </c>
      <c r="Q103" s="383"/>
      <c r="R103" s="376"/>
    </row>
    <row r="104" spans="1:18" ht="15.75" x14ac:dyDescent="0.25">
      <c r="A104" s="67" t="s">
        <v>230</v>
      </c>
      <c r="B104" s="65" t="s">
        <v>231</v>
      </c>
      <c r="C104" s="381">
        <f>+'2 Össz'!E104/1000</f>
        <v>7973</v>
      </c>
      <c r="D104" s="24">
        <f t="shared" ref="D104:N104" si="63">+ROUND($C$104/12,0)</f>
        <v>664</v>
      </c>
      <c r="E104" s="24">
        <f t="shared" si="63"/>
        <v>664</v>
      </c>
      <c r="F104" s="24">
        <f t="shared" si="63"/>
        <v>664</v>
      </c>
      <c r="G104" s="24">
        <f t="shared" si="63"/>
        <v>664</v>
      </c>
      <c r="H104" s="24">
        <f t="shared" si="63"/>
        <v>664</v>
      </c>
      <c r="I104" s="24">
        <f t="shared" si="63"/>
        <v>664</v>
      </c>
      <c r="J104" s="24">
        <f t="shared" si="63"/>
        <v>664</v>
      </c>
      <c r="K104" s="24">
        <f t="shared" si="63"/>
        <v>664</v>
      </c>
      <c r="L104" s="24">
        <f t="shared" si="63"/>
        <v>664</v>
      </c>
      <c r="M104" s="24">
        <f t="shared" si="63"/>
        <v>664</v>
      </c>
      <c r="N104" s="24">
        <f t="shared" si="63"/>
        <v>664</v>
      </c>
      <c r="O104" s="24">
        <f>+ROUND($C$104/12,0)+5</f>
        <v>669</v>
      </c>
      <c r="P104" s="382">
        <f t="shared" si="52"/>
        <v>0</v>
      </c>
      <c r="Q104" s="383"/>
      <c r="R104" s="376"/>
    </row>
    <row r="105" spans="1:18" ht="15.75" x14ac:dyDescent="0.25">
      <c r="A105" s="67" t="s">
        <v>232</v>
      </c>
      <c r="B105" s="65" t="s">
        <v>233</v>
      </c>
      <c r="C105" s="381">
        <f>+'2 Össz'!E105/1000</f>
        <v>156873.45000000001</v>
      </c>
      <c r="D105" s="24">
        <f t="shared" ref="D105:N105" si="64">+ROUND($C$105/12,0)</f>
        <v>13073</v>
      </c>
      <c r="E105" s="24">
        <f t="shared" si="64"/>
        <v>13073</v>
      </c>
      <c r="F105" s="24">
        <f t="shared" si="64"/>
        <v>13073</v>
      </c>
      <c r="G105" s="24">
        <f t="shared" si="64"/>
        <v>13073</v>
      </c>
      <c r="H105" s="24">
        <f t="shared" si="64"/>
        <v>13073</v>
      </c>
      <c r="I105" s="24">
        <f t="shared" si="64"/>
        <v>13073</v>
      </c>
      <c r="J105" s="24">
        <f t="shared" si="64"/>
        <v>13073</v>
      </c>
      <c r="K105" s="24">
        <f t="shared" si="64"/>
        <v>13073</v>
      </c>
      <c r="L105" s="24">
        <f t="shared" si="64"/>
        <v>13073</v>
      </c>
      <c r="M105" s="24">
        <f t="shared" si="64"/>
        <v>13073</v>
      </c>
      <c r="N105" s="24">
        <f t="shared" si="64"/>
        <v>13073</v>
      </c>
      <c r="O105" s="24">
        <f>+ROUND($C$105/12,0)+2-4.6</f>
        <v>13070.4</v>
      </c>
      <c r="P105" s="382">
        <f t="shared" si="52"/>
        <v>5.0000000017462298E-2</v>
      </c>
      <c r="Q105" s="383"/>
      <c r="R105" s="376"/>
    </row>
    <row r="106" spans="1:18" ht="15.75" x14ac:dyDescent="0.25">
      <c r="A106" s="67" t="s">
        <v>234</v>
      </c>
      <c r="B106" s="65" t="s">
        <v>235</v>
      </c>
      <c r="C106" s="381">
        <f>+'2 Össz'!E106/1000</f>
        <v>47563.131999999998</v>
      </c>
      <c r="D106" s="24">
        <f t="shared" ref="D106:N106" si="65">+ROUND($C$106/12,0)</f>
        <v>3964</v>
      </c>
      <c r="E106" s="24">
        <f t="shared" si="65"/>
        <v>3964</v>
      </c>
      <c r="F106" s="24">
        <f t="shared" si="65"/>
        <v>3964</v>
      </c>
      <c r="G106" s="24">
        <f t="shared" si="65"/>
        <v>3964</v>
      </c>
      <c r="H106" s="24">
        <f t="shared" si="65"/>
        <v>3964</v>
      </c>
      <c r="I106" s="24">
        <f t="shared" si="65"/>
        <v>3964</v>
      </c>
      <c r="J106" s="24">
        <f t="shared" si="65"/>
        <v>3964</v>
      </c>
      <c r="K106" s="24">
        <f t="shared" si="65"/>
        <v>3964</v>
      </c>
      <c r="L106" s="24">
        <f t="shared" si="65"/>
        <v>3964</v>
      </c>
      <c r="M106" s="24">
        <f t="shared" si="65"/>
        <v>3964</v>
      </c>
      <c r="N106" s="24">
        <f t="shared" si="65"/>
        <v>3964</v>
      </c>
      <c r="O106" s="24">
        <f>+ROUND($C$106/12,0)-5</f>
        <v>3959</v>
      </c>
      <c r="P106" s="382">
        <f t="shared" si="52"/>
        <v>0.13199999999778811</v>
      </c>
      <c r="Q106" s="383"/>
      <c r="R106" s="376"/>
    </row>
    <row r="107" spans="1:18" ht="15.75" x14ac:dyDescent="0.25">
      <c r="A107" s="67" t="s">
        <v>236</v>
      </c>
      <c r="B107" s="65" t="s">
        <v>237</v>
      </c>
      <c r="C107" s="381">
        <f>+'2 Össz'!E107/1000</f>
        <v>0</v>
      </c>
      <c r="D107" s="24">
        <f t="shared" ref="D107:O107" si="66">+ROUND($C$107/12,0)</f>
        <v>0</v>
      </c>
      <c r="E107" s="24">
        <f t="shared" si="66"/>
        <v>0</v>
      </c>
      <c r="F107" s="24">
        <f t="shared" si="66"/>
        <v>0</v>
      </c>
      <c r="G107" s="24">
        <f t="shared" si="66"/>
        <v>0</v>
      </c>
      <c r="H107" s="24">
        <f t="shared" si="66"/>
        <v>0</v>
      </c>
      <c r="I107" s="24">
        <f t="shared" si="66"/>
        <v>0</v>
      </c>
      <c r="J107" s="24">
        <f t="shared" si="66"/>
        <v>0</v>
      </c>
      <c r="K107" s="24">
        <f t="shared" si="66"/>
        <v>0</v>
      </c>
      <c r="L107" s="24">
        <f t="shared" si="66"/>
        <v>0</v>
      </c>
      <c r="M107" s="24">
        <f t="shared" si="66"/>
        <v>0</v>
      </c>
      <c r="N107" s="24">
        <f t="shared" si="66"/>
        <v>0</v>
      </c>
      <c r="O107" s="24">
        <f t="shared" si="66"/>
        <v>0</v>
      </c>
      <c r="P107" s="382">
        <f t="shared" si="52"/>
        <v>0</v>
      </c>
      <c r="Q107" s="383"/>
      <c r="R107" s="376"/>
    </row>
    <row r="108" spans="1:18" ht="15.75" x14ac:dyDescent="0.25">
      <c r="A108" s="67" t="s">
        <v>238</v>
      </c>
      <c r="B108" s="65" t="s">
        <v>239</v>
      </c>
      <c r="C108" s="381">
        <f>+'2 Össz'!E108/1000</f>
        <v>22</v>
      </c>
      <c r="D108" s="24"/>
      <c r="E108" s="24"/>
      <c r="F108" s="24"/>
      <c r="G108" s="24"/>
      <c r="H108" s="24"/>
      <c r="I108" s="24"/>
      <c r="J108" s="24"/>
      <c r="K108" s="24"/>
      <c r="L108" s="24">
        <v>0</v>
      </c>
      <c r="M108" s="24"/>
      <c r="N108" s="24"/>
      <c r="O108" s="24">
        <v>22</v>
      </c>
      <c r="P108" s="382">
        <f t="shared" si="52"/>
        <v>0</v>
      </c>
      <c r="Q108" s="383"/>
      <c r="R108" s="376"/>
    </row>
    <row r="109" spans="1:18" ht="15.75" x14ac:dyDescent="0.25">
      <c r="A109" s="67" t="s">
        <v>240</v>
      </c>
      <c r="B109" s="65" t="s">
        <v>241</v>
      </c>
      <c r="C109" s="381">
        <f>+'2 Össz'!E109/1000</f>
        <v>10</v>
      </c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>
        <v>10</v>
      </c>
      <c r="P109" s="382">
        <f t="shared" si="52"/>
        <v>0</v>
      </c>
      <c r="Q109" s="383"/>
      <c r="R109" s="376"/>
    </row>
    <row r="110" spans="1:18" ht="15.75" x14ac:dyDescent="0.25">
      <c r="A110" s="67" t="s">
        <v>242</v>
      </c>
      <c r="B110" s="65" t="s">
        <v>243</v>
      </c>
      <c r="C110" s="381">
        <f>+'2 Össz'!E110/1000</f>
        <v>0</v>
      </c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382">
        <f t="shared" si="52"/>
        <v>0</v>
      </c>
      <c r="Q110" s="383"/>
      <c r="R110" s="376"/>
    </row>
    <row r="111" spans="1:18" ht="15.75" x14ac:dyDescent="0.25">
      <c r="A111" s="67" t="s">
        <v>244</v>
      </c>
      <c r="B111" s="65" t="s">
        <v>245</v>
      </c>
      <c r="C111" s="381">
        <f>+'2 Össz'!E111/1000</f>
        <v>0</v>
      </c>
      <c r="D111" s="24">
        <f t="shared" ref="D111:N111" si="67">+ROUND($C$111/12,0)</f>
        <v>0</v>
      </c>
      <c r="E111" s="24">
        <f t="shared" si="67"/>
        <v>0</v>
      </c>
      <c r="F111" s="24">
        <f t="shared" si="67"/>
        <v>0</v>
      </c>
      <c r="G111" s="24">
        <f t="shared" si="67"/>
        <v>0</v>
      </c>
      <c r="H111" s="24">
        <f t="shared" si="67"/>
        <v>0</v>
      </c>
      <c r="I111" s="24">
        <f t="shared" si="67"/>
        <v>0</v>
      </c>
      <c r="J111" s="24">
        <f t="shared" si="67"/>
        <v>0</v>
      </c>
      <c r="K111" s="24">
        <f t="shared" si="67"/>
        <v>0</v>
      </c>
      <c r="L111" s="24">
        <f t="shared" si="67"/>
        <v>0</v>
      </c>
      <c r="M111" s="24">
        <f t="shared" si="67"/>
        <v>0</v>
      </c>
      <c r="N111" s="24">
        <f t="shared" si="67"/>
        <v>0</v>
      </c>
      <c r="O111" s="24">
        <f>+ROUND($C$111/12,0)</f>
        <v>0</v>
      </c>
      <c r="P111" s="382">
        <f t="shared" si="52"/>
        <v>0</v>
      </c>
      <c r="Q111" s="383"/>
      <c r="R111" s="376"/>
    </row>
    <row r="112" spans="1:18" s="387" customFormat="1" ht="15.75" x14ac:dyDescent="0.25">
      <c r="A112" s="152" t="s">
        <v>246</v>
      </c>
      <c r="B112" s="98" t="s">
        <v>247</v>
      </c>
      <c r="C112" s="99">
        <f t="shared" ref="C112:O112" si="68">SUM(C101:C111)</f>
        <v>416746.93200000003</v>
      </c>
      <c r="D112" s="99">
        <f t="shared" si="68"/>
        <v>34727</v>
      </c>
      <c r="E112" s="99">
        <f t="shared" si="68"/>
        <v>34727</v>
      </c>
      <c r="F112" s="99">
        <f t="shared" si="68"/>
        <v>34727</v>
      </c>
      <c r="G112" s="99">
        <f t="shared" si="68"/>
        <v>34727</v>
      </c>
      <c r="H112" s="99">
        <f t="shared" si="68"/>
        <v>34727</v>
      </c>
      <c r="I112" s="99">
        <f t="shared" si="68"/>
        <v>34727</v>
      </c>
      <c r="J112" s="99">
        <f t="shared" si="68"/>
        <v>34727</v>
      </c>
      <c r="K112" s="99">
        <f t="shared" si="68"/>
        <v>34727</v>
      </c>
      <c r="L112" s="99">
        <f t="shared" si="68"/>
        <v>34727</v>
      </c>
      <c r="M112" s="99">
        <f t="shared" si="68"/>
        <v>34727</v>
      </c>
      <c r="N112" s="99">
        <f t="shared" si="68"/>
        <v>34727</v>
      </c>
      <c r="O112" s="99">
        <f t="shared" si="68"/>
        <v>34749.699999999997</v>
      </c>
      <c r="P112" s="382">
        <f t="shared" ref="P112:P143" si="69">+C112-SUM(D112:O112)</f>
        <v>0.23200000001816079</v>
      </c>
      <c r="Q112" s="383"/>
      <c r="R112" s="386"/>
    </row>
    <row r="113" spans="1:18" ht="15.75" x14ac:dyDescent="0.25">
      <c r="A113" s="67" t="s">
        <v>248</v>
      </c>
      <c r="B113" s="65" t="s">
        <v>249</v>
      </c>
      <c r="C113" s="381">
        <f>+'2 Össz'!E113/1000</f>
        <v>0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382">
        <f t="shared" si="69"/>
        <v>0</v>
      </c>
      <c r="Q113" s="383"/>
      <c r="R113" s="376"/>
    </row>
    <row r="114" spans="1:18" ht="15.75" x14ac:dyDescent="0.25">
      <c r="A114" s="67" t="s">
        <v>250</v>
      </c>
      <c r="B114" s="65" t="s">
        <v>251</v>
      </c>
      <c r="C114" s="381">
        <f>+'2 Össz'!E114/1000</f>
        <v>109000</v>
      </c>
      <c r="D114" s="24"/>
      <c r="E114" s="24"/>
      <c r="F114" s="24">
        <v>35000</v>
      </c>
      <c r="G114" s="24">
        <v>8000</v>
      </c>
      <c r="H114" s="24">
        <v>8000</v>
      </c>
      <c r="I114" s="24">
        <v>8000</v>
      </c>
      <c r="J114" s="24">
        <v>8000</v>
      </c>
      <c r="K114" s="24">
        <v>8000</v>
      </c>
      <c r="L114" s="24">
        <v>8000</v>
      </c>
      <c r="M114" s="24">
        <v>8000</v>
      </c>
      <c r="N114" s="24">
        <v>8000</v>
      </c>
      <c r="O114" s="24">
        <v>10000</v>
      </c>
      <c r="P114" s="382">
        <f t="shared" si="69"/>
        <v>0</v>
      </c>
      <c r="Q114" s="383"/>
      <c r="R114" s="376"/>
    </row>
    <row r="115" spans="1:18" ht="15.75" x14ac:dyDescent="0.25">
      <c r="A115" s="67" t="s">
        <v>252</v>
      </c>
      <c r="B115" s="65" t="s">
        <v>253</v>
      </c>
      <c r="C115" s="381">
        <f>+'2 Össz'!E115/1000</f>
        <v>500</v>
      </c>
      <c r="D115" s="24"/>
      <c r="E115" s="24"/>
      <c r="F115" s="24">
        <v>500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382">
        <f t="shared" si="69"/>
        <v>0</v>
      </c>
      <c r="Q115" s="383"/>
      <c r="R115" s="376"/>
    </row>
    <row r="116" spans="1:18" ht="15.75" hidden="1" x14ac:dyDescent="0.25">
      <c r="A116" s="67" t="s">
        <v>254</v>
      </c>
      <c r="B116" s="65" t="s">
        <v>255</v>
      </c>
      <c r="C116" s="381">
        <f>+'2 Össz'!E116</f>
        <v>0</v>
      </c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382">
        <f t="shared" si="69"/>
        <v>0</v>
      </c>
      <c r="Q116" s="383"/>
      <c r="R116" s="376"/>
    </row>
    <row r="117" spans="1:18" ht="15.75" hidden="1" x14ac:dyDescent="0.25">
      <c r="A117" s="67" t="s">
        <v>256</v>
      </c>
      <c r="B117" s="65" t="s">
        <v>257</v>
      </c>
      <c r="C117" s="381">
        <f>+'2 Össz'!E117</f>
        <v>0</v>
      </c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382">
        <f t="shared" si="69"/>
        <v>0</v>
      </c>
      <c r="Q117" s="383"/>
      <c r="R117" s="376"/>
    </row>
    <row r="118" spans="1:18" s="387" customFormat="1" ht="15.75" x14ac:dyDescent="0.25">
      <c r="A118" s="97" t="s">
        <v>258</v>
      </c>
      <c r="B118" s="98" t="s">
        <v>259</v>
      </c>
      <c r="C118" s="99">
        <f t="shared" ref="C118:O118" si="70">SUM(C113:C117)</f>
        <v>109500</v>
      </c>
      <c r="D118" s="99">
        <f t="shared" si="70"/>
        <v>0</v>
      </c>
      <c r="E118" s="99">
        <f t="shared" si="70"/>
        <v>0</v>
      </c>
      <c r="F118" s="99">
        <f t="shared" si="70"/>
        <v>35500</v>
      </c>
      <c r="G118" s="99">
        <f t="shared" si="70"/>
        <v>8000</v>
      </c>
      <c r="H118" s="99">
        <f t="shared" si="70"/>
        <v>8000</v>
      </c>
      <c r="I118" s="99">
        <f t="shared" si="70"/>
        <v>8000</v>
      </c>
      <c r="J118" s="99">
        <f t="shared" si="70"/>
        <v>8000</v>
      </c>
      <c r="K118" s="99">
        <f t="shared" si="70"/>
        <v>8000</v>
      </c>
      <c r="L118" s="99">
        <f t="shared" si="70"/>
        <v>8000</v>
      </c>
      <c r="M118" s="99">
        <f t="shared" si="70"/>
        <v>8000</v>
      </c>
      <c r="N118" s="99">
        <f t="shared" si="70"/>
        <v>8000</v>
      </c>
      <c r="O118" s="99">
        <f t="shared" si="70"/>
        <v>10000</v>
      </c>
      <c r="P118" s="382">
        <f t="shared" si="69"/>
        <v>0</v>
      </c>
      <c r="Q118" s="383"/>
      <c r="R118" s="386"/>
    </row>
    <row r="119" spans="1:18" s="390" customFormat="1" ht="15.75" x14ac:dyDescent="0.25">
      <c r="A119" s="57" t="s">
        <v>260</v>
      </c>
      <c r="B119" s="66" t="s">
        <v>261</v>
      </c>
      <c r="C119" s="381">
        <f>+'2 Össz'!E119/1000</f>
        <v>7740.6</v>
      </c>
      <c r="D119" s="331">
        <f t="shared" ref="D119:N119" si="71">+ROUND($C$119/12,0)</f>
        <v>645</v>
      </c>
      <c r="E119" s="331">
        <f t="shared" si="71"/>
        <v>645</v>
      </c>
      <c r="F119" s="331">
        <f t="shared" si="71"/>
        <v>645</v>
      </c>
      <c r="G119" s="331">
        <f t="shared" si="71"/>
        <v>645</v>
      </c>
      <c r="H119" s="331">
        <f t="shared" si="71"/>
        <v>645</v>
      </c>
      <c r="I119" s="331">
        <f t="shared" si="71"/>
        <v>645</v>
      </c>
      <c r="J119" s="331">
        <f t="shared" si="71"/>
        <v>645</v>
      </c>
      <c r="K119" s="331">
        <f t="shared" si="71"/>
        <v>645</v>
      </c>
      <c r="L119" s="331">
        <f t="shared" si="71"/>
        <v>645</v>
      </c>
      <c r="M119" s="331">
        <f t="shared" si="71"/>
        <v>645</v>
      </c>
      <c r="N119" s="331">
        <f t="shared" si="71"/>
        <v>645</v>
      </c>
      <c r="O119" s="331">
        <f>+ROUND($C$119/12,0)+1</f>
        <v>646</v>
      </c>
      <c r="P119" s="382">
        <f t="shared" si="69"/>
        <v>-0.3999999999996362</v>
      </c>
      <c r="Q119" s="388"/>
      <c r="R119" s="389"/>
    </row>
    <row r="120" spans="1:18" ht="15.75" hidden="1" x14ac:dyDescent="0.25">
      <c r="A120" s="67" t="s">
        <v>632</v>
      </c>
      <c r="B120" s="65" t="s">
        <v>263</v>
      </c>
      <c r="C120" s="381">
        <f>+'2 Össz'!E120</f>
        <v>0</v>
      </c>
      <c r="D120" s="24">
        <f t="shared" ref="D120:O120" si="72">+ROUND($C$120/12,0)</f>
        <v>0</v>
      </c>
      <c r="E120" s="24">
        <f t="shared" si="72"/>
        <v>0</v>
      </c>
      <c r="F120" s="24">
        <f t="shared" si="72"/>
        <v>0</v>
      </c>
      <c r="G120" s="24">
        <f t="shared" si="72"/>
        <v>0</v>
      </c>
      <c r="H120" s="24">
        <f t="shared" si="72"/>
        <v>0</v>
      </c>
      <c r="I120" s="24">
        <f t="shared" si="72"/>
        <v>0</v>
      </c>
      <c r="J120" s="24">
        <f t="shared" si="72"/>
        <v>0</v>
      </c>
      <c r="K120" s="24">
        <f t="shared" si="72"/>
        <v>0</v>
      </c>
      <c r="L120" s="24">
        <f t="shared" si="72"/>
        <v>0</v>
      </c>
      <c r="M120" s="24">
        <f t="shared" si="72"/>
        <v>0</v>
      </c>
      <c r="N120" s="24">
        <f t="shared" si="72"/>
        <v>0</v>
      </c>
      <c r="O120" s="24">
        <f t="shared" si="72"/>
        <v>0</v>
      </c>
      <c r="P120" s="382">
        <f t="shared" si="69"/>
        <v>0</v>
      </c>
      <c r="Q120" s="383"/>
      <c r="R120" s="376"/>
    </row>
    <row r="121" spans="1:18" ht="15.75" hidden="1" x14ac:dyDescent="0.25">
      <c r="A121" s="54" t="s">
        <v>264</v>
      </c>
      <c r="B121" s="65" t="s">
        <v>265</v>
      </c>
      <c r="C121" s="381">
        <f>+'2 Össz'!E121</f>
        <v>0</v>
      </c>
      <c r="D121" s="24">
        <f t="shared" ref="D121:O121" si="73">+ROUND($C$121/12,0)</f>
        <v>0</v>
      </c>
      <c r="E121" s="24">
        <f t="shared" si="73"/>
        <v>0</v>
      </c>
      <c r="F121" s="24">
        <f t="shared" si="73"/>
        <v>0</v>
      </c>
      <c r="G121" s="24">
        <f t="shared" si="73"/>
        <v>0</v>
      </c>
      <c r="H121" s="24">
        <f t="shared" si="73"/>
        <v>0</v>
      </c>
      <c r="I121" s="24">
        <f t="shared" si="73"/>
        <v>0</v>
      </c>
      <c r="J121" s="24">
        <f t="shared" si="73"/>
        <v>0</v>
      </c>
      <c r="K121" s="24">
        <f t="shared" si="73"/>
        <v>0</v>
      </c>
      <c r="L121" s="24">
        <f t="shared" si="73"/>
        <v>0</v>
      </c>
      <c r="M121" s="24">
        <f t="shared" si="73"/>
        <v>0</v>
      </c>
      <c r="N121" s="24">
        <f t="shared" si="73"/>
        <v>0</v>
      </c>
      <c r="O121" s="24">
        <f t="shared" si="73"/>
        <v>0</v>
      </c>
      <c r="P121" s="382">
        <f t="shared" si="69"/>
        <v>0</v>
      </c>
      <c r="Q121" s="383"/>
      <c r="R121" s="376"/>
    </row>
    <row r="122" spans="1:18" ht="31.5" hidden="1" x14ac:dyDescent="0.25">
      <c r="A122" s="67" t="s">
        <v>266</v>
      </c>
      <c r="B122" s="65" t="s">
        <v>267</v>
      </c>
      <c r="C122" s="381">
        <f>+'2 Össz'!E122</f>
        <v>0</v>
      </c>
      <c r="D122" s="24">
        <f t="shared" ref="D122:O122" si="74">+ROUND($C$122/12,0)</f>
        <v>0</v>
      </c>
      <c r="E122" s="24">
        <f t="shared" si="74"/>
        <v>0</v>
      </c>
      <c r="F122" s="24">
        <f t="shared" si="74"/>
        <v>0</v>
      </c>
      <c r="G122" s="24">
        <f t="shared" si="74"/>
        <v>0</v>
      </c>
      <c r="H122" s="24">
        <f t="shared" si="74"/>
        <v>0</v>
      </c>
      <c r="I122" s="24">
        <f t="shared" si="74"/>
        <v>0</v>
      </c>
      <c r="J122" s="24">
        <f t="shared" si="74"/>
        <v>0</v>
      </c>
      <c r="K122" s="24">
        <f t="shared" si="74"/>
        <v>0</v>
      </c>
      <c r="L122" s="24">
        <f t="shared" si="74"/>
        <v>0</v>
      </c>
      <c r="M122" s="24">
        <f t="shared" si="74"/>
        <v>0</v>
      </c>
      <c r="N122" s="24">
        <f t="shared" si="74"/>
        <v>0</v>
      </c>
      <c r="O122" s="24">
        <f t="shared" si="74"/>
        <v>0</v>
      </c>
      <c r="P122" s="382">
        <f t="shared" si="69"/>
        <v>0</v>
      </c>
      <c r="Q122" s="383"/>
      <c r="R122" s="376"/>
    </row>
    <row r="123" spans="1:18" ht="15.75" x14ac:dyDescent="0.25">
      <c r="A123" s="67" t="s">
        <v>634</v>
      </c>
      <c r="B123" s="65" t="s">
        <v>269</v>
      </c>
      <c r="C123" s="381">
        <f>+'2 Össz'!E123/1000</f>
        <v>0</v>
      </c>
      <c r="D123" s="24">
        <f t="shared" ref="D123:O123" si="75">+ROUND($C$123/12,0)</f>
        <v>0</v>
      </c>
      <c r="E123" s="24">
        <f t="shared" si="75"/>
        <v>0</v>
      </c>
      <c r="F123" s="24">
        <f t="shared" si="75"/>
        <v>0</v>
      </c>
      <c r="G123" s="24">
        <f t="shared" si="75"/>
        <v>0</v>
      </c>
      <c r="H123" s="24">
        <f t="shared" si="75"/>
        <v>0</v>
      </c>
      <c r="I123" s="24">
        <f t="shared" si="75"/>
        <v>0</v>
      </c>
      <c r="J123" s="24">
        <f t="shared" si="75"/>
        <v>0</v>
      </c>
      <c r="K123" s="24">
        <f t="shared" si="75"/>
        <v>0</v>
      </c>
      <c r="L123" s="24">
        <f t="shared" si="75"/>
        <v>0</v>
      </c>
      <c r="M123" s="24">
        <f t="shared" si="75"/>
        <v>0</v>
      </c>
      <c r="N123" s="24">
        <f t="shared" si="75"/>
        <v>0</v>
      </c>
      <c r="O123" s="24">
        <f t="shared" si="75"/>
        <v>0</v>
      </c>
      <c r="P123" s="382">
        <f t="shared" si="69"/>
        <v>0</v>
      </c>
      <c r="Q123" s="383"/>
      <c r="R123" s="376"/>
    </row>
    <row r="124" spans="1:18" ht="15.75" x14ac:dyDescent="0.25">
      <c r="A124" s="67" t="s">
        <v>270</v>
      </c>
      <c r="B124" s="65" t="s">
        <v>271</v>
      </c>
      <c r="C124" s="381">
        <f>+'2 Össz'!E124/1000</f>
        <v>29400</v>
      </c>
      <c r="D124" s="24">
        <f t="shared" ref="D124:O124" si="76">+ROUND($C$124/12,0)</f>
        <v>2450</v>
      </c>
      <c r="E124" s="24">
        <f t="shared" si="76"/>
        <v>2450</v>
      </c>
      <c r="F124" s="24">
        <f t="shared" si="76"/>
        <v>2450</v>
      </c>
      <c r="G124" s="24">
        <f t="shared" si="76"/>
        <v>2450</v>
      </c>
      <c r="H124" s="24">
        <f t="shared" si="76"/>
        <v>2450</v>
      </c>
      <c r="I124" s="24">
        <f t="shared" si="76"/>
        <v>2450</v>
      </c>
      <c r="J124" s="24">
        <f t="shared" si="76"/>
        <v>2450</v>
      </c>
      <c r="K124" s="24">
        <f t="shared" si="76"/>
        <v>2450</v>
      </c>
      <c r="L124" s="24">
        <f t="shared" si="76"/>
        <v>2450</v>
      </c>
      <c r="M124" s="24">
        <f t="shared" si="76"/>
        <v>2450</v>
      </c>
      <c r="N124" s="24">
        <f t="shared" si="76"/>
        <v>2450</v>
      </c>
      <c r="O124" s="24">
        <f t="shared" si="76"/>
        <v>2450</v>
      </c>
      <c r="P124" s="382">
        <f t="shared" si="69"/>
        <v>0</v>
      </c>
      <c r="Q124" s="383"/>
      <c r="R124" s="376"/>
    </row>
    <row r="125" spans="1:18" s="387" customFormat="1" ht="15.75" x14ac:dyDescent="0.25">
      <c r="A125" s="97" t="s">
        <v>272</v>
      </c>
      <c r="B125" s="98" t="s">
        <v>273</v>
      </c>
      <c r="C125" s="99">
        <f t="shared" ref="C125:O125" si="77">SUM(C120:C124)</f>
        <v>29400</v>
      </c>
      <c r="D125" s="99">
        <f t="shared" si="77"/>
        <v>2450</v>
      </c>
      <c r="E125" s="99">
        <f t="shared" si="77"/>
        <v>2450</v>
      </c>
      <c r="F125" s="99">
        <f t="shared" si="77"/>
        <v>2450</v>
      </c>
      <c r="G125" s="99">
        <f t="shared" si="77"/>
        <v>2450</v>
      </c>
      <c r="H125" s="99">
        <f t="shared" si="77"/>
        <v>2450</v>
      </c>
      <c r="I125" s="99">
        <f t="shared" si="77"/>
        <v>2450</v>
      </c>
      <c r="J125" s="99">
        <f t="shared" si="77"/>
        <v>2450</v>
      </c>
      <c r="K125" s="99">
        <f t="shared" si="77"/>
        <v>2450</v>
      </c>
      <c r="L125" s="99">
        <f t="shared" si="77"/>
        <v>2450</v>
      </c>
      <c r="M125" s="99">
        <f t="shared" si="77"/>
        <v>2450</v>
      </c>
      <c r="N125" s="99">
        <f t="shared" si="77"/>
        <v>2450</v>
      </c>
      <c r="O125" s="99">
        <f t="shared" si="77"/>
        <v>2450</v>
      </c>
      <c r="P125" s="382">
        <f t="shared" si="69"/>
        <v>0</v>
      </c>
      <c r="Q125" s="383"/>
      <c r="R125" s="386"/>
    </row>
    <row r="126" spans="1:18" s="387" customFormat="1" ht="15.75" x14ac:dyDescent="0.25">
      <c r="A126" s="152" t="s">
        <v>274</v>
      </c>
      <c r="B126" s="98" t="s">
        <v>275</v>
      </c>
      <c r="C126" s="99">
        <f t="shared" ref="C126:O126" si="78">+C125+C119+C118+C112+C100+C93+C92</f>
        <v>6816743.8390000006</v>
      </c>
      <c r="D126" s="99">
        <f t="shared" si="78"/>
        <v>332517</v>
      </c>
      <c r="E126" s="99">
        <f t="shared" si="78"/>
        <v>214445</v>
      </c>
      <c r="F126" s="99">
        <f t="shared" si="78"/>
        <v>412544</v>
      </c>
      <c r="G126" s="99">
        <f t="shared" si="78"/>
        <v>158303</v>
      </c>
      <c r="H126" s="99">
        <f t="shared" si="78"/>
        <v>414271</v>
      </c>
      <c r="I126" s="99">
        <f t="shared" si="78"/>
        <v>454168</v>
      </c>
      <c r="J126" s="99">
        <f t="shared" si="78"/>
        <v>416558</v>
      </c>
      <c r="K126" s="99">
        <f t="shared" si="78"/>
        <v>716489</v>
      </c>
      <c r="L126" s="99">
        <f t="shared" si="78"/>
        <v>727486</v>
      </c>
      <c r="M126" s="99">
        <f t="shared" si="78"/>
        <v>607991</v>
      </c>
      <c r="N126" s="99">
        <f t="shared" si="78"/>
        <v>1483381</v>
      </c>
      <c r="O126" s="99">
        <f t="shared" si="78"/>
        <v>878590.7</v>
      </c>
      <c r="P126" s="382">
        <f t="shared" si="69"/>
        <v>0.13900000043213367</v>
      </c>
      <c r="Q126" s="383"/>
      <c r="R126" s="386"/>
    </row>
    <row r="127" spans="1:18" s="387" customFormat="1" ht="15.75" x14ac:dyDescent="0.25">
      <c r="A127" s="369" t="s">
        <v>276</v>
      </c>
      <c r="B127" s="133"/>
      <c r="C127" s="134">
        <f t="shared" ref="C127:O127" si="79">+C119+C112+C100+C92-C34</f>
        <v>-211181.86099999957</v>
      </c>
      <c r="D127" s="134">
        <f t="shared" si="79"/>
        <v>-76868</v>
      </c>
      <c r="E127" s="134">
        <f t="shared" si="79"/>
        <v>-88289</v>
      </c>
      <c r="F127" s="134">
        <f t="shared" si="79"/>
        <v>-112590</v>
      </c>
      <c r="G127" s="134">
        <f t="shared" si="79"/>
        <v>-155631</v>
      </c>
      <c r="H127" s="134">
        <f t="shared" si="79"/>
        <v>-130165</v>
      </c>
      <c r="I127" s="134">
        <f t="shared" si="79"/>
        <v>-87842</v>
      </c>
      <c r="J127" s="134">
        <f t="shared" si="79"/>
        <v>-188573</v>
      </c>
      <c r="K127" s="134">
        <f t="shared" si="79"/>
        <v>168791</v>
      </c>
      <c r="L127" s="134">
        <f t="shared" si="79"/>
        <v>-20351</v>
      </c>
      <c r="M127" s="134">
        <f t="shared" si="79"/>
        <v>-18431</v>
      </c>
      <c r="N127" s="134">
        <f t="shared" si="79"/>
        <v>276668</v>
      </c>
      <c r="O127" s="134">
        <f t="shared" si="79"/>
        <v>222099.5</v>
      </c>
      <c r="P127" s="382">
        <f t="shared" si="69"/>
        <v>-0.36099999956786633</v>
      </c>
      <c r="Q127" s="383"/>
      <c r="R127" s="386"/>
    </row>
    <row r="128" spans="1:18" s="387" customFormat="1" ht="15.75" x14ac:dyDescent="0.25">
      <c r="A128" s="369" t="s">
        <v>277</v>
      </c>
      <c r="B128" s="133"/>
      <c r="C128" s="134">
        <f t="shared" ref="C128:O128" si="80">+C125+C118+C93-C58</f>
        <v>-626861.22399999993</v>
      </c>
      <c r="D128" s="134">
        <f t="shared" si="80"/>
        <v>37461.199999999997</v>
      </c>
      <c r="E128" s="134">
        <f t="shared" si="80"/>
        <v>-81589</v>
      </c>
      <c r="F128" s="134">
        <f t="shared" si="80"/>
        <v>92590</v>
      </c>
      <c r="G128" s="134">
        <f t="shared" si="80"/>
        <v>-178523</v>
      </c>
      <c r="H128" s="134">
        <f t="shared" si="80"/>
        <v>56341</v>
      </c>
      <c r="I128" s="134">
        <f t="shared" si="80"/>
        <v>29792</v>
      </c>
      <c r="J128" s="134">
        <f t="shared" si="80"/>
        <v>168573</v>
      </c>
      <c r="K128" s="134">
        <f t="shared" si="80"/>
        <v>-371521</v>
      </c>
      <c r="L128" s="134">
        <f t="shared" si="80"/>
        <v>11851</v>
      </c>
      <c r="M128" s="134">
        <f t="shared" si="80"/>
        <v>18431</v>
      </c>
      <c r="N128" s="134">
        <f t="shared" si="80"/>
        <v>-276668</v>
      </c>
      <c r="O128" s="134">
        <f t="shared" si="80"/>
        <v>-133599.79999999999</v>
      </c>
      <c r="P128" s="382">
        <f t="shared" si="69"/>
        <v>0.37600000004749745</v>
      </c>
      <c r="Q128" s="383"/>
      <c r="R128" s="386"/>
    </row>
    <row r="129" spans="1:18" ht="15.75" hidden="1" x14ac:dyDescent="0.25">
      <c r="A129" s="73" t="s">
        <v>278</v>
      </c>
      <c r="B129" s="54" t="s">
        <v>279</v>
      </c>
      <c r="C129" s="381">
        <f>+'2 Össz'!E129</f>
        <v>0</v>
      </c>
      <c r="D129" s="24"/>
      <c r="E129" s="394"/>
      <c r="F129" s="394"/>
      <c r="G129" s="394"/>
      <c r="H129" s="24"/>
      <c r="I129" s="24"/>
      <c r="J129" s="24"/>
      <c r="K129" s="24"/>
      <c r="L129" s="24"/>
      <c r="M129" s="394"/>
      <c r="N129" s="394"/>
      <c r="O129" s="394"/>
      <c r="P129" s="382">
        <f t="shared" si="69"/>
        <v>0</v>
      </c>
      <c r="Q129" s="383"/>
      <c r="R129" s="376"/>
    </row>
    <row r="130" spans="1:18" ht="15.75" hidden="1" x14ac:dyDescent="0.25">
      <c r="A130" s="67" t="s">
        <v>776</v>
      </c>
      <c r="B130" s="54" t="s">
        <v>281</v>
      </c>
      <c r="C130" s="381">
        <f>+'2 Össz'!E130</f>
        <v>0</v>
      </c>
      <c r="D130" s="24"/>
      <c r="E130" s="394"/>
      <c r="F130" s="394"/>
      <c r="G130" s="394"/>
      <c r="H130" s="24"/>
      <c r="I130" s="24"/>
      <c r="J130" s="24"/>
      <c r="K130" s="24"/>
      <c r="L130" s="24"/>
      <c r="M130" s="394"/>
      <c r="N130" s="394"/>
      <c r="O130" s="394"/>
      <c r="P130" s="382">
        <f t="shared" si="69"/>
        <v>0</v>
      </c>
      <c r="Q130" s="383"/>
      <c r="R130" s="376"/>
    </row>
    <row r="131" spans="1:18" ht="15.75" x14ac:dyDescent="0.25">
      <c r="A131" s="73" t="s">
        <v>282</v>
      </c>
      <c r="B131" s="54" t="s">
        <v>283</v>
      </c>
      <c r="C131" s="381">
        <f>+'2 Össz'!E131/1000</f>
        <v>88500</v>
      </c>
      <c r="D131" s="24"/>
      <c r="E131" s="394"/>
      <c r="F131" s="24"/>
      <c r="G131" s="24"/>
      <c r="H131" s="24">
        <v>20000</v>
      </c>
      <c r="I131" s="24">
        <v>20000</v>
      </c>
      <c r="J131" s="24">
        <v>20000</v>
      </c>
      <c r="K131" s="24">
        <v>20000</v>
      </c>
      <c r="L131" s="24">
        <v>8500</v>
      </c>
      <c r="M131" s="394"/>
      <c r="N131" s="394"/>
      <c r="O131" s="394"/>
      <c r="P131" s="382">
        <f t="shared" si="69"/>
        <v>0</v>
      </c>
      <c r="Q131" s="383"/>
      <c r="R131" s="376"/>
    </row>
    <row r="132" spans="1:18" s="387" customFormat="1" ht="15.75" x14ac:dyDescent="0.25">
      <c r="A132" s="152" t="s">
        <v>779</v>
      </c>
      <c r="B132" s="97" t="s">
        <v>285</v>
      </c>
      <c r="C132" s="99">
        <f t="shared" ref="C132:O132" si="81">SUM(C129:C131)</f>
        <v>88500</v>
      </c>
      <c r="D132" s="99">
        <f t="shared" si="81"/>
        <v>0</v>
      </c>
      <c r="E132" s="99">
        <f t="shared" si="81"/>
        <v>0</v>
      </c>
      <c r="F132" s="99">
        <f t="shared" si="81"/>
        <v>0</v>
      </c>
      <c r="G132" s="99">
        <f t="shared" si="81"/>
        <v>0</v>
      </c>
      <c r="H132" s="99">
        <f t="shared" si="81"/>
        <v>20000</v>
      </c>
      <c r="I132" s="99">
        <f t="shared" si="81"/>
        <v>20000</v>
      </c>
      <c r="J132" s="99">
        <f t="shared" si="81"/>
        <v>20000</v>
      </c>
      <c r="K132" s="99">
        <f t="shared" si="81"/>
        <v>20000</v>
      </c>
      <c r="L132" s="99">
        <f t="shared" si="81"/>
        <v>8500</v>
      </c>
      <c r="M132" s="99">
        <f t="shared" si="81"/>
        <v>0</v>
      </c>
      <c r="N132" s="99">
        <f t="shared" si="81"/>
        <v>0</v>
      </c>
      <c r="O132" s="99">
        <f t="shared" si="81"/>
        <v>0</v>
      </c>
      <c r="P132" s="382">
        <f t="shared" si="69"/>
        <v>0</v>
      </c>
      <c r="Q132" s="385"/>
      <c r="R132" s="386"/>
    </row>
    <row r="133" spans="1:18" ht="15.75" hidden="1" x14ac:dyDescent="0.25">
      <c r="A133" s="67" t="s">
        <v>286</v>
      </c>
      <c r="B133" s="54" t="s">
        <v>287</v>
      </c>
      <c r="C133" s="381">
        <f>+'2 Össz'!E133</f>
        <v>0</v>
      </c>
      <c r="D133" s="24"/>
      <c r="E133" s="393"/>
      <c r="F133" s="393"/>
      <c r="G133" s="393"/>
      <c r="H133" s="393"/>
      <c r="I133" s="393"/>
      <c r="J133" s="393"/>
      <c r="K133" s="393"/>
      <c r="L133" s="393"/>
      <c r="M133" s="393"/>
      <c r="N133" s="393"/>
      <c r="O133" s="393"/>
      <c r="P133" s="382">
        <f t="shared" si="69"/>
        <v>0</v>
      </c>
      <c r="Q133" s="383"/>
      <c r="R133" s="376"/>
    </row>
    <row r="134" spans="1:18" ht="15.75" hidden="1" x14ac:dyDescent="0.25">
      <c r="A134" s="73" t="s">
        <v>781</v>
      </c>
      <c r="B134" s="54" t="s">
        <v>289</v>
      </c>
      <c r="C134" s="381">
        <f>+'2 Össz'!E134</f>
        <v>0</v>
      </c>
      <c r="D134" s="24"/>
      <c r="E134" s="393"/>
      <c r="F134" s="393"/>
      <c r="G134" s="393"/>
      <c r="H134" s="393"/>
      <c r="I134" s="393"/>
      <c r="J134" s="393"/>
      <c r="K134" s="393"/>
      <c r="L134" s="393"/>
      <c r="M134" s="393"/>
      <c r="N134" s="393"/>
      <c r="O134" s="393"/>
      <c r="P134" s="382">
        <f t="shared" si="69"/>
        <v>0</v>
      </c>
      <c r="Q134" s="383"/>
      <c r="R134" s="376"/>
    </row>
    <row r="135" spans="1:18" ht="15.75" hidden="1" x14ac:dyDescent="0.25">
      <c r="A135" s="67" t="s">
        <v>290</v>
      </c>
      <c r="B135" s="54" t="s">
        <v>291</v>
      </c>
      <c r="C135" s="381">
        <f>+'2 Össz'!E135</f>
        <v>0</v>
      </c>
      <c r="D135" s="24"/>
      <c r="E135" s="393"/>
      <c r="F135" s="393"/>
      <c r="G135" s="393"/>
      <c r="H135" s="393"/>
      <c r="I135" s="393"/>
      <c r="J135" s="393"/>
      <c r="K135" s="393"/>
      <c r="L135" s="393"/>
      <c r="M135" s="393"/>
      <c r="N135" s="393"/>
      <c r="O135" s="393"/>
      <c r="P135" s="382">
        <f t="shared" si="69"/>
        <v>0</v>
      </c>
      <c r="Q135" s="383"/>
      <c r="R135" s="376"/>
    </row>
    <row r="136" spans="1:18" ht="15.75" hidden="1" x14ac:dyDescent="0.25">
      <c r="A136" s="73" t="s">
        <v>783</v>
      </c>
      <c r="B136" s="54" t="s">
        <v>293</v>
      </c>
      <c r="C136" s="381">
        <f>+'2 Össz'!E136</f>
        <v>0</v>
      </c>
      <c r="D136" s="24"/>
      <c r="E136" s="393"/>
      <c r="F136" s="393"/>
      <c r="G136" s="393"/>
      <c r="H136" s="393"/>
      <c r="I136" s="393"/>
      <c r="J136" s="393"/>
      <c r="K136" s="393"/>
      <c r="L136" s="393"/>
      <c r="M136" s="393"/>
      <c r="N136" s="393"/>
      <c r="O136" s="393"/>
      <c r="P136" s="382">
        <f t="shared" si="69"/>
        <v>0</v>
      </c>
      <c r="Q136" s="383"/>
      <c r="R136" s="376"/>
    </row>
    <row r="137" spans="1:18" s="387" customFormat="1" ht="15.75" x14ac:dyDescent="0.25">
      <c r="A137" s="366" t="s">
        <v>294</v>
      </c>
      <c r="B137" s="97" t="s">
        <v>295</v>
      </c>
      <c r="C137" s="99">
        <f t="shared" ref="C137:O137" si="82">SUM(C133:C136)</f>
        <v>0</v>
      </c>
      <c r="D137" s="99">
        <f t="shared" si="82"/>
        <v>0</v>
      </c>
      <c r="E137" s="99">
        <f t="shared" si="82"/>
        <v>0</v>
      </c>
      <c r="F137" s="99">
        <f t="shared" si="82"/>
        <v>0</v>
      </c>
      <c r="G137" s="99">
        <f t="shared" si="82"/>
        <v>0</v>
      </c>
      <c r="H137" s="99">
        <f t="shared" si="82"/>
        <v>0</v>
      </c>
      <c r="I137" s="99">
        <f t="shared" si="82"/>
        <v>0</v>
      </c>
      <c r="J137" s="99">
        <f t="shared" si="82"/>
        <v>0</v>
      </c>
      <c r="K137" s="99">
        <f t="shared" si="82"/>
        <v>0</v>
      </c>
      <c r="L137" s="99">
        <f t="shared" si="82"/>
        <v>0</v>
      </c>
      <c r="M137" s="99">
        <f t="shared" si="82"/>
        <v>0</v>
      </c>
      <c r="N137" s="99">
        <f t="shared" si="82"/>
        <v>0</v>
      </c>
      <c r="O137" s="99">
        <f t="shared" si="82"/>
        <v>0</v>
      </c>
      <c r="P137" s="382">
        <f t="shared" si="69"/>
        <v>0</v>
      </c>
      <c r="Q137" s="385"/>
      <c r="R137" s="386"/>
    </row>
    <row r="138" spans="1:18" ht="15.75" x14ac:dyDescent="0.25">
      <c r="A138" s="54" t="s">
        <v>296</v>
      </c>
      <c r="B138" s="54" t="s">
        <v>297</v>
      </c>
      <c r="C138" s="381">
        <f>+'2 Össz'!E138/1000</f>
        <v>249263.15</v>
      </c>
      <c r="D138" s="24">
        <v>20407</v>
      </c>
      <c r="E138" s="24">
        <v>16878</v>
      </c>
      <c r="F138" s="24">
        <v>20000</v>
      </c>
      <c r="G138" s="24">
        <v>138154</v>
      </c>
      <c r="H138" s="24">
        <v>53824</v>
      </c>
      <c r="I138" s="24"/>
      <c r="J138" s="24"/>
      <c r="K138" s="24"/>
      <c r="L138" s="24"/>
      <c r="M138" s="24"/>
      <c r="N138" s="24"/>
      <c r="O138" s="24"/>
      <c r="P138" s="382">
        <f t="shared" si="69"/>
        <v>0.14999999999417923</v>
      </c>
      <c r="Q138" s="383"/>
      <c r="R138" s="376"/>
    </row>
    <row r="139" spans="1:18" ht="15.75" x14ac:dyDescent="0.25">
      <c r="A139" s="54" t="s">
        <v>298</v>
      </c>
      <c r="B139" s="54" t="s">
        <v>297</v>
      </c>
      <c r="C139" s="381">
        <f>+'2 Össz'!E139/1000</f>
        <v>619779.93500000006</v>
      </c>
      <c r="D139" s="24">
        <v>50000</v>
      </c>
      <c r="E139" s="24">
        <v>153000</v>
      </c>
      <c r="F139" s="24"/>
      <c r="G139" s="24">
        <v>196000</v>
      </c>
      <c r="H139" s="24"/>
      <c r="I139" s="24">
        <v>38050</v>
      </c>
      <c r="J139" s="24"/>
      <c r="K139" s="24">
        <v>182730</v>
      </c>
      <c r="L139" s="24"/>
      <c r="M139" s="24"/>
      <c r="N139" s="24"/>
      <c r="O139" s="24"/>
      <c r="P139" s="382">
        <f t="shared" si="69"/>
        <v>-6.4999999944120646E-2</v>
      </c>
      <c r="Q139" s="383"/>
      <c r="R139" s="376"/>
    </row>
    <row r="140" spans="1:18" ht="15.75" hidden="1" x14ac:dyDescent="0.25">
      <c r="A140" s="54" t="s">
        <v>299</v>
      </c>
      <c r="B140" s="54" t="s">
        <v>300</v>
      </c>
      <c r="C140" s="381">
        <f>+'2 Össz'!E140</f>
        <v>0</v>
      </c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382">
        <f t="shared" si="69"/>
        <v>0</v>
      </c>
      <c r="Q140" s="383"/>
      <c r="R140" s="376"/>
    </row>
    <row r="141" spans="1:18" ht="15.75" hidden="1" x14ac:dyDescent="0.25">
      <c r="A141" s="54" t="s">
        <v>301</v>
      </c>
      <c r="B141" s="54" t="s">
        <v>300</v>
      </c>
      <c r="C141" s="381">
        <f>+'2 Össz'!E141</f>
        <v>0</v>
      </c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382">
        <f t="shared" si="69"/>
        <v>0</v>
      </c>
      <c r="Q141" s="383"/>
      <c r="R141" s="376"/>
    </row>
    <row r="142" spans="1:18" s="387" customFormat="1" ht="15.75" x14ac:dyDescent="0.25">
      <c r="A142" s="97" t="s">
        <v>302</v>
      </c>
      <c r="B142" s="97" t="s">
        <v>303</v>
      </c>
      <c r="C142" s="99">
        <f t="shared" ref="C142:O142" si="83">SUM(C138:C141)</f>
        <v>869043.08500000008</v>
      </c>
      <c r="D142" s="99">
        <f t="shared" si="83"/>
        <v>70407</v>
      </c>
      <c r="E142" s="99">
        <f t="shared" si="83"/>
        <v>169878</v>
      </c>
      <c r="F142" s="99">
        <f t="shared" si="83"/>
        <v>20000</v>
      </c>
      <c r="G142" s="99">
        <f t="shared" si="83"/>
        <v>334154</v>
      </c>
      <c r="H142" s="99">
        <f t="shared" si="83"/>
        <v>53824</v>
      </c>
      <c r="I142" s="99">
        <f t="shared" si="83"/>
        <v>38050</v>
      </c>
      <c r="J142" s="99">
        <f t="shared" si="83"/>
        <v>0</v>
      </c>
      <c r="K142" s="99">
        <f t="shared" si="83"/>
        <v>182730</v>
      </c>
      <c r="L142" s="99">
        <f t="shared" si="83"/>
        <v>0</v>
      </c>
      <c r="M142" s="99">
        <f t="shared" si="83"/>
        <v>0</v>
      </c>
      <c r="N142" s="99">
        <f t="shared" si="83"/>
        <v>0</v>
      </c>
      <c r="O142" s="99">
        <f t="shared" si="83"/>
        <v>0</v>
      </c>
      <c r="P142" s="382">
        <f t="shared" si="69"/>
        <v>8.5000000079162419E-2</v>
      </c>
      <c r="Q142" s="385"/>
      <c r="R142" s="386"/>
    </row>
    <row r="143" spans="1:18" ht="15.75" hidden="1" x14ac:dyDescent="0.25">
      <c r="A143" s="73" t="s">
        <v>304</v>
      </c>
      <c r="B143" s="54" t="s">
        <v>305</v>
      </c>
      <c r="C143" s="381">
        <f>+'2 Össz'!E143</f>
        <v>0</v>
      </c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382">
        <f t="shared" si="69"/>
        <v>0</v>
      </c>
      <c r="Q143" s="383"/>
      <c r="R143" s="376"/>
    </row>
    <row r="144" spans="1:18" ht="15.75" hidden="1" x14ac:dyDescent="0.25">
      <c r="A144" s="73" t="s">
        <v>306</v>
      </c>
      <c r="B144" s="54" t="s">
        <v>307</v>
      </c>
      <c r="C144" s="381">
        <f>+'2 Össz'!E144</f>
        <v>0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382">
        <f t="shared" ref="P144:P154" si="84">+C144-SUM(D144:O144)</f>
        <v>0</v>
      </c>
      <c r="Q144" s="383"/>
      <c r="R144" s="376"/>
    </row>
    <row r="145" spans="1:18" ht="15.75" hidden="1" x14ac:dyDescent="0.25">
      <c r="A145" s="73" t="s">
        <v>308</v>
      </c>
      <c r="B145" s="54" t="s">
        <v>309</v>
      </c>
      <c r="C145" s="381">
        <f>+'2 Össz'!E145</f>
        <v>0</v>
      </c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382">
        <f t="shared" si="84"/>
        <v>0</v>
      </c>
      <c r="Q145" s="383"/>
      <c r="R145" s="376"/>
    </row>
    <row r="146" spans="1:18" ht="15.75" hidden="1" x14ac:dyDescent="0.25">
      <c r="A146" s="73" t="s">
        <v>310</v>
      </c>
      <c r="B146" s="54" t="s">
        <v>311</v>
      </c>
      <c r="C146" s="381">
        <f>+'2 Össz'!E146</f>
        <v>0</v>
      </c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382">
        <f t="shared" si="84"/>
        <v>0</v>
      </c>
      <c r="Q146" s="383"/>
      <c r="R146" s="376"/>
    </row>
    <row r="147" spans="1:18" ht="15.75" hidden="1" x14ac:dyDescent="0.25">
      <c r="A147" s="67" t="s">
        <v>312</v>
      </c>
      <c r="B147" s="54" t="s">
        <v>313</v>
      </c>
      <c r="C147" s="381">
        <f>+'2 Össz'!E147</f>
        <v>0</v>
      </c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382">
        <f t="shared" si="84"/>
        <v>0</v>
      </c>
      <c r="Q147" s="383"/>
      <c r="R147" s="376"/>
    </row>
    <row r="148" spans="1:18" ht="15.75" hidden="1" x14ac:dyDescent="0.25">
      <c r="A148" s="67" t="s">
        <v>314</v>
      </c>
      <c r="B148" s="54" t="s">
        <v>315</v>
      </c>
      <c r="C148" s="381">
        <f>+'2 Össz'!E148</f>
        <v>0</v>
      </c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382">
        <f t="shared" si="84"/>
        <v>0</v>
      </c>
      <c r="Q148" s="383"/>
      <c r="R148" s="376"/>
    </row>
    <row r="149" spans="1:18" s="387" customFormat="1" ht="15.75" x14ac:dyDescent="0.25">
      <c r="A149" s="152" t="s">
        <v>316</v>
      </c>
      <c r="B149" s="97" t="s">
        <v>317</v>
      </c>
      <c r="C149" s="99">
        <f t="shared" ref="C149:O149" si="85">SUM(C143:C148)+C142+C137+C132</f>
        <v>957543.08500000008</v>
      </c>
      <c r="D149" s="99">
        <f t="shared" si="85"/>
        <v>70407</v>
      </c>
      <c r="E149" s="99">
        <f t="shared" si="85"/>
        <v>169878</v>
      </c>
      <c r="F149" s="99">
        <f t="shared" si="85"/>
        <v>20000</v>
      </c>
      <c r="G149" s="99">
        <f t="shared" si="85"/>
        <v>334154</v>
      </c>
      <c r="H149" s="99">
        <f t="shared" si="85"/>
        <v>73824</v>
      </c>
      <c r="I149" s="99">
        <f t="shared" si="85"/>
        <v>58050</v>
      </c>
      <c r="J149" s="99">
        <f t="shared" si="85"/>
        <v>20000</v>
      </c>
      <c r="K149" s="99">
        <f t="shared" si="85"/>
        <v>202730</v>
      </c>
      <c r="L149" s="99">
        <f t="shared" si="85"/>
        <v>8500</v>
      </c>
      <c r="M149" s="99">
        <f t="shared" si="85"/>
        <v>0</v>
      </c>
      <c r="N149" s="99">
        <f t="shared" si="85"/>
        <v>0</v>
      </c>
      <c r="O149" s="99">
        <f t="shared" si="85"/>
        <v>0</v>
      </c>
      <c r="P149" s="382">
        <f t="shared" si="84"/>
        <v>8.5000000079162419E-2</v>
      </c>
      <c r="Q149" s="385"/>
      <c r="R149" s="386"/>
    </row>
    <row r="150" spans="1:18" ht="15.75" hidden="1" x14ac:dyDescent="0.25">
      <c r="A150" s="73" t="s">
        <v>318</v>
      </c>
      <c r="B150" s="54" t="s">
        <v>319</v>
      </c>
      <c r="C150" s="381">
        <f>+'2 Össz'!E150</f>
        <v>0</v>
      </c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382">
        <f t="shared" si="84"/>
        <v>0</v>
      </c>
      <c r="Q150" s="383"/>
      <c r="R150" s="376"/>
    </row>
    <row r="151" spans="1:18" ht="15.75" hidden="1" x14ac:dyDescent="0.25">
      <c r="A151" s="67" t="s">
        <v>320</v>
      </c>
      <c r="B151" s="54" t="s">
        <v>321</v>
      </c>
      <c r="C151" s="381">
        <f>+'2 Össz'!E151</f>
        <v>0</v>
      </c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382">
        <f t="shared" si="84"/>
        <v>0</v>
      </c>
      <c r="Q151" s="383"/>
      <c r="R151" s="376"/>
    </row>
    <row r="152" spans="1:18" ht="15.75" hidden="1" x14ac:dyDescent="0.25">
      <c r="A152" s="67" t="s">
        <v>322</v>
      </c>
      <c r="B152" s="54" t="s">
        <v>323</v>
      </c>
      <c r="C152" s="381">
        <f>+'2 Össz'!E152</f>
        <v>0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382">
        <f t="shared" si="84"/>
        <v>0</v>
      </c>
      <c r="Q152" s="383"/>
      <c r="R152" s="376"/>
    </row>
    <row r="153" spans="1:18" s="387" customFormat="1" ht="15.75" x14ac:dyDescent="0.25">
      <c r="A153" s="366" t="s">
        <v>324</v>
      </c>
      <c r="B153" s="97" t="s">
        <v>325</v>
      </c>
      <c r="C153" s="99">
        <f t="shared" ref="C153:O153" si="86">SUM(C149:C152)</f>
        <v>957543.08500000008</v>
      </c>
      <c r="D153" s="99">
        <f t="shared" si="86"/>
        <v>70407</v>
      </c>
      <c r="E153" s="99">
        <f t="shared" si="86"/>
        <v>169878</v>
      </c>
      <c r="F153" s="99">
        <f t="shared" si="86"/>
        <v>20000</v>
      </c>
      <c r="G153" s="99">
        <f t="shared" si="86"/>
        <v>334154</v>
      </c>
      <c r="H153" s="99">
        <f t="shared" si="86"/>
        <v>73824</v>
      </c>
      <c r="I153" s="99">
        <f t="shared" si="86"/>
        <v>58050</v>
      </c>
      <c r="J153" s="99">
        <f t="shared" si="86"/>
        <v>20000</v>
      </c>
      <c r="K153" s="99">
        <f t="shared" si="86"/>
        <v>202730</v>
      </c>
      <c r="L153" s="99">
        <f t="shared" si="86"/>
        <v>8500</v>
      </c>
      <c r="M153" s="99">
        <f t="shared" si="86"/>
        <v>0</v>
      </c>
      <c r="N153" s="99">
        <f t="shared" si="86"/>
        <v>0</v>
      </c>
      <c r="O153" s="99">
        <f t="shared" si="86"/>
        <v>0</v>
      </c>
      <c r="P153" s="382">
        <f t="shared" si="84"/>
        <v>8.5000000079162419E-2</v>
      </c>
      <c r="Q153" s="383"/>
      <c r="R153" s="386"/>
    </row>
    <row r="154" spans="1:18" s="387" customFormat="1" ht="15.75" x14ac:dyDescent="0.25">
      <c r="A154" s="124" t="s">
        <v>326</v>
      </c>
      <c r="B154" s="124" t="s">
        <v>327</v>
      </c>
      <c r="C154" s="99">
        <f t="shared" ref="C154:O154" si="87">+C126+C153</f>
        <v>7774286.9240000006</v>
      </c>
      <c r="D154" s="99">
        <f t="shared" si="87"/>
        <v>402924</v>
      </c>
      <c r="E154" s="99">
        <f t="shared" si="87"/>
        <v>384323</v>
      </c>
      <c r="F154" s="99">
        <f t="shared" si="87"/>
        <v>432544</v>
      </c>
      <c r="G154" s="99">
        <f t="shared" si="87"/>
        <v>492457</v>
      </c>
      <c r="H154" s="99">
        <f t="shared" si="87"/>
        <v>488095</v>
      </c>
      <c r="I154" s="99">
        <f t="shared" si="87"/>
        <v>512218</v>
      </c>
      <c r="J154" s="99">
        <f t="shared" si="87"/>
        <v>436558</v>
      </c>
      <c r="K154" s="99">
        <f t="shared" si="87"/>
        <v>919219</v>
      </c>
      <c r="L154" s="99">
        <f t="shared" si="87"/>
        <v>735986</v>
      </c>
      <c r="M154" s="99">
        <f t="shared" si="87"/>
        <v>607991</v>
      </c>
      <c r="N154" s="99">
        <f t="shared" si="87"/>
        <v>1483381</v>
      </c>
      <c r="O154" s="99">
        <f t="shared" si="87"/>
        <v>878590.7</v>
      </c>
      <c r="P154" s="382">
        <f t="shared" si="84"/>
        <v>0.22400000039488077</v>
      </c>
      <c r="Q154" s="385"/>
      <c r="R154" s="386"/>
    </row>
    <row r="155" spans="1:18" ht="15.75" x14ac:dyDescent="0.25">
      <c r="A155" s="124" t="s">
        <v>179</v>
      </c>
      <c r="B155" s="395"/>
      <c r="C155" s="396"/>
      <c r="D155" s="397">
        <f t="shared" ref="D155:P155" si="88">+D77</f>
        <v>402923.8</v>
      </c>
      <c r="E155" s="397">
        <f t="shared" si="88"/>
        <v>384323</v>
      </c>
      <c r="F155" s="397">
        <f t="shared" si="88"/>
        <v>432544</v>
      </c>
      <c r="G155" s="397">
        <f t="shared" si="88"/>
        <v>492457</v>
      </c>
      <c r="H155" s="397">
        <f t="shared" si="88"/>
        <v>488095</v>
      </c>
      <c r="I155" s="397">
        <f t="shared" si="88"/>
        <v>512218</v>
      </c>
      <c r="J155" s="397">
        <f t="shared" si="88"/>
        <v>436558</v>
      </c>
      <c r="K155" s="397">
        <f t="shared" si="88"/>
        <v>919219</v>
      </c>
      <c r="L155" s="397">
        <f t="shared" si="88"/>
        <v>735986</v>
      </c>
      <c r="M155" s="397">
        <f t="shared" si="88"/>
        <v>607991</v>
      </c>
      <c r="N155" s="397">
        <f t="shared" si="88"/>
        <v>1483381</v>
      </c>
      <c r="O155" s="397">
        <f t="shared" si="88"/>
        <v>878591</v>
      </c>
      <c r="P155" s="397">
        <f t="shared" si="88"/>
        <v>0.1240000007674098</v>
      </c>
    </row>
    <row r="156" spans="1:18" x14ac:dyDescent="0.25">
      <c r="C156" s="370">
        <f t="shared" ref="C156:O156" si="89">+C154-C77</f>
        <v>0</v>
      </c>
      <c r="D156" s="370">
        <f t="shared" si="89"/>
        <v>0.20000000001164153</v>
      </c>
      <c r="E156" s="370">
        <f t="shared" si="89"/>
        <v>0</v>
      </c>
      <c r="F156" s="370">
        <f t="shared" si="89"/>
        <v>0</v>
      </c>
      <c r="G156" s="370">
        <f t="shared" si="89"/>
        <v>0</v>
      </c>
      <c r="H156" s="370">
        <f t="shared" si="89"/>
        <v>0</v>
      </c>
      <c r="I156" s="370">
        <f t="shared" si="89"/>
        <v>0</v>
      </c>
      <c r="J156" s="370">
        <f t="shared" si="89"/>
        <v>0</v>
      </c>
      <c r="K156" s="370">
        <f t="shared" si="89"/>
        <v>0</v>
      </c>
      <c r="L156" s="370">
        <f t="shared" si="89"/>
        <v>0</v>
      </c>
      <c r="M156" s="370">
        <f t="shared" si="89"/>
        <v>0</v>
      </c>
      <c r="N156" s="370">
        <f t="shared" si="89"/>
        <v>0</v>
      </c>
      <c r="O156" s="370">
        <f t="shared" si="89"/>
        <v>-0.30000000004656613</v>
      </c>
      <c r="P156" s="370">
        <f>SUM(D156:O156)</f>
        <v>-0.1000000000349246</v>
      </c>
    </row>
  </sheetData>
  <sheetProtection selectLockedCells="1" selectUnlockedCells="1"/>
  <printOptions horizontalCentered="1"/>
  <pageMargins left="0.36180555555555555" right="0.40972222222222221" top="0.31527777777777777" bottom="0.31527777777777777" header="0.51180555555555551" footer="0.15763888888888888"/>
  <pageSetup paperSize="9" scale="55" firstPageNumber="0" orientation="landscape" horizontalDpi="300" verticalDpi="300" r:id="rId1"/>
  <headerFooter alignWithMargins="0">
    <oddFooter>&amp;R&amp;P</oddFooter>
  </headerFooter>
  <rowBreaks count="1" manualBreakCount="1">
    <brk id="7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L263"/>
  <sheetViews>
    <sheetView view="pageBreakPreview" zoomScale="80" zoomScaleSheetLayoutView="80" workbookViewId="0">
      <selection activeCell="F2" sqref="F2"/>
    </sheetView>
  </sheetViews>
  <sheetFormatPr defaultRowHeight="15.75" x14ac:dyDescent="0.25"/>
  <cols>
    <col min="1" max="1" width="77" style="13" customWidth="1"/>
    <col min="2" max="2" width="10.140625" style="13" customWidth="1"/>
    <col min="3" max="3" width="15.42578125" style="398" customWidth="1"/>
    <col min="4" max="4" width="13.7109375" style="13" customWidth="1"/>
    <col min="5" max="5" width="14.42578125" style="13" customWidth="1"/>
    <col min="6" max="6" width="13.7109375" style="13" customWidth="1"/>
    <col min="7" max="7" width="13.140625" style="13" customWidth="1"/>
    <col min="8" max="16384" width="9.140625" style="13"/>
  </cols>
  <sheetData>
    <row r="1" spans="1:12" s="89" customFormat="1" x14ac:dyDescent="0.25">
      <c r="A1" s="154"/>
      <c r="C1" s="399"/>
      <c r="F1" s="15" t="s">
        <v>860</v>
      </c>
    </row>
    <row r="2" spans="1:12" s="89" customFormat="1" x14ac:dyDescent="0.25">
      <c r="A2" s="154"/>
      <c r="C2" s="399"/>
      <c r="F2" s="16" t="s">
        <v>937</v>
      </c>
    </row>
    <row r="3" spans="1:12" ht="18.75" x14ac:dyDescent="0.3">
      <c r="A3" s="35" t="s">
        <v>879</v>
      </c>
      <c r="B3" s="37"/>
      <c r="C3" s="281"/>
      <c r="D3" s="37"/>
      <c r="E3" s="37"/>
      <c r="F3" s="37"/>
    </row>
    <row r="4" spans="1:12" x14ac:dyDescent="0.25">
      <c r="A4" s="44"/>
      <c r="B4" s="43"/>
      <c r="C4" s="400"/>
      <c r="D4" s="43"/>
      <c r="E4" s="43"/>
      <c r="F4" s="43"/>
    </row>
    <row r="5" spans="1:12" ht="36" customHeight="1" x14ac:dyDescent="0.35">
      <c r="A5" s="487" t="s">
        <v>921</v>
      </c>
      <c r="B5" s="487"/>
      <c r="C5" s="487"/>
      <c r="D5" s="487"/>
      <c r="E5" s="487"/>
      <c r="F5" s="487"/>
      <c r="G5" s="468"/>
      <c r="H5" s="468"/>
      <c r="I5" s="468"/>
      <c r="J5" s="468"/>
      <c r="K5" s="468"/>
      <c r="L5" s="468"/>
    </row>
    <row r="6" spans="1:12" x14ac:dyDescent="0.25">
      <c r="A6" s="376"/>
      <c r="B6"/>
      <c r="C6" s="401"/>
      <c r="G6" s="402"/>
    </row>
    <row r="7" spans="1:12" ht="31.5" x14ac:dyDescent="0.25">
      <c r="A7" s="19" t="s">
        <v>14</v>
      </c>
      <c r="B7" s="48" t="s">
        <v>41</v>
      </c>
      <c r="C7" s="403" t="s">
        <v>861</v>
      </c>
      <c r="D7" s="403" t="s">
        <v>862</v>
      </c>
      <c r="E7" s="403" t="s">
        <v>863</v>
      </c>
      <c r="F7" s="403" t="s">
        <v>897</v>
      </c>
      <c r="G7" s="404"/>
    </row>
    <row r="8" spans="1:12" x14ac:dyDescent="0.25">
      <c r="A8" s="52" t="s">
        <v>42</v>
      </c>
      <c r="B8" s="53" t="s">
        <v>43</v>
      </c>
      <c r="C8" s="24">
        <f>+'2 Össz'!E7/1000</f>
        <v>1624024.3459999999</v>
      </c>
      <c r="D8" s="24">
        <v>1230000</v>
      </c>
      <c r="E8" s="24">
        <f>ROUND(+D8*1.01,0)</f>
        <v>1242300</v>
      </c>
      <c r="F8" s="24">
        <f>ROUND(+E8*1.01,0)</f>
        <v>1254723</v>
      </c>
      <c r="G8" s="404"/>
    </row>
    <row r="9" spans="1:12" x14ac:dyDescent="0.25">
      <c r="A9" s="54" t="s">
        <v>44</v>
      </c>
      <c r="B9" s="53" t="s">
        <v>45</v>
      </c>
      <c r="C9" s="24">
        <f>+'2 Össz'!E8/1000</f>
        <v>128815.788</v>
      </c>
      <c r="D9" s="24">
        <v>52000</v>
      </c>
      <c r="E9" s="24">
        <f>ROUND(+D9*1.01,0)</f>
        <v>52520</v>
      </c>
      <c r="F9" s="24">
        <f>ROUND(+E9*1.01,0)</f>
        <v>53045</v>
      </c>
      <c r="G9" s="405"/>
    </row>
    <row r="10" spans="1:12" x14ac:dyDescent="0.25">
      <c r="A10" s="55" t="s">
        <v>46</v>
      </c>
      <c r="B10" s="56" t="s">
        <v>47</v>
      </c>
      <c r="C10" s="25">
        <f>SUM(C8:C9)</f>
        <v>1752840.1339999998</v>
      </c>
      <c r="D10" s="25">
        <f>SUM(D8:D9)</f>
        <v>1282000</v>
      </c>
      <c r="E10" s="25">
        <f>SUM(E8:E9)</f>
        <v>1294820</v>
      </c>
      <c r="F10" s="25">
        <f>SUM(F8:F9)</f>
        <v>1307768</v>
      </c>
    </row>
    <row r="11" spans="1:12" x14ac:dyDescent="0.25">
      <c r="A11" s="57" t="s">
        <v>615</v>
      </c>
      <c r="B11" s="56" t="s">
        <v>49</v>
      </c>
      <c r="C11" s="24">
        <f>+'2 Össz'!E10/1000</f>
        <v>331565.29700000002</v>
      </c>
      <c r="D11" s="25">
        <f>ROUND(+D10*0.2057,0)</f>
        <v>263707</v>
      </c>
      <c r="E11" s="25">
        <f>ROUND(+E10*0.2057,0)</f>
        <v>266344</v>
      </c>
      <c r="F11" s="25">
        <f>ROUND(+F10*0.2057,0)</f>
        <v>269008</v>
      </c>
      <c r="G11" s="27"/>
    </row>
    <row r="12" spans="1:12" x14ac:dyDescent="0.25">
      <c r="A12" s="54" t="s">
        <v>50</v>
      </c>
      <c r="B12" s="53" t="s">
        <v>51</v>
      </c>
      <c r="C12" s="24">
        <f>+'2 Össz'!E11/1000</f>
        <v>275310.38199999998</v>
      </c>
      <c r="D12" s="24">
        <v>266000</v>
      </c>
      <c r="E12" s="24">
        <f t="shared" ref="E12:F16" si="0">ROUND(+D12*1.01,0)</f>
        <v>268660</v>
      </c>
      <c r="F12" s="24">
        <f t="shared" si="0"/>
        <v>271347</v>
      </c>
      <c r="G12" s="27"/>
    </row>
    <row r="13" spans="1:12" x14ac:dyDescent="0.25">
      <c r="A13" s="54" t="s">
        <v>52</v>
      </c>
      <c r="B13" s="53" t="s">
        <v>53</v>
      </c>
      <c r="C13" s="24">
        <f>+'2 Össz'!E12/1000</f>
        <v>15917.96</v>
      </c>
      <c r="D13" s="24">
        <v>15000</v>
      </c>
      <c r="E13" s="24">
        <f t="shared" si="0"/>
        <v>15150</v>
      </c>
      <c r="F13" s="24">
        <f t="shared" si="0"/>
        <v>15302</v>
      </c>
    </row>
    <row r="14" spans="1:12" x14ac:dyDescent="0.25">
      <c r="A14" s="54" t="s">
        <v>54</v>
      </c>
      <c r="B14" s="53" t="s">
        <v>55</v>
      </c>
      <c r="C14" s="24">
        <f>+'2 Össz'!E13/1000</f>
        <v>748601.15599999996</v>
      </c>
      <c r="D14" s="24">
        <v>411000</v>
      </c>
      <c r="E14" s="24">
        <f>ROUND(+D14*1.01,0)-100000</f>
        <v>315110</v>
      </c>
      <c r="F14" s="24">
        <f t="shared" si="0"/>
        <v>318261</v>
      </c>
    </row>
    <row r="15" spans="1:12" x14ac:dyDescent="0.25">
      <c r="A15" s="54" t="s">
        <v>56</v>
      </c>
      <c r="B15" s="53" t="s">
        <v>57</v>
      </c>
      <c r="C15" s="24">
        <f>+'2 Össz'!E14/1000</f>
        <v>52581.012000000002</v>
      </c>
      <c r="D15" s="24">
        <v>6500</v>
      </c>
      <c r="E15" s="24">
        <f t="shared" si="0"/>
        <v>6565</v>
      </c>
      <c r="F15" s="24">
        <f t="shared" si="0"/>
        <v>6631</v>
      </c>
    </row>
    <row r="16" spans="1:12" x14ac:dyDescent="0.25">
      <c r="A16" s="54" t="s">
        <v>58</v>
      </c>
      <c r="B16" s="53" t="s">
        <v>59</v>
      </c>
      <c r="C16" s="24">
        <f>+'2 Össz'!E15/1000</f>
        <v>306178.70600000001</v>
      </c>
      <c r="D16" s="24">
        <v>205000</v>
      </c>
      <c r="E16" s="24">
        <f>ROUND(+D16*1.01,0)-27000</f>
        <v>180050</v>
      </c>
      <c r="F16" s="24">
        <f t="shared" si="0"/>
        <v>181851</v>
      </c>
    </row>
    <row r="17" spans="1:6" x14ac:dyDescent="0.25">
      <c r="A17" s="57" t="s">
        <v>60</v>
      </c>
      <c r="B17" s="56" t="s">
        <v>61</v>
      </c>
      <c r="C17" s="25">
        <f>SUM(C12:C16)</f>
        <v>1398589.216</v>
      </c>
      <c r="D17" s="25">
        <f>SUM(D12:D16)</f>
        <v>903500</v>
      </c>
      <c r="E17" s="25">
        <f>SUM(E12:E16)</f>
        <v>785535</v>
      </c>
      <c r="F17" s="25">
        <f>SUM(F12:F16)</f>
        <v>793392</v>
      </c>
    </row>
    <row r="18" spans="1:6" x14ac:dyDescent="0.25">
      <c r="A18" s="58" t="s">
        <v>62</v>
      </c>
      <c r="B18" s="56" t="s">
        <v>63</v>
      </c>
      <c r="C18" s="24">
        <f>+'2 Össz'!E17/1000</f>
        <v>59800</v>
      </c>
      <c r="D18" s="406">
        <v>59800</v>
      </c>
      <c r="E18" s="406">
        <f t="shared" ref="E18:F29" si="1">+D18</f>
        <v>59800</v>
      </c>
      <c r="F18" s="406">
        <f t="shared" si="1"/>
        <v>59800</v>
      </c>
    </row>
    <row r="19" spans="1:6" x14ac:dyDescent="0.25">
      <c r="A19" s="59" t="s">
        <v>64</v>
      </c>
      <c r="B19" s="53" t="s">
        <v>65</v>
      </c>
      <c r="C19" s="24">
        <f>+'2 Össz'!E18/1000</f>
        <v>0</v>
      </c>
      <c r="D19" s="24">
        <v>0</v>
      </c>
      <c r="E19" s="24">
        <f t="shared" si="1"/>
        <v>0</v>
      </c>
      <c r="F19" s="24">
        <f t="shared" si="1"/>
        <v>0</v>
      </c>
    </row>
    <row r="20" spans="1:6" x14ac:dyDescent="0.25">
      <c r="A20" s="59" t="s">
        <v>66</v>
      </c>
      <c r="B20" s="53" t="s">
        <v>67</v>
      </c>
      <c r="C20" s="24">
        <f>+'2 Össz'!E19/1000</f>
        <v>2200</v>
      </c>
      <c r="D20" s="24">
        <v>0</v>
      </c>
      <c r="E20" s="24">
        <f t="shared" si="1"/>
        <v>0</v>
      </c>
      <c r="F20" s="24">
        <f t="shared" si="1"/>
        <v>0</v>
      </c>
    </row>
    <row r="21" spans="1:6" x14ac:dyDescent="0.25">
      <c r="A21" s="59" t="s">
        <v>68</v>
      </c>
      <c r="B21" s="53" t="s">
        <v>69</v>
      </c>
      <c r="C21" s="24">
        <f>+'2 Össz'!E20/1000</f>
        <v>0</v>
      </c>
      <c r="D21" s="24">
        <v>0</v>
      </c>
      <c r="E21" s="24">
        <f t="shared" si="1"/>
        <v>0</v>
      </c>
      <c r="F21" s="24">
        <f t="shared" si="1"/>
        <v>0</v>
      </c>
    </row>
    <row r="22" spans="1:6" x14ac:dyDescent="0.25">
      <c r="A22" s="59" t="s">
        <v>70</v>
      </c>
      <c r="B22" s="53" t="s">
        <v>71</v>
      </c>
      <c r="C22" s="24">
        <f>+'2 Össz'!E21/1000</f>
        <v>0</v>
      </c>
      <c r="D22" s="24">
        <v>0</v>
      </c>
      <c r="E22" s="24">
        <f t="shared" si="1"/>
        <v>0</v>
      </c>
      <c r="F22" s="24">
        <f t="shared" si="1"/>
        <v>0</v>
      </c>
    </row>
    <row r="23" spans="1:6" x14ac:dyDescent="0.25">
      <c r="A23" s="59" t="s">
        <v>643</v>
      </c>
      <c r="B23" s="53" t="s">
        <v>73</v>
      </c>
      <c r="C23" s="24">
        <f>+'2 Össz'!E22/1000</f>
        <v>0</v>
      </c>
      <c r="D23" s="24">
        <v>0</v>
      </c>
      <c r="E23" s="24">
        <f t="shared" si="1"/>
        <v>0</v>
      </c>
      <c r="F23" s="24">
        <f t="shared" si="1"/>
        <v>0</v>
      </c>
    </row>
    <row r="24" spans="1:6" x14ac:dyDescent="0.25">
      <c r="A24" s="59" t="s">
        <v>74</v>
      </c>
      <c r="B24" s="53" t="s">
        <v>75</v>
      </c>
      <c r="C24" s="24">
        <f>+'2 Össz'!E23/1000</f>
        <v>9740.6</v>
      </c>
      <c r="D24" s="407">
        <v>0</v>
      </c>
      <c r="E24" s="407">
        <f t="shared" si="1"/>
        <v>0</v>
      </c>
      <c r="F24" s="407">
        <f t="shared" si="1"/>
        <v>0</v>
      </c>
    </row>
    <row r="25" spans="1:6" x14ac:dyDescent="0.25">
      <c r="A25" s="59" t="s">
        <v>76</v>
      </c>
      <c r="B25" s="53" t="s">
        <v>77</v>
      </c>
      <c r="C25" s="24">
        <f>+'2 Össz'!E24/1000</f>
        <v>0</v>
      </c>
      <c r="D25" s="24">
        <v>0</v>
      </c>
      <c r="E25" s="24">
        <f t="shared" si="1"/>
        <v>0</v>
      </c>
      <c r="F25" s="24">
        <f t="shared" si="1"/>
        <v>0</v>
      </c>
    </row>
    <row r="26" spans="1:6" x14ac:dyDescent="0.25">
      <c r="A26" s="59" t="s">
        <v>78</v>
      </c>
      <c r="B26" s="53" t="s">
        <v>79</v>
      </c>
      <c r="C26" s="24">
        <f>+'2 Össz'!E25/1000</f>
        <v>0</v>
      </c>
      <c r="D26" s="24">
        <v>0</v>
      </c>
      <c r="E26" s="24">
        <f t="shared" si="1"/>
        <v>0</v>
      </c>
      <c r="F26" s="24">
        <f t="shared" si="1"/>
        <v>0</v>
      </c>
    </row>
    <row r="27" spans="1:6" x14ac:dyDescent="0.25">
      <c r="A27" s="59" t="s">
        <v>80</v>
      </c>
      <c r="B27" s="53" t="s">
        <v>81</v>
      </c>
      <c r="C27" s="24">
        <f>+'2 Össz'!E26/1000</f>
        <v>0</v>
      </c>
      <c r="D27" s="24">
        <v>0</v>
      </c>
      <c r="E27" s="24">
        <f t="shared" si="1"/>
        <v>0</v>
      </c>
      <c r="F27" s="24">
        <f t="shared" si="1"/>
        <v>0</v>
      </c>
    </row>
    <row r="28" spans="1:6" x14ac:dyDescent="0.25">
      <c r="A28" s="60" t="s">
        <v>82</v>
      </c>
      <c r="B28" s="53" t="s">
        <v>83</v>
      </c>
      <c r="C28" s="24">
        <f>+'2 Össz'!E27/1000</f>
        <v>0</v>
      </c>
      <c r="D28" s="24">
        <v>0</v>
      </c>
      <c r="E28" s="24">
        <f t="shared" si="1"/>
        <v>0</v>
      </c>
      <c r="F28" s="24">
        <f t="shared" si="1"/>
        <v>0</v>
      </c>
    </row>
    <row r="29" spans="1:6" x14ac:dyDescent="0.25">
      <c r="A29" s="59" t="s">
        <v>84</v>
      </c>
      <c r="B29" s="53" t="s">
        <v>85</v>
      </c>
      <c r="C29" s="24">
        <f>+'2 Össz'!E28/1000</f>
        <v>0</v>
      </c>
      <c r="D29" s="24">
        <v>0</v>
      </c>
      <c r="E29" s="24">
        <f t="shared" si="1"/>
        <v>0</v>
      </c>
      <c r="F29" s="24">
        <f t="shared" si="1"/>
        <v>0</v>
      </c>
    </row>
    <row r="30" spans="1:6" x14ac:dyDescent="0.25">
      <c r="A30" s="59" t="s">
        <v>86</v>
      </c>
      <c r="B30" s="53" t="s">
        <v>87</v>
      </c>
      <c r="C30" s="24">
        <f>+'2 Össz'!E29/1000</f>
        <v>50880</v>
      </c>
      <c r="D30" s="24">
        <v>40000</v>
      </c>
      <c r="E30" s="24">
        <v>30000</v>
      </c>
      <c r="F30" s="24">
        <v>25000</v>
      </c>
    </row>
    <row r="31" spans="1:6" x14ac:dyDescent="0.25">
      <c r="A31" s="60" t="s">
        <v>88</v>
      </c>
      <c r="B31" s="53" t="s">
        <v>89</v>
      </c>
      <c r="C31" s="24">
        <f>+'2 Össz'!E30/1000</f>
        <v>40000</v>
      </c>
      <c r="D31" s="24">
        <v>40000</v>
      </c>
      <c r="E31" s="24">
        <f>+D31</f>
        <v>40000</v>
      </c>
      <c r="F31" s="24">
        <f>+E31</f>
        <v>40000</v>
      </c>
    </row>
    <row r="32" spans="1:6" x14ac:dyDescent="0.25">
      <c r="A32" s="60" t="s">
        <v>90</v>
      </c>
      <c r="B32" s="53" t="s">
        <v>89</v>
      </c>
      <c r="C32" s="24">
        <f>+'2 Össz'!E31/1000</f>
        <v>23500</v>
      </c>
      <c r="D32" s="24">
        <v>4300</v>
      </c>
      <c r="E32" s="24">
        <f>+D32</f>
        <v>4300</v>
      </c>
      <c r="F32" s="24">
        <f>+E32</f>
        <v>4300</v>
      </c>
    </row>
    <row r="33" spans="1:6" x14ac:dyDescent="0.25">
      <c r="A33" s="58" t="s">
        <v>91</v>
      </c>
      <c r="B33" s="56" t="s">
        <v>92</v>
      </c>
      <c r="C33" s="25">
        <f>SUM(C19:C32)</f>
        <v>126320.6</v>
      </c>
      <c r="D33" s="25">
        <f>SUM(D19:D32)</f>
        <v>84300</v>
      </c>
      <c r="E33" s="25">
        <f>SUM(E19:E32)</f>
        <v>74300</v>
      </c>
      <c r="F33" s="25">
        <f>SUM(F19:F32)</f>
        <v>69300</v>
      </c>
    </row>
    <row r="34" spans="1:6" x14ac:dyDescent="0.25">
      <c r="A34" s="61" t="s">
        <v>93</v>
      </c>
      <c r="B34" s="62" t="s">
        <v>94</v>
      </c>
      <c r="C34" s="63">
        <f>+C33+C18+C17+C11+C10</f>
        <v>3669115.247</v>
      </c>
      <c r="D34" s="63">
        <f>+D33+D18+D17+D11+D10</f>
        <v>2593307</v>
      </c>
      <c r="E34" s="63">
        <f>+E33+E18+E17+E11+E10</f>
        <v>2480799</v>
      </c>
      <c r="F34" s="63">
        <f>+F33+F18+F17+F11+F10</f>
        <v>2499268</v>
      </c>
    </row>
    <row r="35" spans="1:6" x14ac:dyDescent="0.25">
      <c r="A35" s="64" t="s">
        <v>95</v>
      </c>
      <c r="B35" s="53" t="s">
        <v>96</v>
      </c>
      <c r="C35" s="24">
        <f>+'2 Össz'!E34/1000</f>
        <v>370</v>
      </c>
      <c r="D35" s="24">
        <v>300</v>
      </c>
      <c r="E35" s="24">
        <f t="shared" ref="E35:F37" si="2">+D35</f>
        <v>300</v>
      </c>
      <c r="F35" s="24">
        <f t="shared" si="2"/>
        <v>300</v>
      </c>
    </row>
    <row r="36" spans="1:6" x14ac:dyDescent="0.25">
      <c r="A36" s="64" t="s">
        <v>97</v>
      </c>
      <c r="B36" s="53" t="s">
        <v>98</v>
      </c>
      <c r="C36" s="24">
        <f>+'2 Össz'!E35/1000</f>
        <v>35995.855118110238</v>
      </c>
      <c r="D36" s="24">
        <v>43000</v>
      </c>
      <c r="E36" s="24">
        <v>0</v>
      </c>
      <c r="F36" s="24">
        <f t="shared" si="2"/>
        <v>0</v>
      </c>
    </row>
    <row r="37" spans="1:6" x14ac:dyDescent="0.25">
      <c r="A37" s="64" t="s">
        <v>99</v>
      </c>
      <c r="B37" s="53" t="s">
        <v>100</v>
      </c>
      <c r="C37" s="24">
        <f>+'2 Össz'!E36/1000</f>
        <v>1994</v>
      </c>
      <c r="D37" s="24">
        <v>500</v>
      </c>
      <c r="E37" s="24">
        <f t="shared" si="2"/>
        <v>500</v>
      </c>
      <c r="F37" s="24">
        <f t="shared" si="2"/>
        <v>500</v>
      </c>
    </row>
    <row r="38" spans="1:6" x14ac:dyDescent="0.25">
      <c r="A38" s="64" t="s">
        <v>101</v>
      </c>
      <c r="B38" s="53" t="s">
        <v>102</v>
      </c>
      <c r="C38" s="24">
        <f>+'2 Össz'!E37/1000</f>
        <v>226191.57488188977</v>
      </c>
      <c r="D38" s="24">
        <v>30000</v>
      </c>
      <c r="E38" s="24">
        <f>+D38-5000</f>
        <v>25000</v>
      </c>
      <c r="F38" s="24">
        <f>+E38-3000</f>
        <v>22000</v>
      </c>
    </row>
    <row r="39" spans="1:6" x14ac:dyDescent="0.25">
      <c r="A39" s="65" t="s">
        <v>103</v>
      </c>
      <c r="B39" s="53" t="s">
        <v>104</v>
      </c>
      <c r="C39" s="24">
        <f>+'2 Össz'!E38/1000</f>
        <v>0</v>
      </c>
      <c r="D39" s="24">
        <v>0</v>
      </c>
      <c r="E39" s="24">
        <f>+D39</f>
        <v>0</v>
      </c>
      <c r="F39" s="24">
        <f>+E39</f>
        <v>0</v>
      </c>
    </row>
    <row r="40" spans="1:6" x14ac:dyDescent="0.25">
      <c r="A40" s="65" t="s">
        <v>105</v>
      </c>
      <c r="B40" s="53" t="s">
        <v>106</v>
      </c>
      <c r="C40" s="24">
        <f>+'2 Össz'!E39/1000</f>
        <v>0</v>
      </c>
      <c r="D40" s="24">
        <v>0</v>
      </c>
      <c r="E40" s="24">
        <f>+D40</f>
        <v>0</v>
      </c>
      <c r="F40" s="24">
        <f>+E40</f>
        <v>0</v>
      </c>
    </row>
    <row r="41" spans="1:6" x14ac:dyDescent="0.25">
      <c r="A41" s="65" t="s">
        <v>107</v>
      </c>
      <c r="B41" s="53" t="s">
        <v>108</v>
      </c>
      <c r="C41" s="24">
        <f>+'2 Össz'!E40/1000</f>
        <v>70508.885999999999</v>
      </c>
      <c r="D41" s="24">
        <f>ROUNDUP(SUM(D35:D40)*0.27,0)</f>
        <v>19926</v>
      </c>
      <c r="E41" s="24">
        <f>ROUNDUP(SUM(E35:E40)*0.27,0)</f>
        <v>6966</v>
      </c>
      <c r="F41" s="24">
        <f>ROUNDUP(SUM(F35:F40)*0.27,0)</f>
        <v>6156</v>
      </c>
    </row>
    <row r="42" spans="1:6" x14ac:dyDescent="0.25">
      <c r="A42" s="66" t="s">
        <v>109</v>
      </c>
      <c r="B42" s="56" t="s">
        <v>110</v>
      </c>
      <c r="C42" s="25">
        <f>SUM(C35:C41)</f>
        <v>335060.31599999999</v>
      </c>
      <c r="D42" s="25">
        <f>SUM(D35:D41)</f>
        <v>93726</v>
      </c>
      <c r="E42" s="25">
        <f>SUM(E35:E41)</f>
        <v>32766</v>
      </c>
      <c r="F42" s="25">
        <f>SUM(F35:F41)</f>
        <v>28956</v>
      </c>
    </row>
    <row r="43" spans="1:6" x14ac:dyDescent="0.25">
      <c r="A43" s="67" t="s">
        <v>111</v>
      </c>
      <c r="B43" s="53" t="s">
        <v>112</v>
      </c>
      <c r="C43" s="24">
        <f>+'2 Össz'!E42/1000</f>
        <v>2833596.2710000002</v>
      </c>
      <c r="D43" s="24">
        <v>1150000</v>
      </c>
      <c r="E43" s="24">
        <v>250000</v>
      </c>
      <c r="F43" s="24">
        <v>200000</v>
      </c>
    </row>
    <row r="44" spans="1:6" x14ac:dyDescent="0.25">
      <c r="A44" s="67" t="s">
        <v>113</v>
      </c>
      <c r="B44" s="53" t="s">
        <v>114</v>
      </c>
      <c r="C44" s="24">
        <f>+'2 Össz'!E43/1000</f>
        <v>0</v>
      </c>
      <c r="D44" s="24">
        <v>0</v>
      </c>
      <c r="E44" s="24">
        <f>+'2 Össz'!G43</f>
        <v>0</v>
      </c>
      <c r="F44" s="24">
        <f>+'2 Össz'!H43</f>
        <v>0</v>
      </c>
    </row>
    <row r="45" spans="1:6" x14ac:dyDescent="0.25">
      <c r="A45" s="67" t="s">
        <v>115</v>
      </c>
      <c r="B45" s="53" t="s">
        <v>116</v>
      </c>
      <c r="C45" s="24">
        <f>+'2 Össz'!E44/1000</f>
        <v>20000</v>
      </c>
      <c r="D45" s="24">
        <v>10000</v>
      </c>
      <c r="E45" s="24">
        <f>+D45</f>
        <v>10000</v>
      </c>
      <c r="F45" s="24">
        <f>+E45</f>
        <v>10000</v>
      </c>
    </row>
    <row r="46" spans="1:6" x14ac:dyDescent="0.25">
      <c r="A46" s="67" t="s">
        <v>117</v>
      </c>
      <c r="B46" s="53" t="s">
        <v>118</v>
      </c>
      <c r="C46" s="24">
        <f>+'2 Össz'!E45/1000</f>
        <v>779148.09</v>
      </c>
      <c r="D46" s="24">
        <f>ROUNDUP(SUM(D43:D45)*0.27,0)</f>
        <v>313200</v>
      </c>
      <c r="E46" s="24">
        <f>ROUNDUP(SUM(E43:E45)*0.27,0)</f>
        <v>70200</v>
      </c>
      <c r="F46" s="24">
        <f>ROUNDUP(SUM(F43:F45)*0.27,0)</f>
        <v>56700</v>
      </c>
    </row>
    <row r="47" spans="1:6" x14ac:dyDescent="0.25">
      <c r="A47" s="57" t="s">
        <v>119</v>
      </c>
      <c r="B47" s="56" t="s">
        <v>120</v>
      </c>
      <c r="C47" s="25">
        <f>SUM(C43:C46)</f>
        <v>3632744.361</v>
      </c>
      <c r="D47" s="25">
        <f>SUM(D43:D46)</f>
        <v>1473200</v>
      </c>
      <c r="E47" s="25">
        <f>SUM(E43:E46)</f>
        <v>330200</v>
      </c>
      <c r="F47" s="25">
        <f>SUM(F43:F46)</f>
        <v>266700</v>
      </c>
    </row>
    <row r="48" spans="1:6" x14ac:dyDescent="0.25">
      <c r="A48" s="67" t="s">
        <v>839</v>
      </c>
      <c r="B48" s="53" t="s">
        <v>122</v>
      </c>
      <c r="C48" s="24">
        <f>+'2 Össz'!E47/1000</f>
        <v>0</v>
      </c>
      <c r="D48" s="24">
        <v>0</v>
      </c>
      <c r="E48" s="24">
        <f>+'2 Össz'!G47</f>
        <v>0</v>
      </c>
      <c r="F48" s="24">
        <f>+'2 Össz'!H47</f>
        <v>0</v>
      </c>
    </row>
    <row r="49" spans="1:6" x14ac:dyDescent="0.25">
      <c r="A49" s="67" t="s">
        <v>646</v>
      </c>
      <c r="B49" s="53" t="s">
        <v>124</v>
      </c>
      <c r="C49" s="24">
        <f>+'2 Össz'!E48/1000</f>
        <v>0</v>
      </c>
      <c r="D49" s="24">
        <v>0</v>
      </c>
      <c r="E49" s="24">
        <f>+'2 Össz'!G48</f>
        <v>0</v>
      </c>
      <c r="F49" s="24">
        <f>+'2 Össz'!H48</f>
        <v>0</v>
      </c>
    </row>
    <row r="50" spans="1:6" x14ac:dyDescent="0.25">
      <c r="A50" s="67" t="s">
        <v>840</v>
      </c>
      <c r="B50" s="53" t="s">
        <v>126</v>
      </c>
      <c r="C50" s="24">
        <f>+'2 Össz'!E49/1000</f>
        <v>0</v>
      </c>
      <c r="D50" s="24">
        <v>0</v>
      </c>
      <c r="E50" s="24">
        <f>+'2 Össz'!G49</f>
        <v>0</v>
      </c>
      <c r="F50" s="24">
        <f>+'2 Össz'!H49</f>
        <v>0</v>
      </c>
    </row>
    <row r="51" spans="1:6" x14ac:dyDescent="0.25">
      <c r="A51" s="67" t="s">
        <v>127</v>
      </c>
      <c r="B51" s="53" t="s">
        <v>128</v>
      </c>
      <c r="C51" s="24">
        <f>+'2 Össz'!E50/1000</f>
        <v>0</v>
      </c>
      <c r="D51" s="24">
        <v>0</v>
      </c>
      <c r="E51" s="24">
        <f>+'2 Össz'!G50</f>
        <v>0</v>
      </c>
      <c r="F51" s="24">
        <f>+'2 Össz'!H50</f>
        <v>0</v>
      </c>
    </row>
    <row r="52" spans="1:6" x14ac:dyDescent="0.25">
      <c r="A52" s="67" t="s">
        <v>841</v>
      </c>
      <c r="B52" s="53" t="s">
        <v>130</v>
      </c>
      <c r="C52" s="24">
        <f>+'2 Össz'!E51/1000</f>
        <v>17867</v>
      </c>
      <c r="D52" s="24">
        <v>0</v>
      </c>
      <c r="E52" s="24">
        <f>+'2 Össz'!G51</f>
        <v>0</v>
      </c>
      <c r="F52" s="24">
        <f>+'2 Össz'!H51</f>
        <v>0</v>
      </c>
    </row>
    <row r="53" spans="1:6" x14ac:dyDescent="0.25">
      <c r="A53" s="67" t="s">
        <v>842</v>
      </c>
      <c r="B53" s="53" t="s">
        <v>132</v>
      </c>
      <c r="C53" s="24">
        <f>+'2 Össz'!E52/1000</f>
        <v>0</v>
      </c>
      <c r="D53" s="24">
        <v>0</v>
      </c>
      <c r="E53" s="24">
        <f>+'2 Össz'!G52</f>
        <v>0</v>
      </c>
      <c r="F53" s="24">
        <f>+'2 Össz'!H52</f>
        <v>0</v>
      </c>
    </row>
    <row r="54" spans="1:6" x14ac:dyDescent="0.25">
      <c r="A54" s="67" t="s">
        <v>133</v>
      </c>
      <c r="B54" s="53" t="s">
        <v>134</v>
      </c>
      <c r="C54" s="24">
        <f>+'2 Össz'!E53/1000</f>
        <v>0</v>
      </c>
      <c r="D54" s="24">
        <v>0</v>
      </c>
      <c r="E54" s="24">
        <f>+'2 Össz'!G53</f>
        <v>0</v>
      </c>
      <c r="F54" s="24">
        <f>+'2 Össz'!H53</f>
        <v>0</v>
      </c>
    </row>
    <row r="55" spans="1:6" x14ac:dyDescent="0.25">
      <c r="A55" s="67" t="s">
        <v>135</v>
      </c>
      <c r="B55" s="53" t="s">
        <v>136</v>
      </c>
      <c r="C55" s="24">
        <f>+'2 Össz'!E54/1000</f>
        <v>0</v>
      </c>
      <c r="D55" s="24">
        <v>0</v>
      </c>
      <c r="E55" s="24">
        <f>+'2 Össz'!G54</f>
        <v>0</v>
      </c>
      <c r="F55" s="24">
        <f>+'2 Össz'!H54</f>
        <v>0</v>
      </c>
    </row>
    <row r="56" spans="1:6" x14ac:dyDescent="0.25">
      <c r="A56" s="67" t="s">
        <v>137</v>
      </c>
      <c r="B56" s="53" t="s">
        <v>138</v>
      </c>
      <c r="C56" s="24">
        <f>+'2 Össz'!E55/1000</f>
        <v>0</v>
      </c>
      <c r="D56" s="24">
        <v>0</v>
      </c>
      <c r="E56" s="24">
        <v>0</v>
      </c>
      <c r="F56" s="24">
        <v>0</v>
      </c>
    </row>
    <row r="57" spans="1:6" x14ac:dyDescent="0.25">
      <c r="A57" s="58" t="s">
        <v>139</v>
      </c>
      <c r="B57" s="56" t="s">
        <v>140</v>
      </c>
      <c r="C57" s="25">
        <f>SUM(C48:C56)</f>
        <v>17867</v>
      </c>
      <c r="D57" s="25">
        <f>SUM(D48:D56)</f>
        <v>0</v>
      </c>
      <c r="E57" s="25">
        <f>SUM(E48:E56)</f>
        <v>0</v>
      </c>
      <c r="F57" s="25">
        <f>SUM(F48:F56)</f>
        <v>0</v>
      </c>
    </row>
    <row r="58" spans="1:6" x14ac:dyDescent="0.25">
      <c r="A58" s="61" t="s">
        <v>141</v>
      </c>
      <c r="B58" s="62" t="s">
        <v>142</v>
      </c>
      <c r="C58" s="63">
        <f>+C57+C47+C42</f>
        <v>3985671.6770000001</v>
      </c>
      <c r="D58" s="63">
        <f>+D57+D47+D42</f>
        <v>1566926</v>
      </c>
      <c r="E58" s="63">
        <f>+E57+E47+E42</f>
        <v>362966</v>
      </c>
      <c r="F58" s="63">
        <f>+F57+F47+F42</f>
        <v>295656</v>
      </c>
    </row>
    <row r="59" spans="1:6" x14ac:dyDescent="0.25">
      <c r="A59" s="68" t="s">
        <v>143</v>
      </c>
      <c r="B59" s="69" t="s">
        <v>144</v>
      </c>
      <c r="C59" s="70">
        <f>+C57+C47+C42+C33+C18+C17+C11+C10</f>
        <v>7654786.9240000006</v>
      </c>
      <c r="D59" s="70">
        <f>+D57+D47+D42+D33+D18+D17+D11+D10</f>
        <v>4160233</v>
      </c>
      <c r="E59" s="70">
        <f>+E57+E47+E42+E33+E18+E17+E11+E10</f>
        <v>2843765</v>
      </c>
      <c r="F59" s="70">
        <f>+F57+F47+F42+F33+F18+F17+F11+F10</f>
        <v>2794924</v>
      </c>
    </row>
    <row r="60" spans="1:6" x14ac:dyDescent="0.25">
      <c r="A60" s="67" t="s">
        <v>145</v>
      </c>
      <c r="B60" s="54" t="s">
        <v>146</v>
      </c>
      <c r="C60" s="24">
        <f>+'2 Össz'!E59/1000</f>
        <v>0</v>
      </c>
      <c r="D60" s="24">
        <v>0</v>
      </c>
      <c r="E60" s="24">
        <f>+'2 Össz'!G59</f>
        <v>0</v>
      </c>
      <c r="F60" s="24">
        <f>+'2 Össz'!H59</f>
        <v>0</v>
      </c>
    </row>
    <row r="61" spans="1:6" x14ac:dyDescent="0.25">
      <c r="A61" s="67" t="s">
        <v>147</v>
      </c>
      <c r="B61" s="54" t="s">
        <v>148</v>
      </c>
      <c r="C61" s="24">
        <f>+'2 Össz'!E60/1000</f>
        <v>0</v>
      </c>
      <c r="D61" s="24">
        <v>0</v>
      </c>
      <c r="E61" s="24">
        <f>+'2 Össz'!G60</f>
        <v>0</v>
      </c>
      <c r="F61" s="24">
        <f>+'2 Össz'!H60</f>
        <v>0</v>
      </c>
    </row>
    <row r="62" spans="1:6" x14ac:dyDescent="0.25">
      <c r="A62" s="67" t="s">
        <v>149</v>
      </c>
      <c r="B62" s="54" t="s">
        <v>150</v>
      </c>
      <c r="C62" s="24">
        <f>+'2 Össz'!E61/1000</f>
        <v>88500</v>
      </c>
      <c r="D62" s="24">
        <v>88500</v>
      </c>
      <c r="E62" s="24">
        <f>+D62</f>
        <v>88500</v>
      </c>
      <c r="F62" s="24">
        <f>+E62</f>
        <v>88500</v>
      </c>
    </row>
    <row r="63" spans="1:6" x14ac:dyDescent="0.25">
      <c r="A63" s="58" t="s">
        <v>151</v>
      </c>
      <c r="B63" s="57" t="s">
        <v>152</v>
      </c>
      <c r="C63" s="72">
        <f>SUM(C60:C62)</f>
        <v>88500</v>
      </c>
      <c r="D63" s="72">
        <f>SUM(D60:D62)</f>
        <v>88500</v>
      </c>
      <c r="E63" s="72">
        <f>SUM(E60:E62)</f>
        <v>88500</v>
      </c>
      <c r="F63" s="72">
        <f>SUM(F60:F62)</f>
        <v>88500</v>
      </c>
    </row>
    <row r="64" spans="1:6" x14ac:dyDescent="0.25">
      <c r="A64" s="73" t="s">
        <v>153</v>
      </c>
      <c r="B64" s="54" t="s">
        <v>154</v>
      </c>
      <c r="C64" s="24">
        <f>+'2 Össz'!E63/1000</f>
        <v>0</v>
      </c>
      <c r="D64" s="24">
        <v>0</v>
      </c>
      <c r="E64" s="24">
        <f>+'2 Össz'!G63</f>
        <v>0</v>
      </c>
      <c r="F64" s="24">
        <f>+'2 Össz'!H63</f>
        <v>0</v>
      </c>
    </row>
    <row r="65" spans="1:6" x14ac:dyDescent="0.25">
      <c r="A65" s="73" t="s">
        <v>155</v>
      </c>
      <c r="B65" s="54" t="s">
        <v>156</v>
      </c>
      <c r="C65" s="24">
        <f>+'2 Össz'!E64/1000</f>
        <v>0</v>
      </c>
      <c r="D65" s="24">
        <v>0</v>
      </c>
      <c r="E65" s="24">
        <f>+'2 Össz'!G64</f>
        <v>0</v>
      </c>
      <c r="F65" s="24">
        <f>+'2 Össz'!H64</f>
        <v>0</v>
      </c>
    </row>
    <row r="66" spans="1:6" x14ac:dyDescent="0.25">
      <c r="A66" s="73" t="s">
        <v>157</v>
      </c>
      <c r="B66" s="54" t="s">
        <v>158</v>
      </c>
      <c r="C66" s="24">
        <f>+'2 Össz'!E65/1000</f>
        <v>31000</v>
      </c>
      <c r="D66" s="24">
        <v>0</v>
      </c>
      <c r="E66" s="24">
        <f>+D66</f>
        <v>0</v>
      </c>
      <c r="F66" s="24">
        <f>+E66</f>
        <v>0</v>
      </c>
    </row>
    <row r="67" spans="1:6" x14ac:dyDescent="0.25">
      <c r="A67" s="73" t="s">
        <v>159</v>
      </c>
      <c r="B67" s="54" t="s">
        <v>160</v>
      </c>
      <c r="C67" s="24">
        <f>+'2 Össz'!E66/1000</f>
        <v>0</v>
      </c>
      <c r="D67" s="24">
        <v>0</v>
      </c>
      <c r="E67" s="24">
        <f>+'2 Össz'!G66</f>
        <v>0</v>
      </c>
      <c r="F67" s="24">
        <f>+'2 Össz'!H66</f>
        <v>0</v>
      </c>
    </row>
    <row r="68" spans="1:6" hidden="1" x14ac:dyDescent="0.25">
      <c r="A68" s="73" t="s">
        <v>161</v>
      </c>
      <c r="B68" s="54" t="s">
        <v>162</v>
      </c>
      <c r="C68" s="24">
        <f>+'2 Össz'!E67</f>
        <v>0</v>
      </c>
      <c r="D68" s="24">
        <v>0</v>
      </c>
      <c r="E68" s="24">
        <f>+'2 Össz'!G67</f>
        <v>0</v>
      </c>
      <c r="F68" s="24">
        <f>+'2 Össz'!H67</f>
        <v>0</v>
      </c>
    </row>
    <row r="69" spans="1:6" hidden="1" x14ac:dyDescent="0.25">
      <c r="A69" s="73" t="s">
        <v>163</v>
      </c>
      <c r="B69" s="54" t="s">
        <v>164</v>
      </c>
      <c r="C69" s="24">
        <f>+'2 Össz'!E68</f>
        <v>0</v>
      </c>
      <c r="D69" s="24">
        <v>0</v>
      </c>
      <c r="E69" s="24">
        <f>+'2 Össz'!G68</f>
        <v>0</v>
      </c>
      <c r="F69" s="24">
        <f>+'2 Össz'!H68</f>
        <v>0</v>
      </c>
    </row>
    <row r="70" spans="1:6" hidden="1" x14ac:dyDescent="0.25">
      <c r="A70" s="73" t="s">
        <v>165</v>
      </c>
      <c r="B70" s="54" t="s">
        <v>166</v>
      </c>
      <c r="C70" s="24">
        <f>+'2 Össz'!E69</f>
        <v>0</v>
      </c>
      <c r="D70" s="24">
        <v>0</v>
      </c>
      <c r="E70" s="24">
        <f>+'2 Össz'!G69</f>
        <v>0</v>
      </c>
      <c r="F70" s="24">
        <f>+'2 Össz'!H69</f>
        <v>0</v>
      </c>
    </row>
    <row r="71" spans="1:6" hidden="1" x14ac:dyDescent="0.25">
      <c r="A71" s="73" t="s">
        <v>167</v>
      </c>
      <c r="B71" s="54" t="s">
        <v>168</v>
      </c>
      <c r="C71" s="24">
        <f>+'2 Össz'!E70</f>
        <v>0</v>
      </c>
      <c r="D71" s="24">
        <v>0</v>
      </c>
      <c r="E71" s="24">
        <f>+'2 Össz'!G70</f>
        <v>0</v>
      </c>
      <c r="F71" s="24">
        <f>+'2 Össz'!H70</f>
        <v>0</v>
      </c>
    </row>
    <row r="72" spans="1:6" x14ac:dyDescent="0.25">
      <c r="A72" s="75" t="s">
        <v>169</v>
      </c>
      <c r="B72" s="57" t="s">
        <v>170</v>
      </c>
      <c r="C72" s="74">
        <f>+C70+C69+C68+C67+C66+C65+C64+C63</f>
        <v>119500</v>
      </c>
      <c r="D72" s="74">
        <f>+D70+D69+D68+D67+D66+D65+D64+D63</f>
        <v>88500</v>
      </c>
      <c r="E72" s="74">
        <f>+E70+E69+E68+E67+E66+E65+E64+E63</f>
        <v>88500</v>
      </c>
      <c r="F72" s="74">
        <f>+F70+F69+F68+F67+F66+F65+F64+F63</f>
        <v>88500</v>
      </c>
    </row>
    <row r="73" spans="1:6" hidden="1" x14ac:dyDescent="0.25">
      <c r="A73" s="73" t="s">
        <v>171</v>
      </c>
      <c r="B73" s="54" t="s">
        <v>172</v>
      </c>
      <c r="C73" s="24">
        <f>+'2 Össz'!E72</f>
        <v>0</v>
      </c>
      <c r="D73" s="24">
        <v>0</v>
      </c>
      <c r="E73" s="24">
        <f>+'2 Össz'!G72</f>
        <v>0</v>
      </c>
      <c r="F73" s="24">
        <f>+'2 Össz'!H72</f>
        <v>0</v>
      </c>
    </row>
    <row r="74" spans="1:6" hidden="1" x14ac:dyDescent="0.25">
      <c r="A74" s="67" t="s">
        <v>173</v>
      </c>
      <c r="B74" s="54" t="s">
        <v>174</v>
      </c>
      <c r="C74" s="24">
        <f>+'2 Össz'!E73</f>
        <v>0</v>
      </c>
      <c r="D74" s="24">
        <v>0</v>
      </c>
      <c r="E74" s="24">
        <f>+'2 Össz'!G73</f>
        <v>0</v>
      </c>
      <c r="F74" s="24">
        <f>+'2 Össz'!H73</f>
        <v>0</v>
      </c>
    </row>
    <row r="75" spans="1:6" hidden="1" x14ac:dyDescent="0.25">
      <c r="A75" s="67" t="s">
        <v>175</v>
      </c>
      <c r="B75" s="54" t="s">
        <v>176</v>
      </c>
      <c r="C75" s="24">
        <f>+'2 Össz'!E74</f>
        <v>0</v>
      </c>
      <c r="D75" s="24">
        <v>0</v>
      </c>
      <c r="E75" s="24">
        <f>+'2 Össz'!G74</f>
        <v>0</v>
      </c>
      <c r="F75" s="24">
        <f>+'2 Össz'!H74</f>
        <v>0</v>
      </c>
    </row>
    <row r="76" spans="1:6" x14ac:dyDescent="0.25">
      <c r="A76" s="76" t="s">
        <v>177</v>
      </c>
      <c r="B76" s="77" t="s">
        <v>178</v>
      </c>
      <c r="C76" s="78">
        <f>+C74+C73+C72+C75</f>
        <v>119500</v>
      </c>
      <c r="D76" s="78">
        <f>+D74+D73+D72+D75</f>
        <v>88500</v>
      </c>
      <c r="E76" s="78">
        <f>+E74+E73+E72+E75</f>
        <v>88500</v>
      </c>
      <c r="F76" s="78">
        <f>+F74+F73+F72+F75</f>
        <v>88500</v>
      </c>
    </row>
    <row r="77" spans="1:6" x14ac:dyDescent="0.25">
      <c r="A77" s="28" t="s">
        <v>179</v>
      </c>
      <c r="B77" s="28" t="s">
        <v>180</v>
      </c>
      <c r="C77" s="29">
        <f>+C59+C76</f>
        <v>7774286.9240000006</v>
      </c>
      <c r="D77" s="29">
        <f>+D59+D76</f>
        <v>4248733</v>
      </c>
      <c r="E77" s="29">
        <f>+E59+E76</f>
        <v>2932265</v>
      </c>
      <c r="F77" s="29">
        <f>+F59+F76</f>
        <v>2883424</v>
      </c>
    </row>
    <row r="78" spans="1:6" x14ac:dyDescent="0.25">
      <c r="B78" s="79"/>
      <c r="C78" s="80"/>
      <c r="D78" s="80"/>
      <c r="E78" s="80"/>
      <c r="F78" s="80"/>
    </row>
    <row r="79" spans="1:6" hidden="1" x14ac:dyDescent="0.25">
      <c r="B79" s="79"/>
      <c r="C79" s="466"/>
      <c r="D79" s="466"/>
      <c r="E79" s="466"/>
      <c r="F79" s="403"/>
    </row>
    <row r="80" spans="1:6" ht="31.5" x14ac:dyDescent="0.25">
      <c r="A80" s="19" t="s">
        <v>14</v>
      </c>
      <c r="B80" s="48" t="s">
        <v>181</v>
      </c>
      <c r="C80" s="403" t="str">
        <f>+C7</f>
        <v>2018. évi terv</v>
      </c>
      <c r="D80" s="403" t="str">
        <f>+D7</f>
        <v>2019. évi terv</v>
      </c>
      <c r="E80" s="403" t="str">
        <f>+E7</f>
        <v>2020. évi terv</v>
      </c>
      <c r="F80" s="403" t="str">
        <f>+F7</f>
        <v>2021. évi terv</v>
      </c>
    </row>
    <row r="81" spans="1:7" x14ac:dyDescent="0.25">
      <c r="A81" s="52" t="s">
        <v>182</v>
      </c>
      <c r="B81" s="65" t="s">
        <v>183</v>
      </c>
      <c r="C81" s="24">
        <f>+'2 Össz'!E80/1000</f>
        <v>213799.174</v>
      </c>
      <c r="D81" s="24">
        <v>240000</v>
      </c>
      <c r="E81" s="24">
        <f>+D81</f>
        <v>240000</v>
      </c>
      <c r="F81" s="24">
        <f>+E81</f>
        <v>240000</v>
      </c>
    </row>
    <row r="82" spans="1:7" x14ac:dyDescent="0.25">
      <c r="A82" s="54" t="s">
        <v>184</v>
      </c>
      <c r="B82" s="65" t="s">
        <v>185</v>
      </c>
      <c r="C82" s="24">
        <f>+'2 Össz'!E81/1000</f>
        <v>179100.86799999999</v>
      </c>
      <c r="D82" s="24">
        <v>180000</v>
      </c>
      <c r="E82" s="24">
        <f>+D82+10000</f>
        <v>190000</v>
      </c>
      <c r="F82" s="24">
        <f>+E82+10000</f>
        <v>200000</v>
      </c>
    </row>
    <row r="83" spans="1:7" x14ac:dyDescent="0.25">
      <c r="A83" s="54" t="s">
        <v>843</v>
      </c>
      <c r="B83" s="65" t="s">
        <v>187</v>
      </c>
      <c r="C83" s="24">
        <f>+'2 Össz'!E82/1000</f>
        <v>544695.43000000005</v>
      </c>
      <c r="D83" s="24">
        <v>452000</v>
      </c>
      <c r="E83" s="24">
        <f>+D83+2000</f>
        <v>454000</v>
      </c>
      <c r="F83" s="24">
        <f>+E83+3000</f>
        <v>457000</v>
      </c>
    </row>
    <row r="84" spans="1:7" x14ac:dyDescent="0.25">
      <c r="A84" s="54" t="s">
        <v>188</v>
      </c>
      <c r="B84" s="65" t="s">
        <v>189</v>
      </c>
      <c r="C84" s="24">
        <f>+'2 Össz'!E83/1000</f>
        <v>13507.23</v>
      </c>
      <c r="D84" s="24">
        <v>13000</v>
      </c>
      <c r="E84" s="24">
        <f>+D84</f>
        <v>13000</v>
      </c>
      <c r="F84" s="24">
        <f>+E84</f>
        <v>13000</v>
      </c>
    </row>
    <row r="85" spans="1:7" x14ac:dyDescent="0.25">
      <c r="A85" s="54" t="s">
        <v>190</v>
      </c>
      <c r="B85" s="65" t="s">
        <v>191</v>
      </c>
      <c r="C85" s="24">
        <f>+'2 Össz'!E84/1000</f>
        <v>210179.33199999999</v>
      </c>
      <c r="D85" s="24">
        <v>150000</v>
      </c>
      <c r="E85" s="24">
        <f>+D85+2000</f>
        <v>152000</v>
      </c>
      <c r="F85" s="24">
        <f>+E85+3000</f>
        <v>155000</v>
      </c>
    </row>
    <row r="86" spans="1:7" x14ac:dyDescent="0.25">
      <c r="A86" s="54" t="s">
        <v>192</v>
      </c>
      <c r="B86" s="65" t="s">
        <v>193</v>
      </c>
      <c r="C86" s="24">
        <f>+'2 Össz'!E85/1000</f>
        <v>0</v>
      </c>
      <c r="D86" s="24">
        <v>0</v>
      </c>
      <c r="E86" s="24">
        <f>+D86</f>
        <v>0</v>
      </c>
      <c r="F86" s="24">
        <f>+E86</f>
        <v>0</v>
      </c>
    </row>
    <row r="87" spans="1:7" x14ac:dyDescent="0.25">
      <c r="A87" s="57" t="s">
        <v>194</v>
      </c>
      <c r="B87" s="66" t="s">
        <v>195</v>
      </c>
      <c r="C87" s="25">
        <f>SUM(C81:C86)</f>
        <v>1161282.034</v>
      </c>
      <c r="D87" s="25">
        <f>SUM(D81:D86)</f>
        <v>1035000</v>
      </c>
      <c r="E87" s="25">
        <f>SUM(E81:E86)</f>
        <v>1049000</v>
      </c>
      <c r="F87" s="25">
        <f>SUM(F81:F86)</f>
        <v>1065000</v>
      </c>
    </row>
    <row r="88" spans="1:7" x14ac:dyDescent="0.25">
      <c r="A88" s="54" t="s">
        <v>196</v>
      </c>
      <c r="B88" s="65" t="s">
        <v>197</v>
      </c>
      <c r="C88" s="24">
        <f>+'2 Össz'!E87/1000</f>
        <v>0</v>
      </c>
      <c r="D88" s="24">
        <v>0</v>
      </c>
      <c r="E88" s="24">
        <f t="shared" ref="E88:F91" si="3">+D88</f>
        <v>0</v>
      </c>
      <c r="F88" s="24">
        <f t="shared" si="3"/>
        <v>0</v>
      </c>
    </row>
    <row r="89" spans="1:7" x14ac:dyDescent="0.25">
      <c r="A89" s="54" t="s">
        <v>628</v>
      </c>
      <c r="B89" s="65" t="s">
        <v>199</v>
      </c>
      <c r="C89" s="24">
        <f>+'2 Össz'!E88/1000</f>
        <v>0</v>
      </c>
      <c r="D89" s="24">
        <v>0</v>
      </c>
      <c r="E89" s="24">
        <f t="shared" si="3"/>
        <v>0</v>
      </c>
      <c r="F89" s="24">
        <f t="shared" si="3"/>
        <v>0</v>
      </c>
    </row>
    <row r="90" spans="1:7" x14ac:dyDescent="0.25">
      <c r="A90" s="54" t="s">
        <v>629</v>
      </c>
      <c r="B90" s="65" t="s">
        <v>201</v>
      </c>
      <c r="C90" s="24">
        <f>+'2 Össz'!E89/1000</f>
        <v>0</v>
      </c>
      <c r="D90" s="24">
        <v>0</v>
      </c>
      <c r="E90" s="24">
        <f t="shared" si="3"/>
        <v>0</v>
      </c>
      <c r="F90" s="24">
        <f t="shared" si="3"/>
        <v>0</v>
      </c>
    </row>
    <row r="91" spans="1:7" x14ac:dyDescent="0.25">
      <c r="A91" s="54" t="s">
        <v>630</v>
      </c>
      <c r="B91" s="65" t="s">
        <v>203</v>
      </c>
      <c r="C91" s="24">
        <f>+'2 Össz'!E90/1000</f>
        <v>0</v>
      </c>
      <c r="D91" s="24">
        <v>0</v>
      </c>
      <c r="E91" s="24">
        <f t="shared" si="3"/>
        <v>0</v>
      </c>
      <c r="F91" s="24">
        <f t="shared" si="3"/>
        <v>0</v>
      </c>
    </row>
    <row r="92" spans="1:7" x14ac:dyDescent="0.25">
      <c r="A92" s="54" t="s">
        <v>204</v>
      </c>
      <c r="B92" s="65" t="s">
        <v>205</v>
      </c>
      <c r="C92" s="24">
        <f>+'2 Össz'!E91/1000</f>
        <v>1435463.82</v>
      </c>
      <c r="D92" s="24">
        <v>414951</v>
      </c>
      <c r="E92" s="24">
        <f>+D92-25482</f>
        <v>389469</v>
      </c>
      <c r="F92" s="24">
        <f>+E92-14558</f>
        <v>374911</v>
      </c>
      <c r="G92" s="13" t="s">
        <v>864</v>
      </c>
    </row>
    <row r="93" spans="1:7" x14ac:dyDescent="0.25">
      <c r="A93" s="57" t="s">
        <v>206</v>
      </c>
      <c r="B93" s="66" t="s">
        <v>207</v>
      </c>
      <c r="C93" s="25">
        <f>+C92+C91+C90+C89+C88+C87</f>
        <v>2596745.8540000003</v>
      </c>
      <c r="D93" s="25">
        <f>+D92+D91+D90+D89+D88+D87</f>
        <v>1449951</v>
      </c>
      <c r="E93" s="25">
        <f>+E92+E91+E90+E89+E88+E87</f>
        <v>1438469</v>
      </c>
      <c r="F93" s="25">
        <f>+F92+F91+F90+F89+F88+F87</f>
        <v>1439911</v>
      </c>
    </row>
    <row r="94" spans="1:7" x14ac:dyDescent="0.25">
      <c r="A94" s="57" t="s">
        <v>208</v>
      </c>
      <c r="B94" s="66" t="s">
        <v>209</v>
      </c>
      <c r="C94" s="24">
        <f>+'2 Össz'!E93/1000</f>
        <v>3219910.4530000002</v>
      </c>
      <c r="D94" s="25">
        <f>ROUNDUP(+C94/C47*D47,0)</f>
        <v>1305782</v>
      </c>
      <c r="E94" s="25">
        <f>ROUNDUP(+D94/D47*E47,0)</f>
        <v>292676</v>
      </c>
      <c r="F94" s="25">
        <f>ROUNDUP(+E94/E47*F47,0)</f>
        <v>236393</v>
      </c>
    </row>
    <row r="95" spans="1:7" x14ac:dyDescent="0.25">
      <c r="A95" s="54" t="s">
        <v>210</v>
      </c>
      <c r="B95" s="65" t="s">
        <v>211</v>
      </c>
      <c r="C95" s="24">
        <f>+'2 Össz'!E94/1000</f>
        <v>0</v>
      </c>
      <c r="D95" s="24">
        <v>0</v>
      </c>
      <c r="E95" s="24">
        <f t="shared" ref="E95:F100" si="4">+D95</f>
        <v>0</v>
      </c>
      <c r="F95" s="24">
        <f t="shared" si="4"/>
        <v>0</v>
      </c>
    </row>
    <row r="96" spans="1:7" x14ac:dyDescent="0.25">
      <c r="A96" s="54" t="s">
        <v>212</v>
      </c>
      <c r="B96" s="65" t="s">
        <v>213</v>
      </c>
      <c r="C96" s="24">
        <f>+'2 Össz'!E95/1000</f>
        <v>0</v>
      </c>
      <c r="D96" s="24">
        <v>0</v>
      </c>
      <c r="E96" s="24">
        <f t="shared" si="4"/>
        <v>0</v>
      </c>
      <c r="F96" s="24">
        <f t="shared" si="4"/>
        <v>0</v>
      </c>
    </row>
    <row r="97" spans="1:6" x14ac:dyDescent="0.25">
      <c r="A97" s="54" t="s">
        <v>214</v>
      </c>
      <c r="B97" s="65" t="s">
        <v>215</v>
      </c>
      <c r="C97" s="24">
        <f>+'2 Össz'!E96/1000</f>
        <v>0</v>
      </c>
      <c r="D97" s="24">
        <v>0</v>
      </c>
      <c r="E97" s="24">
        <f t="shared" si="4"/>
        <v>0</v>
      </c>
      <c r="F97" s="24">
        <f t="shared" si="4"/>
        <v>0</v>
      </c>
    </row>
    <row r="98" spans="1:6" x14ac:dyDescent="0.25">
      <c r="A98" s="54" t="s">
        <v>216</v>
      </c>
      <c r="B98" s="65" t="s">
        <v>217</v>
      </c>
      <c r="C98" s="24">
        <f>+'2 Össz'!E97/1000</f>
        <v>115500</v>
      </c>
      <c r="D98" s="24">
        <v>115500</v>
      </c>
      <c r="E98" s="24">
        <f t="shared" si="4"/>
        <v>115500</v>
      </c>
      <c r="F98" s="24">
        <f t="shared" si="4"/>
        <v>115500</v>
      </c>
    </row>
    <row r="99" spans="1:6" x14ac:dyDescent="0.25">
      <c r="A99" s="54" t="s">
        <v>218</v>
      </c>
      <c r="B99" s="65" t="s">
        <v>219</v>
      </c>
      <c r="C99" s="24">
        <f>+'2 Össz'!E98/1000</f>
        <v>318200</v>
      </c>
      <c r="D99" s="24">
        <v>318200</v>
      </c>
      <c r="E99" s="24">
        <f t="shared" si="4"/>
        <v>318200</v>
      </c>
      <c r="F99" s="24">
        <f t="shared" si="4"/>
        <v>318200</v>
      </c>
    </row>
    <row r="100" spans="1:6" x14ac:dyDescent="0.25">
      <c r="A100" s="54" t="s">
        <v>220</v>
      </c>
      <c r="B100" s="65" t="s">
        <v>221</v>
      </c>
      <c r="C100" s="24">
        <f>+'2 Össz'!E99/1000</f>
        <v>3000</v>
      </c>
      <c r="D100" s="24">
        <v>3000</v>
      </c>
      <c r="E100" s="24">
        <f t="shared" si="4"/>
        <v>3000</v>
      </c>
      <c r="F100" s="24">
        <f t="shared" si="4"/>
        <v>3000</v>
      </c>
    </row>
    <row r="101" spans="1:6" x14ac:dyDescent="0.25">
      <c r="A101" s="57" t="s">
        <v>222</v>
      </c>
      <c r="B101" s="66" t="s">
        <v>223</v>
      </c>
      <c r="C101" s="25">
        <f>SUM(C95:C100)</f>
        <v>436700</v>
      </c>
      <c r="D101" s="25">
        <f>SUM(D95:D100)</f>
        <v>436700</v>
      </c>
      <c r="E101" s="25">
        <f>SUM(E95:E100)</f>
        <v>436700</v>
      </c>
      <c r="F101" s="25">
        <f>SUM(F95:F100)</f>
        <v>436700</v>
      </c>
    </row>
    <row r="102" spans="1:6" x14ac:dyDescent="0.25">
      <c r="A102" s="67" t="s">
        <v>224</v>
      </c>
      <c r="B102" s="65" t="s">
        <v>225</v>
      </c>
      <c r="C102" s="24">
        <f>+'2 Össz'!E101/1000</f>
        <v>956</v>
      </c>
      <c r="D102" s="24">
        <v>0</v>
      </c>
      <c r="E102" s="24">
        <f>+D102</f>
        <v>0</v>
      </c>
      <c r="F102" s="24">
        <f>+E102</f>
        <v>0</v>
      </c>
    </row>
    <row r="103" spans="1:6" x14ac:dyDescent="0.25">
      <c r="A103" s="67" t="s">
        <v>226</v>
      </c>
      <c r="B103" s="65" t="s">
        <v>227</v>
      </c>
      <c r="C103" s="24">
        <f>+'2 Össz'!E102/1000</f>
        <v>197828.35</v>
      </c>
      <c r="D103" s="24">
        <v>212000</v>
      </c>
      <c r="E103" s="24">
        <v>216000</v>
      </c>
      <c r="F103" s="24">
        <f>+E103+2000</f>
        <v>218000</v>
      </c>
    </row>
    <row r="104" spans="1:6" x14ac:dyDescent="0.25">
      <c r="A104" s="67" t="s">
        <v>228</v>
      </c>
      <c r="B104" s="65" t="s">
        <v>229</v>
      </c>
      <c r="C104" s="24">
        <f>+'2 Össz'!E103/1000</f>
        <v>5521</v>
      </c>
      <c r="D104" s="24">
        <v>600</v>
      </c>
      <c r="E104" s="24">
        <v>620</v>
      </c>
      <c r="F104" s="24">
        <f>+E104</f>
        <v>620</v>
      </c>
    </row>
    <row r="105" spans="1:6" x14ac:dyDescent="0.25">
      <c r="A105" s="67" t="s">
        <v>230</v>
      </c>
      <c r="B105" s="65" t="s">
        <v>231</v>
      </c>
      <c r="C105" s="24">
        <f>+'2 Össz'!E104/1000</f>
        <v>7973</v>
      </c>
      <c r="D105" s="24">
        <v>7200</v>
      </c>
      <c r="E105" s="24">
        <v>7300</v>
      </c>
      <c r="F105" s="24">
        <f>+E105</f>
        <v>7300</v>
      </c>
    </row>
    <row r="106" spans="1:6" x14ac:dyDescent="0.25">
      <c r="A106" s="67" t="s">
        <v>232</v>
      </c>
      <c r="B106" s="65" t="s">
        <v>233</v>
      </c>
      <c r="C106" s="24">
        <f>+'2 Össz'!E105/1000</f>
        <v>156873.45000000001</v>
      </c>
      <c r="D106" s="24">
        <v>157000</v>
      </c>
      <c r="E106" s="24">
        <f>+D106+3000</f>
        <v>160000</v>
      </c>
      <c r="F106" s="24">
        <f>+E106+3000</f>
        <v>163000</v>
      </c>
    </row>
    <row r="107" spans="1:6" x14ac:dyDescent="0.25">
      <c r="A107" s="67" t="s">
        <v>234</v>
      </c>
      <c r="B107" s="65" t="s">
        <v>235</v>
      </c>
      <c r="C107" s="24">
        <f>+'2 Össz'!E106/1000</f>
        <v>47563.131999999998</v>
      </c>
      <c r="D107" s="24">
        <v>25000</v>
      </c>
      <c r="E107" s="24">
        <v>26000</v>
      </c>
      <c r="F107" s="24">
        <f>+E107+1000</f>
        <v>27000</v>
      </c>
    </row>
    <row r="108" spans="1:6" x14ac:dyDescent="0.25">
      <c r="A108" s="67" t="s">
        <v>236</v>
      </c>
      <c r="B108" s="65" t="s">
        <v>237</v>
      </c>
      <c r="C108" s="24">
        <f>+'2 Össz'!E107/1000</f>
        <v>0</v>
      </c>
      <c r="D108" s="24">
        <v>0</v>
      </c>
      <c r="E108" s="24">
        <f t="shared" ref="E108:F112" si="5">+D108</f>
        <v>0</v>
      </c>
      <c r="F108" s="24">
        <f t="shared" si="5"/>
        <v>0</v>
      </c>
    </row>
    <row r="109" spans="1:6" x14ac:dyDescent="0.25">
      <c r="A109" s="67" t="s">
        <v>238</v>
      </c>
      <c r="B109" s="65" t="s">
        <v>239</v>
      </c>
      <c r="C109" s="24">
        <f>+'2 Össz'!E108/1000</f>
        <v>22</v>
      </c>
      <c r="D109" s="24">
        <v>0</v>
      </c>
      <c r="E109" s="24">
        <f t="shared" si="5"/>
        <v>0</v>
      </c>
      <c r="F109" s="24">
        <f t="shared" si="5"/>
        <v>0</v>
      </c>
    </row>
    <row r="110" spans="1:6" x14ac:dyDescent="0.25">
      <c r="A110" s="67" t="s">
        <v>240</v>
      </c>
      <c r="B110" s="65" t="s">
        <v>241</v>
      </c>
      <c r="C110" s="24">
        <f>+'2 Össz'!E109/1000</f>
        <v>10</v>
      </c>
      <c r="D110" s="24">
        <v>0</v>
      </c>
      <c r="E110" s="24">
        <f t="shared" si="5"/>
        <v>0</v>
      </c>
      <c r="F110" s="24">
        <f t="shared" si="5"/>
        <v>0</v>
      </c>
    </row>
    <row r="111" spans="1:6" x14ac:dyDescent="0.25">
      <c r="A111" s="67" t="s">
        <v>242</v>
      </c>
      <c r="B111" s="65" t="s">
        <v>243</v>
      </c>
      <c r="C111" s="24">
        <f>+'2 Össz'!E110/1000</f>
        <v>0</v>
      </c>
      <c r="D111" s="24">
        <v>0</v>
      </c>
      <c r="E111" s="24">
        <f t="shared" si="5"/>
        <v>0</v>
      </c>
      <c r="F111" s="24">
        <f t="shared" si="5"/>
        <v>0</v>
      </c>
    </row>
    <row r="112" spans="1:6" x14ac:dyDescent="0.25">
      <c r="A112" s="67" t="s">
        <v>244</v>
      </c>
      <c r="B112" s="65" t="s">
        <v>245</v>
      </c>
      <c r="C112" s="24">
        <f>+'2 Össz'!E111/1000</f>
        <v>0</v>
      </c>
      <c r="D112" s="24">
        <v>0</v>
      </c>
      <c r="E112" s="24">
        <f t="shared" si="5"/>
        <v>0</v>
      </c>
      <c r="F112" s="24">
        <f t="shared" si="5"/>
        <v>0</v>
      </c>
    </row>
    <row r="113" spans="1:6" x14ac:dyDescent="0.25">
      <c r="A113" s="58" t="s">
        <v>246</v>
      </c>
      <c r="B113" s="66" t="s">
        <v>247</v>
      </c>
      <c r="C113" s="25">
        <f>SUM(C102:C112)</f>
        <v>416746.93200000003</v>
      </c>
      <c r="D113" s="25">
        <f>SUM(D102:D112)</f>
        <v>401800</v>
      </c>
      <c r="E113" s="25">
        <f>SUM(E102:E112)</f>
        <v>409920</v>
      </c>
      <c r="F113" s="25">
        <f>SUM(F102:F112)</f>
        <v>415920</v>
      </c>
    </row>
    <row r="114" spans="1:6" x14ac:dyDescent="0.25">
      <c r="A114" s="67" t="s">
        <v>248</v>
      </c>
      <c r="B114" s="65" t="s">
        <v>249</v>
      </c>
      <c r="C114" s="24">
        <f>+'2 Össz'!E113/1000</f>
        <v>0</v>
      </c>
      <c r="D114" s="24">
        <v>0</v>
      </c>
      <c r="E114" s="24">
        <f t="shared" ref="E114:F118" si="6">+D114</f>
        <v>0</v>
      </c>
      <c r="F114" s="24">
        <f t="shared" si="6"/>
        <v>0</v>
      </c>
    </row>
    <row r="115" spans="1:6" x14ac:dyDescent="0.25">
      <c r="A115" s="67" t="s">
        <v>250</v>
      </c>
      <c r="B115" s="65" t="s">
        <v>251</v>
      </c>
      <c r="C115" s="24">
        <f>+'2 Össz'!E114/1000</f>
        <v>109000</v>
      </c>
      <c r="D115" s="24">
        <v>36000</v>
      </c>
      <c r="E115" s="24">
        <f t="shared" si="6"/>
        <v>36000</v>
      </c>
      <c r="F115" s="24">
        <f t="shared" si="6"/>
        <v>36000</v>
      </c>
    </row>
    <row r="116" spans="1:6" x14ac:dyDescent="0.25">
      <c r="A116" s="67" t="s">
        <v>252</v>
      </c>
      <c r="B116" s="65" t="s">
        <v>253</v>
      </c>
      <c r="C116" s="24">
        <f>+'2 Össz'!E115/1000</f>
        <v>500</v>
      </c>
      <c r="D116" s="24">
        <v>0</v>
      </c>
      <c r="E116" s="24">
        <f t="shared" si="6"/>
        <v>0</v>
      </c>
      <c r="F116" s="24">
        <f t="shared" si="6"/>
        <v>0</v>
      </c>
    </row>
    <row r="117" spans="1:6" x14ac:dyDescent="0.25">
      <c r="A117" s="67" t="s">
        <v>254</v>
      </c>
      <c r="B117" s="65" t="s">
        <v>255</v>
      </c>
      <c r="C117" s="24">
        <f>+'2 Össz'!E116/1000</f>
        <v>0</v>
      </c>
      <c r="D117" s="24">
        <v>0</v>
      </c>
      <c r="E117" s="24">
        <f t="shared" si="6"/>
        <v>0</v>
      </c>
      <c r="F117" s="24">
        <f t="shared" si="6"/>
        <v>0</v>
      </c>
    </row>
    <row r="118" spans="1:6" hidden="1" x14ac:dyDescent="0.25">
      <c r="A118" s="67" t="s">
        <v>256</v>
      </c>
      <c r="B118" s="65" t="s">
        <v>257</v>
      </c>
      <c r="C118" s="24">
        <f>+'2 Össz'!E117/1000</f>
        <v>0</v>
      </c>
      <c r="D118" s="24">
        <v>0</v>
      </c>
      <c r="E118" s="24">
        <f t="shared" si="6"/>
        <v>0</v>
      </c>
      <c r="F118" s="24">
        <f t="shared" si="6"/>
        <v>0</v>
      </c>
    </row>
    <row r="119" spans="1:6" x14ac:dyDescent="0.25">
      <c r="A119" s="57" t="s">
        <v>258</v>
      </c>
      <c r="B119" s="66" t="s">
        <v>259</v>
      </c>
      <c r="C119" s="25">
        <f>SUM(C114:C118)</f>
        <v>109500</v>
      </c>
      <c r="D119" s="25">
        <f>SUM(D114:D118)</f>
        <v>36000</v>
      </c>
      <c r="E119" s="25">
        <f>SUM(E114:E118)</f>
        <v>36000</v>
      </c>
      <c r="F119" s="25">
        <f>SUM(F114:F118)</f>
        <v>36000</v>
      </c>
    </row>
    <row r="120" spans="1:6" x14ac:dyDescent="0.25">
      <c r="A120" s="57" t="s">
        <v>260</v>
      </c>
      <c r="B120" s="66" t="s">
        <v>261</v>
      </c>
      <c r="C120" s="24">
        <f>+'2 Össz'!E119/1000</f>
        <v>7740.6</v>
      </c>
      <c r="D120" s="24">
        <v>0</v>
      </c>
      <c r="E120" s="24">
        <f t="shared" ref="E120:F125" si="7">+D120</f>
        <v>0</v>
      </c>
      <c r="F120" s="24">
        <f t="shared" si="7"/>
        <v>0</v>
      </c>
    </row>
    <row r="121" spans="1:6" x14ac:dyDescent="0.25">
      <c r="A121" s="67" t="s">
        <v>632</v>
      </c>
      <c r="B121" s="65" t="s">
        <v>263</v>
      </c>
      <c r="C121" s="24">
        <f>+'2 Össz'!E120/1000</f>
        <v>0</v>
      </c>
      <c r="D121" s="24">
        <v>0</v>
      </c>
      <c r="E121" s="24">
        <f t="shared" si="7"/>
        <v>0</v>
      </c>
      <c r="F121" s="24">
        <f t="shared" si="7"/>
        <v>0</v>
      </c>
    </row>
    <row r="122" spans="1:6" x14ac:dyDescent="0.25">
      <c r="A122" s="54" t="s">
        <v>264</v>
      </c>
      <c r="B122" s="65" t="s">
        <v>265</v>
      </c>
      <c r="C122" s="24">
        <f>+'2 Össz'!E121/1000</f>
        <v>0</v>
      </c>
      <c r="D122" s="24">
        <v>0</v>
      </c>
      <c r="E122" s="24">
        <f t="shared" si="7"/>
        <v>0</v>
      </c>
      <c r="F122" s="24">
        <f t="shared" si="7"/>
        <v>0</v>
      </c>
    </row>
    <row r="123" spans="1:6" ht="31.5" x14ac:dyDescent="0.25">
      <c r="A123" s="67" t="s">
        <v>266</v>
      </c>
      <c r="B123" s="65" t="s">
        <v>267</v>
      </c>
      <c r="C123" s="24">
        <f>+'2 Össz'!E122/1000</f>
        <v>0</v>
      </c>
      <c r="D123" s="24">
        <v>0</v>
      </c>
      <c r="E123" s="24">
        <f t="shared" si="7"/>
        <v>0</v>
      </c>
      <c r="F123" s="24">
        <f t="shared" si="7"/>
        <v>0</v>
      </c>
    </row>
    <row r="124" spans="1:6" x14ac:dyDescent="0.25">
      <c r="A124" s="67" t="s">
        <v>634</v>
      </c>
      <c r="B124" s="65" t="s">
        <v>269</v>
      </c>
      <c r="C124" s="24">
        <f>+'2 Össz'!E123/1000</f>
        <v>0</v>
      </c>
      <c r="D124" s="24">
        <v>0</v>
      </c>
      <c r="E124" s="24">
        <f t="shared" si="7"/>
        <v>0</v>
      </c>
      <c r="F124" s="24">
        <f t="shared" si="7"/>
        <v>0</v>
      </c>
    </row>
    <row r="125" spans="1:6" x14ac:dyDescent="0.25">
      <c r="A125" s="67" t="s">
        <v>270</v>
      </c>
      <c r="B125" s="65" t="s">
        <v>271</v>
      </c>
      <c r="C125" s="24">
        <f>+'2 Össz'!E124/1000</f>
        <v>29400</v>
      </c>
      <c r="D125" s="24">
        <v>30000</v>
      </c>
      <c r="E125" s="24">
        <f t="shared" si="7"/>
        <v>30000</v>
      </c>
      <c r="F125" s="24">
        <f t="shared" si="7"/>
        <v>30000</v>
      </c>
    </row>
    <row r="126" spans="1:6" x14ac:dyDescent="0.25">
      <c r="A126" s="57" t="s">
        <v>272</v>
      </c>
      <c r="B126" s="66" t="s">
        <v>273</v>
      </c>
      <c r="C126" s="25">
        <f>SUM(C121:C125)</f>
        <v>29400</v>
      </c>
      <c r="D126" s="25">
        <f>SUM(D121:D125)</f>
        <v>30000</v>
      </c>
      <c r="E126" s="25">
        <f>SUM(E121:E125)</f>
        <v>30000</v>
      </c>
      <c r="F126" s="25">
        <f>SUM(F121:F125)</f>
        <v>30000</v>
      </c>
    </row>
    <row r="127" spans="1:6" x14ac:dyDescent="0.25">
      <c r="A127" s="82" t="s">
        <v>274</v>
      </c>
      <c r="B127" s="68" t="s">
        <v>275</v>
      </c>
      <c r="C127" s="70">
        <f>+C126+C120+C119+C113+C101+C94+C93</f>
        <v>6816743.8390000006</v>
      </c>
      <c r="D127" s="70">
        <f>+D126+D120+D119+D113+D101+D94+D93</f>
        <v>3660233</v>
      </c>
      <c r="E127" s="70">
        <f>+E126+E120+E119+E113+E101+E94+E93</f>
        <v>2643765</v>
      </c>
      <c r="F127" s="70">
        <f>+F126+F120+F119+F113+F101+F94+F93</f>
        <v>2594924</v>
      </c>
    </row>
    <row r="128" spans="1:6" x14ac:dyDescent="0.25">
      <c r="A128" s="83" t="s">
        <v>276</v>
      </c>
      <c r="B128" s="84"/>
      <c r="C128" s="85">
        <f>+C120+C113+C101+C93-C34</f>
        <v>-211181.86099999957</v>
      </c>
      <c r="D128" s="85">
        <f>+D120+D113+D101+D93-D34</f>
        <v>-304856</v>
      </c>
      <c r="E128" s="85">
        <f>+E120+E113+E101+E93-E34</f>
        <v>-195710</v>
      </c>
      <c r="F128" s="85">
        <f>+F120+F113+F101+F93-F34</f>
        <v>-206737</v>
      </c>
    </row>
    <row r="129" spans="1:6" x14ac:dyDescent="0.25">
      <c r="A129" s="83" t="s">
        <v>277</v>
      </c>
      <c r="B129" s="84"/>
      <c r="C129" s="85">
        <f>+C126+C119+C94-C58</f>
        <v>-626861.22399999993</v>
      </c>
      <c r="D129" s="85">
        <f>+D126+D119+D94-D58</f>
        <v>-195144</v>
      </c>
      <c r="E129" s="85">
        <f>+E126+E119+E94-E58</f>
        <v>-4290</v>
      </c>
      <c r="F129" s="85">
        <f>+F126+F119+F94-F58</f>
        <v>6737</v>
      </c>
    </row>
    <row r="130" spans="1:6" x14ac:dyDescent="0.25">
      <c r="A130" s="73" t="s">
        <v>278</v>
      </c>
      <c r="B130" s="54" t="s">
        <v>279</v>
      </c>
      <c r="C130" s="24">
        <f>+'2 Össz'!E129/1000</f>
        <v>0</v>
      </c>
      <c r="D130" s="24">
        <v>0</v>
      </c>
      <c r="E130" s="24">
        <f t="shared" ref="E130:F132" si="8">+D130</f>
        <v>0</v>
      </c>
      <c r="F130" s="24">
        <f t="shared" si="8"/>
        <v>0</v>
      </c>
    </row>
    <row r="131" spans="1:6" x14ac:dyDescent="0.25">
      <c r="A131" s="67" t="s">
        <v>280</v>
      </c>
      <c r="B131" s="54" t="s">
        <v>281</v>
      </c>
      <c r="C131" s="24">
        <f>+'2 Össz'!E130/1000</f>
        <v>0</v>
      </c>
      <c r="D131" s="24">
        <v>0</v>
      </c>
      <c r="E131" s="24">
        <f t="shared" si="8"/>
        <v>0</v>
      </c>
      <c r="F131" s="24">
        <f t="shared" si="8"/>
        <v>0</v>
      </c>
    </row>
    <row r="132" spans="1:6" x14ac:dyDescent="0.25">
      <c r="A132" s="73" t="s">
        <v>282</v>
      </c>
      <c r="B132" s="54" t="s">
        <v>283</v>
      </c>
      <c r="C132" s="24">
        <f>+'2 Össz'!E131/1000</f>
        <v>88500</v>
      </c>
      <c r="D132" s="24">
        <v>88500</v>
      </c>
      <c r="E132" s="24">
        <f t="shared" si="8"/>
        <v>88500</v>
      </c>
      <c r="F132" s="24">
        <f t="shared" si="8"/>
        <v>88500</v>
      </c>
    </row>
    <row r="133" spans="1:6" x14ac:dyDescent="0.25">
      <c r="A133" s="58" t="s">
        <v>284</v>
      </c>
      <c r="B133" s="57" t="s">
        <v>285</v>
      </c>
      <c r="C133" s="25">
        <f>SUM(C130:C132)</f>
        <v>88500</v>
      </c>
      <c r="D133" s="25">
        <f>SUM(D130:D132)</f>
        <v>88500</v>
      </c>
      <c r="E133" s="25">
        <f>SUM(E130:E132)</f>
        <v>88500</v>
      </c>
      <c r="F133" s="25">
        <f>SUM(F130:F132)</f>
        <v>88500</v>
      </c>
    </row>
    <row r="134" spans="1:6" hidden="1" x14ac:dyDescent="0.25">
      <c r="A134" s="67" t="s">
        <v>286</v>
      </c>
      <c r="B134" s="54" t="s">
        <v>287</v>
      </c>
      <c r="C134" s="24">
        <f>+'2 Össz'!E133</f>
        <v>0</v>
      </c>
      <c r="D134" s="24">
        <f>+'2 Össz'!F133</f>
        <v>0</v>
      </c>
      <c r="E134" s="24">
        <f t="shared" ref="E134:F137" si="9">+D134</f>
        <v>0</v>
      </c>
      <c r="F134" s="24">
        <f t="shared" si="9"/>
        <v>0</v>
      </c>
    </row>
    <row r="135" spans="1:6" hidden="1" x14ac:dyDescent="0.25">
      <c r="A135" s="73" t="s">
        <v>288</v>
      </c>
      <c r="B135" s="54" t="s">
        <v>289</v>
      </c>
      <c r="C135" s="24">
        <f>+'2 Össz'!E134</f>
        <v>0</v>
      </c>
      <c r="D135" s="24">
        <f>+'2 Össz'!F134</f>
        <v>0</v>
      </c>
      <c r="E135" s="24">
        <f t="shared" si="9"/>
        <v>0</v>
      </c>
      <c r="F135" s="24">
        <f t="shared" si="9"/>
        <v>0</v>
      </c>
    </row>
    <row r="136" spans="1:6" hidden="1" x14ac:dyDescent="0.25">
      <c r="A136" s="67" t="s">
        <v>290</v>
      </c>
      <c r="B136" s="54" t="s">
        <v>291</v>
      </c>
      <c r="C136" s="24">
        <f>+'2 Össz'!E135</f>
        <v>0</v>
      </c>
      <c r="D136" s="24">
        <f>+'2 Össz'!F135</f>
        <v>0</v>
      </c>
      <c r="E136" s="24">
        <f t="shared" si="9"/>
        <v>0</v>
      </c>
      <c r="F136" s="24">
        <f t="shared" si="9"/>
        <v>0</v>
      </c>
    </row>
    <row r="137" spans="1:6" hidden="1" x14ac:dyDescent="0.25">
      <c r="A137" s="73" t="s">
        <v>292</v>
      </c>
      <c r="B137" s="54" t="s">
        <v>293</v>
      </c>
      <c r="C137" s="24">
        <f>+'2 Össz'!E136</f>
        <v>0</v>
      </c>
      <c r="D137" s="24">
        <f>+'2 Össz'!F136</f>
        <v>0</v>
      </c>
      <c r="E137" s="24">
        <f t="shared" si="9"/>
        <v>0</v>
      </c>
      <c r="F137" s="24">
        <f t="shared" si="9"/>
        <v>0</v>
      </c>
    </row>
    <row r="138" spans="1:6" x14ac:dyDescent="0.25">
      <c r="A138" s="75" t="s">
        <v>294</v>
      </c>
      <c r="B138" s="57" t="s">
        <v>295</v>
      </c>
      <c r="C138" s="25">
        <f>SUM(C134:C137)</f>
        <v>0</v>
      </c>
      <c r="D138" s="25">
        <f>SUM(D134:D137)</f>
        <v>0</v>
      </c>
      <c r="E138" s="25">
        <f>SUM(E134:E137)</f>
        <v>0</v>
      </c>
      <c r="F138" s="25">
        <f>SUM(F134:F137)</f>
        <v>0</v>
      </c>
    </row>
    <row r="139" spans="1:6" x14ac:dyDescent="0.25">
      <c r="A139" s="54" t="s">
        <v>296</v>
      </c>
      <c r="B139" s="54" t="s">
        <v>297</v>
      </c>
      <c r="C139" s="24">
        <f>+'2 Össz'!E138/1000</f>
        <v>249263.15</v>
      </c>
      <c r="D139" s="24">
        <v>200000</v>
      </c>
      <c r="E139" s="24">
        <f>+D139</f>
        <v>200000</v>
      </c>
      <c r="F139" s="24">
        <f t="shared" ref="E139:F142" si="10">+E139</f>
        <v>200000</v>
      </c>
    </row>
    <row r="140" spans="1:6" x14ac:dyDescent="0.25">
      <c r="A140" s="54" t="s">
        <v>298</v>
      </c>
      <c r="B140" s="54" t="s">
        <v>297</v>
      </c>
      <c r="C140" s="24">
        <f>+'2 Össz'!E139/1000</f>
        <v>619779.93500000006</v>
      </c>
      <c r="D140" s="24">
        <v>300000</v>
      </c>
      <c r="E140" s="24">
        <v>0</v>
      </c>
      <c r="F140" s="24">
        <v>0</v>
      </c>
    </row>
    <row r="141" spans="1:6" x14ac:dyDescent="0.25">
      <c r="A141" s="54" t="s">
        <v>299</v>
      </c>
      <c r="B141" s="54" t="s">
        <v>300</v>
      </c>
      <c r="C141" s="24">
        <f>+'2 Össz'!E140/1000</f>
        <v>0</v>
      </c>
      <c r="D141" s="24">
        <v>0</v>
      </c>
      <c r="E141" s="24">
        <f t="shared" si="10"/>
        <v>0</v>
      </c>
      <c r="F141" s="24">
        <f t="shared" si="10"/>
        <v>0</v>
      </c>
    </row>
    <row r="142" spans="1:6" x14ac:dyDescent="0.25">
      <c r="A142" s="54" t="s">
        <v>301</v>
      </c>
      <c r="B142" s="54" t="s">
        <v>300</v>
      </c>
      <c r="C142" s="24">
        <f>+'2 Össz'!E141/1000</f>
        <v>0</v>
      </c>
      <c r="D142" s="24">
        <v>0</v>
      </c>
      <c r="E142" s="24">
        <f t="shared" si="10"/>
        <v>0</v>
      </c>
      <c r="F142" s="24">
        <f t="shared" si="10"/>
        <v>0</v>
      </c>
    </row>
    <row r="143" spans="1:6" x14ac:dyDescent="0.25">
      <c r="A143" s="57" t="s">
        <v>302</v>
      </c>
      <c r="B143" s="57" t="s">
        <v>303</v>
      </c>
      <c r="C143" s="25">
        <f>SUM(C139:C142)</f>
        <v>869043.08500000008</v>
      </c>
      <c r="D143" s="25">
        <f>SUM(D139:D142)</f>
        <v>500000</v>
      </c>
      <c r="E143" s="25">
        <f>SUM(E139:E142)</f>
        <v>200000</v>
      </c>
      <c r="F143" s="25">
        <f>SUM(F139:F142)</f>
        <v>200000</v>
      </c>
    </row>
    <row r="144" spans="1:6" x14ac:dyDescent="0.25">
      <c r="A144" s="73" t="s">
        <v>304</v>
      </c>
      <c r="B144" s="54" t="s">
        <v>305</v>
      </c>
      <c r="C144" s="24">
        <f>+'2 Össz'!E143/1000</f>
        <v>0</v>
      </c>
      <c r="D144" s="24">
        <v>0</v>
      </c>
      <c r="E144" s="24">
        <f t="shared" ref="E144:F149" si="11">+D144</f>
        <v>0</v>
      </c>
      <c r="F144" s="24">
        <f t="shared" si="11"/>
        <v>0</v>
      </c>
    </row>
    <row r="145" spans="1:6" x14ac:dyDescent="0.25">
      <c r="A145" s="73" t="s">
        <v>306</v>
      </c>
      <c r="B145" s="54" t="s">
        <v>307</v>
      </c>
      <c r="C145" s="24">
        <f>+'2 Össz'!E144/1000</f>
        <v>0</v>
      </c>
      <c r="D145" s="24">
        <v>0</v>
      </c>
      <c r="E145" s="24">
        <f t="shared" si="11"/>
        <v>0</v>
      </c>
      <c r="F145" s="24">
        <f t="shared" si="11"/>
        <v>0</v>
      </c>
    </row>
    <row r="146" spans="1:6" hidden="1" x14ac:dyDescent="0.25">
      <c r="A146" s="73" t="s">
        <v>308</v>
      </c>
      <c r="B146" s="54" t="s">
        <v>309</v>
      </c>
      <c r="C146" s="24">
        <f>+'2 Össz'!E145</f>
        <v>0</v>
      </c>
      <c r="D146" s="24">
        <v>0</v>
      </c>
      <c r="E146" s="24">
        <f t="shared" si="11"/>
        <v>0</v>
      </c>
      <c r="F146" s="24">
        <f t="shared" si="11"/>
        <v>0</v>
      </c>
    </row>
    <row r="147" spans="1:6" hidden="1" x14ac:dyDescent="0.25">
      <c r="A147" s="73" t="s">
        <v>310</v>
      </c>
      <c r="B147" s="54" t="s">
        <v>311</v>
      </c>
      <c r="C147" s="24">
        <f>+'2 Össz'!E146</f>
        <v>0</v>
      </c>
      <c r="D147" s="24">
        <v>0</v>
      </c>
      <c r="E147" s="24">
        <f t="shared" si="11"/>
        <v>0</v>
      </c>
      <c r="F147" s="24">
        <f t="shared" si="11"/>
        <v>0</v>
      </c>
    </row>
    <row r="148" spans="1:6" hidden="1" x14ac:dyDescent="0.25">
      <c r="A148" s="67" t="s">
        <v>312</v>
      </c>
      <c r="B148" s="54" t="s">
        <v>313</v>
      </c>
      <c r="C148" s="24">
        <f>+'2 Össz'!E147</f>
        <v>0</v>
      </c>
      <c r="D148" s="24">
        <v>0</v>
      </c>
      <c r="E148" s="24">
        <f t="shared" si="11"/>
        <v>0</v>
      </c>
      <c r="F148" s="24">
        <f t="shared" si="11"/>
        <v>0</v>
      </c>
    </row>
    <row r="149" spans="1:6" hidden="1" x14ac:dyDescent="0.25">
      <c r="A149" s="67" t="s">
        <v>314</v>
      </c>
      <c r="B149" s="54" t="s">
        <v>315</v>
      </c>
      <c r="C149" s="24">
        <f>+'2 Össz'!E148</f>
        <v>0</v>
      </c>
      <c r="D149" s="24">
        <v>0</v>
      </c>
      <c r="E149" s="24">
        <f t="shared" si="11"/>
        <v>0</v>
      </c>
      <c r="F149" s="24">
        <f t="shared" si="11"/>
        <v>0</v>
      </c>
    </row>
    <row r="150" spans="1:6" x14ac:dyDescent="0.25">
      <c r="A150" s="58" t="s">
        <v>316</v>
      </c>
      <c r="B150" s="57" t="s">
        <v>317</v>
      </c>
      <c r="C150" s="25">
        <f>SUM(C144:C148)+C143+C138+C133</f>
        <v>957543.08500000008</v>
      </c>
      <c r="D150" s="25">
        <f>SUM(D144:D148)+D143+D138+D133</f>
        <v>588500</v>
      </c>
      <c r="E150" s="25">
        <f>SUM(E144:E148)+E143+E138+E133</f>
        <v>288500</v>
      </c>
      <c r="F150" s="25">
        <f>SUM(F144:F148)+F143+F138+F133</f>
        <v>288500</v>
      </c>
    </row>
    <row r="151" spans="1:6" s="101" customFormat="1" hidden="1" x14ac:dyDescent="0.25">
      <c r="A151" s="73" t="s">
        <v>318</v>
      </c>
      <c r="B151" s="54" t="s">
        <v>319</v>
      </c>
      <c r="C151" s="24">
        <f>+'2 Össz'!E150</f>
        <v>0</v>
      </c>
      <c r="D151" s="24">
        <v>0</v>
      </c>
      <c r="E151" s="24">
        <f>+'2 Össz'!G150</f>
        <v>0</v>
      </c>
      <c r="F151" s="24">
        <f>+'2 Össz'!H150</f>
        <v>0</v>
      </c>
    </row>
    <row r="152" spans="1:6" hidden="1" x14ac:dyDescent="0.25">
      <c r="A152" s="67" t="s">
        <v>320</v>
      </c>
      <c r="B152" s="54" t="s">
        <v>321</v>
      </c>
      <c r="C152" s="24">
        <f>+'2 Össz'!E151</f>
        <v>0</v>
      </c>
      <c r="D152" s="24">
        <v>0</v>
      </c>
      <c r="E152" s="24">
        <f>+'2 Össz'!G151</f>
        <v>0</v>
      </c>
      <c r="F152" s="24">
        <f>+'2 Össz'!H151</f>
        <v>0</v>
      </c>
    </row>
    <row r="153" spans="1:6" hidden="1" x14ac:dyDescent="0.25">
      <c r="A153" s="67" t="s">
        <v>322</v>
      </c>
      <c r="B153" s="54" t="s">
        <v>323</v>
      </c>
      <c r="C153" s="24">
        <f>+'2 Össz'!E152</f>
        <v>0</v>
      </c>
      <c r="D153" s="24">
        <v>0</v>
      </c>
      <c r="E153" s="24">
        <f>+'2 Össz'!G152</f>
        <v>0</v>
      </c>
      <c r="F153" s="24">
        <f>+'2 Össz'!H152</f>
        <v>0</v>
      </c>
    </row>
    <row r="154" spans="1:6" x14ac:dyDescent="0.25">
      <c r="A154" s="76" t="s">
        <v>324</v>
      </c>
      <c r="B154" s="77" t="s">
        <v>325</v>
      </c>
      <c r="C154" s="70">
        <f>+C152+C151+C150+C153</f>
        <v>957543.08500000008</v>
      </c>
      <c r="D154" s="70">
        <f>+D152+D151+D150+D153</f>
        <v>588500</v>
      </c>
      <c r="E154" s="70">
        <f>+E152+E151+E150+E153</f>
        <v>288500</v>
      </c>
      <c r="F154" s="70">
        <f>+F152+F151+F150+F153</f>
        <v>288500</v>
      </c>
    </row>
    <row r="155" spans="1:6" x14ac:dyDescent="0.25">
      <c r="A155" s="28" t="s">
        <v>326</v>
      </c>
      <c r="B155" s="28" t="s">
        <v>327</v>
      </c>
      <c r="C155" s="29">
        <f>+C127+C154</f>
        <v>7774286.9240000006</v>
      </c>
      <c r="D155" s="29">
        <f>+D127+D154</f>
        <v>4248733</v>
      </c>
      <c r="E155" s="29">
        <f>+E127+E154</f>
        <v>2932265</v>
      </c>
      <c r="F155" s="29">
        <f>+F127+F154</f>
        <v>2883424</v>
      </c>
    </row>
    <row r="156" spans="1:6" x14ac:dyDescent="0.25">
      <c r="C156" s="408">
        <f>+C155-C77</f>
        <v>0</v>
      </c>
      <c r="D156" s="408">
        <f>+D155-D77</f>
        <v>0</v>
      </c>
      <c r="E156" s="408">
        <f>+E155-E77</f>
        <v>0</v>
      </c>
      <c r="F156" s="408">
        <f>+F155-F77</f>
        <v>0</v>
      </c>
    </row>
    <row r="157" spans="1:6" x14ac:dyDescent="0.25">
      <c r="C157" s="401"/>
    </row>
    <row r="158" spans="1:6" x14ac:dyDescent="0.25">
      <c r="C158" s="401"/>
    </row>
    <row r="159" spans="1:6" x14ac:dyDescent="0.25">
      <c r="C159" s="401"/>
    </row>
    <row r="160" spans="1:6" x14ac:dyDescent="0.25">
      <c r="C160" s="401"/>
    </row>
    <row r="161" spans="3:3" x14ac:dyDescent="0.25">
      <c r="C161" s="401"/>
    </row>
    <row r="162" spans="3:3" x14ac:dyDescent="0.25">
      <c r="C162" s="401"/>
    </row>
    <row r="163" spans="3:3" x14ac:dyDescent="0.25">
      <c r="C163" s="401"/>
    </row>
    <row r="164" spans="3:3" x14ac:dyDescent="0.25">
      <c r="C164" s="401"/>
    </row>
    <row r="165" spans="3:3" x14ac:dyDescent="0.25">
      <c r="C165" s="401"/>
    </row>
    <row r="166" spans="3:3" x14ac:dyDescent="0.25">
      <c r="C166" s="401"/>
    </row>
    <row r="167" spans="3:3" x14ac:dyDescent="0.25">
      <c r="C167" s="401"/>
    </row>
    <row r="168" spans="3:3" x14ac:dyDescent="0.25">
      <c r="C168" s="401"/>
    </row>
    <row r="169" spans="3:3" x14ac:dyDescent="0.25">
      <c r="C169" s="401"/>
    </row>
    <row r="170" spans="3:3" x14ac:dyDescent="0.25">
      <c r="C170" s="401"/>
    </row>
    <row r="171" spans="3:3" x14ac:dyDescent="0.25">
      <c r="C171" s="401"/>
    </row>
    <row r="172" spans="3:3" x14ac:dyDescent="0.25">
      <c r="C172" s="401"/>
    </row>
    <row r="173" spans="3:3" x14ac:dyDescent="0.25">
      <c r="C173" s="401"/>
    </row>
    <row r="174" spans="3:3" x14ac:dyDescent="0.25">
      <c r="C174" s="401"/>
    </row>
    <row r="175" spans="3:3" x14ac:dyDescent="0.25">
      <c r="C175" s="401"/>
    </row>
    <row r="176" spans="3:3" x14ac:dyDescent="0.25">
      <c r="C176" s="401"/>
    </row>
    <row r="177" spans="3:3" x14ac:dyDescent="0.25">
      <c r="C177" s="401"/>
    </row>
    <row r="178" spans="3:3" x14ac:dyDescent="0.25">
      <c r="C178" s="401"/>
    </row>
    <row r="179" spans="3:3" x14ac:dyDescent="0.25">
      <c r="C179" s="401"/>
    </row>
    <row r="180" spans="3:3" x14ac:dyDescent="0.25">
      <c r="C180" s="401"/>
    </row>
    <row r="181" spans="3:3" x14ac:dyDescent="0.25">
      <c r="C181" s="401"/>
    </row>
    <row r="182" spans="3:3" x14ac:dyDescent="0.25">
      <c r="C182" s="401"/>
    </row>
    <row r="183" spans="3:3" x14ac:dyDescent="0.25">
      <c r="C183" s="401"/>
    </row>
    <row r="184" spans="3:3" x14ac:dyDescent="0.25">
      <c r="C184" s="401"/>
    </row>
    <row r="185" spans="3:3" x14ac:dyDescent="0.25">
      <c r="C185" s="401"/>
    </row>
    <row r="186" spans="3:3" x14ac:dyDescent="0.25">
      <c r="C186" s="401"/>
    </row>
    <row r="187" spans="3:3" x14ac:dyDescent="0.25">
      <c r="C187" s="401"/>
    </row>
    <row r="188" spans="3:3" x14ac:dyDescent="0.25">
      <c r="C188" s="401"/>
    </row>
    <row r="189" spans="3:3" x14ac:dyDescent="0.25">
      <c r="C189" s="401"/>
    </row>
    <row r="190" spans="3:3" x14ac:dyDescent="0.25">
      <c r="C190" s="401"/>
    </row>
    <row r="191" spans="3:3" x14ac:dyDescent="0.25">
      <c r="C191" s="401"/>
    </row>
    <row r="192" spans="3:3" x14ac:dyDescent="0.25">
      <c r="C192" s="401"/>
    </row>
    <row r="193" spans="3:3" x14ac:dyDescent="0.25">
      <c r="C193" s="401"/>
    </row>
    <row r="194" spans="3:3" x14ac:dyDescent="0.25">
      <c r="C194" s="401"/>
    </row>
    <row r="195" spans="3:3" x14ac:dyDescent="0.25">
      <c r="C195" s="401"/>
    </row>
    <row r="196" spans="3:3" x14ac:dyDescent="0.25">
      <c r="C196" s="401"/>
    </row>
    <row r="197" spans="3:3" x14ac:dyDescent="0.25">
      <c r="C197" s="401"/>
    </row>
    <row r="198" spans="3:3" x14ac:dyDescent="0.25">
      <c r="C198" s="401"/>
    </row>
    <row r="199" spans="3:3" x14ac:dyDescent="0.25">
      <c r="C199" s="401"/>
    </row>
    <row r="200" spans="3:3" x14ac:dyDescent="0.25">
      <c r="C200" s="401"/>
    </row>
    <row r="201" spans="3:3" x14ac:dyDescent="0.25">
      <c r="C201" s="401"/>
    </row>
    <row r="202" spans="3:3" x14ac:dyDescent="0.25">
      <c r="C202" s="401"/>
    </row>
    <row r="203" spans="3:3" x14ac:dyDescent="0.25">
      <c r="C203" s="401"/>
    </row>
    <row r="204" spans="3:3" x14ac:dyDescent="0.25">
      <c r="C204" s="401"/>
    </row>
    <row r="205" spans="3:3" x14ac:dyDescent="0.25">
      <c r="C205" s="401"/>
    </row>
    <row r="206" spans="3:3" x14ac:dyDescent="0.25">
      <c r="C206" s="401"/>
    </row>
    <row r="207" spans="3:3" x14ac:dyDescent="0.25">
      <c r="C207" s="401"/>
    </row>
    <row r="208" spans="3:3" x14ac:dyDescent="0.25">
      <c r="C208" s="401"/>
    </row>
    <row r="209" spans="3:3" x14ac:dyDescent="0.25">
      <c r="C209" s="401"/>
    </row>
    <row r="210" spans="3:3" x14ac:dyDescent="0.25">
      <c r="C210" s="401"/>
    </row>
    <row r="211" spans="3:3" x14ac:dyDescent="0.25">
      <c r="C211" s="401"/>
    </row>
    <row r="212" spans="3:3" x14ac:dyDescent="0.25">
      <c r="C212" s="401"/>
    </row>
    <row r="213" spans="3:3" x14ac:dyDescent="0.25">
      <c r="C213" s="401"/>
    </row>
    <row r="214" spans="3:3" x14ac:dyDescent="0.25">
      <c r="C214" s="401"/>
    </row>
    <row r="215" spans="3:3" x14ac:dyDescent="0.25">
      <c r="C215" s="401"/>
    </row>
    <row r="216" spans="3:3" x14ac:dyDescent="0.25">
      <c r="C216" s="401"/>
    </row>
    <row r="217" spans="3:3" x14ac:dyDescent="0.25">
      <c r="C217" s="401"/>
    </row>
    <row r="218" spans="3:3" x14ac:dyDescent="0.25">
      <c r="C218" s="401"/>
    </row>
    <row r="219" spans="3:3" x14ac:dyDescent="0.25">
      <c r="C219" s="401"/>
    </row>
    <row r="220" spans="3:3" x14ac:dyDescent="0.25">
      <c r="C220" s="401"/>
    </row>
    <row r="221" spans="3:3" x14ac:dyDescent="0.25">
      <c r="C221" s="401"/>
    </row>
    <row r="222" spans="3:3" x14ac:dyDescent="0.25">
      <c r="C222" s="401"/>
    </row>
    <row r="223" spans="3:3" x14ac:dyDescent="0.25">
      <c r="C223" s="401"/>
    </row>
    <row r="224" spans="3:3" x14ac:dyDescent="0.25">
      <c r="C224" s="401"/>
    </row>
    <row r="225" spans="3:3" x14ac:dyDescent="0.25">
      <c r="C225" s="401"/>
    </row>
    <row r="226" spans="3:3" x14ac:dyDescent="0.25">
      <c r="C226" s="401"/>
    </row>
    <row r="227" spans="3:3" x14ac:dyDescent="0.25">
      <c r="C227" s="401"/>
    </row>
    <row r="228" spans="3:3" x14ac:dyDescent="0.25">
      <c r="C228" s="401"/>
    </row>
    <row r="229" spans="3:3" x14ac:dyDescent="0.25">
      <c r="C229" s="401"/>
    </row>
    <row r="230" spans="3:3" x14ac:dyDescent="0.25">
      <c r="C230" s="401"/>
    </row>
    <row r="231" spans="3:3" x14ac:dyDescent="0.25">
      <c r="C231" s="401"/>
    </row>
    <row r="232" spans="3:3" x14ac:dyDescent="0.25">
      <c r="C232" s="401"/>
    </row>
    <row r="233" spans="3:3" x14ac:dyDescent="0.25">
      <c r="C233" s="401"/>
    </row>
    <row r="234" spans="3:3" x14ac:dyDescent="0.25">
      <c r="C234" s="401"/>
    </row>
    <row r="235" spans="3:3" x14ac:dyDescent="0.25">
      <c r="C235" s="401"/>
    </row>
    <row r="236" spans="3:3" x14ac:dyDescent="0.25">
      <c r="C236" s="401"/>
    </row>
    <row r="237" spans="3:3" x14ac:dyDescent="0.25">
      <c r="C237" s="401"/>
    </row>
    <row r="238" spans="3:3" x14ac:dyDescent="0.25">
      <c r="C238" s="401"/>
    </row>
    <row r="239" spans="3:3" x14ac:dyDescent="0.25">
      <c r="C239" s="401"/>
    </row>
    <row r="240" spans="3:3" x14ac:dyDescent="0.25">
      <c r="C240" s="401"/>
    </row>
    <row r="241" spans="3:3" x14ac:dyDescent="0.25">
      <c r="C241" s="401"/>
    </row>
    <row r="242" spans="3:3" x14ac:dyDescent="0.25">
      <c r="C242" s="401"/>
    </row>
    <row r="243" spans="3:3" x14ac:dyDescent="0.25">
      <c r="C243" s="401"/>
    </row>
    <row r="244" spans="3:3" x14ac:dyDescent="0.25">
      <c r="C244" s="401"/>
    </row>
    <row r="245" spans="3:3" x14ac:dyDescent="0.25">
      <c r="C245" s="401"/>
    </row>
    <row r="246" spans="3:3" x14ac:dyDescent="0.25">
      <c r="C246" s="401"/>
    </row>
    <row r="247" spans="3:3" x14ac:dyDescent="0.25">
      <c r="C247" s="401"/>
    </row>
    <row r="248" spans="3:3" x14ac:dyDescent="0.25">
      <c r="C248" s="401"/>
    </row>
    <row r="249" spans="3:3" x14ac:dyDescent="0.25">
      <c r="C249" s="401"/>
    </row>
    <row r="250" spans="3:3" x14ac:dyDescent="0.25">
      <c r="C250" s="401"/>
    </row>
    <row r="251" spans="3:3" x14ac:dyDescent="0.25">
      <c r="C251" s="401"/>
    </row>
    <row r="252" spans="3:3" x14ac:dyDescent="0.25">
      <c r="C252" s="401"/>
    </row>
    <row r="253" spans="3:3" x14ac:dyDescent="0.25">
      <c r="C253" s="401"/>
    </row>
    <row r="254" spans="3:3" x14ac:dyDescent="0.25">
      <c r="C254" s="401"/>
    </row>
    <row r="255" spans="3:3" x14ac:dyDescent="0.25">
      <c r="C255" s="401"/>
    </row>
    <row r="256" spans="3:3" x14ac:dyDescent="0.25">
      <c r="C256" s="401"/>
    </row>
    <row r="257" spans="3:3" x14ac:dyDescent="0.25">
      <c r="C257" s="401"/>
    </row>
    <row r="258" spans="3:3" x14ac:dyDescent="0.25">
      <c r="C258" s="401"/>
    </row>
    <row r="259" spans="3:3" x14ac:dyDescent="0.25">
      <c r="C259" s="401"/>
    </row>
    <row r="260" spans="3:3" x14ac:dyDescent="0.25">
      <c r="C260" s="401"/>
    </row>
    <row r="261" spans="3:3" x14ac:dyDescent="0.25">
      <c r="C261" s="401"/>
    </row>
    <row r="262" spans="3:3" x14ac:dyDescent="0.25">
      <c r="C262" s="401"/>
    </row>
    <row r="263" spans="3:3" x14ac:dyDescent="0.25">
      <c r="C263" s="401"/>
    </row>
  </sheetData>
  <sheetProtection selectLockedCells="1" selectUnlockedCells="1"/>
  <mergeCells count="3">
    <mergeCell ref="A5:F5"/>
    <mergeCell ref="G5:L5"/>
    <mergeCell ref="C79:E79"/>
  </mergeCells>
  <printOptions horizontalCentered="1"/>
  <pageMargins left="0.47222222222222221" right="0.35416666666666669" top="0.43333333333333335" bottom="0.51180555555555551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  <rowBreaks count="1" manualBreakCount="1"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281"/>
  <sheetViews>
    <sheetView view="pageBreakPreview" zoomScale="80" zoomScaleSheetLayoutView="80" workbookViewId="0">
      <selection activeCell="E2" sqref="E2"/>
    </sheetView>
  </sheetViews>
  <sheetFormatPr defaultColWidth="11.5703125" defaultRowHeight="15.75" x14ac:dyDescent="0.25"/>
  <cols>
    <col min="1" max="1" width="71" style="30" customWidth="1"/>
    <col min="2" max="2" width="10.42578125" style="30" customWidth="1"/>
    <col min="3" max="3" width="14.28515625" style="392" customWidth="1"/>
    <col min="4" max="4" width="14.7109375" style="392" customWidth="1"/>
    <col min="5" max="5" width="14.5703125" style="429" customWidth="1"/>
    <col min="6" max="7" width="0" style="32" hidden="1" customWidth="1"/>
    <col min="8" max="8" width="0" style="33" hidden="1" customWidth="1"/>
    <col min="9" max="9" width="10.5703125" style="32" customWidth="1"/>
    <col min="10" max="10" width="9.140625" style="32" customWidth="1"/>
    <col min="11" max="249" width="9.140625" style="30" customWidth="1"/>
  </cols>
  <sheetData>
    <row r="1" spans="1:10" s="13" customFormat="1" ht="18.75" x14ac:dyDescent="0.25">
      <c r="C1" s="163"/>
      <c r="D1" s="163"/>
      <c r="E1" s="409" t="s">
        <v>39</v>
      </c>
      <c r="F1" s="14"/>
      <c r="G1" s="14"/>
      <c r="H1" s="16" t="s">
        <v>40</v>
      </c>
      <c r="I1" s="14"/>
      <c r="J1" s="14"/>
    </row>
    <row r="2" spans="1:10" s="13" customFormat="1" x14ac:dyDescent="0.25">
      <c r="A2" s="34"/>
      <c r="C2" s="163"/>
      <c r="D2" s="163"/>
      <c r="E2" s="16" t="s">
        <v>937</v>
      </c>
      <c r="F2" s="14"/>
      <c r="G2" s="14"/>
      <c r="H2" s="16" t="s">
        <v>11</v>
      </c>
      <c r="I2" s="14"/>
      <c r="J2" s="14"/>
    </row>
    <row r="3" spans="1:10" s="13" customFormat="1" ht="18.75" x14ac:dyDescent="0.3">
      <c r="A3" s="35" t="s">
        <v>879</v>
      </c>
      <c r="B3" s="36"/>
      <c r="C3" s="410"/>
      <c r="D3" s="166"/>
      <c r="E3" s="410"/>
      <c r="F3" s="39"/>
      <c r="G3" s="40"/>
      <c r="H3" s="41"/>
      <c r="I3" s="14"/>
      <c r="J3" s="14"/>
    </row>
    <row r="4" spans="1:10" s="13" customFormat="1" x14ac:dyDescent="0.25">
      <c r="A4" s="42" t="s">
        <v>874</v>
      </c>
      <c r="B4" s="43"/>
      <c r="C4" s="165"/>
      <c r="D4" s="165"/>
      <c r="E4" s="411"/>
      <c r="F4" s="45"/>
      <c r="G4" s="45"/>
      <c r="H4" s="46"/>
      <c r="I4" s="14"/>
      <c r="J4" s="14"/>
    </row>
    <row r="5" spans="1:10" x14ac:dyDescent="0.25">
      <c r="A5" s="47"/>
      <c r="C5" s="467" t="s">
        <v>12</v>
      </c>
      <c r="D5" s="467"/>
      <c r="E5" s="467"/>
      <c r="F5" s="466" t="s">
        <v>13</v>
      </c>
      <c r="G5" s="466"/>
      <c r="H5" s="466"/>
    </row>
    <row r="6" spans="1:10" ht="47.25" x14ac:dyDescent="0.25">
      <c r="A6" s="19" t="s">
        <v>14</v>
      </c>
      <c r="B6" s="48" t="s">
        <v>41</v>
      </c>
      <c r="C6" s="412" t="s">
        <v>15</v>
      </c>
      <c r="D6" s="412" t="s">
        <v>16</v>
      </c>
      <c r="E6" s="413" t="s">
        <v>17</v>
      </c>
      <c r="F6" s="50" t="s">
        <v>15</v>
      </c>
      <c r="G6" s="50" t="s">
        <v>16</v>
      </c>
      <c r="H6" s="51" t="s">
        <v>17</v>
      </c>
    </row>
    <row r="7" spans="1:10" x14ac:dyDescent="0.25">
      <c r="A7" s="52" t="s">
        <v>42</v>
      </c>
      <c r="B7" s="53" t="s">
        <v>43</v>
      </c>
      <c r="C7" s="414">
        <f>+'7 Önk'!D7+'8 PH'!D7+'9 VGIG'!D7+'10 Járób'!D7+'11 Szoci'!D7+'12 Ovi'!D7+'13 Művház'!D7+'14 Könyvt'!D7</f>
        <v>938949641</v>
      </c>
      <c r="D7" s="414">
        <f>+'7 Önk'!E7+'8 PH'!E7+'9 VGIG'!E7+'10 Járób'!E7+'11 Szoci'!E7+'12 Ovi'!E7+'13 Művház'!E7+'14 Könyvt'!E7</f>
        <v>685074705</v>
      </c>
      <c r="E7" s="415">
        <f>+C7+D7</f>
        <v>1624024346</v>
      </c>
      <c r="F7" s="24">
        <f>+'7 Önk'!G7+'8 PH'!G7+'9 VGIG'!G7+'10 Járób'!G7+'11 Szoci'!G7+'12 Ovi'!G7+'13 Művház'!G7+'14 Könyvt'!G7</f>
        <v>0</v>
      </c>
      <c r="G7" s="24">
        <f>+'7 Önk'!H7+'8 PH'!H7+'9 VGIG'!H7+'10 Járób'!H7+'11 Szoci'!H7+'12 Ovi'!H7+'13 Művház'!H7+'14 Könyvt'!H7</f>
        <v>0</v>
      </c>
      <c r="H7" s="25">
        <f>+F7+G7</f>
        <v>0</v>
      </c>
    </row>
    <row r="8" spans="1:10" x14ac:dyDescent="0.25">
      <c r="A8" s="54" t="s">
        <v>44</v>
      </c>
      <c r="B8" s="53" t="s">
        <v>45</v>
      </c>
      <c r="C8" s="414">
        <f>+'7 Önk'!D8+'8 PH'!D8+'9 VGIG'!D8+'10 Járób'!D8+'11 Szoci'!D8+'12 Ovi'!D8+'13 Művház'!D8+'14 Könyvt'!D8</f>
        <v>71629800</v>
      </c>
      <c r="D8" s="414">
        <f>+'7 Önk'!E8+'8 PH'!E8+'9 VGIG'!E8+'10 Járób'!E8+'11 Szoci'!E8+'12 Ovi'!E8+'13 Művház'!E8+'14 Könyvt'!E8</f>
        <v>57185988</v>
      </c>
      <c r="E8" s="415">
        <f>+C8+D8</f>
        <v>128815788</v>
      </c>
      <c r="F8" s="24">
        <f>+'7 Önk'!G8+'8 PH'!G8+'9 VGIG'!G8+'10 Járób'!G8+'11 Szoci'!G8+'12 Ovi'!G8+'13 Művház'!G8+'14 Könyvt'!G8</f>
        <v>0</v>
      </c>
      <c r="G8" s="24">
        <f>+'7 Önk'!H8+'8 PH'!H8+'9 VGIG'!H8+'10 Járób'!H8+'11 Szoci'!H8+'12 Ovi'!H8+'13 Művház'!H8+'14 Könyvt'!H8</f>
        <v>0</v>
      </c>
      <c r="H8" s="25">
        <f>+F8+G8</f>
        <v>0</v>
      </c>
    </row>
    <row r="9" spans="1:10" x14ac:dyDescent="0.25">
      <c r="A9" s="55" t="s">
        <v>46</v>
      </c>
      <c r="B9" s="56" t="s">
        <v>47</v>
      </c>
      <c r="C9" s="415">
        <f t="shared" ref="C9:H9" si="0">SUM(C7:C8)</f>
        <v>1010579441</v>
      </c>
      <c r="D9" s="415">
        <f t="shared" si="0"/>
        <v>742260693</v>
      </c>
      <c r="E9" s="415">
        <f t="shared" si="0"/>
        <v>1752840134</v>
      </c>
      <c r="F9" s="25">
        <f t="shared" si="0"/>
        <v>0</v>
      </c>
      <c r="G9" s="25">
        <f t="shared" si="0"/>
        <v>0</v>
      </c>
      <c r="H9" s="25">
        <f t="shared" si="0"/>
        <v>0</v>
      </c>
      <c r="I9" s="25"/>
    </row>
    <row r="10" spans="1:10" x14ac:dyDescent="0.25">
      <c r="A10" s="57" t="s">
        <v>48</v>
      </c>
      <c r="B10" s="56" t="s">
        <v>49</v>
      </c>
      <c r="C10" s="414">
        <f>+'7 Önk'!D10+'8 PH'!D10+'9 VGIG'!D10+'10 Járób'!D10+'11 Szoci'!D10+'12 Ovi'!D10+'13 Művház'!D10+'14 Könyvt'!D10</f>
        <v>189701787</v>
      </c>
      <c r="D10" s="414">
        <f>+'7 Önk'!E10+'8 PH'!E10+'9 VGIG'!E10+'10 Járób'!E10+'11 Szoci'!E10+'12 Ovi'!E10+'13 Művház'!E10+'14 Könyvt'!E10</f>
        <v>141863510</v>
      </c>
      <c r="E10" s="415">
        <f t="shared" ref="E10:E15" si="1">+C10+D10</f>
        <v>331565297</v>
      </c>
      <c r="F10" s="24">
        <f>+'7 Önk'!G10+'8 PH'!G10+'9 VGIG'!G10+'10 Járób'!G10+'11 Szoci'!G10+'12 Ovi'!G10+'13 Művház'!G10+'14 Könyvt'!G10</f>
        <v>0</v>
      </c>
      <c r="G10" s="24">
        <f>+'7 Önk'!H10+'8 PH'!H10+'9 VGIG'!H10+'10 Járób'!H10+'11 Szoci'!H10+'12 Ovi'!H10+'13 Művház'!H10+'14 Könyvt'!H10</f>
        <v>0</v>
      </c>
      <c r="H10" s="25">
        <f t="shared" ref="H10:H15" si="2">+F10+G10</f>
        <v>0</v>
      </c>
    </row>
    <row r="11" spans="1:10" x14ac:dyDescent="0.25">
      <c r="A11" s="54" t="s">
        <v>50</v>
      </c>
      <c r="B11" s="53" t="s">
        <v>51</v>
      </c>
      <c r="C11" s="414">
        <f>+'7 Önk'!D11+'8 PH'!D11+'9 VGIG'!D11+'10 Járób'!D11+'11 Szoci'!D11+'12 Ovi'!D11+'13 Művház'!D11+'14 Könyvt'!D11</f>
        <v>197216120</v>
      </c>
      <c r="D11" s="414">
        <f>+'7 Önk'!E11+'8 PH'!E11+'9 VGIG'!E11+'10 Járób'!E11+'11 Szoci'!E11+'12 Ovi'!E11+'13 Művház'!E11+'14 Könyvt'!E11</f>
        <v>78094262</v>
      </c>
      <c r="E11" s="415">
        <f t="shared" si="1"/>
        <v>275310382</v>
      </c>
      <c r="F11" s="24">
        <f>+'7 Önk'!G11+'8 PH'!G11+'9 VGIG'!G11+'10 Járób'!G11+'11 Szoci'!G11+'12 Ovi'!G11+'13 Művház'!G11+'14 Könyvt'!G11</f>
        <v>0</v>
      </c>
      <c r="G11" s="24">
        <f>+'7 Önk'!H11+'8 PH'!H11+'9 VGIG'!H11+'10 Járób'!H11+'11 Szoci'!H11+'12 Ovi'!H11+'13 Művház'!H11+'14 Könyvt'!H11</f>
        <v>0</v>
      </c>
      <c r="H11" s="25">
        <f t="shared" si="2"/>
        <v>0</v>
      </c>
    </row>
    <row r="12" spans="1:10" x14ac:dyDescent="0.25">
      <c r="A12" s="54" t="s">
        <v>52</v>
      </c>
      <c r="B12" s="53" t="s">
        <v>53</v>
      </c>
      <c r="C12" s="414">
        <f>+'7 Önk'!D12+'8 PH'!D12+'9 VGIG'!D12+'10 Járób'!D12+'11 Szoci'!D12+'12 Ovi'!D12+'13 Művház'!D12+'14 Könyvt'!D12</f>
        <v>7549960</v>
      </c>
      <c r="D12" s="414">
        <f>+'7 Önk'!E12+'8 PH'!E12+'9 VGIG'!E12+'10 Járób'!E12+'11 Szoci'!E12+'12 Ovi'!E12+'13 Művház'!E12+'14 Könyvt'!E12</f>
        <v>8368000</v>
      </c>
      <c r="E12" s="415">
        <f t="shared" si="1"/>
        <v>15917960</v>
      </c>
      <c r="F12" s="24">
        <f>+'7 Önk'!G12+'8 PH'!G12+'9 VGIG'!G12+'10 Járób'!G12+'11 Szoci'!G12+'12 Ovi'!G12+'13 Művház'!G12+'14 Könyvt'!G12</f>
        <v>0</v>
      </c>
      <c r="G12" s="24">
        <f>+'7 Önk'!H12+'8 PH'!H12+'9 VGIG'!H12+'10 Járób'!H12+'11 Szoci'!H12+'12 Ovi'!H12+'13 Művház'!H12+'14 Könyvt'!H12</f>
        <v>0</v>
      </c>
      <c r="H12" s="25">
        <f t="shared" si="2"/>
        <v>0</v>
      </c>
    </row>
    <row r="13" spans="1:10" x14ac:dyDescent="0.25">
      <c r="A13" s="54" t="s">
        <v>54</v>
      </c>
      <c r="B13" s="53" t="s">
        <v>55</v>
      </c>
      <c r="C13" s="414">
        <f>+'7 Önk'!D13+'8 PH'!D13+'9 VGIG'!D13+'10 Járób'!D13+'11 Szoci'!D13+'12 Ovi'!D13+'13 Művház'!D13+'14 Könyvt'!D13</f>
        <v>254976036</v>
      </c>
      <c r="D13" s="414">
        <f>+'7 Önk'!E13+'8 PH'!E13+'9 VGIG'!E13+'10 Járób'!E13+'11 Szoci'!E13+'12 Ovi'!E13+'13 Művház'!E13+'14 Könyvt'!E13</f>
        <v>493625120</v>
      </c>
      <c r="E13" s="415">
        <f t="shared" si="1"/>
        <v>748601156</v>
      </c>
      <c r="F13" s="24">
        <f>+'7 Önk'!G13+'8 PH'!G13+'9 VGIG'!G13+'10 Járób'!G13+'11 Szoci'!G13+'12 Ovi'!G13+'13 Művház'!G13+'14 Könyvt'!G13</f>
        <v>0</v>
      </c>
      <c r="G13" s="24">
        <f>+'7 Önk'!H13+'8 PH'!H13+'9 VGIG'!H13+'10 Járób'!H13+'11 Szoci'!H13+'12 Ovi'!H13+'13 Művház'!H13+'14 Könyvt'!H13</f>
        <v>0</v>
      </c>
      <c r="H13" s="25">
        <f t="shared" si="2"/>
        <v>0</v>
      </c>
    </row>
    <row r="14" spans="1:10" x14ac:dyDescent="0.25">
      <c r="A14" s="54" t="s">
        <v>56</v>
      </c>
      <c r="B14" s="53" t="s">
        <v>57</v>
      </c>
      <c r="C14" s="414">
        <f>+'7 Önk'!D14+'8 PH'!D14+'9 VGIG'!D14+'10 Járób'!D14+'11 Szoci'!D14+'12 Ovi'!D14+'13 Művház'!D14+'14 Könyvt'!D14</f>
        <v>5375000</v>
      </c>
      <c r="D14" s="414">
        <f>+'7 Önk'!E14+'8 PH'!E14+'9 VGIG'!E14+'10 Járób'!E14+'11 Szoci'!E14+'12 Ovi'!E14+'13 Művház'!E14+'14 Könyvt'!E14</f>
        <v>47206012</v>
      </c>
      <c r="E14" s="415">
        <f t="shared" si="1"/>
        <v>52581012</v>
      </c>
      <c r="F14" s="24">
        <f>+'7 Önk'!G14+'8 PH'!G14+'9 VGIG'!G14+'10 Járób'!G14+'11 Szoci'!G14+'12 Ovi'!G14+'13 Művház'!G14+'14 Könyvt'!G14</f>
        <v>0</v>
      </c>
      <c r="G14" s="24">
        <f>+'7 Önk'!H14+'8 PH'!H14+'9 VGIG'!H14+'10 Járób'!H14+'11 Szoci'!H14+'12 Ovi'!H14+'13 Művház'!H14+'14 Könyvt'!H14</f>
        <v>0</v>
      </c>
      <c r="H14" s="25">
        <f t="shared" si="2"/>
        <v>0</v>
      </c>
    </row>
    <row r="15" spans="1:10" x14ac:dyDescent="0.25">
      <c r="A15" s="54" t="s">
        <v>58</v>
      </c>
      <c r="B15" s="53" t="s">
        <v>59</v>
      </c>
      <c r="C15" s="414">
        <f>+'7 Önk'!D15+'8 PH'!D15+'9 VGIG'!D15+'10 Járób'!D15+'11 Szoci'!D15+'12 Ovi'!D15+'13 Művház'!D15+'14 Könyvt'!D15</f>
        <v>176254892</v>
      </c>
      <c r="D15" s="414">
        <f>+'7 Önk'!E15+'8 PH'!E15+'9 VGIG'!E15+'10 Járób'!E15+'11 Szoci'!E15+'12 Ovi'!E15+'13 Művház'!E15+'14 Könyvt'!E15</f>
        <v>129923814</v>
      </c>
      <c r="E15" s="415">
        <f t="shared" si="1"/>
        <v>306178706</v>
      </c>
      <c r="F15" s="24">
        <f>+'7 Önk'!G15+'8 PH'!G15+'9 VGIG'!G15+'10 Járób'!G15+'11 Szoci'!G15+'12 Ovi'!G15+'13 Művház'!G15+'14 Könyvt'!G15</f>
        <v>0</v>
      </c>
      <c r="G15" s="24">
        <f>+'7 Önk'!H15+'8 PH'!H15+'9 VGIG'!H15+'10 Járób'!H15+'11 Szoci'!H15+'12 Ovi'!H15+'13 Művház'!H15+'14 Könyvt'!H15</f>
        <v>0</v>
      </c>
      <c r="H15" s="25">
        <f t="shared" si="2"/>
        <v>0</v>
      </c>
    </row>
    <row r="16" spans="1:10" x14ac:dyDescent="0.25">
      <c r="A16" s="57" t="s">
        <v>60</v>
      </c>
      <c r="B16" s="56" t="s">
        <v>61</v>
      </c>
      <c r="C16" s="415">
        <f t="shared" ref="C16:H16" si="3">SUM(C11:C15)</f>
        <v>641372008</v>
      </c>
      <c r="D16" s="415">
        <f t="shared" si="3"/>
        <v>757217208</v>
      </c>
      <c r="E16" s="415">
        <f t="shared" si="3"/>
        <v>1398589216</v>
      </c>
      <c r="F16" s="25">
        <f t="shared" si="3"/>
        <v>0</v>
      </c>
      <c r="G16" s="25">
        <f t="shared" si="3"/>
        <v>0</v>
      </c>
      <c r="H16" s="25">
        <f t="shared" si="3"/>
        <v>0</v>
      </c>
      <c r="I16" s="25"/>
    </row>
    <row r="17" spans="1:10" x14ac:dyDescent="0.25">
      <c r="A17" s="58" t="s">
        <v>62</v>
      </c>
      <c r="B17" s="56" t="s">
        <v>63</v>
      </c>
      <c r="C17" s="415">
        <f>+'7 Önk'!D17+'8 PH'!D17+'9 VGIG'!D17+'10 Járób'!D17+'11 Szoci'!D17+'12 Ovi'!D17+'13 Művház'!D17+'14 Könyvt'!D17+'16 szociális kiad'!D23</f>
        <v>59800000</v>
      </c>
      <c r="D17" s="414">
        <f>+'7 Önk'!E17+'8 PH'!E17+'9 VGIG'!E17+'10 Járób'!E17+'11 Szoci'!E17+'12 Ovi'!E17+'13 Művház'!E17+'14 Könyvt'!E17</f>
        <v>0</v>
      </c>
      <c r="E17" s="415">
        <f t="shared" ref="E17:E27" si="4">+C17+D17</f>
        <v>59800000</v>
      </c>
      <c r="F17" s="25">
        <f>+'7 Önk'!G17+'8 PH'!G17+'9 VGIG'!G17+'10 Járób'!G17+'11 Szoci'!G17+'12 Ovi'!G17+'13 Művház'!G17+'14 Könyvt'!G17+'16 szociális kiad'!E23</f>
        <v>0</v>
      </c>
      <c r="G17" s="24">
        <f>+'7 Önk'!H17+'8 PH'!H17+'9 VGIG'!H17+'10 Járób'!H17+'11 Szoci'!H17+'12 Ovi'!H17+'13 Művház'!H17+'14 Könyvt'!H17</f>
        <v>0</v>
      </c>
      <c r="H17" s="25">
        <f t="shared" ref="H17:H27" si="5">+F17+G17</f>
        <v>0</v>
      </c>
    </row>
    <row r="18" spans="1:10" x14ac:dyDescent="0.25">
      <c r="A18" s="59" t="s">
        <v>64</v>
      </c>
      <c r="B18" s="53" t="s">
        <v>65</v>
      </c>
      <c r="C18" s="414">
        <f>+'7 Önk'!D18+'8 PH'!D18+'9 VGIG'!D18+'10 Járób'!D18+'11 Szoci'!D18+'12 Ovi'!D18+'13 Művház'!D18+'14 Könyvt'!D18</f>
        <v>0</v>
      </c>
      <c r="D18" s="414">
        <f>+'7 Önk'!E18+'8 PH'!E18+'9 VGIG'!E18+'10 Járób'!E18+'11 Szoci'!E18+'12 Ovi'!E18+'13 Művház'!E18+'14 Könyvt'!E18</f>
        <v>0</v>
      </c>
      <c r="E18" s="415">
        <f t="shared" si="4"/>
        <v>0</v>
      </c>
      <c r="F18" s="24">
        <f>+'7 Önk'!G18+'8 PH'!G18+'9 VGIG'!G18+'10 Járób'!G18+'11 Szoci'!G18+'12 Ovi'!G18+'13 Művház'!G18+'14 Könyvt'!G18</f>
        <v>0</v>
      </c>
      <c r="G18" s="24">
        <f>+'7 Önk'!H18+'8 PH'!H18+'9 VGIG'!H18+'10 Járób'!H18+'11 Szoci'!H18+'12 Ovi'!H18+'13 Művház'!H18+'14 Könyvt'!H18</f>
        <v>0</v>
      </c>
      <c r="H18" s="25">
        <f t="shared" si="5"/>
        <v>0</v>
      </c>
    </row>
    <row r="19" spans="1:10" x14ac:dyDescent="0.25">
      <c r="A19" s="59" t="s">
        <v>66</v>
      </c>
      <c r="B19" s="53" t="s">
        <v>67</v>
      </c>
      <c r="C19" s="414">
        <f>+'7 Önk'!D19+'8 PH'!D19+'9 VGIG'!D19+'10 Járób'!D19+'11 Szoci'!D19+'12 Ovi'!D19+'13 Művház'!D19+'14 Könyvt'!D19</f>
        <v>2200000</v>
      </c>
      <c r="D19" s="414">
        <f>+'7 Önk'!E19+'8 PH'!E19+'9 VGIG'!E19+'10 Járób'!E19+'11 Szoci'!E19+'12 Ovi'!E19+'13 Művház'!E19+'14 Könyvt'!E19</f>
        <v>0</v>
      </c>
      <c r="E19" s="415">
        <f t="shared" si="4"/>
        <v>2200000</v>
      </c>
      <c r="F19" s="24">
        <f>+'7 Önk'!G19+'8 PH'!G19+'9 VGIG'!G19+'10 Járób'!G19+'11 Szoci'!G19+'12 Ovi'!G19+'13 Művház'!G19+'14 Könyvt'!G19</f>
        <v>0</v>
      </c>
      <c r="G19" s="24">
        <f>+'7 Önk'!H19+'8 PH'!H19+'9 VGIG'!H19+'10 Járób'!H19+'11 Szoci'!H19+'12 Ovi'!H19+'13 Művház'!H19+'14 Könyvt'!H19</f>
        <v>0</v>
      </c>
      <c r="H19" s="25">
        <f t="shared" si="5"/>
        <v>0</v>
      </c>
    </row>
    <row r="20" spans="1:10" ht="31.5" x14ac:dyDescent="0.25">
      <c r="A20" s="59" t="s">
        <v>68</v>
      </c>
      <c r="B20" s="53" t="s">
        <v>69</v>
      </c>
      <c r="C20" s="414">
        <f>+'7 Önk'!D20+'8 PH'!D20+'9 VGIG'!D20+'10 Járób'!D20+'11 Szoci'!D20+'12 Ovi'!D20+'13 Művház'!D20+'14 Könyvt'!D20</f>
        <v>0</v>
      </c>
      <c r="D20" s="414">
        <f>+'7 Önk'!E20+'8 PH'!E20+'9 VGIG'!E20+'10 Járób'!E20+'11 Szoci'!E20+'12 Ovi'!E20+'13 Művház'!E20+'14 Könyvt'!E20</f>
        <v>0</v>
      </c>
      <c r="E20" s="415">
        <f t="shared" si="4"/>
        <v>0</v>
      </c>
      <c r="F20" s="24">
        <f>+'7 Önk'!G20+'8 PH'!G20+'9 VGIG'!G20+'10 Járób'!G20+'11 Szoci'!G20+'12 Ovi'!G20+'13 Művház'!G20+'14 Könyvt'!G20</f>
        <v>0</v>
      </c>
      <c r="G20" s="24">
        <f>+'7 Önk'!H20+'8 PH'!H20+'9 VGIG'!H20+'10 Járób'!H20+'11 Szoci'!H20+'12 Ovi'!H20+'13 Művház'!H20+'14 Könyvt'!H20</f>
        <v>0</v>
      </c>
      <c r="H20" s="25">
        <f t="shared" si="5"/>
        <v>0</v>
      </c>
    </row>
    <row r="21" spans="1:10" x14ac:dyDescent="0.25">
      <c r="A21" s="59" t="s">
        <v>70</v>
      </c>
      <c r="B21" s="53" t="s">
        <v>71</v>
      </c>
      <c r="C21" s="414">
        <f>+'7 Önk'!D21+'8 PH'!D21+'9 VGIG'!D21+'10 Járób'!D21+'11 Szoci'!D21+'12 Ovi'!D21+'13 Művház'!D21+'14 Könyvt'!D21</f>
        <v>0</v>
      </c>
      <c r="D21" s="414">
        <f>+'7 Önk'!E21+'8 PH'!E21+'9 VGIG'!E21+'10 Járób'!E21+'11 Szoci'!E21+'12 Ovi'!E21+'13 Művház'!E21+'14 Könyvt'!E21</f>
        <v>0</v>
      </c>
      <c r="E21" s="415">
        <f t="shared" si="4"/>
        <v>0</v>
      </c>
      <c r="F21" s="24">
        <f>+'7 Önk'!G21+'8 PH'!G21+'9 VGIG'!G21+'10 Járób'!G21+'11 Szoci'!G21+'12 Ovi'!G21+'13 Művház'!G21+'14 Könyvt'!G21</f>
        <v>0</v>
      </c>
      <c r="G21" s="24">
        <f>+'7 Önk'!H21+'8 PH'!H21+'9 VGIG'!H21+'10 Járób'!H21+'11 Szoci'!H21+'12 Ovi'!H21+'13 Művház'!H21+'14 Könyvt'!H21</f>
        <v>0</v>
      </c>
      <c r="H21" s="25">
        <f t="shared" si="5"/>
        <v>0</v>
      </c>
    </row>
    <row r="22" spans="1:10" x14ac:dyDescent="0.25">
      <c r="A22" s="59" t="s">
        <v>72</v>
      </c>
      <c r="B22" s="53" t="s">
        <v>73</v>
      </c>
      <c r="C22" s="414">
        <f>+'7 Önk'!D22+'8 PH'!D22+'9 VGIG'!D22+'10 Járób'!D22+'11 Szoci'!D22+'12 Ovi'!D22+'13 Művház'!D22+'14 Könyvt'!D22</f>
        <v>0</v>
      </c>
      <c r="D22" s="414">
        <f>+'7 Önk'!E22+'8 PH'!E22+'9 VGIG'!E22+'10 Járób'!E22+'11 Szoci'!E22+'12 Ovi'!E22+'13 Művház'!E22+'14 Könyvt'!E22</f>
        <v>0</v>
      </c>
      <c r="E22" s="415">
        <f t="shared" si="4"/>
        <v>0</v>
      </c>
      <c r="F22" s="24">
        <f>+'7 Önk'!G22+'8 PH'!G22+'9 VGIG'!G22+'10 Járób'!G22+'11 Szoci'!G22+'12 Ovi'!G22+'13 Művház'!G22+'14 Könyvt'!G22</f>
        <v>0</v>
      </c>
      <c r="G22" s="24">
        <f>+'7 Önk'!H22+'8 PH'!H22+'9 VGIG'!H22+'10 Járób'!H22+'11 Szoci'!H22+'12 Ovi'!H22+'13 Művház'!H22+'14 Könyvt'!H22</f>
        <v>0</v>
      </c>
      <c r="H22" s="25">
        <f t="shared" si="5"/>
        <v>0</v>
      </c>
    </row>
    <row r="23" spans="1:10" x14ac:dyDescent="0.25">
      <c r="A23" s="59" t="s">
        <v>74</v>
      </c>
      <c r="B23" s="53" t="s">
        <v>75</v>
      </c>
      <c r="C23" s="414">
        <f>+'7 Önk'!D23+'8 PH'!D23+'9 VGIG'!D23+'10 Járób'!D23+'11 Szoci'!D23+'12 Ovi'!D23+'13 Művház'!D23+'14 Könyvt'!D23</f>
        <v>7740600</v>
      </c>
      <c r="D23" s="414">
        <f>+'7 Önk'!E23+'8 PH'!E23+'9 VGIG'!E23+'10 Járób'!E23+'11 Szoci'!E23+'12 Ovi'!E23+'13 Művház'!E23+'14 Könyvt'!E23</f>
        <v>2000000</v>
      </c>
      <c r="E23" s="415">
        <f t="shared" si="4"/>
        <v>9740600</v>
      </c>
      <c r="F23" s="24">
        <f>+'7 Önk'!G23+'8 PH'!G23+'9 VGIG'!G23+'10 Járób'!G23+'11 Szoci'!G23+'12 Ovi'!G23+'13 Művház'!G23+'14 Könyvt'!G23</f>
        <v>0</v>
      </c>
      <c r="G23" s="24">
        <f>+'7 Önk'!H23+'8 PH'!H23+'9 VGIG'!H23+'10 Járób'!H23+'11 Szoci'!H23+'12 Ovi'!H23+'13 Művház'!H23+'14 Könyvt'!H23</f>
        <v>0</v>
      </c>
      <c r="H23" s="25">
        <f t="shared" si="5"/>
        <v>0</v>
      </c>
    </row>
    <row r="24" spans="1:10" ht="31.5" x14ac:dyDescent="0.25">
      <c r="A24" s="59" t="s">
        <v>76</v>
      </c>
      <c r="B24" s="53" t="s">
        <v>77</v>
      </c>
      <c r="C24" s="414">
        <f>+'7 Önk'!D24+'8 PH'!D24+'9 VGIG'!D24+'10 Járób'!D24+'11 Szoci'!D24+'12 Ovi'!D24+'13 Művház'!D24+'14 Könyvt'!D24</f>
        <v>0</v>
      </c>
      <c r="D24" s="414">
        <f>+'7 Önk'!E24+'8 PH'!E24+'9 VGIG'!E24+'10 Járób'!E24+'11 Szoci'!E24+'12 Ovi'!E24+'13 Művház'!E24+'14 Könyvt'!E24</f>
        <v>0</v>
      </c>
      <c r="E24" s="415">
        <f t="shared" si="4"/>
        <v>0</v>
      </c>
      <c r="F24" s="24">
        <f>+'7 Önk'!G24+'8 PH'!G24+'9 VGIG'!G24+'10 Járób'!G24+'11 Szoci'!G24+'12 Ovi'!G24+'13 Művház'!G24+'14 Könyvt'!G24</f>
        <v>0</v>
      </c>
      <c r="G24" s="24">
        <f>+'7 Önk'!H24+'8 PH'!H24+'9 VGIG'!H24+'10 Járób'!H24+'11 Szoci'!H24+'12 Ovi'!H24+'13 Művház'!H24+'14 Könyvt'!H24</f>
        <v>0</v>
      </c>
      <c r="H24" s="25">
        <f t="shared" si="5"/>
        <v>0</v>
      </c>
    </row>
    <row r="25" spans="1:10" x14ac:dyDescent="0.25">
      <c r="A25" s="59" t="s">
        <v>78</v>
      </c>
      <c r="B25" s="53" t="s">
        <v>79</v>
      </c>
      <c r="C25" s="414">
        <f>+'7 Önk'!D25+'8 PH'!D25+'9 VGIG'!D25+'10 Járób'!D25+'11 Szoci'!D25+'12 Ovi'!D25+'13 Művház'!D25+'14 Könyvt'!D25</f>
        <v>0</v>
      </c>
      <c r="D25" s="414">
        <f>+'7 Önk'!E25+'8 PH'!E25+'9 VGIG'!E25+'10 Járób'!E25+'11 Szoci'!E25+'12 Ovi'!E25+'13 Művház'!E25+'14 Könyvt'!E25</f>
        <v>0</v>
      </c>
      <c r="E25" s="415">
        <f t="shared" si="4"/>
        <v>0</v>
      </c>
      <c r="F25" s="24">
        <f>+'7 Önk'!G25+'8 PH'!G25+'9 VGIG'!G25+'10 Járób'!G25+'11 Szoci'!G25+'12 Ovi'!G25+'13 Művház'!G25+'14 Könyvt'!G25</f>
        <v>0</v>
      </c>
      <c r="G25" s="24">
        <f>+'7 Önk'!H25+'8 PH'!H25+'9 VGIG'!H25+'10 Járób'!H25+'11 Szoci'!H25+'12 Ovi'!H25+'13 Művház'!H25+'14 Könyvt'!H25</f>
        <v>0</v>
      </c>
      <c r="H25" s="25">
        <f t="shared" si="5"/>
        <v>0</v>
      </c>
    </row>
    <row r="26" spans="1:10" x14ac:dyDescent="0.25">
      <c r="A26" s="59" t="s">
        <v>80</v>
      </c>
      <c r="B26" s="53" t="s">
        <v>81</v>
      </c>
      <c r="C26" s="414">
        <f>+'7 Önk'!D26+'8 PH'!D26+'9 VGIG'!D26+'10 Járób'!D26+'11 Szoci'!D26+'12 Ovi'!D26+'13 Művház'!D26+'14 Könyvt'!D26</f>
        <v>0</v>
      </c>
      <c r="D26" s="414">
        <f>+'7 Önk'!E26+'8 PH'!E26+'9 VGIG'!E26+'10 Járób'!E26+'11 Szoci'!E26+'12 Ovi'!E26+'13 Művház'!E26+'14 Könyvt'!E26</f>
        <v>0</v>
      </c>
      <c r="E26" s="415">
        <f t="shared" si="4"/>
        <v>0</v>
      </c>
      <c r="F26" s="24">
        <f>+'7 Önk'!G26+'8 PH'!G26+'9 VGIG'!G26+'10 Járób'!G26+'11 Szoci'!G26+'12 Ovi'!G26+'13 Művház'!G26+'14 Könyvt'!G26</f>
        <v>0</v>
      </c>
      <c r="G26" s="24">
        <f>+'7 Önk'!H26+'8 PH'!H26+'9 VGIG'!H26+'10 Járób'!H26+'11 Szoci'!H26+'12 Ovi'!H26+'13 Művház'!H26+'14 Könyvt'!H26</f>
        <v>0</v>
      </c>
      <c r="H26" s="25">
        <f t="shared" si="5"/>
        <v>0</v>
      </c>
    </row>
    <row r="27" spans="1:10" x14ac:dyDescent="0.25">
      <c r="A27" s="60" t="s">
        <v>82</v>
      </c>
      <c r="B27" s="53" t="s">
        <v>83</v>
      </c>
      <c r="C27" s="414">
        <f>+'7 Önk'!D27+'8 PH'!D27+'9 VGIG'!D27+'10 Járób'!D27+'11 Szoci'!D27+'12 Ovi'!D27+'13 Művház'!D27+'14 Könyvt'!D27</f>
        <v>0</v>
      </c>
      <c r="D27" s="414">
        <f>+'7 Önk'!E27+'8 PH'!E27+'9 VGIG'!E27+'10 Járób'!E27+'11 Szoci'!E27+'12 Ovi'!E27+'13 Művház'!E27+'14 Könyvt'!E27</f>
        <v>0</v>
      </c>
      <c r="E27" s="415">
        <f t="shared" si="4"/>
        <v>0</v>
      </c>
      <c r="F27" s="24">
        <f>+'7 Önk'!G27+'8 PH'!G27+'9 VGIG'!G27+'10 Járób'!G27+'11 Szoci'!G27+'12 Ovi'!G27+'13 Művház'!G27+'14 Könyvt'!G27</f>
        <v>0</v>
      </c>
      <c r="G27" s="24">
        <f>+'7 Önk'!H27+'8 PH'!H27+'9 VGIG'!H27+'10 Járób'!H27+'11 Szoci'!H27+'12 Ovi'!H27+'13 Művház'!H27+'14 Könyvt'!H27</f>
        <v>0</v>
      </c>
      <c r="H27" s="25">
        <f t="shared" si="5"/>
        <v>0</v>
      </c>
    </row>
    <row r="28" spans="1:10" x14ac:dyDescent="0.25">
      <c r="A28" s="59" t="s">
        <v>84</v>
      </c>
      <c r="B28" s="53" t="s">
        <v>85</v>
      </c>
      <c r="C28" s="414"/>
      <c r="D28" s="414"/>
      <c r="E28" s="415"/>
      <c r="F28" s="24"/>
      <c r="G28" s="24"/>
      <c r="H28" s="25"/>
    </row>
    <row r="29" spans="1:10" x14ac:dyDescent="0.25">
      <c r="A29" s="59" t="s">
        <v>86</v>
      </c>
      <c r="B29" s="53" t="s">
        <v>87</v>
      </c>
      <c r="C29" s="414">
        <f>+'7 Önk'!D29+'8 PH'!D29+'9 VGIG'!D29+'10 Járób'!D29+'11 Szoci'!D29+'12 Ovi'!D29+'13 Művház'!D29+'14 Könyvt'!D29</f>
        <v>14930000</v>
      </c>
      <c r="D29" s="414">
        <f>+'7 Önk'!E29+'8 PH'!E29+'9 VGIG'!E29+'10 Járób'!E29+'11 Szoci'!E29+'12 Ovi'!E29+'13 Művház'!E29+'14 Könyvt'!E29</f>
        <v>35950000</v>
      </c>
      <c r="E29" s="415">
        <f>+C29+D29</f>
        <v>50880000</v>
      </c>
      <c r="F29" s="24">
        <f>+'7 Önk'!G29+'8 PH'!G29+'9 VGIG'!G29+'10 Járób'!G29+'11 Szoci'!G29+'12 Ovi'!G29+'13 Művház'!G29+'14 Könyvt'!G29</f>
        <v>0</v>
      </c>
      <c r="G29" s="24">
        <f>+'7 Önk'!H29+'8 PH'!H29+'9 VGIG'!H29+'10 Járób'!H29+'11 Szoci'!H29+'12 Ovi'!H29+'13 Művház'!H29+'14 Könyvt'!H29</f>
        <v>0</v>
      </c>
      <c r="H29" s="25">
        <f>+F29+G29</f>
        <v>0</v>
      </c>
    </row>
    <row r="30" spans="1:10" x14ac:dyDescent="0.25">
      <c r="A30" s="60" t="s">
        <v>88</v>
      </c>
      <c r="B30" s="53" t="s">
        <v>89</v>
      </c>
      <c r="C30" s="414">
        <f>+'6 Tart'!D14</f>
        <v>40000000</v>
      </c>
      <c r="D30" s="414">
        <f>+'6 Tart'!E14</f>
        <v>0</v>
      </c>
      <c r="E30" s="415">
        <f>+C30+D30</f>
        <v>40000000</v>
      </c>
      <c r="F30" s="24">
        <f>+'6 Tart'!G14</f>
        <v>0</v>
      </c>
      <c r="G30" s="24">
        <f>+'6 Tart'!H14</f>
        <v>0</v>
      </c>
      <c r="H30" s="25">
        <f>+F30+G30</f>
        <v>0</v>
      </c>
    </row>
    <row r="31" spans="1:10" x14ac:dyDescent="0.25">
      <c r="A31" s="60" t="s">
        <v>90</v>
      </c>
      <c r="B31" s="53" t="s">
        <v>89</v>
      </c>
      <c r="C31" s="414">
        <f>+'6 Tart'!D25</f>
        <v>13500000</v>
      </c>
      <c r="D31" s="414">
        <f>+'6 Tart'!E25</f>
        <v>10000000</v>
      </c>
      <c r="E31" s="415">
        <f>+C31+D31</f>
        <v>23500000</v>
      </c>
      <c r="F31" s="24">
        <f>+'6 Tart'!G25</f>
        <v>0</v>
      </c>
      <c r="G31" s="24">
        <f>+'6 Tart'!H25</f>
        <v>0</v>
      </c>
      <c r="H31" s="25">
        <f>+F31+G31</f>
        <v>0</v>
      </c>
    </row>
    <row r="32" spans="1:10" s="31" customFormat="1" x14ac:dyDescent="0.25">
      <c r="A32" s="58" t="s">
        <v>91</v>
      </c>
      <c r="B32" s="56" t="s">
        <v>92</v>
      </c>
      <c r="C32" s="415">
        <f t="shared" ref="C32:H32" si="6">SUM(C18:C31)</f>
        <v>78370600</v>
      </c>
      <c r="D32" s="415">
        <f t="shared" si="6"/>
        <v>47950000</v>
      </c>
      <c r="E32" s="415">
        <f t="shared" si="6"/>
        <v>126320600</v>
      </c>
      <c r="F32" s="25">
        <f t="shared" si="6"/>
        <v>0</v>
      </c>
      <c r="G32" s="25">
        <f t="shared" si="6"/>
        <v>0</v>
      </c>
      <c r="H32" s="25">
        <f t="shared" si="6"/>
        <v>0</v>
      </c>
      <c r="I32" s="25"/>
      <c r="J32" s="32"/>
    </row>
    <row r="33" spans="1:10" x14ac:dyDescent="0.25">
      <c r="A33" s="61" t="s">
        <v>93</v>
      </c>
      <c r="B33" s="62" t="s">
        <v>94</v>
      </c>
      <c r="C33" s="416">
        <f t="shared" ref="C33:H33" si="7">+C32+C17+C16+C10+C9</f>
        <v>1979823836</v>
      </c>
      <c r="D33" s="416">
        <f t="shared" si="7"/>
        <v>1689291411</v>
      </c>
      <c r="E33" s="416">
        <f t="shared" si="7"/>
        <v>3669115247</v>
      </c>
      <c r="F33" s="63">
        <f t="shared" si="7"/>
        <v>0</v>
      </c>
      <c r="G33" s="63">
        <f t="shared" si="7"/>
        <v>0</v>
      </c>
      <c r="H33" s="63">
        <f t="shared" si="7"/>
        <v>0</v>
      </c>
      <c r="I33" s="63"/>
    </row>
    <row r="34" spans="1:10" x14ac:dyDescent="0.25">
      <c r="A34" s="64" t="s">
        <v>95</v>
      </c>
      <c r="B34" s="53" t="s">
        <v>96</v>
      </c>
      <c r="C34" s="414">
        <f>+'7 Önk'!D34+'8 PH'!D34+'9 VGIG'!D34+'10 Járób'!D34+'11 Szoci'!D34+'12 Ovi'!D34+'13 Művház'!D34+'14 Könyvt'!D34+'5 Beruh kiad'!D11</f>
        <v>370000</v>
      </c>
      <c r="D34" s="414">
        <f>+'7 Önk'!E34+'8 PH'!E34+'9 VGIG'!E34+'10 Járób'!E34+'11 Szoci'!E34+'12 Ovi'!E34+'13 Művház'!E34+'14 Könyvt'!E34+'5 Beruh kiad'!E11</f>
        <v>0</v>
      </c>
      <c r="E34" s="415">
        <f t="shared" ref="E34:E40" si="8">+C34+D34</f>
        <v>370000</v>
      </c>
      <c r="F34" s="24">
        <f>+'7 Önk'!G34+'8 PH'!G34+'9 VGIG'!G34+'10 Járób'!G34+'11 Szoci'!G34+'12 Ovi'!G34+'13 Művház'!G34+'14 Könyvt'!G34+'5 Beruh kiad'!F11</f>
        <v>0</v>
      </c>
      <c r="G34" s="24">
        <f>+'7 Önk'!H34+'8 PH'!H34+'9 VGIG'!H34+'10 Járób'!H34+'11 Szoci'!H34+'12 Ovi'!H34+'13 Művház'!H34+'14 Könyvt'!H34+'5 Beruh kiad'!G11</f>
        <v>0</v>
      </c>
      <c r="H34" s="25">
        <f t="shared" ref="H34:H40" si="9">+F34+G34</f>
        <v>0</v>
      </c>
    </row>
    <row r="35" spans="1:10" x14ac:dyDescent="0.25">
      <c r="A35" s="64" t="s">
        <v>97</v>
      </c>
      <c r="B35" s="53" t="s">
        <v>98</v>
      </c>
      <c r="C35" s="414">
        <f>+'7 Önk'!D35+'8 PH'!D35+'9 VGIG'!D35+'10 Járób'!D35+'11 Szoci'!D35+'12 Ovi'!D35+'13 Művház'!D35+'14 Könyvt'!D35+'5 Beruh kiad'!D15</f>
        <v>35995855.11811024</v>
      </c>
      <c r="D35" s="414">
        <f>+'7 Önk'!E35+'8 PH'!E35+'9 VGIG'!E35+'10 Járób'!E35+'11 Szoci'!E35+'12 Ovi'!E35+'13 Művház'!E35+'14 Könyvt'!E35+'5 Beruh kiad'!E15</f>
        <v>0</v>
      </c>
      <c r="E35" s="415">
        <f t="shared" si="8"/>
        <v>35995855.11811024</v>
      </c>
      <c r="F35" s="24">
        <f>+'7 Önk'!G35+'8 PH'!G35+'9 VGIG'!G35+'10 Járób'!G35+'11 Szoci'!G35+'12 Ovi'!G35+'13 Művház'!G35+'14 Könyvt'!G35+'5 Beruh kiad'!F15</f>
        <v>0</v>
      </c>
      <c r="G35" s="24">
        <f>+'7 Önk'!H35+'8 PH'!H35+'9 VGIG'!H35+'10 Járób'!H35+'11 Szoci'!H35+'12 Ovi'!H35+'13 Művház'!H35+'14 Könyvt'!H35+'5 Beruh kiad'!G15</f>
        <v>0</v>
      </c>
      <c r="H35" s="25">
        <f t="shared" si="9"/>
        <v>0</v>
      </c>
    </row>
    <row r="36" spans="1:10" x14ac:dyDescent="0.25">
      <c r="A36" s="64" t="s">
        <v>99</v>
      </c>
      <c r="B36" s="53" t="s">
        <v>100</v>
      </c>
      <c r="C36" s="414">
        <f>+'7 Önk'!D36+'8 PH'!D36+'9 VGIG'!D36+'10 Járób'!D36+'11 Szoci'!D36+'12 Ovi'!D36+'13 Művház'!D36+'14 Könyvt'!D36+'5 Beruh kiad'!D18</f>
        <v>1833000</v>
      </c>
      <c r="D36" s="414">
        <f>+'7 Önk'!E36+'8 PH'!E36+'9 VGIG'!E36+'10 Járób'!E36+'11 Szoci'!E36+'12 Ovi'!E36+'13 Művház'!E36+'14 Könyvt'!E36+'5 Beruh kiad'!E18</f>
        <v>161000</v>
      </c>
      <c r="E36" s="415">
        <f t="shared" si="8"/>
        <v>1994000</v>
      </c>
      <c r="F36" s="24">
        <f>+'7 Önk'!G36+'8 PH'!G36+'9 VGIG'!G36+'10 Járób'!G36+'11 Szoci'!G36+'12 Ovi'!G36+'13 Művház'!G36+'14 Könyvt'!G36+'5 Beruh kiad'!F18</f>
        <v>0</v>
      </c>
      <c r="G36" s="24">
        <f>+'7 Önk'!H36+'8 PH'!H36+'9 VGIG'!H36+'10 Járób'!H36+'11 Szoci'!H36+'12 Ovi'!H36+'13 Művház'!H36+'14 Könyvt'!H36+'5 Beruh kiad'!G18</f>
        <v>0</v>
      </c>
      <c r="H36" s="25">
        <f t="shared" si="9"/>
        <v>0</v>
      </c>
    </row>
    <row r="37" spans="1:10" x14ac:dyDescent="0.25">
      <c r="A37" s="64" t="s">
        <v>101</v>
      </c>
      <c r="B37" s="53" t="s">
        <v>102</v>
      </c>
      <c r="C37" s="414">
        <f>+'7 Önk'!D37+'8 PH'!D37+'9 VGIG'!D37+'10 Járób'!D37+'11 Szoci'!D37+'12 Ovi'!D37+'13 Művház'!D37+'14 Könyvt'!D37+'5 Beruh kiad'!D26</f>
        <v>32840000</v>
      </c>
      <c r="D37" s="414">
        <f>+'7 Önk'!E37+'8 PH'!E37+'9 VGIG'!E37+'10 Járób'!E37+'11 Szoci'!E37+'12 Ovi'!E37+'13 Művház'!E37+'14 Könyvt'!E37+'5 Beruh kiad'!E26</f>
        <v>193351574.88188976</v>
      </c>
      <c r="E37" s="415">
        <f t="shared" si="8"/>
        <v>226191574.88188976</v>
      </c>
      <c r="F37" s="24">
        <f>+'7 Önk'!G37+'8 PH'!G37+'9 VGIG'!G37+'10 Járób'!G37+'11 Szoci'!G37+'12 Ovi'!G37+'13 Művház'!G37+'14 Könyvt'!G37+'5 Beruh kiad'!F26</f>
        <v>0</v>
      </c>
      <c r="G37" s="24">
        <f>+'7 Önk'!H37+'8 PH'!H37+'9 VGIG'!H37+'10 Járób'!H37+'11 Szoci'!H37+'12 Ovi'!H37+'13 Művház'!H37+'14 Könyvt'!H37+'5 Beruh kiad'!G26</f>
        <v>0</v>
      </c>
      <c r="H37" s="25">
        <f t="shared" si="9"/>
        <v>0</v>
      </c>
    </row>
    <row r="38" spans="1:10" x14ac:dyDescent="0.25">
      <c r="A38" s="65" t="s">
        <v>103</v>
      </c>
      <c r="B38" s="53" t="s">
        <v>104</v>
      </c>
      <c r="C38" s="414">
        <f>+'7 Önk'!D38+'8 PH'!D38+'9 VGIG'!D38+'10 Járób'!D38+'11 Szoci'!D38+'12 Ovi'!D38+'13 Művház'!D38+'14 Könyvt'!D38+'5 Beruh kiad'!D28</f>
        <v>0</v>
      </c>
      <c r="D38" s="414">
        <f>+'7 Önk'!E38+'8 PH'!E38+'9 VGIG'!E38+'10 Járób'!E38+'11 Szoci'!E38+'12 Ovi'!E38+'13 Művház'!E38+'14 Könyvt'!E38+'5 Beruh kiad'!E28</f>
        <v>0</v>
      </c>
      <c r="E38" s="415">
        <f t="shared" si="8"/>
        <v>0</v>
      </c>
      <c r="F38" s="24">
        <f>+'7 Önk'!G38+'8 PH'!G38+'9 VGIG'!G38+'10 Járób'!G38+'11 Szoci'!G38+'12 Ovi'!G38+'13 Művház'!G38+'14 Könyvt'!G38+'5 Beruh kiad'!F28</f>
        <v>0</v>
      </c>
      <c r="G38" s="24">
        <f>+'7 Önk'!H38+'8 PH'!H38+'9 VGIG'!H38+'10 Járób'!H38+'11 Szoci'!H38+'12 Ovi'!H38+'13 Művház'!H38+'14 Könyvt'!H38+'5 Beruh kiad'!G28</f>
        <v>0</v>
      </c>
      <c r="H38" s="25">
        <f t="shared" si="9"/>
        <v>0</v>
      </c>
    </row>
    <row r="39" spans="1:10" x14ac:dyDescent="0.25">
      <c r="A39" s="65" t="s">
        <v>105</v>
      </c>
      <c r="B39" s="53" t="s">
        <v>106</v>
      </c>
      <c r="C39" s="414">
        <f>+'7 Önk'!D39+'8 PH'!D39+'9 VGIG'!D39+'10 Járób'!D39+'11 Szoci'!D39+'12 Ovi'!D39+'13 Művház'!D39+'14 Könyvt'!D39+'5 Beruh kiad'!D30</f>
        <v>0</v>
      </c>
      <c r="D39" s="414">
        <f>+'7 Önk'!E39+'8 PH'!E39+'9 VGIG'!E39+'10 Járób'!E39+'11 Szoci'!E39+'12 Ovi'!E39+'13 Művház'!E39+'14 Könyvt'!E39+'5 Beruh kiad'!E30</f>
        <v>0</v>
      </c>
      <c r="E39" s="415">
        <f t="shared" si="8"/>
        <v>0</v>
      </c>
      <c r="F39" s="24">
        <f>+'7 Önk'!G39+'8 PH'!G39+'9 VGIG'!G39+'10 Járób'!G39+'11 Szoci'!G39+'12 Ovi'!G39+'13 Művház'!G39+'14 Könyvt'!G39+'5 Beruh kiad'!F30</f>
        <v>0</v>
      </c>
      <c r="G39" s="24">
        <f>+'7 Önk'!H39+'8 PH'!H39+'9 VGIG'!H39+'10 Járób'!H39+'11 Szoci'!H39+'12 Ovi'!H39+'13 Művház'!H39+'14 Könyvt'!H39+'5 Beruh kiad'!G30</f>
        <v>0</v>
      </c>
      <c r="H39" s="25">
        <f t="shared" si="9"/>
        <v>0</v>
      </c>
    </row>
    <row r="40" spans="1:10" x14ac:dyDescent="0.25">
      <c r="A40" s="65" t="s">
        <v>107</v>
      </c>
      <c r="B40" s="53" t="s">
        <v>108</v>
      </c>
      <c r="C40" s="414">
        <f>+'7 Önk'!D40+'8 PH'!D40+'9 VGIG'!D40+'10 Járób'!D40+'11 Szoci'!D40+'12 Ovi'!D40+'13 Művház'!D40+'14 Könyvt'!D40+'5 Beruh kiad'!D41</f>
        <v>18171150.881889764</v>
      </c>
      <c r="D40" s="414">
        <f>+'7 Önk'!E40+'8 PH'!E40+'9 VGIG'!E40+'10 Járób'!E40+'11 Szoci'!E40+'12 Ovi'!E40+'13 Művház'!E40+'14 Könyvt'!E40+'5 Beruh kiad'!E41</f>
        <v>52337735.11811024</v>
      </c>
      <c r="E40" s="415">
        <f t="shared" si="8"/>
        <v>70508886</v>
      </c>
      <c r="F40" s="24">
        <f>+'7 Önk'!G40+'8 PH'!G40+'9 VGIG'!G40+'10 Járób'!G40+'11 Szoci'!G40+'12 Ovi'!G40+'13 Művház'!G40+'14 Könyvt'!G40+'5 Beruh kiad'!F41</f>
        <v>0</v>
      </c>
      <c r="G40" s="24">
        <f>+'7 Önk'!H40+'8 PH'!H40+'9 VGIG'!H40+'10 Járób'!H40+'11 Szoci'!H40+'12 Ovi'!H40+'13 Művház'!H40+'14 Könyvt'!H40+'5 Beruh kiad'!G41</f>
        <v>0</v>
      </c>
      <c r="H40" s="25">
        <f t="shared" si="9"/>
        <v>0</v>
      </c>
    </row>
    <row r="41" spans="1:10" s="31" customFormat="1" x14ac:dyDescent="0.25">
      <c r="A41" s="66" t="s">
        <v>109</v>
      </c>
      <c r="B41" s="56" t="s">
        <v>110</v>
      </c>
      <c r="C41" s="415">
        <f t="shared" ref="C41:H41" si="10">SUM(C34:C40)</f>
        <v>89210006</v>
      </c>
      <c r="D41" s="415">
        <f t="shared" si="10"/>
        <v>245850310</v>
      </c>
      <c r="E41" s="415">
        <f t="shared" si="10"/>
        <v>335060316</v>
      </c>
      <c r="F41" s="25">
        <f t="shared" si="10"/>
        <v>0</v>
      </c>
      <c r="G41" s="25">
        <f t="shared" si="10"/>
        <v>0</v>
      </c>
      <c r="H41" s="25">
        <f t="shared" si="10"/>
        <v>0</v>
      </c>
      <c r="I41" s="25"/>
      <c r="J41" s="32"/>
    </row>
    <row r="42" spans="1:10" x14ac:dyDescent="0.25">
      <c r="A42" s="67" t="s">
        <v>111</v>
      </c>
      <c r="B42" s="53" t="s">
        <v>112</v>
      </c>
      <c r="C42" s="414">
        <f>+'7 Önk'!D42+'8 PH'!D42+'9 VGIG'!D42+'10 Járób'!D42+'11 Szoci'!D42+'12 Ovi'!D42+'13 Művház'!D42+'14 Könyvt'!D42+'5 Beruh kiad'!D64</f>
        <v>2363724271</v>
      </c>
      <c r="D42" s="414">
        <f>+'7 Önk'!E42+'8 PH'!E42+'9 VGIG'!E42+'10 Járób'!E42+'11 Szoci'!E42+'12 Ovi'!E42+'13 Művház'!E42+'14 Könyvt'!E42+'5 Beruh kiad'!E64</f>
        <v>469872000</v>
      </c>
      <c r="E42" s="415">
        <f>+C42+D42</f>
        <v>2833596271</v>
      </c>
      <c r="F42" s="24">
        <f>+'7 Önk'!G42+'8 PH'!G42+'9 VGIG'!G42+'10 Járób'!G42+'11 Szoci'!G42+'12 Ovi'!G42+'13 Művház'!G42+'14 Könyvt'!G42+'5 Beruh kiad'!F64</f>
        <v>0</v>
      </c>
      <c r="G42" s="24">
        <f>+'7 Önk'!H42+'8 PH'!H42+'9 VGIG'!H42+'10 Járób'!H42+'11 Szoci'!H42+'12 Ovi'!H42+'13 Művház'!H42+'14 Könyvt'!H42+'5 Beruh kiad'!G64</f>
        <v>0</v>
      </c>
      <c r="H42" s="25">
        <f>+F42+G42</f>
        <v>0</v>
      </c>
    </row>
    <row r="43" spans="1:10" x14ac:dyDescent="0.25">
      <c r="A43" s="67" t="s">
        <v>113</v>
      </c>
      <c r="B43" s="53" t="s">
        <v>114</v>
      </c>
      <c r="C43" s="414">
        <f>+'7 Önk'!D43+'8 PH'!D43+'9 VGIG'!D43+'10 Járób'!D43+'11 Szoci'!D43+'12 Ovi'!D43+'13 Művház'!D43+'14 Könyvt'!D43+'5 Beruh kiad'!D66</f>
        <v>0</v>
      </c>
      <c r="D43" s="414">
        <f>+'7 Önk'!E43+'8 PH'!E43+'9 VGIG'!E43+'10 Járób'!E43+'11 Szoci'!E43+'12 Ovi'!E43+'13 Művház'!E43+'14 Könyvt'!E43+'5 Beruh kiad'!E66</f>
        <v>0</v>
      </c>
      <c r="E43" s="415">
        <f>+C43+D43</f>
        <v>0</v>
      </c>
      <c r="F43" s="24">
        <f>+'7 Önk'!G43+'8 PH'!G43+'9 VGIG'!G43+'10 Járób'!G43+'11 Szoci'!G43+'12 Ovi'!G43+'13 Művház'!G43+'14 Könyvt'!G43+'5 Beruh kiad'!F66</f>
        <v>0</v>
      </c>
      <c r="G43" s="24">
        <f>+'7 Önk'!H43+'8 PH'!H43+'9 VGIG'!H43+'10 Járób'!H43+'11 Szoci'!H43+'12 Ovi'!H43+'13 Művház'!H43+'14 Könyvt'!H43+'5 Beruh kiad'!G66</f>
        <v>0</v>
      </c>
      <c r="H43" s="25">
        <f>+F43+G43</f>
        <v>0</v>
      </c>
    </row>
    <row r="44" spans="1:10" x14ac:dyDescent="0.25">
      <c r="A44" s="67" t="s">
        <v>115</v>
      </c>
      <c r="B44" s="53" t="s">
        <v>116</v>
      </c>
      <c r="C44" s="414">
        <f>+'7 Önk'!D44+'8 PH'!D44+'9 VGIG'!D44+'10 Járób'!D44+'11 Szoci'!D44+'12 Ovi'!D44+'13 Művház'!D44+'14 Könyvt'!D44+'5 Beruh kiad'!D69</f>
        <v>20000000</v>
      </c>
      <c r="D44" s="414">
        <f>+'7 Önk'!E44+'8 PH'!E44+'9 VGIG'!E44+'10 Járób'!E44+'11 Szoci'!E44+'12 Ovi'!E44+'13 Művház'!E44+'14 Könyvt'!E44+'5 Beruh kiad'!E69</f>
        <v>0</v>
      </c>
      <c r="E44" s="415">
        <f>+C44+D44</f>
        <v>20000000</v>
      </c>
      <c r="F44" s="24">
        <f>+'7 Önk'!G44+'8 PH'!G44+'9 VGIG'!G44+'10 Járób'!G44+'11 Szoci'!G44+'12 Ovi'!G44+'13 Művház'!G44+'14 Könyvt'!G44+'5 Beruh kiad'!F69</f>
        <v>0</v>
      </c>
      <c r="G44" s="24">
        <f>+'7 Önk'!H44+'8 PH'!H44+'9 VGIG'!H44+'10 Járób'!H44+'11 Szoci'!H44+'12 Ovi'!H44+'13 Művház'!H44+'14 Könyvt'!H44+'5 Beruh kiad'!G69</f>
        <v>0</v>
      </c>
      <c r="H44" s="25">
        <f>+F44+G44</f>
        <v>0</v>
      </c>
    </row>
    <row r="45" spans="1:10" x14ac:dyDescent="0.25">
      <c r="A45" s="67" t="s">
        <v>117</v>
      </c>
      <c r="B45" s="53" t="s">
        <v>118</v>
      </c>
      <c r="C45" s="414">
        <f>+'7 Önk'!D45+'8 PH'!D45+'9 VGIG'!D45+'10 Járób'!D45+'11 Szoci'!D45+'12 Ovi'!D45+'13 Művház'!D45+'14 Könyvt'!D45+'5 Beruh kiad'!D91</f>
        <v>652282090</v>
      </c>
      <c r="D45" s="414">
        <f>+'7 Önk'!E45+'8 PH'!E45+'9 VGIG'!E45+'10 Járób'!E45+'11 Szoci'!E45+'12 Ovi'!E45+'13 Művház'!E45+'14 Könyvt'!E45+'5 Beruh kiad'!E91</f>
        <v>126866000</v>
      </c>
      <c r="E45" s="415">
        <f>+C45+D45</f>
        <v>779148090</v>
      </c>
      <c r="F45" s="24">
        <f>+'7 Önk'!G45+'8 PH'!G45+'9 VGIG'!G45+'10 Járób'!G45+'11 Szoci'!G45+'12 Ovi'!G45+'13 Művház'!G45+'14 Könyvt'!G45+'5 Beruh kiad'!F91</f>
        <v>0</v>
      </c>
      <c r="G45" s="24">
        <f>+'7 Önk'!H45+'8 PH'!H45+'9 VGIG'!H45+'10 Járób'!H45+'11 Szoci'!H45+'12 Ovi'!H45+'13 Művház'!H45+'14 Könyvt'!H45+'5 Beruh kiad'!G91</f>
        <v>0</v>
      </c>
      <c r="H45" s="25">
        <f>+F45+G45</f>
        <v>0</v>
      </c>
    </row>
    <row r="46" spans="1:10" s="31" customFormat="1" x14ac:dyDescent="0.25">
      <c r="A46" s="57" t="s">
        <v>119</v>
      </c>
      <c r="B46" s="56" t="s">
        <v>120</v>
      </c>
      <c r="C46" s="415">
        <f t="shared" ref="C46:H46" si="11">SUM(C42:C45)</f>
        <v>3036006361</v>
      </c>
      <c r="D46" s="415">
        <f t="shared" si="11"/>
        <v>596738000</v>
      </c>
      <c r="E46" s="415">
        <f t="shared" si="11"/>
        <v>3632744361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/>
      <c r="J46" s="32"/>
    </row>
    <row r="47" spans="1:10" x14ac:dyDescent="0.25">
      <c r="A47" s="67" t="s">
        <v>121</v>
      </c>
      <c r="B47" s="53" t="s">
        <v>122</v>
      </c>
      <c r="C47" s="414">
        <f>+'7 Önk'!D47+'8 PH'!D47+'9 VGIG'!D47+'10 Járób'!D47+'11 Szoci'!D47+'12 Ovi'!D47+'13 Művház'!D47+'14 Könyvt'!D47</f>
        <v>0</v>
      </c>
      <c r="D47" s="414">
        <f>+'7 Önk'!E47+'8 PH'!E47+'9 VGIG'!E47+'10 Járób'!E47+'11 Szoci'!E47+'12 Ovi'!E47+'13 Művház'!E47+'14 Könyvt'!E47</f>
        <v>0</v>
      </c>
      <c r="E47" s="415">
        <f t="shared" ref="E47:E53" si="12">+C47+D47</f>
        <v>0</v>
      </c>
      <c r="F47" s="24">
        <f>+'7 Önk'!G47+'8 PH'!G47+'9 VGIG'!G47+'10 Járób'!G47+'11 Szoci'!G47+'12 Ovi'!G47+'13 Művház'!G47+'14 Könyvt'!G47</f>
        <v>0</v>
      </c>
      <c r="G47" s="24">
        <f>+'7 Önk'!H47+'8 PH'!H47+'9 VGIG'!H47+'10 Járób'!H47+'11 Szoci'!H47+'12 Ovi'!H47+'13 Művház'!H47+'14 Könyvt'!H47</f>
        <v>0</v>
      </c>
      <c r="H47" s="25">
        <f t="shared" ref="H47:H53" si="13">+F47+G47</f>
        <v>0</v>
      </c>
    </row>
    <row r="48" spans="1:10" x14ac:dyDescent="0.25">
      <c r="A48" s="67" t="s">
        <v>123</v>
      </c>
      <c r="B48" s="53" t="s">
        <v>124</v>
      </c>
      <c r="C48" s="414">
        <f>+'7 Önk'!D48+'8 PH'!D48+'9 VGIG'!D48+'10 Járób'!D48+'11 Szoci'!D48+'12 Ovi'!D48+'13 Művház'!D48+'14 Könyvt'!D48</f>
        <v>0</v>
      </c>
      <c r="D48" s="414">
        <f>+'7 Önk'!E48+'8 PH'!E48+'9 VGIG'!E48+'10 Járób'!E48+'11 Szoci'!E48+'12 Ovi'!E48+'13 Művház'!E48+'14 Könyvt'!E48</f>
        <v>0</v>
      </c>
      <c r="E48" s="415">
        <f t="shared" si="12"/>
        <v>0</v>
      </c>
      <c r="F48" s="24">
        <f>+'7 Önk'!G48+'8 PH'!G48+'9 VGIG'!G48+'10 Járób'!G48+'11 Szoci'!G48+'12 Ovi'!G48+'13 Művház'!G48+'14 Könyvt'!G48</f>
        <v>0</v>
      </c>
      <c r="G48" s="24">
        <f>+'7 Önk'!H48+'8 PH'!H48+'9 VGIG'!H48+'10 Járób'!H48+'11 Szoci'!H48+'12 Ovi'!H48+'13 Művház'!H48+'14 Könyvt'!H48</f>
        <v>0</v>
      </c>
      <c r="H48" s="25">
        <f t="shared" si="13"/>
        <v>0</v>
      </c>
    </row>
    <row r="49" spans="1:11" x14ac:dyDescent="0.25">
      <c r="A49" s="67" t="s">
        <v>125</v>
      </c>
      <c r="B49" s="53" t="s">
        <v>126</v>
      </c>
      <c r="C49" s="414">
        <f>+'7 Önk'!D49+'8 PH'!D49+'9 VGIG'!D49+'10 Járób'!D49+'11 Szoci'!D49+'12 Ovi'!D49+'13 Művház'!D49+'14 Könyvt'!D49</f>
        <v>0</v>
      </c>
      <c r="D49" s="414">
        <f>+'7 Önk'!E49+'8 PH'!E49+'9 VGIG'!E49+'10 Járób'!E49+'11 Szoci'!E49+'12 Ovi'!E49+'13 Művház'!E49+'14 Könyvt'!E49</f>
        <v>0</v>
      </c>
      <c r="E49" s="415">
        <f t="shared" si="12"/>
        <v>0</v>
      </c>
      <c r="F49" s="24">
        <f>+'7 Önk'!G49+'8 PH'!G49+'9 VGIG'!G49+'10 Járób'!G49+'11 Szoci'!G49+'12 Ovi'!G49+'13 Művház'!G49+'14 Könyvt'!G49</f>
        <v>0</v>
      </c>
      <c r="G49" s="24">
        <f>+'7 Önk'!H49+'8 PH'!H49+'9 VGIG'!H49+'10 Járób'!H49+'11 Szoci'!H49+'12 Ovi'!H49+'13 Művház'!H49+'14 Könyvt'!H49</f>
        <v>0</v>
      </c>
      <c r="H49" s="25">
        <f t="shared" si="13"/>
        <v>0</v>
      </c>
    </row>
    <row r="50" spans="1:11" x14ac:dyDescent="0.25">
      <c r="A50" s="67" t="s">
        <v>127</v>
      </c>
      <c r="B50" s="53" t="s">
        <v>128</v>
      </c>
      <c r="C50" s="414">
        <f>+'7 Önk'!D50+'8 PH'!D50+'9 VGIG'!D50+'10 Járób'!D50+'11 Szoci'!D50+'12 Ovi'!D50+'13 Művház'!D50+'14 Könyvt'!D50</f>
        <v>0</v>
      </c>
      <c r="D50" s="414">
        <f>+'7 Önk'!E50+'8 PH'!E50+'9 VGIG'!E50+'10 Járób'!E50+'11 Szoci'!E50+'12 Ovi'!E50+'13 Művház'!E50+'14 Könyvt'!E50</f>
        <v>0</v>
      </c>
      <c r="E50" s="415">
        <f t="shared" si="12"/>
        <v>0</v>
      </c>
      <c r="F50" s="24">
        <f>+'7 Önk'!G50+'8 PH'!G50+'9 VGIG'!G50+'10 Járób'!G50+'11 Szoci'!G50+'12 Ovi'!G50+'13 Művház'!G50+'14 Könyvt'!G50</f>
        <v>0</v>
      </c>
      <c r="G50" s="24">
        <f>+'7 Önk'!H50+'8 PH'!H50+'9 VGIG'!H50+'10 Járób'!H50+'11 Szoci'!H50+'12 Ovi'!H50+'13 Művház'!H50+'14 Könyvt'!H50</f>
        <v>0</v>
      </c>
      <c r="H50" s="25">
        <f t="shared" si="13"/>
        <v>0</v>
      </c>
    </row>
    <row r="51" spans="1:11" x14ac:dyDescent="0.25">
      <c r="A51" s="67" t="s">
        <v>129</v>
      </c>
      <c r="B51" s="53" t="s">
        <v>130</v>
      </c>
      <c r="C51" s="414">
        <f>+'7 Önk'!D51+'8 PH'!D51+'9 VGIG'!D51+'10 Járób'!D51+'11 Szoci'!D51+'12 Ovi'!D51+'13 Művház'!D51+'14 Könyvt'!D51</f>
        <v>17867000</v>
      </c>
      <c r="D51" s="414">
        <f>+'7 Önk'!E51+'8 PH'!E51+'9 VGIG'!E51+'10 Járób'!E51+'11 Szoci'!E51+'12 Ovi'!E51+'13 Művház'!E51+'14 Könyvt'!E51</f>
        <v>0</v>
      </c>
      <c r="E51" s="415">
        <f t="shared" si="12"/>
        <v>17867000</v>
      </c>
      <c r="F51" s="24">
        <f>+'7 Önk'!G51+'8 PH'!G51+'9 VGIG'!G51+'10 Járób'!G51+'11 Szoci'!G51+'12 Ovi'!G51+'13 Művház'!G51+'14 Könyvt'!G51</f>
        <v>0</v>
      </c>
      <c r="G51" s="24">
        <f>+'7 Önk'!H51+'8 PH'!H51+'9 VGIG'!H51+'10 Járób'!H51+'11 Szoci'!H51+'12 Ovi'!H51+'13 Művház'!H51+'14 Könyvt'!H51</f>
        <v>0</v>
      </c>
      <c r="H51" s="25">
        <f t="shared" si="13"/>
        <v>0</v>
      </c>
    </row>
    <row r="52" spans="1:11" x14ac:dyDescent="0.25">
      <c r="A52" s="67" t="s">
        <v>131</v>
      </c>
      <c r="B52" s="53" t="s">
        <v>132</v>
      </c>
      <c r="C52" s="414">
        <f>+'7 Önk'!D52+'8 PH'!D52+'9 VGIG'!D52+'10 Járób'!D52+'11 Szoci'!D52+'12 Ovi'!D52+'13 Művház'!D52+'14 Könyvt'!D52</f>
        <v>0</v>
      </c>
      <c r="D52" s="414">
        <f>+'7 Önk'!E52+'8 PH'!E52+'9 VGIG'!E52+'10 Járób'!E52+'11 Szoci'!E52+'12 Ovi'!E52+'13 Művház'!E52+'14 Könyvt'!E52</f>
        <v>0</v>
      </c>
      <c r="E52" s="415">
        <f t="shared" si="12"/>
        <v>0</v>
      </c>
      <c r="F52" s="24">
        <f>+'7 Önk'!G52+'8 PH'!G52+'9 VGIG'!G52+'10 Járób'!G52+'11 Szoci'!G52+'12 Ovi'!G52+'13 Művház'!G52+'14 Könyvt'!G52</f>
        <v>0</v>
      </c>
      <c r="G52" s="24">
        <f>+'7 Önk'!H52+'8 PH'!H52+'9 VGIG'!H52+'10 Járób'!H52+'11 Szoci'!H52+'12 Ovi'!H52+'13 Művház'!H52+'14 Könyvt'!H52</f>
        <v>0</v>
      </c>
      <c r="H52" s="25">
        <f t="shared" si="13"/>
        <v>0</v>
      </c>
    </row>
    <row r="53" spans="1:11" x14ac:dyDescent="0.25">
      <c r="A53" s="67" t="s">
        <v>133</v>
      </c>
      <c r="B53" s="53" t="s">
        <v>134</v>
      </c>
      <c r="C53" s="414">
        <f>+'7 Önk'!D53+'8 PH'!D53+'9 VGIG'!D53+'10 Járób'!D53+'11 Szoci'!D53+'12 Ovi'!D53+'13 Művház'!D53+'14 Könyvt'!D53</f>
        <v>0</v>
      </c>
      <c r="D53" s="414">
        <f>+'7 Önk'!E53+'8 PH'!E53+'9 VGIG'!E53+'10 Járób'!E53+'11 Szoci'!E53+'12 Ovi'!E53+'13 Művház'!E53+'14 Könyvt'!E53</f>
        <v>0</v>
      </c>
      <c r="E53" s="415">
        <f t="shared" si="12"/>
        <v>0</v>
      </c>
      <c r="F53" s="24">
        <f>+'7 Önk'!G53+'8 PH'!G53+'9 VGIG'!G53+'10 Járób'!G53+'11 Szoci'!G53+'12 Ovi'!G53+'13 Művház'!G53+'14 Könyvt'!G53</f>
        <v>0</v>
      </c>
      <c r="G53" s="24">
        <f>+'7 Önk'!H53+'8 PH'!H53+'9 VGIG'!H53+'10 Járób'!H53+'11 Szoci'!H53+'12 Ovi'!H53+'13 Művház'!H53+'14 Könyvt'!H53</f>
        <v>0</v>
      </c>
      <c r="H53" s="25">
        <f t="shared" si="13"/>
        <v>0</v>
      </c>
    </row>
    <row r="54" spans="1:11" hidden="1" x14ac:dyDescent="0.25">
      <c r="A54" s="67" t="s">
        <v>135</v>
      </c>
      <c r="B54" s="53" t="s">
        <v>136</v>
      </c>
      <c r="C54" s="414"/>
      <c r="D54" s="414"/>
      <c r="E54" s="415"/>
      <c r="F54" s="24"/>
      <c r="G54" s="24"/>
      <c r="H54" s="25"/>
    </row>
    <row r="55" spans="1:11" x14ac:dyDescent="0.25">
      <c r="A55" s="67" t="s">
        <v>137</v>
      </c>
      <c r="B55" s="53" t="s">
        <v>138</v>
      </c>
      <c r="C55" s="414">
        <f>+'7 Önk'!D55+'8 PH'!D55+'9 VGIG'!D55+'10 Járób'!D55+'11 Szoci'!D55+'12 Ovi'!D55+'13 Művház'!D55+'14 Könyvt'!D55</f>
        <v>0</v>
      </c>
      <c r="D55" s="414">
        <f>+'7 Önk'!E55+'8 PH'!E55+'9 VGIG'!E55+'10 Járób'!E55+'11 Szoci'!E55+'12 Ovi'!E55+'13 Művház'!E55+'14 Könyvt'!E55</f>
        <v>0</v>
      </c>
      <c r="E55" s="415">
        <f>+C55+D55</f>
        <v>0</v>
      </c>
      <c r="F55" s="24">
        <f>+'7 Önk'!G55+'8 PH'!G55+'9 VGIG'!G55+'10 Járób'!G55+'11 Szoci'!G55+'12 Ovi'!G55+'13 Művház'!G55+'14 Könyvt'!G55</f>
        <v>0</v>
      </c>
      <c r="G55" s="24">
        <f>+'7 Önk'!H55+'8 PH'!H55+'9 VGIG'!H55+'10 Járób'!H55+'11 Szoci'!H55+'12 Ovi'!H55+'13 Művház'!H55+'14 Könyvt'!H55</f>
        <v>0</v>
      </c>
      <c r="H55" s="25">
        <f>+F55+G55</f>
        <v>0</v>
      </c>
    </row>
    <row r="56" spans="1:11" s="31" customFormat="1" x14ac:dyDescent="0.25">
      <c r="A56" s="58" t="s">
        <v>139</v>
      </c>
      <c r="B56" s="56" t="s">
        <v>140</v>
      </c>
      <c r="C56" s="415">
        <f t="shared" ref="C56:H56" si="14">SUM(C47:C55)</f>
        <v>17867000</v>
      </c>
      <c r="D56" s="415">
        <f t="shared" si="14"/>
        <v>0</v>
      </c>
      <c r="E56" s="415">
        <f t="shared" si="14"/>
        <v>17867000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/>
      <c r="J56" s="32"/>
    </row>
    <row r="57" spans="1:11" x14ac:dyDescent="0.25">
      <c r="A57" s="61" t="s">
        <v>141</v>
      </c>
      <c r="B57" s="62" t="s">
        <v>142</v>
      </c>
      <c r="C57" s="416">
        <f t="shared" ref="C57:H57" si="15">+C56+C46+C41</f>
        <v>3143083367</v>
      </c>
      <c r="D57" s="416">
        <f t="shared" si="15"/>
        <v>842588310</v>
      </c>
      <c r="E57" s="416">
        <f t="shared" si="15"/>
        <v>3985671677</v>
      </c>
      <c r="F57" s="63">
        <f t="shared" si="15"/>
        <v>0</v>
      </c>
      <c r="G57" s="63">
        <f t="shared" si="15"/>
        <v>0</v>
      </c>
      <c r="H57" s="63">
        <f t="shared" si="15"/>
        <v>0</v>
      </c>
      <c r="I57" s="63"/>
    </row>
    <row r="58" spans="1:11" x14ac:dyDescent="0.25">
      <c r="A58" s="68" t="s">
        <v>143</v>
      </c>
      <c r="B58" s="69" t="s">
        <v>144</v>
      </c>
      <c r="C58" s="417">
        <f t="shared" ref="C58:H58" si="16">+C56+C46+C41+C32+C17+C16+C10+C9</f>
        <v>5122907203</v>
      </c>
      <c r="D58" s="417">
        <f t="shared" si="16"/>
        <v>2531879721</v>
      </c>
      <c r="E58" s="417">
        <f t="shared" si="16"/>
        <v>7654786924</v>
      </c>
      <c r="F58" s="70">
        <f t="shared" si="16"/>
        <v>0</v>
      </c>
      <c r="G58" s="70">
        <f t="shared" si="16"/>
        <v>0</v>
      </c>
      <c r="H58" s="70">
        <f t="shared" si="16"/>
        <v>0</v>
      </c>
      <c r="I58" s="70"/>
    </row>
    <row r="59" spans="1:11" x14ac:dyDescent="0.25">
      <c r="A59" s="67" t="s">
        <v>145</v>
      </c>
      <c r="B59" s="54" t="s">
        <v>146</v>
      </c>
      <c r="C59" s="414">
        <f>+'17 hitelek'!D13</f>
        <v>0</v>
      </c>
      <c r="D59" s="414">
        <f>+'17 hitelek'!E13</f>
        <v>0</v>
      </c>
      <c r="E59" s="415">
        <f>+C59+D59</f>
        <v>0</v>
      </c>
      <c r="F59" s="24">
        <f>+'17 hitelek'!F13</f>
        <v>0</v>
      </c>
      <c r="G59" s="24">
        <f>+'17 hitelek'!G13</f>
        <v>0</v>
      </c>
      <c r="H59" s="25">
        <f>+F59+G59</f>
        <v>0</v>
      </c>
      <c r="K59" s="71"/>
    </row>
    <row r="60" spans="1:11" x14ac:dyDescent="0.25">
      <c r="A60" s="67" t="s">
        <v>147</v>
      </c>
      <c r="B60" s="54" t="s">
        <v>148</v>
      </c>
      <c r="C60" s="414">
        <f>+'17 hitelek'!D16</f>
        <v>0</v>
      </c>
      <c r="D60" s="414">
        <f>+'17 hitelek'!E16</f>
        <v>0</v>
      </c>
      <c r="E60" s="415">
        <f>+C60+D60</f>
        <v>0</v>
      </c>
      <c r="F60" s="24">
        <f>+'17 hitelek'!F16</f>
        <v>0</v>
      </c>
      <c r="G60" s="24">
        <f>+'17 hitelek'!G16</f>
        <v>0</v>
      </c>
      <c r="H60" s="25">
        <f>+F60+G60</f>
        <v>0</v>
      </c>
      <c r="K60" s="71"/>
    </row>
    <row r="61" spans="1:11" x14ac:dyDescent="0.25">
      <c r="A61" s="67" t="s">
        <v>149</v>
      </c>
      <c r="B61" s="54" t="s">
        <v>150</v>
      </c>
      <c r="C61" s="414">
        <f>+'17 hitelek'!D19</f>
        <v>88500000</v>
      </c>
      <c r="D61" s="414">
        <f>+'17 hitelek'!E19</f>
        <v>0</v>
      </c>
      <c r="E61" s="415">
        <f>+C61+D61</f>
        <v>88500000</v>
      </c>
      <c r="F61" s="24">
        <f>+'17 hitelek'!F19</f>
        <v>0</v>
      </c>
      <c r="G61" s="24">
        <f>+'17 hitelek'!G19</f>
        <v>0</v>
      </c>
      <c r="H61" s="25">
        <f>+F61+G61</f>
        <v>0</v>
      </c>
      <c r="K61" s="71"/>
    </row>
    <row r="62" spans="1:11" x14ac:dyDescent="0.25">
      <c r="A62" s="58" t="s">
        <v>151</v>
      </c>
      <c r="B62" s="57" t="s">
        <v>152</v>
      </c>
      <c r="C62" s="418">
        <f t="shared" ref="C62:H62" si="17">SUM(C59:C61)</f>
        <v>88500000</v>
      </c>
      <c r="D62" s="418">
        <f t="shared" si="17"/>
        <v>0</v>
      </c>
      <c r="E62" s="418">
        <f t="shared" si="17"/>
        <v>88500000</v>
      </c>
      <c r="F62" s="72">
        <f t="shared" si="17"/>
        <v>0</v>
      </c>
      <c r="G62" s="72">
        <f t="shared" si="17"/>
        <v>0</v>
      </c>
      <c r="H62" s="72">
        <f t="shared" si="17"/>
        <v>0</v>
      </c>
      <c r="I62" s="72"/>
      <c r="K62" s="71"/>
    </row>
    <row r="63" spans="1:11" x14ac:dyDescent="0.25">
      <c r="A63" s="73" t="s">
        <v>153</v>
      </c>
      <c r="B63" s="54" t="s">
        <v>154</v>
      </c>
      <c r="C63" s="419"/>
      <c r="D63" s="419"/>
      <c r="E63" s="415">
        <f t="shared" ref="E63:E69" si="18">+C63+D63</f>
        <v>0</v>
      </c>
      <c r="F63" s="74"/>
      <c r="G63" s="74"/>
      <c r="H63" s="25">
        <f t="shared" ref="H63:H69" si="19">+F63+G63</f>
        <v>0</v>
      </c>
      <c r="K63" s="71"/>
    </row>
    <row r="64" spans="1:11" x14ac:dyDescent="0.25">
      <c r="A64" s="73" t="s">
        <v>155</v>
      </c>
      <c r="B64" s="54" t="s">
        <v>156</v>
      </c>
      <c r="C64" s="414"/>
      <c r="D64" s="414"/>
      <c r="E64" s="415">
        <f t="shared" si="18"/>
        <v>0</v>
      </c>
      <c r="F64" s="24"/>
      <c r="G64" s="24"/>
      <c r="H64" s="25">
        <f t="shared" si="19"/>
        <v>0</v>
      </c>
      <c r="K64" s="71"/>
    </row>
    <row r="65" spans="1:11" x14ac:dyDescent="0.25">
      <c r="A65" s="73" t="s">
        <v>157</v>
      </c>
      <c r="B65" s="54" t="s">
        <v>158</v>
      </c>
      <c r="C65" s="414">
        <f>+'17 hitelek'!D35</f>
        <v>31000000</v>
      </c>
      <c r="D65" s="414"/>
      <c r="E65" s="415">
        <f t="shared" si="18"/>
        <v>31000000</v>
      </c>
      <c r="F65" s="24">
        <f>+'17 hitelek'!F35</f>
        <v>0</v>
      </c>
      <c r="G65" s="24"/>
      <c r="H65" s="25">
        <f t="shared" si="19"/>
        <v>0</v>
      </c>
      <c r="K65" s="71"/>
    </row>
    <row r="66" spans="1:11" x14ac:dyDescent="0.25">
      <c r="A66" s="73" t="s">
        <v>159</v>
      </c>
      <c r="B66" s="54" t="s">
        <v>160</v>
      </c>
      <c r="C66" s="414"/>
      <c r="D66" s="414"/>
      <c r="E66" s="415">
        <f t="shared" si="18"/>
        <v>0</v>
      </c>
      <c r="F66" s="24"/>
      <c r="G66" s="24"/>
      <c r="H66" s="25">
        <f t="shared" si="19"/>
        <v>0</v>
      </c>
      <c r="K66" s="71"/>
    </row>
    <row r="67" spans="1:11" x14ac:dyDescent="0.25">
      <c r="A67" s="73" t="s">
        <v>161</v>
      </c>
      <c r="B67" s="54" t="s">
        <v>162</v>
      </c>
      <c r="C67" s="414"/>
      <c r="D67" s="414"/>
      <c r="E67" s="415">
        <f t="shared" si="18"/>
        <v>0</v>
      </c>
      <c r="F67" s="24"/>
      <c r="G67" s="24"/>
      <c r="H67" s="25">
        <f t="shared" si="19"/>
        <v>0</v>
      </c>
      <c r="K67" s="71"/>
    </row>
    <row r="68" spans="1:11" x14ac:dyDescent="0.25">
      <c r="A68" s="73" t="s">
        <v>163</v>
      </c>
      <c r="B68" s="54" t="s">
        <v>164</v>
      </c>
      <c r="C68" s="414"/>
      <c r="D68" s="414"/>
      <c r="E68" s="415">
        <f t="shared" si="18"/>
        <v>0</v>
      </c>
      <c r="F68" s="24"/>
      <c r="G68" s="24"/>
      <c r="H68" s="25">
        <f t="shared" si="19"/>
        <v>0</v>
      </c>
      <c r="K68" s="71"/>
    </row>
    <row r="69" spans="1:11" x14ac:dyDescent="0.25">
      <c r="A69" s="73" t="s">
        <v>165</v>
      </c>
      <c r="B69" s="54" t="s">
        <v>166</v>
      </c>
      <c r="C69" s="414"/>
      <c r="D69" s="414"/>
      <c r="E69" s="415">
        <f t="shared" si="18"/>
        <v>0</v>
      </c>
      <c r="F69" s="24"/>
      <c r="G69" s="24"/>
      <c r="H69" s="25">
        <f t="shared" si="19"/>
        <v>0</v>
      </c>
      <c r="K69" s="71"/>
    </row>
    <row r="70" spans="1:11" x14ac:dyDescent="0.25">
      <c r="A70" s="73" t="s">
        <v>167</v>
      </c>
      <c r="B70" s="54" t="s">
        <v>168</v>
      </c>
      <c r="C70" s="414"/>
      <c r="D70" s="414"/>
      <c r="E70" s="415"/>
      <c r="F70" s="24"/>
      <c r="G70" s="24"/>
      <c r="H70" s="25"/>
      <c r="K70" s="71"/>
    </row>
    <row r="71" spans="1:11" x14ac:dyDescent="0.25">
      <c r="A71" s="75" t="s">
        <v>169</v>
      </c>
      <c r="B71" s="57" t="s">
        <v>170</v>
      </c>
      <c r="C71" s="419">
        <f t="shared" ref="C71:H71" si="20">+C69+C68+C67+C66+C65+C64+C63+C62</f>
        <v>119500000</v>
      </c>
      <c r="D71" s="419">
        <f t="shared" si="20"/>
        <v>0</v>
      </c>
      <c r="E71" s="419">
        <f t="shared" si="20"/>
        <v>119500000</v>
      </c>
      <c r="F71" s="74">
        <f t="shared" si="20"/>
        <v>0</v>
      </c>
      <c r="G71" s="74">
        <f t="shared" si="20"/>
        <v>0</v>
      </c>
      <c r="H71" s="74">
        <f t="shared" si="20"/>
        <v>0</v>
      </c>
      <c r="I71" s="74"/>
      <c r="K71" s="71"/>
    </row>
    <row r="72" spans="1:11" hidden="1" x14ac:dyDescent="0.25">
      <c r="A72" s="73" t="s">
        <v>171</v>
      </c>
      <c r="B72" s="54" t="s">
        <v>172</v>
      </c>
      <c r="C72" s="414">
        <f>+'7 Önk'!D60+'8 PH'!D60+'9 VGIG'!D60+'10 Járób'!D60+'11 Szoci'!D60+'12 Ovi'!D60+'13 Művház'!D60+'14 Könyvt'!D60</f>
        <v>0</v>
      </c>
      <c r="D72" s="414">
        <f>+'7 Önk'!E60+'8 PH'!E60+'9 VGIG'!E60+'10 Járób'!E60+'11 Szoci'!E60+'12 Ovi'!E60+'13 Művház'!E60+'14 Könyvt'!E60</f>
        <v>0</v>
      </c>
      <c r="E72" s="415">
        <f>+C72+D72</f>
        <v>0</v>
      </c>
      <c r="F72" s="24">
        <f>+'7 Önk'!G60+'8 PH'!G60+'9 VGIG'!G60+'10 Járób'!G60+'11 Szoci'!G60+'12 Ovi'!G60+'13 Művház'!G60+'14 Könyvt'!G60</f>
        <v>0</v>
      </c>
      <c r="G72" s="24">
        <f>+'7 Önk'!H60+'8 PH'!H60+'9 VGIG'!H60+'10 Járób'!H60+'11 Szoci'!H60+'12 Ovi'!H60+'13 Művház'!H60+'14 Könyvt'!H60</f>
        <v>0</v>
      </c>
      <c r="H72" s="25">
        <f>+F72+G72</f>
        <v>0</v>
      </c>
      <c r="I72" s="25"/>
      <c r="K72" s="71"/>
    </row>
    <row r="73" spans="1:11" hidden="1" x14ac:dyDescent="0.25">
      <c r="A73" s="67" t="s">
        <v>173</v>
      </c>
      <c r="B73" s="54" t="s">
        <v>174</v>
      </c>
      <c r="C73" s="414">
        <f>+'7 Önk'!D61+'8 PH'!D61+'9 VGIG'!D61+'10 Járób'!D61+'11 Szoci'!D61+'12 Ovi'!D61+'13 Művház'!D61+'14 Könyvt'!D61</f>
        <v>0</v>
      </c>
      <c r="D73" s="414">
        <f>+'7 Önk'!E61+'8 PH'!E61+'9 VGIG'!E61+'10 Járób'!E61+'11 Szoci'!E61+'12 Ovi'!E61+'13 Művház'!E61+'14 Könyvt'!E61</f>
        <v>0</v>
      </c>
      <c r="E73" s="415">
        <f>+C73+D73</f>
        <v>0</v>
      </c>
      <c r="F73" s="24">
        <f>+'7 Önk'!G61+'8 PH'!G61+'9 VGIG'!G61+'10 Járób'!G61+'11 Szoci'!G61+'12 Ovi'!G61+'13 Művház'!G61+'14 Könyvt'!G61</f>
        <v>0</v>
      </c>
      <c r="G73" s="24">
        <f>+'7 Önk'!H61+'8 PH'!H61+'9 VGIG'!H61+'10 Járób'!H61+'11 Szoci'!H61+'12 Ovi'!H61+'13 Művház'!H61+'14 Könyvt'!H61</f>
        <v>0</v>
      </c>
      <c r="H73" s="25">
        <f>+F73+G73</f>
        <v>0</v>
      </c>
      <c r="I73" s="25"/>
      <c r="K73" s="71"/>
    </row>
    <row r="74" spans="1:11" hidden="1" x14ac:dyDescent="0.25">
      <c r="A74" s="67" t="s">
        <v>175</v>
      </c>
      <c r="B74" s="54" t="s">
        <v>176</v>
      </c>
      <c r="C74" s="414"/>
      <c r="D74" s="414"/>
      <c r="E74" s="415"/>
      <c r="F74" s="24"/>
      <c r="G74" s="24"/>
      <c r="H74" s="25"/>
      <c r="I74" s="25"/>
      <c r="K74" s="71"/>
    </row>
    <row r="75" spans="1:11" x14ac:dyDescent="0.25">
      <c r="A75" s="76" t="s">
        <v>177</v>
      </c>
      <c r="B75" s="77" t="s">
        <v>178</v>
      </c>
      <c r="C75" s="420">
        <f t="shared" ref="C75:H75" si="21">+C73+C72+C71+C74</f>
        <v>119500000</v>
      </c>
      <c r="D75" s="420">
        <f t="shared" si="21"/>
        <v>0</v>
      </c>
      <c r="E75" s="420">
        <f t="shared" si="21"/>
        <v>119500000</v>
      </c>
      <c r="F75" s="78">
        <f t="shared" si="21"/>
        <v>0</v>
      </c>
      <c r="G75" s="78">
        <f t="shared" si="21"/>
        <v>0</v>
      </c>
      <c r="H75" s="78">
        <f t="shared" si="21"/>
        <v>0</v>
      </c>
      <c r="I75" s="78"/>
      <c r="K75" s="71"/>
    </row>
    <row r="76" spans="1:11" x14ac:dyDescent="0.25">
      <c r="A76" s="28" t="s">
        <v>179</v>
      </c>
      <c r="B76" s="28" t="s">
        <v>180</v>
      </c>
      <c r="C76" s="421">
        <f t="shared" ref="C76:H76" si="22">+C58+C75</f>
        <v>5242407203</v>
      </c>
      <c r="D76" s="421">
        <f t="shared" si="22"/>
        <v>2531879721</v>
      </c>
      <c r="E76" s="421">
        <f t="shared" si="22"/>
        <v>7774286924</v>
      </c>
      <c r="F76" s="29">
        <f t="shared" si="22"/>
        <v>0</v>
      </c>
      <c r="G76" s="29">
        <f t="shared" si="22"/>
        <v>0</v>
      </c>
      <c r="H76" s="29">
        <f t="shared" si="22"/>
        <v>0</v>
      </c>
      <c r="I76" s="29"/>
      <c r="K76" s="71"/>
    </row>
    <row r="77" spans="1:11" x14ac:dyDescent="0.25">
      <c r="A77" s="13"/>
      <c r="B77" s="79"/>
      <c r="C77" s="422"/>
      <c r="D77" s="422"/>
      <c r="E77" s="423"/>
      <c r="F77" s="80"/>
      <c r="G77" s="80"/>
      <c r="H77" s="81"/>
      <c r="K77" s="71"/>
    </row>
    <row r="78" spans="1:11" ht="15.75" hidden="1" customHeight="1" x14ac:dyDescent="0.25">
      <c r="A78" s="13"/>
      <c r="B78" s="79"/>
      <c r="C78" s="467" t="s">
        <v>13</v>
      </c>
      <c r="D78" s="467"/>
      <c r="E78" s="467"/>
      <c r="F78" s="466" t="s">
        <v>13</v>
      </c>
      <c r="G78" s="466"/>
      <c r="H78" s="466"/>
      <c r="K78" s="71"/>
    </row>
    <row r="79" spans="1:11" ht="47.25" x14ac:dyDescent="0.25">
      <c r="A79" s="19" t="s">
        <v>14</v>
      </c>
      <c r="B79" s="48" t="s">
        <v>181</v>
      </c>
      <c r="C79" s="424" t="s">
        <v>15</v>
      </c>
      <c r="D79" s="424" t="s">
        <v>16</v>
      </c>
      <c r="E79" s="425" t="s">
        <v>17</v>
      </c>
      <c r="F79" s="50" t="s">
        <v>15</v>
      </c>
      <c r="G79" s="50" t="s">
        <v>16</v>
      </c>
      <c r="H79" s="51" t="s">
        <v>17</v>
      </c>
      <c r="K79" s="71"/>
    </row>
    <row r="80" spans="1:11" x14ac:dyDescent="0.25">
      <c r="A80" s="52" t="s">
        <v>182</v>
      </c>
      <c r="B80" s="65" t="s">
        <v>183</v>
      </c>
      <c r="C80" s="414">
        <f>+'3 Adók és tám'!D50</f>
        <v>213799174</v>
      </c>
      <c r="D80" s="414"/>
      <c r="E80" s="415">
        <f t="shared" ref="E80:E85" si="23">+D80+C80</f>
        <v>213799174</v>
      </c>
      <c r="F80" s="24">
        <f>+'3 Adók és tám'!E50</f>
        <v>0</v>
      </c>
      <c r="G80" s="24"/>
      <c r="H80" s="25">
        <f t="shared" ref="H80:H85" si="24">+G80+F80</f>
        <v>0</v>
      </c>
      <c r="K80" s="71"/>
    </row>
    <row r="81" spans="1:11" x14ac:dyDescent="0.25">
      <c r="A81" s="54" t="s">
        <v>184</v>
      </c>
      <c r="B81" s="65" t="s">
        <v>185</v>
      </c>
      <c r="C81" s="414">
        <f>+'3 Adók és tám'!D56</f>
        <v>179100868</v>
      </c>
      <c r="D81" s="414"/>
      <c r="E81" s="415">
        <f t="shared" si="23"/>
        <v>179100868</v>
      </c>
      <c r="F81" s="24">
        <f>+'3 Adók és tám'!E56</f>
        <v>0</v>
      </c>
      <c r="G81" s="24"/>
      <c r="H81" s="25">
        <f t="shared" si="24"/>
        <v>0</v>
      </c>
      <c r="K81" s="71"/>
    </row>
    <row r="82" spans="1:11" x14ac:dyDescent="0.25">
      <c r="A82" s="54" t="s">
        <v>186</v>
      </c>
      <c r="B82" s="65" t="s">
        <v>187</v>
      </c>
      <c r="C82" s="414">
        <f>+'3 Adók és tám'!D72</f>
        <v>544695430</v>
      </c>
      <c r="D82" s="414"/>
      <c r="E82" s="415">
        <f t="shared" si="23"/>
        <v>544695430</v>
      </c>
      <c r="F82" s="24">
        <f>+'3 Adók és tám'!E72</f>
        <v>0</v>
      </c>
      <c r="G82" s="24"/>
      <c r="H82" s="25">
        <f t="shared" si="24"/>
        <v>0</v>
      </c>
      <c r="K82" s="71"/>
    </row>
    <row r="83" spans="1:11" x14ac:dyDescent="0.25">
      <c r="A83" s="54" t="s">
        <v>188</v>
      </c>
      <c r="B83" s="65" t="s">
        <v>189</v>
      </c>
      <c r="C83" s="414">
        <f>+'3 Adók és tám'!D75</f>
        <v>13507230</v>
      </c>
      <c r="D83" s="414"/>
      <c r="E83" s="415">
        <f t="shared" si="23"/>
        <v>13507230</v>
      </c>
      <c r="F83" s="24">
        <f>+'3 Adók és tám'!E75</f>
        <v>0</v>
      </c>
      <c r="G83" s="24"/>
      <c r="H83" s="25">
        <f t="shared" si="24"/>
        <v>0</v>
      </c>
      <c r="K83" s="71"/>
    </row>
    <row r="84" spans="1:11" x14ac:dyDescent="0.25">
      <c r="A84" s="54" t="s">
        <v>190</v>
      </c>
      <c r="B84" s="65" t="s">
        <v>191</v>
      </c>
      <c r="C84" s="414">
        <f>+'3 Adók és tám'!D80</f>
        <v>210179332</v>
      </c>
      <c r="D84" s="414"/>
      <c r="E84" s="415">
        <f t="shared" si="23"/>
        <v>210179332</v>
      </c>
      <c r="F84" s="24">
        <f>+'3 Adók és tám'!E80</f>
        <v>0</v>
      </c>
      <c r="G84" s="24"/>
      <c r="H84" s="25">
        <f t="shared" si="24"/>
        <v>0</v>
      </c>
      <c r="K84" s="71"/>
    </row>
    <row r="85" spans="1:11" x14ac:dyDescent="0.25">
      <c r="A85" s="54" t="s">
        <v>192</v>
      </c>
      <c r="B85" s="65" t="s">
        <v>193</v>
      </c>
      <c r="C85" s="414">
        <f>+'3 Adók és tám'!D82</f>
        <v>0</v>
      </c>
      <c r="D85" s="414"/>
      <c r="E85" s="415">
        <f t="shared" si="23"/>
        <v>0</v>
      </c>
      <c r="F85" s="24">
        <f>+'3 Adók és tám'!E82</f>
        <v>0</v>
      </c>
      <c r="G85" s="24"/>
      <c r="H85" s="25">
        <f t="shared" si="24"/>
        <v>0</v>
      </c>
      <c r="K85" s="71"/>
    </row>
    <row r="86" spans="1:11" x14ac:dyDescent="0.25">
      <c r="A86" s="57" t="s">
        <v>194</v>
      </c>
      <c r="B86" s="66" t="s">
        <v>195</v>
      </c>
      <c r="C86" s="415">
        <f t="shared" ref="C86:H86" si="25">SUM(C80:C85)</f>
        <v>1161282034</v>
      </c>
      <c r="D86" s="415">
        <f t="shared" si="25"/>
        <v>0</v>
      </c>
      <c r="E86" s="415">
        <f t="shared" si="25"/>
        <v>1161282034</v>
      </c>
      <c r="F86" s="25">
        <f t="shared" si="25"/>
        <v>0</v>
      </c>
      <c r="G86" s="25">
        <f t="shared" si="25"/>
        <v>0</v>
      </c>
      <c r="H86" s="25">
        <f t="shared" si="25"/>
        <v>0</v>
      </c>
      <c r="I86" s="25"/>
      <c r="K86" s="71"/>
    </row>
    <row r="87" spans="1:11" x14ac:dyDescent="0.25">
      <c r="A87" s="54" t="s">
        <v>196</v>
      </c>
      <c r="B87" s="65" t="s">
        <v>197</v>
      </c>
      <c r="C87" s="414">
        <f>+'7 Önk'!D69+'8 PH'!D69+'9 VGIG'!D69+'10 Járób'!D69+'11 Szoci'!D69+'12 Ovi'!D69+'13 Művház'!D69+'14 Könyvt'!D69</f>
        <v>0</v>
      </c>
      <c r="D87" s="414">
        <f>+'7 Önk'!E69+'8 PH'!E69+'9 VGIG'!E69+'10 Járób'!E69+'11 Szoci'!E69+'12 Ovi'!E69+'13 Művház'!E69+'14 Könyvt'!E69</f>
        <v>0</v>
      </c>
      <c r="E87" s="415">
        <f>+D87+C87</f>
        <v>0</v>
      </c>
      <c r="F87" s="24">
        <f>+'7 Önk'!G69+'8 PH'!G69+'9 VGIG'!G69+'10 Járób'!G69+'11 Szoci'!G69+'12 Ovi'!G69+'13 Művház'!G69+'14 Könyvt'!G69</f>
        <v>0</v>
      </c>
      <c r="G87" s="24">
        <f>+'7 Önk'!H69+'8 PH'!H69+'9 VGIG'!H69+'10 Járób'!H69+'11 Szoci'!H69+'12 Ovi'!H69+'13 Művház'!H69+'14 Könyvt'!H69</f>
        <v>0</v>
      </c>
      <c r="H87" s="25">
        <f>+G87+F87</f>
        <v>0</v>
      </c>
      <c r="K87" s="71"/>
    </row>
    <row r="88" spans="1:11" x14ac:dyDescent="0.25">
      <c r="A88" s="54" t="s">
        <v>198</v>
      </c>
      <c r="B88" s="65" t="s">
        <v>199</v>
      </c>
      <c r="C88" s="414">
        <f>+'7 Önk'!D70+'8 PH'!D70+'9 VGIG'!D70+'10 Járób'!D70+'11 Szoci'!D70+'12 Ovi'!D70+'13 Művház'!D70+'14 Könyvt'!D70</f>
        <v>0</v>
      </c>
      <c r="D88" s="414">
        <f>+'7 Önk'!E70+'8 PH'!E70+'9 VGIG'!E70+'10 Járób'!E70+'11 Szoci'!E70+'12 Ovi'!E70+'13 Művház'!E70+'14 Könyvt'!E70</f>
        <v>0</v>
      </c>
      <c r="E88" s="415">
        <f>+D88+C88</f>
        <v>0</v>
      </c>
      <c r="F88" s="24">
        <f>+'7 Önk'!G70+'8 PH'!G70+'9 VGIG'!G70+'10 Járób'!G70+'11 Szoci'!G70+'12 Ovi'!G70+'13 Művház'!G70+'14 Könyvt'!G70</f>
        <v>0</v>
      </c>
      <c r="G88" s="24">
        <f>+'7 Önk'!H70+'8 PH'!H70+'9 VGIG'!H70+'10 Járób'!H70+'11 Szoci'!H70+'12 Ovi'!H70+'13 Művház'!H70+'14 Könyvt'!H70</f>
        <v>0</v>
      </c>
      <c r="H88" s="25">
        <f>+G88+F88</f>
        <v>0</v>
      </c>
      <c r="K88" s="71"/>
    </row>
    <row r="89" spans="1:11" x14ac:dyDescent="0.25">
      <c r="A89" s="54" t="s">
        <v>200</v>
      </c>
      <c r="B89" s="65" t="s">
        <v>201</v>
      </c>
      <c r="C89" s="414">
        <f>+'7 Önk'!D71+'8 PH'!D71+'9 VGIG'!D71+'10 Járób'!D71+'11 Szoci'!D71+'12 Ovi'!D71+'13 Művház'!D71+'14 Könyvt'!D71</f>
        <v>0</v>
      </c>
      <c r="D89" s="414">
        <f>+'7 Önk'!E71+'8 PH'!E71+'9 VGIG'!E71+'10 Járób'!E71+'11 Szoci'!E71+'12 Ovi'!E71+'13 Művház'!E71+'14 Könyvt'!E71</f>
        <v>0</v>
      </c>
      <c r="E89" s="415">
        <f>+D89+C89</f>
        <v>0</v>
      </c>
      <c r="F89" s="24">
        <f>+'7 Önk'!G71+'8 PH'!G71+'9 VGIG'!G71+'10 Járób'!G71+'11 Szoci'!G71+'12 Ovi'!G71+'13 Művház'!G71+'14 Könyvt'!G71</f>
        <v>0</v>
      </c>
      <c r="G89" s="24">
        <f>+'7 Önk'!H71+'8 PH'!H71+'9 VGIG'!H71+'10 Járób'!H71+'11 Szoci'!H71+'12 Ovi'!H71+'13 Művház'!H71+'14 Könyvt'!H71</f>
        <v>0</v>
      </c>
      <c r="H89" s="25">
        <f>+G89+F89</f>
        <v>0</v>
      </c>
      <c r="K89" s="71"/>
    </row>
    <row r="90" spans="1:11" x14ac:dyDescent="0.25">
      <c r="A90" s="54" t="s">
        <v>202</v>
      </c>
      <c r="B90" s="65" t="s">
        <v>203</v>
      </c>
      <c r="C90" s="414">
        <f>+'7 Önk'!D72+'8 PH'!D72+'9 VGIG'!D72+'10 Járób'!D72+'11 Szoci'!D72+'12 Ovi'!D72+'13 Művház'!D72+'14 Könyvt'!D72</f>
        <v>0</v>
      </c>
      <c r="D90" s="414">
        <f>+'7 Önk'!E72+'8 PH'!E72+'9 VGIG'!E72+'10 Járób'!E72+'11 Szoci'!E72+'12 Ovi'!E72+'13 Művház'!E72+'14 Könyvt'!E72</f>
        <v>0</v>
      </c>
      <c r="E90" s="415">
        <f>+D90+C90</f>
        <v>0</v>
      </c>
      <c r="F90" s="24">
        <f>+'7 Önk'!G72+'8 PH'!G72+'9 VGIG'!G72+'10 Járób'!G72+'11 Szoci'!G72+'12 Ovi'!G72+'13 Művház'!G72+'14 Könyvt'!G72</f>
        <v>0</v>
      </c>
      <c r="G90" s="24">
        <f>+'7 Önk'!H72+'8 PH'!H72+'9 VGIG'!H72+'10 Járób'!H72+'11 Szoci'!H72+'12 Ovi'!H72+'13 Művház'!H72+'14 Könyvt'!H72</f>
        <v>0</v>
      </c>
      <c r="H90" s="25">
        <f>+G90+F90</f>
        <v>0</v>
      </c>
      <c r="K90" s="71"/>
    </row>
    <row r="91" spans="1:11" x14ac:dyDescent="0.25">
      <c r="A91" s="54" t="s">
        <v>204</v>
      </c>
      <c r="B91" s="65" t="s">
        <v>205</v>
      </c>
      <c r="C91" s="414">
        <f>+'7 Önk'!D73+'8 PH'!D73+'9 VGIG'!D73+'10 Járób'!D73+'11 Szoci'!D73+'12 Ovi'!D73+'13 Művház'!D73+'14 Könyvt'!D73+'4 Átvett és Felh bev'!D25</f>
        <v>180349099</v>
      </c>
      <c r="D91" s="414">
        <f>+'7 Önk'!E73+'8 PH'!E73+'9 VGIG'!E73+'10 Járób'!E73+'11 Szoci'!E73+'12 Ovi'!E73+'13 Művház'!E73+'14 Könyvt'!E73+'4 Átvett és Felh bev'!E25</f>
        <v>1255114721</v>
      </c>
      <c r="E91" s="415">
        <f>+D91+C91</f>
        <v>1435463820</v>
      </c>
      <c r="F91" s="24">
        <f>+'7 Önk'!G73+'8 PH'!G73+'9 VGIG'!G73+'10 Járób'!G73+'11 Szoci'!G73+'12 Ovi'!G73+'13 Művház'!G73+'14 Könyvt'!G73+'4 Átvett és Felh bev'!F25</f>
        <v>0</v>
      </c>
      <c r="G91" s="24">
        <f>+'7 Önk'!H73+'8 PH'!H73+'9 VGIG'!H73+'10 Járób'!H73+'11 Szoci'!H73+'12 Ovi'!H73+'13 Művház'!H73+'14 Könyvt'!H73+'4 Átvett és Felh bev'!G25</f>
        <v>0</v>
      </c>
      <c r="H91" s="25">
        <f>+G91+F91</f>
        <v>0</v>
      </c>
      <c r="K91" s="71"/>
    </row>
    <row r="92" spans="1:11" x14ac:dyDescent="0.25">
      <c r="A92" s="57" t="s">
        <v>206</v>
      </c>
      <c r="B92" s="66" t="s">
        <v>207</v>
      </c>
      <c r="C92" s="415">
        <f t="shared" ref="C92:H92" si="26">+C91+C90+C89+C88+C87+C86</f>
        <v>1341631133</v>
      </c>
      <c r="D92" s="415">
        <f t="shared" si="26"/>
        <v>1255114721</v>
      </c>
      <c r="E92" s="415">
        <f t="shared" si="26"/>
        <v>2596745854</v>
      </c>
      <c r="F92" s="25">
        <f t="shared" si="26"/>
        <v>0</v>
      </c>
      <c r="G92" s="25">
        <f t="shared" si="26"/>
        <v>0</v>
      </c>
      <c r="H92" s="25">
        <f t="shared" si="26"/>
        <v>0</v>
      </c>
      <c r="I92" s="25"/>
      <c r="K92" s="71"/>
    </row>
    <row r="93" spans="1:11" x14ac:dyDescent="0.25">
      <c r="A93" s="57" t="s">
        <v>208</v>
      </c>
      <c r="B93" s="66" t="s">
        <v>209</v>
      </c>
      <c r="C93" s="415">
        <f>+'7 Önk'!D75+'8 PH'!D75+'9 VGIG'!D75+'10 Járób'!D75+'11 Szoci'!D75+'12 Ovi'!D75+'13 Művház'!D75+'14 Könyvt'!D75+'4 Átvett és Felh bev'!D54</f>
        <v>2555754453</v>
      </c>
      <c r="D93" s="415">
        <f>+'7 Önk'!E75+'8 PH'!E75+'9 VGIG'!E75+'10 Járób'!E75+'11 Szoci'!E75+'12 Ovi'!E75+'13 Művház'!E75+'14 Könyvt'!E75+'4 Átvett és Felh bev'!E54</f>
        <v>664156000</v>
      </c>
      <c r="E93" s="415">
        <f t="shared" ref="E93:E99" si="27">+D93+C93</f>
        <v>3219910453</v>
      </c>
      <c r="F93" s="25">
        <f>+'7 Önk'!G75+'8 PH'!G75+'9 VGIG'!G75+'10 Járób'!G75+'11 Szoci'!G75+'12 Ovi'!G75+'13 Művház'!G75+'14 Könyvt'!G75+'4 Átvett és Felh bev'!F54</f>
        <v>0</v>
      </c>
      <c r="G93" s="25">
        <f>+'7 Önk'!H75+'8 PH'!H75+'9 VGIG'!H75+'10 Járób'!H75+'11 Szoci'!H75+'12 Ovi'!H75+'13 Művház'!H75+'14 Könyvt'!H75+'4 Átvett és Felh bev'!G54</f>
        <v>0</v>
      </c>
      <c r="H93" s="25">
        <f t="shared" ref="H93:H99" si="28">+G93+F93</f>
        <v>0</v>
      </c>
      <c r="K93" s="71"/>
    </row>
    <row r="94" spans="1:11" x14ac:dyDescent="0.25">
      <c r="A94" s="54" t="s">
        <v>210</v>
      </c>
      <c r="B94" s="65" t="s">
        <v>211</v>
      </c>
      <c r="C94" s="414">
        <f>+'7 Önk'!D76+'8 PH'!D76+'9 VGIG'!D76+'10 Járób'!D76+'11 Szoci'!D76+'12 Ovi'!D76+'13 Művház'!D76+'14 Könyvt'!D76</f>
        <v>0</v>
      </c>
      <c r="D94" s="414">
        <f>+'7 Önk'!E76+'8 PH'!E76+'9 VGIG'!E76+'10 Járób'!E76+'11 Szoci'!E76+'12 Ovi'!E76+'13 Művház'!E76+'14 Könyvt'!E76</f>
        <v>0</v>
      </c>
      <c r="E94" s="415">
        <f t="shared" si="27"/>
        <v>0</v>
      </c>
      <c r="F94" s="24">
        <f>+'7 Önk'!G76+'8 PH'!G76+'9 VGIG'!G76+'10 Járób'!G76+'11 Szoci'!G76+'12 Ovi'!G76+'13 Művház'!G76+'14 Könyvt'!G76</f>
        <v>0</v>
      </c>
      <c r="G94" s="24">
        <f>+'7 Önk'!H76+'8 PH'!H76+'9 VGIG'!H76+'10 Járób'!H76+'11 Szoci'!H76+'12 Ovi'!H76+'13 Művház'!H76+'14 Könyvt'!H76</f>
        <v>0</v>
      </c>
      <c r="H94" s="25">
        <f t="shared" si="28"/>
        <v>0</v>
      </c>
      <c r="K94" s="71"/>
    </row>
    <row r="95" spans="1:11" x14ac:dyDescent="0.25">
      <c r="A95" s="54" t="s">
        <v>212</v>
      </c>
      <c r="B95" s="65" t="s">
        <v>213</v>
      </c>
      <c r="C95" s="414">
        <f>+'7 Önk'!D77+'8 PH'!D77+'9 VGIG'!D77+'10 Járób'!D77+'11 Szoci'!D77+'12 Ovi'!D77+'13 Művház'!D77+'14 Könyvt'!D77</f>
        <v>0</v>
      </c>
      <c r="D95" s="414">
        <f>+'7 Önk'!E77+'8 PH'!E77+'9 VGIG'!E77+'10 Járób'!E77+'11 Szoci'!E77+'12 Ovi'!E77+'13 Művház'!E77+'14 Könyvt'!E77</f>
        <v>0</v>
      </c>
      <c r="E95" s="415">
        <f t="shared" si="27"/>
        <v>0</v>
      </c>
      <c r="F95" s="24">
        <f>+'7 Önk'!G77+'8 PH'!G77+'9 VGIG'!G77+'10 Járób'!G77+'11 Szoci'!G77+'12 Ovi'!G77+'13 Művház'!G77+'14 Könyvt'!G77</f>
        <v>0</v>
      </c>
      <c r="G95" s="24">
        <f>+'7 Önk'!H77+'8 PH'!H77+'9 VGIG'!H77+'10 Járób'!H77+'11 Szoci'!H77+'12 Ovi'!H77+'13 Művház'!H77+'14 Könyvt'!H77</f>
        <v>0</v>
      </c>
      <c r="H95" s="25">
        <f t="shared" si="28"/>
        <v>0</v>
      </c>
      <c r="K95" s="71"/>
    </row>
    <row r="96" spans="1:11" x14ac:dyDescent="0.25">
      <c r="A96" s="54" t="s">
        <v>214</v>
      </c>
      <c r="B96" s="65" t="s">
        <v>215</v>
      </c>
      <c r="C96" s="414">
        <f>+'7 Önk'!D78+'8 PH'!D78+'9 VGIG'!D78+'10 Járób'!D78+'11 Szoci'!D78+'12 Ovi'!D78+'13 Művház'!D78+'14 Könyvt'!D78</f>
        <v>0</v>
      </c>
      <c r="D96" s="414">
        <f>+'7 Önk'!E78+'8 PH'!E78+'9 VGIG'!E78+'10 Járób'!E78+'11 Szoci'!E78+'12 Ovi'!E78+'13 Művház'!E78+'14 Könyvt'!E78</f>
        <v>0</v>
      </c>
      <c r="E96" s="415">
        <f t="shared" si="27"/>
        <v>0</v>
      </c>
      <c r="F96" s="24">
        <f>+'7 Önk'!G78+'8 PH'!G78+'9 VGIG'!G78+'10 Járób'!G78+'11 Szoci'!G78+'12 Ovi'!G78+'13 Művház'!G78+'14 Könyvt'!G78</f>
        <v>0</v>
      </c>
      <c r="G96" s="24">
        <f>+'7 Önk'!H78+'8 PH'!H78+'9 VGIG'!H78+'10 Járób'!H78+'11 Szoci'!H78+'12 Ovi'!H78+'13 Művház'!H78+'14 Könyvt'!H78</f>
        <v>0</v>
      </c>
      <c r="H96" s="25">
        <f t="shared" si="28"/>
        <v>0</v>
      </c>
      <c r="K96" s="71"/>
    </row>
    <row r="97" spans="1:11" x14ac:dyDescent="0.25">
      <c r="A97" s="54" t="s">
        <v>216</v>
      </c>
      <c r="B97" s="65" t="s">
        <v>217</v>
      </c>
      <c r="C97" s="414">
        <f>+'3 Adók és tám'!D13</f>
        <v>115500000</v>
      </c>
      <c r="D97" s="414"/>
      <c r="E97" s="415">
        <f t="shared" si="27"/>
        <v>115500000</v>
      </c>
      <c r="F97" s="24">
        <f>+'3 Adók és tám'!E13</f>
        <v>0</v>
      </c>
      <c r="G97" s="24"/>
      <c r="H97" s="25">
        <f t="shared" si="28"/>
        <v>0</v>
      </c>
      <c r="K97" s="71"/>
    </row>
    <row r="98" spans="1:11" x14ac:dyDescent="0.25">
      <c r="A98" s="54" t="s">
        <v>218</v>
      </c>
      <c r="B98" s="65" t="s">
        <v>219</v>
      </c>
      <c r="C98" s="414">
        <f>+'3 Adók és tám'!D23-D98</f>
        <v>318200000</v>
      </c>
      <c r="D98" s="414">
        <v>0</v>
      </c>
      <c r="E98" s="415">
        <f t="shared" si="27"/>
        <v>318200000</v>
      </c>
      <c r="F98" s="24" t="e">
        <f>+'3 Adók és tám'!E23-G98</f>
        <v>#REF!</v>
      </c>
      <c r="G98" s="24">
        <v>0</v>
      </c>
      <c r="H98" s="25" t="e">
        <f t="shared" si="28"/>
        <v>#REF!</v>
      </c>
      <c r="K98" s="71"/>
    </row>
    <row r="99" spans="1:11" x14ac:dyDescent="0.25">
      <c r="A99" s="54" t="s">
        <v>220</v>
      </c>
      <c r="B99" s="65" t="s">
        <v>221</v>
      </c>
      <c r="C99" s="414">
        <f>+'3 Adók és tám'!D34</f>
        <v>3000000</v>
      </c>
      <c r="D99" s="414"/>
      <c r="E99" s="415">
        <f t="shared" si="27"/>
        <v>3000000</v>
      </c>
      <c r="F99" s="24">
        <f>+'3 Adók és tám'!E34</f>
        <v>0</v>
      </c>
      <c r="G99" s="24"/>
      <c r="H99" s="25">
        <f t="shared" si="28"/>
        <v>0</v>
      </c>
      <c r="K99" s="71"/>
    </row>
    <row r="100" spans="1:11" x14ac:dyDescent="0.25">
      <c r="A100" s="57" t="s">
        <v>222</v>
      </c>
      <c r="B100" s="66" t="s">
        <v>223</v>
      </c>
      <c r="C100" s="415">
        <f t="shared" ref="C100:H100" si="29">SUM(C94:C99)</f>
        <v>436700000</v>
      </c>
      <c r="D100" s="415">
        <f t="shared" si="29"/>
        <v>0</v>
      </c>
      <c r="E100" s="415">
        <f t="shared" si="29"/>
        <v>436700000</v>
      </c>
      <c r="F100" s="25" t="e">
        <f t="shared" si="29"/>
        <v>#REF!</v>
      </c>
      <c r="G100" s="25">
        <f t="shared" si="29"/>
        <v>0</v>
      </c>
      <c r="H100" s="25" t="e">
        <f t="shared" si="29"/>
        <v>#REF!</v>
      </c>
      <c r="I100" s="25"/>
      <c r="K100" s="71"/>
    </row>
    <row r="101" spans="1:11" x14ac:dyDescent="0.25">
      <c r="A101" s="67" t="s">
        <v>224</v>
      </c>
      <c r="B101" s="65" t="s">
        <v>225</v>
      </c>
      <c r="C101" s="414">
        <f>+'7 Önk'!D83+'8 PH'!D83+'9 VGIG'!D83+'10 Járób'!D83+'11 Szoci'!D83+'12 Ovi'!D83+'13 Művház'!D83+'14 Könyvt'!D83</f>
        <v>473000</v>
      </c>
      <c r="D101" s="414">
        <f>+'7 Önk'!E83+'8 PH'!E83+'9 VGIG'!E83+'10 Járób'!E83+'11 Szoci'!E83+'12 Ovi'!E83+'13 Művház'!E83+'14 Könyvt'!E83</f>
        <v>483000</v>
      </c>
      <c r="E101" s="415">
        <f t="shared" ref="E101:E111" si="30">+D101+C101</f>
        <v>956000</v>
      </c>
      <c r="F101" s="24">
        <f>+'7 Önk'!G83+'8 PH'!G83+'9 VGIG'!G83+'10 Járób'!G83+'11 Szoci'!G83+'12 Ovi'!G83+'13 Művház'!G83+'14 Könyvt'!G83</f>
        <v>0</v>
      </c>
      <c r="G101" s="24">
        <f>+'7 Önk'!H83+'8 PH'!H83+'9 VGIG'!H83+'10 Járób'!H83+'11 Szoci'!H83+'12 Ovi'!H83+'13 Művház'!H83+'14 Könyvt'!H83</f>
        <v>0</v>
      </c>
      <c r="H101" s="25">
        <f t="shared" ref="H101:H111" si="31">+G101+F101</f>
        <v>0</v>
      </c>
      <c r="K101" s="71"/>
    </row>
    <row r="102" spans="1:11" x14ac:dyDescent="0.25">
      <c r="A102" s="67" t="s">
        <v>226</v>
      </c>
      <c r="B102" s="65" t="s">
        <v>227</v>
      </c>
      <c r="C102" s="414">
        <f>+'7 Önk'!D84+'8 PH'!D84+'9 VGIG'!D84+'10 Járób'!D84+'11 Szoci'!D84+'12 Ovi'!D84+'13 Művház'!D84+'14 Könyvt'!D84</f>
        <v>56073350</v>
      </c>
      <c r="D102" s="414">
        <f>+'7 Önk'!E84+'8 PH'!E84+'9 VGIG'!E84+'10 Járób'!E84+'11 Szoci'!E84+'12 Ovi'!E84+'13 Művház'!E84+'14 Könyvt'!E84</f>
        <v>141755000</v>
      </c>
      <c r="E102" s="415">
        <f t="shared" si="30"/>
        <v>197828350</v>
      </c>
      <c r="F102" s="24">
        <f>+'7 Önk'!G84+'8 PH'!G84+'9 VGIG'!G84+'10 Járób'!G84+'11 Szoci'!G84+'12 Ovi'!G84+'13 Művház'!G84+'14 Könyvt'!G84</f>
        <v>0</v>
      </c>
      <c r="G102" s="24">
        <f>+'7 Önk'!H84+'8 PH'!H84+'9 VGIG'!H84+'10 Járób'!H84+'11 Szoci'!H84+'12 Ovi'!H84+'13 Művház'!H84+'14 Könyvt'!H84</f>
        <v>0</v>
      </c>
      <c r="H102" s="25">
        <f t="shared" si="31"/>
        <v>0</v>
      </c>
      <c r="K102" s="71"/>
    </row>
    <row r="103" spans="1:11" x14ac:dyDescent="0.25">
      <c r="A103" s="67" t="s">
        <v>228</v>
      </c>
      <c r="B103" s="65" t="s">
        <v>229</v>
      </c>
      <c r="C103" s="414">
        <f>+'7 Önk'!D85+'8 PH'!D85+'9 VGIG'!D85+'10 Járób'!D85+'11 Szoci'!D85+'12 Ovi'!D85+'13 Művház'!D85+'14 Könyvt'!D85</f>
        <v>0</v>
      </c>
      <c r="D103" s="414">
        <f>+'7 Önk'!E85+'8 PH'!E85+'9 VGIG'!E85+'10 Járób'!E85+'11 Szoci'!E85+'12 Ovi'!E85+'13 Művház'!E85+'14 Könyvt'!E85</f>
        <v>5521000</v>
      </c>
      <c r="E103" s="415">
        <f t="shared" si="30"/>
        <v>5521000</v>
      </c>
      <c r="F103" s="24">
        <f>+'7 Önk'!G85+'8 PH'!G85+'9 VGIG'!G85+'10 Járób'!G85+'11 Szoci'!G85+'12 Ovi'!G85+'13 Művház'!G85+'14 Könyvt'!G85</f>
        <v>0</v>
      </c>
      <c r="G103" s="24">
        <f>+'7 Önk'!H85+'8 PH'!H85+'9 VGIG'!H85+'10 Járób'!H85+'11 Szoci'!H85+'12 Ovi'!H85+'13 Művház'!H85+'14 Könyvt'!H85</f>
        <v>0</v>
      </c>
      <c r="H103" s="25">
        <f t="shared" si="31"/>
        <v>0</v>
      </c>
      <c r="K103" s="71"/>
    </row>
    <row r="104" spans="1:11" x14ac:dyDescent="0.25">
      <c r="A104" s="67" t="s">
        <v>230</v>
      </c>
      <c r="B104" s="65" t="s">
        <v>231</v>
      </c>
      <c r="C104" s="414">
        <f>+'7 Önk'!D86+'8 PH'!D86+'9 VGIG'!D86+'10 Járób'!D86+'11 Szoci'!D86+'12 Ovi'!D86+'13 Művház'!D86+'14 Könyvt'!D86</f>
        <v>7973000</v>
      </c>
      <c r="D104" s="414">
        <f>+'7 Önk'!E86+'8 PH'!E86+'9 VGIG'!E86+'10 Járób'!E86+'11 Szoci'!E86+'12 Ovi'!E86+'13 Művház'!E86+'14 Könyvt'!E86</f>
        <v>0</v>
      </c>
      <c r="E104" s="415">
        <f t="shared" si="30"/>
        <v>7973000</v>
      </c>
      <c r="F104" s="24">
        <f>+'7 Önk'!G86+'8 PH'!G86+'9 VGIG'!G86+'10 Járób'!G86+'11 Szoci'!G86+'12 Ovi'!G86+'13 Művház'!G86+'14 Könyvt'!G86</f>
        <v>0</v>
      </c>
      <c r="G104" s="24">
        <f>+'7 Önk'!H86+'8 PH'!H86+'9 VGIG'!H86+'10 Járób'!H86+'11 Szoci'!H86+'12 Ovi'!H86+'13 Művház'!H86+'14 Könyvt'!H86</f>
        <v>0</v>
      </c>
      <c r="H104" s="25">
        <f t="shared" si="31"/>
        <v>0</v>
      </c>
      <c r="K104" s="71"/>
    </row>
    <row r="105" spans="1:11" x14ac:dyDescent="0.25">
      <c r="A105" s="67" t="s">
        <v>232</v>
      </c>
      <c r="B105" s="65" t="s">
        <v>233</v>
      </c>
      <c r="C105" s="414">
        <f>+'7 Önk'!D87+'8 PH'!D87+'9 VGIG'!D87+'10 Járób'!D87+'11 Szoci'!D87+'12 Ovi'!D87+'13 Művház'!D87+'14 Könyvt'!D87</f>
        <v>156873450</v>
      </c>
      <c r="D105" s="414">
        <f>+'7 Önk'!E87+'8 PH'!E87+'9 VGIG'!E87+'10 Járób'!E87+'11 Szoci'!E87+'12 Ovi'!E87+'13 Művház'!E87+'14 Könyvt'!E87</f>
        <v>0</v>
      </c>
      <c r="E105" s="415">
        <f t="shared" si="30"/>
        <v>156873450</v>
      </c>
      <c r="F105" s="24">
        <f>+'7 Önk'!G87+'8 PH'!G87+'9 VGIG'!G87+'10 Járób'!G87+'11 Szoci'!G87+'12 Ovi'!G87+'13 Művház'!G87+'14 Könyvt'!G87</f>
        <v>0</v>
      </c>
      <c r="G105" s="24">
        <f>+'7 Önk'!H87+'8 PH'!H87+'9 VGIG'!H87+'10 Járób'!H87+'11 Szoci'!H87+'12 Ovi'!H87+'13 Művház'!H87+'14 Könyvt'!H87</f>
        <v>0</v>
      </c>
      <c r="H105" s="25">
        <f t="shared" si="31"/>
        <v>0</v>
      </c>
      <c r="K105" s="71"/>
    </row>
    <row r="106" spans="1:11" x14ac:dyDescent="0.25">
      <c r="A106" s="67" t="s">
        <v>234</v>
      </c>
      <c r="B106" s="65" t="s">
        <v>235</v>
      </c>
      <c r="C106" s="414">
        <f>+'7 Önk'!D88+'8 PH'!D88+'9 VGIG'!D88+'10 Járób'!D88+'11 Szoci'!D88+'12 Ovi'!D88+'13 Művház'!D88+'14 Könyvt'!D88</f>
        <v>19064132</v>
      </c>
      <c r="D106" s="414">
        <f>+'7 Önk'!E88+'8 PH'!E88+'9 VGIG'!E88+'10 Járób'!E88+'11 Szoci'!E88+'12 Ovi'!E88+'13 Művház'!E88+'14 Könyvt'!E88</f>
        <v>28499000</v>
      </c>
      <c r="E106" s="415">
        <f t="shared" si="30"/>
        <v>47563132</v>
      </c>
      <c r="F106" s="24">
        <f>+'7 Önk'!G88+'8 PH'!G88+'9 VGIG'!G88+'10 Járób'!G88+'11 Szoci'!G88+'12 Ovi'!G88+'13 Művház'!G88+'14 Könyvt'!G88</f>
        <v>0</v>
      </c>
      <c r="G106" s="24">
        <f>+'7 Önk'!H88+'8 PH'!H88+'9 VGIG'!H88+'10 Járób'!H88+'11 Szoci'!H88+'12 Ovi'!H88+'13 Művház'!H88+'14 Könyvt'!H88</f>
        <v>0</v>
      </c>
      <c r="H106" s="25">
        <f t="shared" si="31"/>
        <v>0</v>
      </c>
      <c r="K106" s="71"/>
    </row>
    <row r="107" spans="1:11" x14ac:dyDescent="0.25">
      <c r="A107" s="67" t="s">
        <v>236</v>
      </c>
      <c r="B107" s="65" t="s">
        <v>237</v>
      </c>
      <c r="C107" s="414">
        <f>+'7 Önk'!D89+'8 PH'!D89+'9 VGIG'!D89+'10 Járób'!D89+'11 Szoci'!D89+'12 Ovi'!D89+'13 Művház'!D89+'14 Könyvt'!D89</f>
        <v>0</v>
      </c>
      <c r="D107" s="414">
        <f>+'7 Önk'!E89+'8 PH'!E89+'9 VGIG'!E89+'10 Járób'!E89+'11 Szoci'!E89+'12 Ovi'!E89+'13 Művház'!E89+'14 Könyvt'!E89</f>
        <v>0</v>
      </c>
      <c r="E107" s="415">
        <f t="shared" si="30"/>
        <v>0</v>
      </c>
      <c r="F107" s="24">
        <f>+'7 Önk'!G89+'8 PH'!G89+'9 VGIG'!G89+'10 Járób'!G89+'11 Szoci'!G89+'12 Ovi'!G89+'13 Művház'!G89+'14 Könyvt'!G89</f>
        <v>0</v>
      </c>
      <c r="G107" s="24">
        <f>+'7 Önk'!H89+'8 PH'!H89+'9 VGIG'!H89+'10 Járób'!H89+'11 Szoci'!H89+'12 Ovi'!H89+'13 Művház'!H89+'14 Könyvt'!H89</f>
        <v>0</v>
      </c>
      <c r="H107" s="25">
        <f t="shared" si="31"/>
        <v>0</v>
      </c>
      <c r="K107" s="71"/>
    </row>
    <row r="108" spans="1:11" x14ac:dyDescent="0.25">
      <c r="A108" s="67" t="s">
        <v>238</v>
      </c>
      <c r="B108" s="65" t="s">
        <v>239</v>
      </c>
      <c r="C108" s="414">
        <f>+'7 Önk'!D90+'8 PH'!D90+'9 VGIG'!D90+'10 Járób'!D90+'11 Szoci'!D90+'12 Ovi'!D90+'13 Művház'!D90+'14 Könyvt'!D90</f>
        <v>0</v>
      </c>
      <c r="D108" s="414">
        <f>+'7 Önk'!E90+'8 PH'!E90+'9 VGIG'!E90+'10 Járób'!E90+'11 Szoci'!E90+'12 Ovi'!E90+'13 Művház'!E90+'14 Könyvt'!E90</f>
        <v>22000</v>
      </c>
      <c r="E108" s="415">
        <f t="shared" si="30"/>
        <v>22000</v>
      </c>
      <c r="F108" s="24">
        <f>+'7 Önk'!G90+'8 PH'!G90+'9 VGIG'!G90+'10 Járób'!G90+'11 Szoci'!G90+'12 Ovi'!G90+'13 Művház'!G90+'14 Könyvt'!G90</f>
        <v>0</v>
      </c>
      <c r="G108" s="24">
        <f>+'7 Önk'!H90+'8 PH'!H90+'9 VGIG'!H90+'10 Járób'!H90+'11 Szoci'!H90+'12 Ovi'!H90+'13 Művház'!H90+'14 Könyvt'!H90</f>
        <v>0</v>
      </c>
      <c r="H108" s="25">
        <f t="shared" si="31"/>
        <v>0</v>
      </c>
      <c r="K108" s="71"/>
    </row>
    <row r="109" spans="1:11" x14ac:dyDescent="0.25">
      <c r="A109" s="67" t="s">
        <v>240</v>
      </c>
      <c r="B109" s="65" t="s">
        <v>241</v>
      </c>
      <c r="C109" s="414">
        <f>+'7 Önk'!D91+'8 PH'!D91+'9 VGIG'!D91+'10 Járób'!D91+'11 Szoci'!D91+'12 Ovi'!D91+'13 Művház'!D91+'14 Könyvt'!D91</f>
        <v>0</v>
      </c>
      <c r="D109" s="414">
        <f>+'7 Önk'!E91+'8 PH'!E91+'9 VGIG'!E91+'10 Járób'!E91+'11 Szoci'!E91+'12 Ovi'!E91+'13 Művház'!E91+'14 Könyvt'!E91</f>
        <v>10000</v>
      </c>
      <c r="E109" s="415">
        <f t="shared" si="30"/>
        <v>10000</v>
      </c>
      <c r="F109" s="24">
        <f>+'7 Önk'!G91+'8 PH'!G91+'9 VGIG'!G91+'10 Járób'!G91+'11 Szoci'!G91+'12 Ovi'!G91+'13 Művház'!G91+'14 Könyvt'!G91</f>
        <v>0</v>
      </c>
      <c r="G109" s="24">
        <f>+'7 Önk'!H91+'8 PH'!H91+'9 VGIG'!H91+'10 Járób'!H91+'11 Szoci'!H91+'12 Ovi'!H91+'13 Művház'!H91+'14 Könyvt'!H91</f>
        <v>0</v>
      </c>
      <c r="H109" s="25">
        <f t="shared" si="31"/>
        <v>0</v>
      </c>
      <c r="K109" s="71"/>
    </row>
    <row r="110" spans="1:11" x14ac:dyDescent="0.25">
      <c r="A110" s="67" t="s">
        <v>242</v>
      </c>
      <c r="B110" s="65" t="s">
        <v>243</v>
      </c>
      <c r="C110" s="414">
        <f>+'7 Önk'!D92+'8 PH'!D92+'9 VGIG'!D92+'10 Járób'!D92+'11 Szoci'!D92+'12 Ovi'!D92+'13 Művház'!D92+'14 Könyvt'!D92</f>
        <v>0</v>
      </c>
      <c r="D110" s="414">
        <f>+'7 Önk'!E92+'8 PH'!E92+'9 VGIG'!E92+'10 Járób'!E92+'11 Szoci'!E92+'12 Ovi'!E92+'13 Művház'!E92+'14 Könyvt'!E92</f>
        <v>0</v>
      </c>
      <c r="E110" s="415">
        <f t="shared" si="30"/>
        <v>0</v>
      </c>
      <c r="F110" s="24">
        <f>+'7 Önk'!G92+'8 PH'!G92+'9 VGIG'!G92+'10 Járób'!G92+'11 Szoci'!G92+'12 Ovi'!G92+'13 Művház'!G92+'14 Könyvt'!G92</f>
        <v>0</v>
      </c>
      <c r="G110" s="24">
        <f>+'7 Önk'!H92+'8 PH'!H92+'9 VGIG'!H92+'10 Járób'!H92+'11 Szoci'!H92+'12 Ovi'!H92+'13 Művház'!H92+'14 Könyvt'!H92</f>
        <v>0</v>
      </c>
      <c r="H110" s="25">
        <f t="shared" si="31"/>
        <v>0</v>
      </c>
      <c r="K110" s="71"/>
    </row>
    <row r="111" spans="1:11" x14ac:dyDescent="0.25">
      <c r="A111" s="67" t="s">
        <v>244</v>
      </c>
      <c r="B111" s="65" t="s">
        <v>245</v>
      </c>
      <c r="C111" s="414">
        <f>+'7 Önk'!D93+'8 PH'!D93+'9 VGIG'!D93+'10 Járób'!D93+'11 Szoci'!D93+'12 Ovi'!D93+'13 Művház'!D93+'14 Könyvt'!D93</f>
        <v>0</v>
      </c>
      <c r="D111" s="414">
        <f>+'7 Önk'!E93+'8 PH'!E93+'9 VGIG'!E93+'10 Járób'!E93+'11 Szoci'!E93+'12 Ovi'!E93+'13 Művház'!E93+'14 Könyvt'!E93</f>
        <v>0</v>
      </c>
      <c r="E111" s="415">
        <f t="shared" si="30"/>
        <v>0</v>
      </c>
      <c r="F111" s="24">
        <f>+'7 Önk'!G93+'8 PH'!G93+'9 VGIG'!G93+'10 Járób'!G93+'11 Szoci'!G93+'12 Ovi'!G93+'13 Művház'!G93+'14 Könyvt'!G93</f>
        <v>0</v>
      </c>
      <c r="G111" s="24">
        <f>+'7 Önk'!H93+'8 PH'!H93+'9 VGIG'!H93+'10 Járób'!H93+'11 Szoci'!H93+'12 Ovi'!H93+'13 Művház'!H93+'14 Könyvt'!H93</f>
        <v>0</v>
      </c>
      <c r="H111" s="25">
        <f t="shared" si="31"/>
        <v>0</v>
      </c>
      <c r="K111" s="71"/>
    </row>
    <row r="112" spans="1:11" x14ac:dyDescent="0.25">
      <c r="A112" s="58" t="s">
        <v>246</v>
      </c>
      <c r="B112" s="66" t="s">
        <v>247</v>
      </c>
      <c r="C112" s="415">
        <f t="shared" ref="C112:H112" si="32">SUM(C101:C111)</f>
        <v>240456932</v>
      </c>
      <c r="D112" s="415">
        <f t="shared" si="32"/>
        <v>176290000</v>
      </c>
      <c r="E112" s="415">
        <f t="shared" si="32"/>
        <v>416746932</v>
      </c>
      <c r="F112" s="25">
        <f t="shared" si="32"/>
        <v>0</v>
      </c>
      <c r="G112" s="25">
        <f t="shared" si="32"/>
        <v>0</v>
      </c>
      <c r="H112" s="25">
        <f t="shared" si="32"/>
        <v>0</v>
      </c>
      <c r="I112" s="25"/>
      <c r="K112" s="71"/>
    </row>
    <row r="113" spans="1:11" x14ac:dyDescent="0.25">
      <c r="A113" s="67" t="s">
        <v>248</v>
      </c>
      <c r="B113" s="65" t="s">
        <v>249</v>
      </c>
      <c r="C113" s="414">
        <f>+'7 Önk'!D95+'8 PH'!D95+'9 VGIG'!D95+'10 Járób'!D95+'11 Szoci'!D95+'12 Ovi'!D95+'13 Művház'!D95+'14 Könyvt'!D95+'4 Átvett és Felh bev'!E75</f>
        <v>0</v>
      </c>
      <c r="D113" s="414">
        <f>+'7 Önk'!E95+'8 PH'!E95+'9 VGIG'!E95+'10 Járób'!E95+'11 Szoci'!E95+'12 Ovi'!E95+'13 Művház'!E95+'14 Könyvt'!E95+'4 Átvett és Felh bev'!F75</f>
        <v>0</v>
      </c>
      <c r="E113" s="415">
        <f>+D113+C113</f>
        <v>0</v>
      </c>
      <c r="F113" s="24">
        <f>+'7 Önk'!G95+'8 PH'!G95+'9 VGIG'!G95+'10 Járób'!G95+'11 Szoci'!G95+'12 Ovi'!G95+'13 Művház'!G95+'14 Könyvt'!G95+'4 Átvett és Felh bev'!F75</f>
        <v>0</v>
      </c>
      <c r="G113" s="24">
        <f>+'7 Önk'!H95+'8 PH'!H95+'9 VGIG'!H95+'10 Járób'!H95+'11 Szoci'!H95+'12 Ovi'!H95+'13 Művház'!H95+'14 Könyvt'!H95+'4 Átvett és Felh bev'!G75</f>
        <v>0</v>
      </c>
      <c r="H113" s="25">
        <f>+G113+F113</f>
        <v>0</v>
      </c>
      <c r="K113" s="71"/>
    </row>
    <row r="114" spans="1:11" x14ac:dyDescent="0.25">
      <c r="A114" s="67" t="s">
        <v>250</v>
      </c>
      <c r="B114" s="65" t="s">
        <v>251</v>
      </c>
      <c r="C114" s="414">
        <f>+'7 Önk'!D96+'8 PH'!D96+'9 VGIG'!D96+'10 Járób'!D96+'11 Szoci'!D96+'12 Ovi'!D96+'13 Művház'!D96+'14 Könyvt'!D96+'4 Átvett és Felh bev'!D81</f>
        <v>109000000</v>
      </c>
      <c r="D114" s="414">
        <f>+'7 Önk'!E96+'8 PH'!E96+'9 VGIG'!E96+'10 Járób'!E96+'11 Szoci'!E96+'12 Ovi'!E96+'13 Művház'!E96+'14 Könyvt'!E96+'4 Átvett és Felh bev'!E81</f>
        <v>0</v>
      </c>
      <c r="E114" s="415">
        <f>+D114+C114</f>
        <v>109000000</v>
      </c>
      <c r="F114" s="24">
        <f>+'7 Önk'!G96+'8 PH'!G96+'9 VGIG'!G96+'10 Járób'!G96+'11 Szoci'!G96+'12 Ovi'!G96+'13 Művház'!G96+'14 Könyvt'!G96+'4 Átvett és Felh bev'!F81</f>
        <v>0</v>
      </c>
      <c r="G114" s="24">
        <f>+'7 Önk'!H96+'8 PH'!H96+'9 VGIG'!H96+'10 Járób'!H96+'11 Szoci'!H96+'12 Ovi'!H96+'13 Művház'!H96+'14 Könyvt'!H96+'4 Átvett és Felh bev'!G81</f>
        <v>0</v>
      </c>
      <c r="H114" s="25">
        <f>+G114+F114</f>
        <v>0</v>
      </c>
      <c r="K114" s="71"/>
    </row>
    <row r="115" spans="1:11" x14ac:dyDescent="0.25">
      <c r="A115" s="67" t="s">
        <v>252</v>
      </c>
      <c r="B115" s="65" t="s">
        <v>253</v>
      </c>
      <c r="C115" s="414">
        <f>+'7 Önk'!D97+'8 PH'!D97+'9 VGIG'!D97+'10 Járób'!D97+'11 Szoci'!D97+'12 Ovi'!D97+'13 Művház'!D97+'14 Könyvt'!D97+'4 Átvett és Felh bev'!D84</f>
        <v>500000</v>
      </c>
      <c r="D115" s="414">
        <f>+'7 Önk'!E97+'8 PH'!E97+'9 VGIG'!E97+'10 Járób'!E97+'11 Szoci'!E97+'12 Ovi'!E97+'13 Művház'!E97+'14 Könyvt'!E97+'4 Átvett és Felh bev'!E84</f>
        <v>0</v>
      </c>
      <c r="E115" s="415">
        <f>+D115+C115</f>
        <v>500000</v>
      </c>
      <c r="F115" s="24">
        <f>+'7 Önk'!G97+'8 PH'!G97+'9 VGIG'!G97+'10 Járób'!G97+'11 Szoci'!G97+'12 Ovi'!G97+'13 Művház'!G97+'14 Könyvt'!G97+'4 Átvett és Felh bev'!F84</f>
        <v>0</v>
      </c>
      <c r="G115" s="24">
        <f>+'7 Önk'!H97+'8 PH'!H97+'9 VGIG'!H97+'10 Járób'!H97+'11 Szoci'!H97+'12 Ovi'!H97+'13 Művház'!H97+'14 Könyvt'!H97+'4 Átvett és Felh bev'!G84</f>
        <v>0</v>
      </c>
      <c r="H115" s="25">
        <f>+G115+F115</f>
        <v>0</v>
      </c>
      <c r="K115" s="71"/>
    </row>
    <row r="116" spans="1:11" x14ac:dyDescent="0.25">
      <c r="A116" s="67" t="s">
        <v>254</v>
      </c>
      <c r="B116" s="65" t="s">
        <v>255</v>
      </c>
      <c r="C116" s="414">
        <f>+'7 Önk'!D98+'8 PH'!D98+'9 VGIG'!D98+'10 Járób'!D98+'11 Szoci'!D98+'12 Ovi'!D98+'13 Művház'!D98+'14 Könyvt'!D98+'4 Átvett és Felh bev'!D87</f>
        <v>0</v>
      </c>
      <c r="D116" s="414">
        <f>+'7 Önk'!E98+'8 PH'!E98+'9 VGIG'!E98+'10 Járób'!E98+'11 Szoci'!E98+'12 Ovi'!E98+'13 Művház'!E98+'14 Könyvt'!E98+'4 Átvett és Felh bev'!E87</f>
        <v>0</v>
      </c>
      <c r="E116" s="415">
        <f>+D116+C116</f>
        <v>0</v>
      </c>
      <c r="F116" s="24">
        <f>+'7 Önk'!G98+'8 PH'!G98+'9 VGIG'!G98+'10 Járób'!G98+'11 Szoci'!G98+'12 Ovi'!G98+'13 Művház'!G98+'14 Könyvt'!G98+'4 Átvett és Felh bev'!F87</f>
        <v>0</v>
      </c>
      <c r="G116" s="24">
        <f>+'7 Önk'!H98+'8 PH'!H98+'9 VGIG'!H98+'10 Járób'!H98+'11 Szoci'!H98+'12 Ovi'!H98+'13 Művház'!H98+'14 Könyvt'!H98+'4 Átvett és Felh bev'!G87</f>
        <v>0</v>
      </c>
      <c r="H116" s="25">
        <f>+G116+F116</f>
        <v>0</v>
      </c>
      <c r="K116" s="71"/>
    </row>
    <row r="117" spans="1:11" x14ac:dyDescent="0.25">
      <c r="A117" s="67" t="s">
        <v>256</v>
      </c>
      <c r="B117" s="65" t="s">
        <v>257</v>
      </c>
      <c r="C117" s="414">
        <f>+'7 Önk'!D99+'8 PH'!D99+'9 VGIG'!D99+'10 Járób'!D99+'11 Szoci'!D99+'12 Ovi'!D99+'13 Művház'!D99+'14 Könyvt'!D99+'4 Átvett és Felh bev'!D90</f>
        <v>0</v>
      </c>
      <c r="D117" s="414">
        <f>+'7 Önk'!E99+'8 PH'!E99+'9 VGIG'!E99+'10 Járób'!E99+'11 Szoci'!E99+'12 Ovi'!E99+'13 Művház'!E99+'14 Könyvt'!E99+'4 Átvett és Felh bev'!E90</f>
        <v>0</v>
      </c>
      <c r="E117" s="415">
        <f>+D117+C117</f>
        <v>0</v>
      </c>
      <c r="F117" s="24">
        <f>+'7 Önk'!G99+'8 PH'!G99+'9 VGIG'!G99+'10 Járób'!G99+'11 Szoci'!G99+'12 Ovi'!G99+'13 Művház'!G99+'14 Könyvt'!G99+'4 Átvett és Felh bev'!F90</f>
        <v>0</v>
      </c>
      <c r="G117" s="24">
        <f>+'7 Önk'!H99+'8 PH'!H99+'9 VGIG'!H99+'10 Járób'!H99+'11 Szoci'!H99+'12 Ovi'!H99+'13 Művház'!H99+'14 Könyvt'!H99+'4 Átvett és Felh bev'!G90</f>
        <v>0</v>
      </c>
      <c r="H117" s="25">
        <f>+G117+F117</f>
        <v>0</v>
      </c>
      <c r="K117" s="71"/>
    </row>
    <row r="118" spans="1:11" x14ac:dyDescent="0.25">
      <c r="A118" s="57" t="s">
        <v>258</v>
      </c>
      <c r="B118" s="66" t="s">
        <v>259</v>
      </c>
      <c r="C118" s="415">
        <f t="shared" ref="C118:H118" si="33">SUM(C113:C117)</f>
        <v>109500000</v>
      </c>
      <c r="D118" s="415">
        <f t="shared" si="33"/>
        <v>0</v>
      </c>
      <c r="E118" s="415">
        <f t="shared" si="33"/>
        <v>109500000</v>
      </c>
      <c r="F118" s="25">
        <f t="shared" si="33"/>
        <v>0</v>
      </c>
      <c r="G118" s="25">
        <f t="shared" si="33"/>
        <v>0</v>
      </c>
      <c r="H118" s="25">
        <f t="shared" si="33"/>
        <v>0</v>
      </c>
      <c r="I118" s="25"/>
      <c r="K118" s="71"/>
    </row>
    <row r="119" spans="1:11" x14ac:dyDescent="0.25">
      <c r="A119" s="57" t="s">
        <v>260</v>
      </c>
      <c r="B119" s="66" t="s">
        <v>261</v>
      </c>
      <c r="C119" s="414">
        <f>+'7 Önk'!D101+'8 PH'!D101+'9 VGIG'!D101+'10 Járób'!D101+'11 Szoci'!D101+'12 Ovi'!D101+'13 Művház'!D101+'14 Könyvt'!D101</f>
        <v>7740600</v>
      </c>
      <c r="D119" s="414">
        <f>+'7 Önk'!E101+'8 PH'!E101+'9 VGIG'!E101+'10 Járób'!E101+'11 Szoci'!E101+'12 Ovi'!E101+'13 Művház'!E101+'14 Könyvt'!E101</f>
        <v>0</v>
      </c>
      <c r="E119" s="415">
        <f t="shared" ref="E119:E124" si="34">+D119+C119</f>
        <v>7740600</v>
      </c>
      <c r="F119" s="24">
        <f>+'7 Önk'!G101+'8 PH'!G101+'9 VGIG'!G101+'10 Járób'!G101+'11 Szoci'!G101+'12 Ovi'!G101+'13 Művház'!G101+'14 Könyvt'!G101</f>
        <v>0</v>
      </c>
      <c r="G119" s="24">
        <f>+'7 Önk'!H101+'8 PH'!H101+'9 VGIG'!H101+'10 Járób'!H101+'11 Szoci'!H101+'12 Ovi'!H101+'13 Művház'!H101+'14 Könyvt'!H101</f>
        <v>0</v>
      </c>
      <c r="H119" s="25">
        <f t="shared" ref="H119:H124" si="35">+G119+F119</f>
        <v>0</v>
      </c>
      <c r="K119" s="71"/>
    </row>
    <row r="120" spans="1:11" x14ac:dyDescent="0.25">
      <c r="A120" s="67" t="s">
        <v>262</v>
      </c>
      <c r="B120" s="65" t="s">
        <v>263</v>
      </c>
      <c r="C120" s="414">
        <f>+'7 Önk'!D102+'8 PH'!D102+'9 VGIG'!D102+'10 Járób'!D102+'11 Szoci'!D102+'12 Ovi'!D102+'13 Művház'!D102+'14 Könyvt'!D102</f>
        <v>0</v>
      </c>
      <c r="D120" s="414">
        <f>+'7 Önk'!E102+'8 PH'!E102+'9 VGIG'!E102+'10 Járób'!E102+'11 Szoci'!E102+'12 Ovi'!E102+'13 Művház'!E102+'14 Könyvt'!E102</f>
        <v>0</v>
      </c>
      <c r="E120" s="415">
        <f t="shared" si="34"/>
        <v>0</v>
      </c>
      <c r="F120" s="24">
        <f>+'7 Önk'!G102+'8 PH'!G102+'9 VGIG'!G102+'10 Járób'!G102+'11 Szoci'!G102+'12 Ovi'!G102+'13 Művház'!G102+'14 Könyvt'!G102</f>
        <v>0</v>
      </c>
      <c r="G120" s="24">
        <f>+'7 Önk'!H102+'8 PH'!H102+'9 VGIG'!H102+'10 Járób'!H102+'11 Szoci'!H102+'12 Ovi'!H102+'13 Művház'!H102+'14 Könyvt'!H102</f>
        <v>0</v>
      </c>
      <c r="H120" s="25">
        <f t="shared" si="35"/>
        <v>0</v>
      </c>
      <c r="K120" s="71"/>
    </row>
    <row r="121" spans="1:11" x14ac:dyDescent="0.25">
      <c r="A121" s="54" t="s">
        <v>264</v>
      </c>
      <c r="B121" s="65" t="s">
        <v>265</v>
      </c>
      <c r="C121" s="414">
        <f>+'7 Önk'!D103+'8 PH'!D103+'9 VGIG'!D103+'10 Járób'!D103+'11 Szoci'!D103+'12 Ovi'!D103+'13 Művház'!D103+'14 Könyvt'!D103</f>
        <v>0</v>
      </c>
      <c r="D121" s="414">
        <f>+'7 Önk'!E103+'8 PH'!E103+'9 VGIG'!E103+'10 Járób'!E103+'11 Szoci'!E103+'12 Ovi'!E103+'13 Művház'!E103+'14 Könyvt'!E103</f>
        <v>0</v>
      </c>
      <c r="E121" s="415">
        <f t="shared" si="34"/>
        <v>0</v>
      </c>
      <c r="F121" s="24">
        <f>+'7 Önk'!G103+'8 PH'!G103+'9 VGIG'!G103+'10 Járób'!G103+'11 Szoci'!G103+'12 Ovi'!G103+'13 Művház'!G103+'14 Könyvt'!G103</f>
        <v>0</v>
      </c>
      <c r="G121" s="24">
        <f>+'7 Önk'!H103+'8 PH'!H103+'9 VGIG'!H103+'10 Járób'!H103+'11 Szoci'!H103+'12 Ovi'!H103+'13 Művház'!H103+'14 Könyvt'!H103</f>
        <v>0</v>
      </c>
      <c r="H121" s="25">
        <f t="shared" si="35"/>
        <v>0</v>
      </c>
      <c r="K121" s="71"/>
    </row>
    <row r="122" spans="1:11" ht="31.5" x14ac:dyDescent="0.25">
      <c r="A122" s="67" t="s">
        <v>266</v>
      </c>
      <c r="B122" s="65" t="s">
        <v>267</v>
      </c>
      <c r="C122" s="414">
        <f>+'7 Önk'!D104+'8 PH'!D104+'9 VGIG'!D104+'10 Járób'!D104+'11 Szoci'!D104+'12 Ovi'!D104+'13 Művház'!D104+'14 Könyvt'!D104</f>
        <v>0</v>
      </c>
      <c r="D122" s="414">
        <f>+'7 Önk'!E104+'8 PH'!E104+'9 VGIG'!E104+'10 Járób'!E104+'11 Szoci'!E104+'12 Ovi'!E104+'13 Művház'!E104+'14 Könyvt'!E104</f>
        <v>0</v>
      </c>
      <c r="E122" s="415">
        <f t="shared" si="34"/>
        <v>0</v>
      </c>
      <c r="F122" s="24">
        <f>+'7 Önk'!G104+'8 PH'!G104+'9 VGIG'!G104+'10 Járób'!G104+'11 Szoci'!G104+'12 Ovi'!G104+'13 Művház'!G104+'14 Könyvt'!G104</f>
        <v>0</v>
      </c>
      <c r="G122" s="24">
        <f>+'7 Önk'!H104+'8 PH'!H104+'9 VGIG'!H104+'10 Járób'!H104+'11 Szoci'!H104+'12 Ovi'!H104+'13 Művház'!H104+'14 Könyvt'!H104</f>
        <v>0</v>
      </c>
      <c r="H122" s="25">
        <f t="shared" si="35"/>
        <v>0</v>
      </c>
      <c r="K122" s="71"/>
    </row>
    <row r="123" spans="1:11" x14ac:dyDescent="0.25">
      <c r="A123" s="67" t="s">
        <v>268</v>
      </c>
      <c r="B123" s="65" t="s">
        <v>269</v>
      </c>
      <c r="C123" s="414">
        <f>+'7 Önk'!D105+'8 PH'!D105+'9 VGIG'!D105+'10 Járób'!D105+'11 Szoci'!D105+'12 Ovi'!D105+'13 Művház'!D105+'14 Könyvt'!D105</f>
        <v>0</v>
      </c>
      <c r="D123" s="414">
        <f>+'7 Önk'!E105+'8 PH'!E105+'9 VGIG'!E105+'10 Járób'!E105+'11 Szoci'!E105+'12 Ovi'!E105+'13 Művház'!E105+'14 Könyvt'!E105</f>
        <v>0</v>
      </c>
      <c r="E123" s="415">
        <f t="shared" si="34"/>
        <v>0</v>
      </c>
      <c r="F123" s="24">
        <f>+'7 Önk'!G105+'8 PH'!G105+'9 VGIG'!G105+'10 Járób'!G105+'11 Szoci'!G105+'12 Ovi'!G105+'13 Művház'!G105+'14 Könyvt'!G105</f>
        <v>0</v>
      </c>
      <c r="G123" s="24">
        <f>+'7 Önk'!H105+'8 PH'!H105+'9 VGIG'!H105+'10 Járób'!H105+'11 Szoci'!H105+'12 Ovi'!H105+'13 Művház'!H105+'14 Könyvt'!H105</f>
        <v>0</v>
      </c>
      <c r="H123" s="25">
        <f t="shared" si="35"/>
        <v>0</v>
      </c>
      <c r="K123" s="71"/>
    </row>
    <row r="124" spans="1:11" x14ac:dyDescent="0.25">
      <c r="A124" s="67" t="s">
        <v>270</v>
      </c>
      <c r="B124" s="65" t="s">
        <v>271</v>
      </c>
      <c r="C124" s="414">
        <f>+'7 Önk'!D106+'8 PH'!D106+'9 VGIG'!D106+'10 Járób'!D106+'11 Szoci'!D106+'12 Ovi'!D106+'13 Művház'!D106+'14 Könyvt'!D106</f>
        <v>29400000</v>
      </c>
      <c r="D124" s="414">
        <f>+'7 Önk'!E106+'8 PH'!E106+'9 VGIG'!E106+'10 Járób'!E106+'11 Szoci'!E106+'12 Ovi'!E106+'13 Művház'!E106+'14 Könyvt'!E106+'4 Átvett és Felh bev'!F66</f>
        <v>0</v>
      </c>
      <c r="E124" s="415">
        <f t="shared" si="34"/>
        <v>29400000</v>
      </c>
      <c r="F124" s="24">
        <f>+'7 Önk'!G106+'8 PH'!G106+'9 VGIG'!G106+'10 Járób'!G106+'11 Szoci'!G106+'12 Ovi'!G106+'13 Művház'!G106+'14 Könyvt'!G106</f>
        <v>0</v>
      </c>
      <c r="G124" s="24">
        <f>+'7 Önk'!H106+'8 PH'!H106+'9 VGIG'!H106+'10 Járób'!H106+'11 Szoci'!H106+'12 Ovi'!H106+'13 Művház'!H106+'14 Könyvt'!H106</f>
        <v>0</v>
      </c>
      <c r="H124" s="25">
        <f t="shared" si="35"/>
        <v>0</v>
      </c>
      <c r="K124" s="71"/>
    </row>
    <row r="125" spans="1:11" x14ac:dyDescent="0.25">
      <c r="A125" s="57" t="s">
        <v>272</v>
      </c>
      <c r="B125" s="66" t="s">
        <v>273</v>
      </c>
      <c r="C125" s="415">
        <f t="shared" ref="C125:H125" si="36">SUM(C120:C124)</f>
        <v>29400000</v>
      </c>
      <c r="D125" s="415">
        <f t="shared" si="36"/>
        <v>0</v>
      </c>
      <c r="E125" s="415">
        <f t="shared" si="36"/>
        <v>29400000</v>
      </c>
      <c r="F125" s="25">
        <f t="shared" si="36"/>
        <v>0</v>
      </c>
      <c r="G125" s="25">
        <f t="shared" si="36"/>
        <v>0</v>
      </c>
      <c r="H125" s="25">
        <f t="shared" si="36"/>
        <v>0</v>
      </c>
      <c r="I125" s="25"/>
      <c r="K125" s="71"/>
    </row>
    <row r="126" spans="1:11" x14ac:dyDescent="0.25">
      <c r="A126" s="82" t="s">
        <v>274</v>
      </c>
      <c r="B126" s="68" t="s">
        <v>275</v>
      </c>
      <c r="C126" s="417">
        <f t="shared" ref="C126:H126" si="37">+C125+C119+C118+C112+C100+C93+C92</f>
        <v>4721183118</v>
      </c>
      <c r="D126" s="417">
        <f t="shared" si="37"/>
        <v>2095560721</v>
      </c>
      <c r="E126" s="417">
        <f t="shared" si="37"/>
        <v>6816743839</v>
      </c>
      <c r="F126" s="70" t="e">
        <f t="shared" si="37"/>
        <v>#REF!</v>
      </c>
      <c r="G126" s="70">
        <f t="shared" si="37"/>
        <v>0</v>
      </c>
      <c r="H126" s="70" t="e">
        <f t="shared" si="37"/>
        <v>#REF!</v>
      </c>
      <c r="I126" s="70"/>
      <c r="K126" s="71"/>
    </row>
    <row r="127" spans="1:11" x14ac:dyDescent="0.25">
      <c r="A127" s="83" t="s">
        <v>276</v>
      </c>
      <c r="B127" s="84"/>
      <c r="C127" s="426">
        <f>+C119+C112+C100+C92-C33</f>
        <v>46704829</v>
      </c>
      <c r="D127" s="426">
        <f>+D119+D112+D100+D92-D33</f>
        <v>-257886690</v>
      </c>
      <c r="E127" s="426">
        <f>+D127+C127</f>
        <v>-211181861</v>
      </c>
      <c r="F127" s="85" t="e">
        <f>+F119+F112+F100+F92-F33</f>
        <v>#REF!</v>
      </c>
      <c r="G127" s="85">
        <f>+G119+G112+G100+G92-G33</f>
        <v>0</v>
      </c>
      <c r="H127" s="85" t="e">
        <f>+G127+F127</f>
        <v>#REF!</v>
      </c>
      <c r="K127" s="71"/>
    </row>
    <row r="128" spans="1:11" x14ac:dyDescent="0.25">
      <c r="A128" s="83" t="s">
        <v>277</v>
      </c>
      <c r="B128" s="84"/>
      <c r="C128" s="426">
        <f>+C125+C118+C93-C57</f>
        <v>-448428914</v>
      </c>
      <c r="D128" s="426">
        <f>+D125+D118+D93-D57</f>
        <v>-178432310</v>
      </c>
      <c r="E128" s="426">
        <f>+D128+C128</f>
        <v>-626861224</v>
      </c>
      <c r="F128" s="85">
        <f>+F125+F118+F93-F57</f>
        <v>0</v>
      </c>
      <c r="G128" s="85">
        <f>+G125+G118+G93-G57</f>
        <v>0</v>
      </c>
      <c r="H128" s="85">
        <f>+G128+F128</f>
        <v>0</v>
      </c>
      <c r="K128" s="71"/>
    </row>
    <row r="129" spans="1:11" x14ac:dyDescent="0.25">
      <c r="A129" s="73" t="s">
        <v>278</v>
      </c>
      <c r="B129" s="54" t="s">
        <v>279</v>
      </c>
      <c r="C129" s="414">
        <f>+'17 hitelek'!D55</f>
        <v>0</v>
      </c>
      <c r="D129" s="414">
        <f>+'17 hitelek'!E55</f>
        <v>0</v>
      </c>
      <c r="E129" s="415">
        <f>+D129+C129</f>
        <v>0</v>
      </c>
      <c r="F129" s="24">
        <f>+'17 hitelek'!F55</f>
        <v>0</v>
      </c>
      <c r="G129" s="24">
        <f>+'17 hitelek'!G55</f>
        <v>0</v>
      </c>
      <c r="H129" s="25">
        <f>+G129+F129</f>
        <v>0</v>
      </c>
      <c r="K129" s="71"/>
    </row>
    <row r="130" spans="1:11" x14ac:dyDescent="0.25">
      <c r="A130" s="67" t="s">
        <v>280</v>
      </c>
      <c r="B130" s="54" t="s">
        <v>281</v>
      </c>
      <c r="C130" s="414">
        <f>+'17 hitelek'!D58</f>
        <v>0</v>
      </c>
      <c r="D130" s="414">
        <f>+'17 hitelek'!E58</f>
        <v>0</v>
      </c>
      <c r="E130" s="415">
        <f>+D130+C130</f>
        <v>0</v>
      </c>
      <c r="F130" s="24">
        <f>+'17 hitelek'!F58</f>
        <v>0</v>
      </c>
      <c r="G130" s="24">
        <f>+'17 hitelek'!G58</f>
        <v>0</v>
      </c>
      <c r="H130" s="25">
        <f>+G130+F130</f>
        <v>0</v>
      </c>
      <c r="K130" s="71"/>
    </row>
    <row r="131" spans="1:11" x14ac:dyDescent="0.25">
      <c r="A131" s="73" t="s">
        <v>282</v>
      </c>
      <c r="B131" s="54" t="s">
        <v>283</v>
      </c>
      <c r="C131" s="414">
        <f>+'17 hitelek'!D60</f>
        <v>88500000</v>
      </c>
      <c r="D131" s="414">
        <f>+'17 hitelek'!E60</f>
        <v>0</v>
      </c>
      <c r="E131" s="415">
        <f>+D131+C131</f>
        <v>88500000</v>
      </c>
      <c r="F131" s="24">
        <f>+'17 hitelek'!F60</f>
        <v>0</v>
      </c>
      <c r="G131" s="24">
        <f>+'17 hitelek'!G60</f>
        <v>0</v>
      </c>
      <c r="H131" s="25">
        <f>+G131+F131</f>
        <v>0</v>
      </c>
      <c r="K131" s="71"/>
    </row>
    <row r="132" spans="1:11" x14ac:dyDescent="0.25">
      <c r="A132" s="58" t="s">
        <v>284</v>
      </c>
      <c r="B132" s="57" t="s">
        <v>285</v>
      </c>
      <c r="C132" s="415">
        <f t="shared" ref="C132:H132" si="38">SUM(C129:C131)</f>
        <v>88500000</v>
      </c>
      <c r="D132" s="415">
        <f t="shared" si="38"/>
        <v>0</v>
      </c>
      <c r="E132" s="415">
        <f t="shared" si="38"/>
        <v>88500000</v>
      </c>
      <c r="F132" s="25">
        <f t="shared" si="38"/>
        <v>0</v>
      </c>
      <c r="G132" s="25">
        <f t="shared" si="38"/>
        <v>0</v>
      </c>
      <c r="H132" s="25">
        <f t="shared" si="38"/>
        <v>0</v>
      </c>
      <c r="I132" s="25"/>
    </row>
    <row r="133" spans="1:11" hidden="1" x14ac:dyDescent="0.25">
      <c r="A133" s="67" t="s">
        <v>286</v>
      </c>
      <c r="B133" s="54" t="s">
        <v>287</v>
      </c>
      <c r="C133" s="414"/>
      <c r="D133" s="414"/>
      <c r="E133" s="415">
        <f>+D133+C133</f>
        <v>0</v>
      </c>
      <c r="F133" s="24"/>
      <c r="G133" s="24"/>
      <c r="H133" s="25">
        <f>+G133+F133</f>
        <v>0</v>
      </c>
    </row>
    <row r="134" spans="1:11" hidden="1" x14ac:dyDescent="0.25">
      <c r="A134" s="73" t="s">
        <v>288</v>
      </c>
      <c r="B134" s="54" t="s">
        <v>289</v>
      </c>
      <c r="C134" s="414"/>
      <c r="D134" s="414"/>
      <c r="E134" s="415">
        <f>+D134+C134</f>
        <v>0</v>
      </c>
      <c r="F134" s="24"/>
      <c r="G134" s="24"/>
      <c r="H134" s="25">
        <f>+G134+F134</f>
        <v>0</v>
      </c>
    </row>
    <row r="135" spans="1:11" hidden="1" x14ac:dyDescent="0.25">
      <c r="A135" s="67" t="s">
        <v>290</v>
      </c>
      <c r="B135" s="54" t="s">
        <v>291</v>
      </c>
      <c r="C135" s="414"/>
      <c r="D135" s="414"/>
      <c r="E135" s="415">
        <f>+D135+C135</f>
        <v>0</v>
      </c>
      <c r="F135" s="24"/>
      <c r="G135" s="24"/>
      <c r="H135" s="25">
        <f>+G135+F135</f>
        <v>0</v>
      </c>
    </row>
    <row r="136" spans="1:11" hidden="1" x14ac:dyDescent="0.25">
      <c r="A136" s="73" t="s">
        <v>292</v>
      </c>
      <c r="B136" s="54" t="s">
        <v>293</v>
      </c>
      <c r="C136" s="414"/>
      <c r="D136" s="414"/>
      <c r="E136" s="415">
        <f>+D136+C136</f>
        <v>0</v>
      </c>
      <c r="F136" s="24"/>
      <c r="G136" s="24"/>
      <c r="H136" s="25">
        <f>+G136+F136</f>
        <v>0</v>
      </c>
    </row>
    <row r="137" spans="1:11" x14ac:dyDescent="0.25">
      <c r="A137" s="75" t="s">
        <v>294</v>
      </c>
      <c r="B137" s="57" t="s">
        <v>295</v>
      </c>
      <c r="C137" s="415">
        <f t="shared" ref="C137:H137" si="39">SUM(C133:C136)</f>
        <v>0</v>
      </c>
      <c r="D137" s="415">
        <f t="shared" si="39"/>
        <v>0</v>
      </c>
      <c r="E137" s="415">
        <f t="shared" si="39"/>
        <v>0</v>
      </c>
      <c r="F137" s="25">
        <f t="shared" si="39"/>
        <v>0</v>
      </c>
      <c r="G137" s="25">
        <f t="shared" si="39"/>
        <v>0</v>
      </c>
      <c r="H137" s="25">
        <f t="shared" si="39"/>
        <v>0</v>
      </c>
    </row>
    <row r="138" spans="1:11" x14ac:dyDescent="0.25">
      <c r="A138" s="54" t="s">
        <v>296</v>
      </c>
      <c r="B138" s="54" t="s">
        <v>297</v>
      </c>
      <c r="C138" s="414">
        <f>+'7 Önk'!D113+'8 PH'!D113+'9 VGIG'!D113+'10 Járób'!D113+'11 Szoci'!D113+'12 Ovi'!D113+'13 Művház'!D113+'14 Könyvt'!D113</f>
        <v>133323433</v>
      </c>
      <c r="D138" s="414">
        <f>+'7 Önk'!E113+'8 PH'!E113+'9 VGIG'!E113+'10 Járób'!E113+'11 Szoci'!E113+'12 Ovi'!E113+'13 Művház'!E113+'14 Könyvt'!E113</f>
        <v>115939717</v>
      </c>
      <c r="E138" s="415">
        <f>+D138+C138</f>
        <v>249263150</v>
      </c>
      <c r="F138" s="24">
        <f>+'7 Önk'!G113+'8 PH'!G113+'9 VGIG'!G113+'10 Járób'!G113+'11 Szoci'!G113+'12 Ovi'!G113+'13 Művház'!G113+'14 Könyvt'!G113</f>
        <v>0</v>
      </c>
      <c r="G138" s="24">
        <f>+'7 Önk'!H113+'8 PH'!H113+'9 VGIG'!H113+'10 Járób'!H113+'11 Szoci'!H113+'12 Ovi'!H113+'13 Művház'!H113+'14 Könyvt'!H113</f>
        <v>0</v>
      </c>
      <c r="H138" s="25">
        <f>+G138+F138</f>
        <v>0</v>
      </c>
    </row>
    <row r="139" spans="1:11" x14ac:dyDescent="0.25">
      <c r="A139" s="54" t="s">
        <v>925</v>
      </c>
      <c r="B139" s="54" t="s">
        <v>297</v>
      </c>
      <c r="C139" s="414">
        <f>+'7 Önk'!D114+'8 PH'!D114+'9 VGIG'!D114+'10 Járób'!D114+'11 Szoci'!D114+'12 Ovi'!D114+'13 Művház'!D114+'14 Könyvt'!D114+'4 Átvett és Felh bev'!D72</f>
        <v>619779935</v>
      </c>
      <c r="D139" s="414">
        <f>+'7 Önk'!E114+'8 PH'!E114+'9 VGIG'!E114+'10 Járób'!E114+'11 Szoci'!E114+'12 Ovi'!E114+'13 Művház'!E114+'14 Könyvt'!E114+'4 Átvett és Felh bev'!E72</f>
        <v>0</v>
      </c>
      <c r="E139" s="415">
        <f>+D139+C139</f>
        <v>619779935</v>
      </c>
      <c r="F139" s="24">
        <f>+'7 Önk'!G114+'8 PH'!G114+'9 VGIG'!G114+'10 Járób'!G114+'11 Szoci'!G114+'12 Ovi'!G114+'13 Művház'!G114+'14 Könyvt'!G114+'4 Átvett és Felh bev'!F72</f>
        <v>0</v>
      </c>
      <c r="G139" s="24">
        <f>+'7 Önk'!H114+'8 PH'!H114+'9 VGIG'!H114+'10 Járób'!H114+'11 Szoci'!H114+'12 Ovi'!H114+'13 Művház'!H114+'14 Könyvt'!H114+'4 Átvett és Felh bev'!G72</f>
        <v>0</v>
      </c>
      <c r="H139" s="25">
        <f>+G139+F139</f>
        <v>0</v>
      </c>
    </row>
    <row r="140" spans="1:11" hidden="1" x14ac:dyDescent="0.25">
      <c r="A140" s="54" t="s">
        <v>299</v>
      </c>
      <c r="B140" s="54" t="s">
        <v>300</v>
      </c>
      <c r="C140" s="414"/>
      <c r="D140" s="414"/>
      <c r="E140" s="415">
        <f>+D140+C140</f>
        <v>0</v>
      </c>
      <c r="F140" s="24"/>
      <c r="G140" s="24"/>
      <c r="H140" s="25">
        <f>+G140+F140</f>
        <v>0</v>
      </c>
    </row>
    <row r="141" spans="1:11" hidden="1" x14ac:dyDescent="0.25">
      <c r="A141" s="54" t="s">
        <v>301</v>
      </c>
      <c r="B141" s="54" t="s">
        <v>300</v>
      </c>
      <c r="C141" s="414"/>
      <c r="D141" s="414"/>
      <c r="E141" s="415">
        <f>+D141+C141</f>
        <v>0</v>
      </c>
      <c r="F141" s="24"/>
      <c r="G141" s="24"/>
      <c r="H141" s="25">
        <f>+G141+F141</f>
        <v>0</v>
      </c>
    </row>
    <row r="142" spans="1:11" x14ac:dyDescent="0.25">
      <c r="A142" s="57" t="s">
        <v>302</v>
      </c>
      <c r="B142" s="57" t="s">
        <v>303</v>
      </c>
      <c r="C142" s="415">
        <f t="shared" ref="C142:H142" si="40">SUM(C138:C141)</f>
        <v>753103368</v>
      </c>
      <c r="D142" s="415">
        <f t="shared" si="40"/>
        <v>115939717</v>
      </c>
      <c r="E142" s="415">
        <f t="shared" si="40"/>
        <v>869043085</v>
      </c>
      <c r="F142" s="25">
        <f t="shared" si="40"/>
        <v>0</v>
      </c>
      <c r="G142" s="25">
        <f t="shared" si="40"/>
        <v>0</v>
      </c>
      <c r="H142" s="25">
        <f t="shared" si="40"/>
        <v>0</v>
      </c>
      <c r="I142" s="25"/>
    </row>
    <row r="143" spans="1:11" x14ac:dyDescent="0.25">
      <c r="A143" s="73" t="s">
        <v>304</v>
      </c>
      <c r="B143" s="54" t="s">
        <v>305</v>
      </c>
      <c r="C143" s="414">
        <f>+'7 Önk'!D118+'8 PH'!D118+'9 VGIG'!D118+'10 Járób'!D118+'11 Szoci'!D118+'12 Ovi'!D118+'13 Művház'!D118+'14 Könyvt'!D118</f>
        <v>0</v>
      </c>
      <c r="D143" s="414">
        <f>+'7 Önk'!E118+'8 PH'!E118+'9 VGIG'!E118+'10 Járób'!E118+'11 Szoci'!E118+'12 Ovi'!E118+'13 Művház'!E118+'14 Könyvt'!E118</f>
        <v>0</v>
      </c>
      <c r="E143" s="415">
        <f>+D143+C143</f>
        <v>0</v>
      </c>
      <c r="F143" s="24">
        <f>+'7 Önk'!G118+'8 PH'!G118+'9 VGIG'!G118+'10 Járób'!G118+'11 Szoci'!G118+'12 Ovi'!G118+'13 Művház'!G118+'14 Könyvt'!G118</f>
        <v>0</v>
      </c>
      <c r="G143" s="24">
        <f>+'7 Önk'!H118+'8 PH'!H118+'9 VGIG'!H118+'10 Járób'!H118+'11 Szoci'!H118+'12 Ovi'!H118+'13 Művház'!H118+'14 Könyvt'!H118</f>
        <v>0</v>
      </c>
      <c r="H143" s="25">
        <f>+G143+F143</f>
        <v>0</v>
      </c>
    </row>
    <row r="144" spans="1:11" x14ac:dyDescent="0.25">
      <c r="A144" s="73" t="s">
        <v>306</v>
      </c>
      <c r="B144" s="54" t="s">
        <v>307</v>
      </c>
      <c r="C144" s="414">
        <f>+'7 Önk'!D119+'8 PH'!D119+'9 VGIG'!D119+'10 Járób'!D119+'11 Szoci'!D119+'12 Ovi'!D119+'13 Művház'!D119+'14 Könyvt'!D119</f>
        <v>0</v>
      </c>
      <c r="D144" s="414">
        <f>+'7 Önk'!E119+'8 PH'!E119+'9 VGIG'!E119+'10 Járób'!E119+'11 Szoci'!E119+'12 Ovi'!E119+'13 Művház'!E119+'14 Könyvt'!E119</f>
        <v>0</v>
      </c>
      <c r="E144" s="415">
        <f>+D144+C144</f>
        <v>0</v>
      </c>
      <c r="F144" s="24">
        <f>+'7 Önk'!G119+'8 PH'!G119+'9 VGIG'!G119+'10 Járób'!G119+'11 Szoci'!G119+'12 Ovi'!G119+'13 Művház'!G119+'14 Könyvt'!G119</f>
        <v>0</v>
      </c>
      <c r="G144" s="24">
        <f>+'7 Önk'!H119+'8 PH'!H119+'9 VGIG'!H119+'10 Járób'!H119+'11 Szoci'!H119+'12 Ovi'!H119+'13 Művház'!H119+'14 Könyvt'!H119</f>
        <v>0</v>
      </c>
      <c r="H144" s="25">
        <f>+G144+F144</f>
        <v>0</v>
      </c>
    </row>
    <row r="145" spans="1:9" x14ac:dyDescent="0.25">
      <c r="A145" s="73" t="s">
        <v>308</v>
      </c>
      <c r="B145" s="54" t="s">
        <v>309</v>
      </c>
      <c r="C145" s="414"/>
      <c r="D145" s="414"/>
      <c r="E145" s="415"/>
      <c r="F145" s="24"/>
      <c r="G145" s="24"/>
      <c r="H145" s="25"/>
    </row>
    <row r="146" spans="1:9" x14ac:dyDescent="0.25">
      <c r="A146" s="73" t="s">
        <v>310</v>
      </c>
      <c r="B146" s="54" t="s">
        <v>311</v>
      </c>
      <c r="C146" s="414">
        <f>+'7 Önk'!D123+'8 PH'!D123+'9 VGIG'!D123+'10 Járób'!D123+'11 Szoci'!D123+'12 Ovi'!D123+'13 Művház'!D123+'14 Könyvt'!D123</f>
        <v>0</v>
      </c>
      <c r="D146" s="414">
        <f>+'7 Önk'!E123+'8 PH'!E123+'9 VGIG'!E123+'10 Járób'!E123+'11 Szoci'!E123+'12 Ovi'!E123+'13 Művház'!E123+'14 Könyvt'!E123</f>
        <v>0</v>
      </c>
      <c r="E146" s="415">
        <f>+D146+C146</f>
        <v>0</v>
      </c>
      <c r="F146" s="24">
        <f>+'7 Önk'!G123+'8 PH'!G123+'9 VGIG'!G123+'10 Járób'!G123+'11 Szoci'!G123+'12 Ovi'!G123+'13 Művház'!G123+'14 Könyvt'!G123</f>
        <v>0</v>
      </c>
      <c r="G146" s="24">
        <f>+'7 Önk'!H123+'8 PH'!H123+'9 VGIG'!H123+'10 Járób'!H123+'11 Szoci'!H123+'12 Ovi'!H123+'13 Művház'!H123+'14 Könyvt'!H123</f>
        <v>0</v>
      </c>
      <c r="H146" s="25">
        <f>+G146+F146</f>
        <v>0</v>
      </c>
    </row>
    <row r="147" spans="1:9" x14ac:dyDescent="0.25">
      <c r="A147" s="67" t="s">
        <v>312</v>
      </c>
      <c r="B147" s="54" t="s">
        <v>313</v>
      </c>
      <c r="C147" s="414">
        <f>+'7 Önk'!D124+'8 PH'!D124+'9 VGIG'!D124+'10 Járób'!D124+'11 Szoci'!D124+'12 Ovi'!D124+'13 Művház'!D124+'14 Könyvt'!D124</f>
        <v>0</v>
      </c>
      <c r="D147" s="414">
        <f>+'7 Önk'!E124+'8 PH'!E124+'9 VGIG'!E124+'10 Járób'!E124+'11 Szoci'!E124+'12 Ovi'!E124+'13 Művház'!E124+'14 Könyvt'!E124</f>
        <v>0</v>
      </c>
      <c r="E147" s="415">
        <f>+D147+C147</f>
        <v>0</v>
      </c>
      <c r="F147" s="24">
        <f>+'7 Önk'!G124+'8 PH'!G124+'9 VGIG'!G124+'10 Járób'!G124+'11 Szoci'!G124+'12 Ovi'!G124+'13 Művház'!G124+'14 Könyvt'!G124</f>
        <v>0</v>
      </c>
      <c r="G147" s="24">
        <f>+'7 Önk'!H124+'8 PH'!H124+'9 VGIG'!H124+'10 Járób'!H124+'11 Szoci'!H124+'12 Ovi'!H124+'13 Művház'!H124+'14 Könyvt'!H124</f>
        <v>0</v>
      </c>
      <c r="H147" s="25">
        <f>+G147+F147</f>
        <v>0</v>
      </c>
    </row>
    <row r="148" spans="1:9" x14ac:dyDescent="0.25">
      <c r="A148" s="67" t="s">
        <v>314</v>
      </c>
      <c r="B148" s="54" t="s">
        <v>315</v>
      </c>
      <c r="C148" s="414">
        <f>+'7 Önk'!D125+'8 PH'!D125+'9 VGIG'!D125+'10 Járób'!D125+'11 Szoci'!D125+'12 Ovi'!D125+'13 Művház'!D125+'14 Könyvt'!D125</f>
        <v>0</v>
      </c>
      <c r="D148" s="414">
        <f>+'7 Önk'!E125+'8 PH'!E125+'9 VGIG'!E125+'10 Járób'!E125+'11 Szoci'!E125+'12 Ovi'!E125+'13 Művház'!E125+'14 Könyvt'!E125</f>
        <v>0</v>
      </c>
      <c r="E148" s="415">
        <f>+D148+C148</f>
        <v>0</v>
      </c>
      <c r="F148" s="24">
        <f>+'7 Önk'!G125+'8 PH'!G125+'9 VGIG'!G125+'10 Járób'!G125+'11 Szoci'!G125+'12 Ovi'!G125+'13 Művház'!G125+'14 Könyvt'!G125</f>
        <v>0</v>
      </c>
      <c r="G148" s="24">
        <f>+'7 Önk'!H125+'8 PH'!H125+'9 VGIG'!H125+'10 Járób'!H125+'11 Szoci'!H125+'12 Ovi'!H125+'13 Művház'!H125+'14 Könyvt'!H125</f>
        <v>0</v>
      </c>
      <c r="H148" s="25">
        <f>+G148+F148</f>
        <v>0</v>
      </c>
    </row>
    <row r="149" spans="1:9" x14ac:dyDescent="0.25">
      <c r="A149" s="58" t="s">
        <v>316</v>
      </c>
      <c r="B149" s="57" t="s">
        <v>317</v>
      </c>
      <c r="C149" s="415">
        <f t="shared" ref="C149:H149" si="41">SUM(C143:C147)+C142+C137+C132</f>
        <v>841603368</v>
      </c>
      <c r="D149" s="415">
        <f t="shared" si="41"/>
        <v>115939717</v>
      </c>
      <c r="E149" s="415">
        <f t="shared" si="41"/>
        <v>957543085</v>
      </c>
      <c r="F149" s="25">
        <f t="shared" si="41"/>
        <v>0</v>
      </c>
      <c r="G149" s="25">
        <f t="shared" si="41"/>
        <v>0</v>
      </c>
      <c r="H149" s="25">
        <f t="shared" si="41"/>
        <v>0</v>
      </c>
      <c r="I149" s="25"/>
    </row>
    <row r="150" spans="1:9" hidden="1" x14ac:dyDescent="0.25">
      <c r="A150" s="73" t="s">
        <v>318</v>
      </c>
      <c r="B150" s="54" t="s">
        <v>319</v>
      </c>
      <c r="C150" s="414">
        <f>+'7 Önk'!D127+'8 PH'!D127+'9 VGIG'!D127+'10 Járób'!D127+'11 Szoci'!D127+'12 Ovi'!D127+'13 Művház'!D127+'14 Könyvt'!D127</f>
        <v>0</v>
      </c>
      <c r="D150" s="414">
        <f>+'7 Önk'!E127+'8 PH'!E127+'9 VGIG'!E127+'10 Járób'!E127+'11 Szoci'!E127+'12 Ovi'!E127+'13 Művház'!E127+'14 Könyvt'!E127</f>
        <v>0</v>
      </c>
      <c r="E150" s="415">
        <f>+D150+C150</f>
        <v>0</v>
      </c>
      <c r="F150" s="24">
        <f>+'7 Önk'!G127+'8 PH'!G127+'9 VGIG'!G127+'10 Járób'!G127+'11 Szoci'!G127+'12 Ovi'!G127+'13 Művház'!G127+'14 Könyvt'!G127</f>
        <v>0</v>
      </c>
      <c r="G150" s="24">
        <f>+'7 Önk'!H127+'8 PH'!H127+'9 VGIG'!H127+'10 Járób'!H127+'11 Szoci'!H127+'12 Ovi'!H127+'13 Művház'!H127+'14 Könyvt'!H127</f>
        <v>0</v>
      </c>
      <c r="H150" s="25">
        <f>+G150+F150</f>
        <v>0</v>
      </c>
    </row>
    <row r="151" spans="1:9" hidden="1" x14ac:dyDescent="0.25">
      <c r="A151" s="67" t="s">
        <v>320</v>
      </c>
      <c r="B151" s="54" t="s">
        <v>321</v>
      </c>
      <c r="C151" s="414">
        <f>+'7 Önk'!D128+'8 PH'!D128+'9 VGIG'!D128+'10 Járób'!D128+'11 Szoci'!D128+'12 Ovi'!D128+'13 Művház'!D128+'14 Könyvt'!D128</f>
        <v>0</v>
      </c>
      <c r="D151" s="414">
        <f>+'7 Önk'!E128+'8 PH'!E128+'9 VGIG'!E128+'10 Járób'!E128+'11 Szoci'!E128+'12 Ovi'!E128+'13 Művház'!E128+'14 Könyvt'!E128</f>
        <v>0</v>
      </c>
      <c r="E151" s="415">
        <f>+D151+C151</f>
        <v>0</v>
      </c>
      <c r="F151" s="24">
        <f>+'7 Önk'!G128+'8 PH'!G128+'9 VGIG'!G128+'10 Járób'!G128+'11 Szoci'!G128+'12 Ovi'!G128+'13 Művház'!G128+'14 Könyvt'!G128</f>
        <v>0</v>
      </c>
      <c r="G151" s="24">
        <f>+'7 Önk'!H128+'8 PH'!H128+'9 VGIG'!H128+'10 Járób'!H128+'11 Szoci'!H128+'12 Ovi'!H128+'13 Művház'!H128+'14 Könyvt'!H128</f>
        <v>0</v>
      </c>
      <c r="H151" s="25">
        <f>+G151+F151</f>
        <v>0</v>
      </c>
    </row>
    <row r="152" spans="1:9" hidden="1" x14ac:dyDescent="0.25">
      <c r="A152" s="67" t="s">
        <v>322</v>
      </c>
      <c r="B152" s="54" t="s">
        <v>323</v>
      </c>
      <c r="C152" s="414">
        <f>+'7 Önk'!D129+'8 PH'!D129+'9 VGIG'!D129+'10 Járób'!D129+'11 Szoci'!D129+'12 Ovi'!D129+'13 Művház'!D129+'14 Könyvt'!D129</f>
        <v>0</v>
      </c>
      <c r="D152" s="414">
        <f>+'7 Önk'!E129+'8 PH'!E129+'9 VGIG'!E129+'10 Járób'!E129+'11 Szoci'!E129+'12 Ovi'!E129+'13 Művház'!E129+'14 Könyvt'!E129</f>
        <v>0</v>
      </c>
      <c r="E152" s="415">
        <f>+D152+C152</f>
        <v>0</v>
      </c>
      <c r="F152" s="24">
        <f>+'7 Önk'!G129+'8 PH'!G129+'9 VGIG'!G129+'10 Járób'!G129+'11 Szoci'!G129+'12 Ovi'!G129+'13 Művház'!G129+'14 Könyvt'!G129</f>
        <v>0</v>
      </c>
      <c r="G152" s="24">
        <f>+'7 Önk'!H129+'8 PH'!H129+'9 VGIG'!H129+'10 Járób'!H129+'11 Szoci'!H129+'12 Ovi'!H129+'13 Művház'!H129+'14 Könyvt'!H129</f>
        <v>0</v>
      </c>
      <c r="H152" s="25">
        <f>+G152+F152</f>
        <v>0</v>
      </c>
    </row>
    <row r="153" spans="1:9" x14ac:dyDescent="0.25">
      <c r="A153" s="76" t="s">
        <v>324</v>
      </c>
      <c r="B153" s="77" t="s">
        <v>325</v>
      </c>
      <c r="C153" s="417">
        <f t="shared" ref="C153:H153" si="42">+C151+C150+C149+C152</f>
        <v>841603368</v>
      </c>
      <c r="D153" s="417">
        <f t="shared" si="42"/>
        <v>115939717</v>
      </c>
      <c r="E153" s="417">
        <f t="shared" si="42"/>
        <v>957543085</v>
      </c>
      <c r="F153" s="70">
        <f t="shared" si="42"/>
        <v>0</v>
      </c>
      <c r="G153" s="70">
        <f t="shared" si="42"/>
        <v>0</v>
      </c>
      <c r="H153" s="70">
        <f t="shared" si="42"/>
        <v>0</v>
      </c>
      <c r="I153" s="70"/>
    </row>
    <row r="154" spans="1:9" x14ac:dyDescent="0.25">
      <c r="A154" s="28" t="s">
        <v>326</v>
      </c>
      <c r="B154" s="28" t="s">
        <v>327</v>
      </c>
      <c r="C154" s="421">
        <f t="shared" ref="C154:H154" si="43">+C126+C153</f>
        <v>5562786486</v>
      </c>
      <c r="D154" s="421">
        <f t="shared" si="43"/>
        <v>2211500438</v>
      </c>
      <c r="E154" s="421">
        <f t="shared" si="43"/>
        <v>7774286924</v>
      </c>
      <c r="F154" s="29" t="e">
        <f t="shared" si="43"/>
        <v>#REF!</v>
      </c>
      <c r="G154" s="29">
        <f t="shared" si="43"/>
        <v>0</v>
      </c>
      <c r="H154" s="29" t="e">
        <f t="shared" si="43"/>
        <v>#REF!</v>
      </c>
      <c r="I154" s="29"/>
    </row>
    <row r="155" spans="1:9" x14ac:dyDescent="0.25">
      <c r="A155" s="13"/>
      <c r="B155" s="13"/>
      <c r="C155" s="427"/>
      <c r="D155" s="427"/>
      <c r="E155" s="428"/>
      <c r="F155" s="14"/>
      <c r="G155" s="14"/>
      <c r="H155" s="86"/>
    </row>
    <row r="156" spans="1:9" x14ac:dyDescent="0.25">
      <c r="A156" s="26" t="s">
        <v>328</v>
      </c>
      <c r="B156" s="26"/>
      <c r="C156" s="415">
        <f t="shared" ref="C156:H156" si="44">+C126-C58</f>
        <v>-401724085</v>
      </c>
      <c r="D156" s="415">
        <f t="shared" si="44"/>
        <v>-436319000</v>
      </c>
      <c r="E156" s="415">
        <f t="shared" si="44"/>
        <v>-838043085</v>
      </c>
      <c r="F156" s="25" t="e">
        <f t="shared" si="44"/>
        <v>#REF!</v>
      </c>
      <c r="G156" s="25">
        <f t="shared" si="44"/>
        <v>0</v>
      </c>
      <c r="H156" s="25" t="e">
        <f t="shared" si="44"/>
        <v>#REF!</v>
      </c>
    </row>
    <row r="157" spans="1:9" x14ac:dyDescent="0.25">
      <c r="A157" s="26" t="s">
        <v>329</v>
      </c>
      <c r="B157" s="26"/>
      <c r="C157" s="415">
        <f t="shared" ref="C157:H157" si="45">+C153-C75</f>
        <v>722103368</v>
      </c>
      <c r="D157" s="415">
        <f t="shared" si="45"/>
        <v>115939717</v>
      </c>
      <c r="E157" s="415">
        <f t="shared" si="45"/>
        <v>838043085</v>
      </c>
      <c r="F157" s="25">
        <f t="shared" si="45"/>
        <v>0</v>
      </c>
      <c r="G157" s="25">
        <f t="shared" si="45"/>
        <v>0</v>
      </c>
      <c r="H157" s="25">
        <f t="shared" si="45"/>
        <v>0</v>
      </c>
    </row>
    <row r="158" spans="1:9" x14ac:dyDescent="0.25">
      <c r="A158" s="87"/>
      <c r="B158" s="87"/>
      <c r="C158" s="423"/>
      <c r="D158" s="423"/>
      <c r="E158" s="423"/>
      <c r="F158" s="81"/>
      <c r="G158" s="81"/>
      <c r="H158" s="81"/>
    </row>
    <row r="159" spans="1:9" x14ac:dyDescent="0.25">
      <c r="A159" s="26" t="s">
        <v>330</v>
      </c>
      <c r="B159" s="26"/>
      <c r="C159" s="415">
        <f>+C127+C131+C138-C61-C65</f>
        <v>149028262</v>
      </c>
      <c r="D159" s="415">
        <f>+D127+D132+D138-D61</f>
        <v>-141946973</v>
      </c>
      <c r="E159" s="415">
        <f>+C159+D159</f>
        <v>7081289</v>
      </c>
      <c r="F159" s="25" t="e">
        <f>+F127+F131+F138-F61-F65</f>
        <v>#REF!</v>
      </c>
      <c r="G159" s="25">
        <f>+G127+G132+G138-G61</f>
        <v>0</v>
      </c>
      <c r="H159" s="25" t="e">
        <f>+F159+G159</f>
        <v>#REF!</v>
      </c>
    </row>
    <row r="160" spans="1:9" x14ac:dyDescent="0.25">
      <c r="A160" s="26" t="s">
        <v>331</v>
      </c>
      <c r="B160" s="26"/>
      <c r="C160" s="415">
        <f t="shared" ref="C160:H160" si="46">+C128+C139-C59+C129+C130</f>
        <v>171351021</v>
      </c>
      <c r="D160" s="415">
        <f t="shared" si="46"/>
        <v>-178432310</v>
      </c>
      <c r="E160" s="415">
        <f t="shared" si="46"/>
        <v>-7081289</v>
      </c>
      <c r="F160" s="25">
        <f t="shared" si="46"/>
        <v>0</v>
      </c>
      <c r="G160" s="25">
        <f t="shared" si="46"/>
        <v>0</v>
      </c>
      <c r="H160" s="25">
        <f t="shared" si="46"/>
        <v>0</v>
      </c>
    </row>
    <row r="161" spans="1:8" x14ac:dyDescent="0.25">
      <c r="A161" s="13"/>
      <c r="B161" s="13"/>
      <c r="C161" s="427"/>
      <c r="D161" s="427"/>
      <c r="E161" s="428"/>
      <c r="F161" s="14"/>
      <c r="G161" s="14"/>
      <c r="H161" s="86"/>
    </row>
    <row r="162" spans="1:8" x14ac:dyDescent="0.25">
      <c r="A162" s="88" t="s">
        <v>332</v>
      </c>
      <c r="B162" s="13"/>
      <c r="C162" s="427">
        <f t="shared" ref="C162:H162" si="47">+C154-C76</f>
        <v>320379283</v>
      </c>
      <c r="D162" s="427">
        <f t="shared" si="47"/>
        <v>-320379283</v>
      </c>
      <c r="E162" s="427">
        <f t="shared" si="47"/>
        <v>0</v>
      </c>
      <c r="F162" s="14" t="e">
        <f t="shared" si="47"/>
        <v>#REF!</v>
      </c>
      <c r="G162" s="14">
        <f t="shared" si="47"/>
        <v>0</v>
      </c>
      <c r="H162" s="14" t="e">
        <f t="shared" si="47"/>
        <v>#REF!</v>
      </c>
    </row>
    <row r="163" spans="1:8" x14ac:dyDescent="0.25">
      <c r="A163" s="13"/>
      <c r="B163" s="13"/>
      <c r="C163" s="427"/>
      <c r="D163" s="427"/>
      <c r="E163" s="428"/>
      <c r="F163" s="14"/>
      <c r="G163" s="14"/>
      <c r="H163" s="86"/>
    </row>
    <row r="164" spans="1:8" x14ac:dyDescent="0.25">
      <c r="A164" s="13"/>
      <c r="B164" s="13"/>
      <c r="C164" s="427"/>
      <c r="D164" s="427"/>
      <c r="E164" s="428"/>
      <c r="F164" s="14"/>
      <c r="G164" s="14"/>
      <c r="H164" s="86"/>
    </row>
    <row r="165" spans="1:8" x14ac:dyDescent="0.25">
      <c r="A165" s="13"/>
      <c r="B165" s="13"/>
      <c r="C165" s="427"/>
      <c r="D165" s="427"/>
      <c r="E165" s="428"/>
      <c r="F165" s="14"/>
      <c r="G165" s="14"/>
      <c r="H165" s="86"/>
    </row>
    <row r="166" spans="1:8" x14ac:dyDescent="0.25">
      <c r="A166" s="13"/>
      <c r="B166" s="13"/>
      <c r="C166" s="427"/>
      <c r="D166" s="427"/>
      <c r="E166" s="428"/>
      <c r="F166" s="14"/>
      <c r="G166" s="14"/>
      <c r="H166" s="86"/>
    </row>
    <row r="167" spans="1:8" x14ac:dyDescent="0.25">
      <c r="A167" s="13"/>
      <c r="B167" s="13"/>
      <c r="C167" s="427"/>
      <c r="D167" s="427"/>
      <c r="E167" s="428"/>
      <c r="F167" s="14"/>
      <c r="G167" s="14"/>
      <c r="H167" s="86"/>
    </row>
    <row r="168" spans="1:8" x14ac:dyDescent="0.25">
      <c r="A168" s="13"/>
      <c r="B168" s="13"/>
      <c r="C168" s="427"/>
      <c r="D168" s="427"/>
      <c r="E168" s="428"/>
      <c r="F168" s="14"/>
      <c r="G168" s="14"/>
      <c r="H168" s="86"/>
    </row>
    <row r="169" spans="1:8" x14ac:dyDescent="0.25">
      <c r="A169" s="13"/>
      <c r="B169" s="13"/>
      <c r="C169" s="427"/>
      <c r="D169" s="427"/>
      <c r="E169" s="428"/>
      <c r="F169" s="14"/>
      <c r="G169" s="14"/>
      <c r="H169" s="86"/>
    </row>
    <row r="170" spans="1:8" x14ac:dyDescent="0.25">
      <c r="A170" s="13"/>
      <c r="B170" s="13"/>
      <c r="C170" s="427"/>
      <c r="D170" s="427"/>
      <c r="E170" s="428"/>
      <c r="F170" s="14"/>
      <c r="G170" s="14"/>
      <c r="H170" s="86"/>
    </row>
    <row r="171" spans="1:8" x14ac:dyDescent="0.25">
      <c r="A171" s="13"/>
      <c r="B171" s="13"/>
      <c r="C171" s="427"/>
      <c r="D171" s="427"/>
      <c r="E171" s="428"/>
      <c r="F171" s="14"/>
      <c r="G171" s="14"/>
      <c r="H171" s="86"/>
    </row>
    <row r="172" spans="1:8" x14ac:dyDescent="0.25">
      <c r="A172" s="13"/>
      <c r="B172" s="13"/>
      <c r="C172" s="427"/>
      <c r="D172" s="427"/>
      <c r="E172" s="428"/>
      <c r="F172" s="14"/>
      <c r="G172" s="14"/>
      <c r="H172" s="86"/>
    </row>
    <row r="173" spans="1:8" x14ac:dyDescent="0.25">
      <c r="A173" s="13"/>
      <c r="B173" s="13"/>
      <c r="C173" s="427"/>
      <c r="D173" s="427"/>
      <c r="E173" s="428"/>
      <c r="F173" s="14"/>
      <c r="G173" s="14"/>
      <c r="H173" s="86"/>
    </row>
    <row r="174" spans="1:8" x14ac:dyDescent="0.25">
      <c r="A174" s="13"/>
      <c r="B174" s="13"/>
      <c r="C174" s="427"/>
      <c r="D174" s="427"/>
      <c r="E174" s="428"/>
      <c r="F174" s="14"/>
      <c r="G174" s="14"/>
      <c r="H174" s="86"/>
    </row>
    <row r="175" spans="1:8" x14ac:dyDescent="0.25">
      <c r="A175" s="13"/>
      <c r="B175" s="13"/>
      <c r="C175" s="427"/>
      <c r="D175" s="427"/>
      <c r="E175" s="428"/>
      <c r="F175" s="14"/>
      <c r="G175" s="14"/>
      <c r="H175" s="86"/>
    </row>
    <row r="176" spans="1:8" x14ac:dyDescent="0.25">
      <c r="A176" s="13"/>
      <c r="B176" s="13"/>
      <c r="C176" s="427"/>
      <c r="D176" s="427"/>
      <c r="E176" s="428"/>
      <c r="F176" s="14"/>
      <c r="G176" s="14"/>
      <c r="H176" s="86"/>
    </row>
    <row r="177" spans="1:8" x14ac:dyDescent="0.25">
      <c r="A177" s="13"/>
      <c r="B177" s="13"/>
      <c r="C177" s="427"/>
      <c r="D177" s="427"/>
      <c r="E177" s="428"/>
      <c r="F177" s="14"/>
      <c r="G177" s="14"/>
      <c r="H177" s="86"/>
    </row>
    <row r="178" spans="1:8" x14ac:dyDescent="0.25">
      <c r="A178" s="13"/>
      <c r="B178" s="13"/>
      <c r="C178" s="427"/>
      <c r="D178" s="427"/>
      <c r="E178" s="428"/>
      <c r="F178" s="14"/>
      <c r="G178" s="14"/>
      <c r="H178" s="86"/>
    </row>
    <row r="179" spans="1:8" x14ac:dyDescent="0.25">
      <c r="A179" s="13"/>
      <c r="B179" s="13"/>
      <c r="C179" s="427"/>
      <c r="D179" s="427"/>
      <c r="E179" s="428"/>
      <c r="F179" s="14"/>
      <c r="G179" s="14"/>
      <c r="H179" s="86"/>
    </row>
    <row r="180" spans="1:8" x14ac:dyDescent="0.25">
      <c r="A180" s="13"/>
      <c r="B180" s="13"/>
      <c r="C180" s="427"/>
      <c r="D180" s="427"/>
      <c r="E180" s="428"/>
      <c r="F180" s="14"/>
      <c r="G180" s="14"/>
      <c r="H180" s="86"/>
    </row>
    <row r="181" spans="1:8" x14ac:dyDescent="0.25">
      <c r="A181" s="13"/>
      <c r="B181" s="13"/>
      <c r="C181" s="427"/>
      <c r="D181" s="427"/>
      <c r="E181" s="428"/>
      <c r="F181" s="14"/>
      <c r="G181" s="14"/>
      <c r="H181" s="86"/>
    </row>
    <row r="182" spans="1:8" x14ac:dyDescent="0.25">
      <c r="A182" s="13"/>
      <c r="B182" s="13"/>
      <c r="C182" s="427"/>
      <c r="D182" s="427"/>
      <c r="E182" s="428"/>
      <c r="F182" s="14"/>
      <c r="G182" s="14"/>
      <c r="H182" s="86"/>
    </row>
    <row r="183" spans="1:8" x14ac:dyDescent="0.25">
      <c r="A183" s="13"/>
      <c r="B183" s="13"/>
      <c r="C183" s="427"/>
      <c r="D183" s="427"/>
      <c r="E183" s="428"/>
      <c r="F183" s="14"/>
      <c r="G183" s="14"/>
      <c r="H183" s="86"/>
    </row>
    <row r="184" spans="1:8" x14ac:dyDescent="0.25">
      <c r="A184" s="13"/>
      <c r="B184" s="13"/>
      <c r="C184" s="427"/>
      <c r="D184" s="427"/>
      <c r="E184" s="428"/>
      <c r="F184" s="14"/>
      <c r="G184" s="14"/>
      <c r="H184" s="86"/>
    </row>
    <row r="185" spans="1:8" x14ac:dyDescent="0.25">
      <c r="A185" s="13"/>
      <c r="B185" s="13"/>
      <c r="C185" s="427"/>
      <c r="D185" s="427"/>
      <c r="E185" s="428"/>
      <c r="F185" s="14"/>
      <c r="G185" s="14"/>
      <c r="H185" s="86"/>
    </row>
    <row r="186" spans="1:8" x14ac:dyDescent="0.25">
      <c r="A186" s="13"/>
      <c r="B186" s="13"/>
      <c r="C186" s="427"/>
      <c r="D186" s="427"/>
      <c r="E186" s="428"/>
      <c r="F186" s="14"/>
      <c r="G186" s="14"/>
      <c r="H186" s="86"/>
    </row>
    <row r="187" spans="1:8" x14ac:dyDescent="0.25">
      <c r="A187" s="13"/>
      <c r="B187" s="13"/>
      <c r="C187" s="427"/>
      <c r="D187" s="427"/>
      <c r="E187" s="428"/>
      <c r="F187" s="14"/>
      <c r="G187" s="14"/>
      <c r="H187" s="86"/>
    </row>
    <row r="188" spans="1:8" x14ac:dyDescent="0.25">
      <c r="A188" s="13"/>
      <c r="B188" s="13"/>
      <c r="C188" s="427"/>
      <c r="D188" s="427"/>
      <c r="E188" s="428"/>
      <c r="F188" s="14"/>
      <c r="G188" s="14"/>
      <c r="H188" s="86"/>
    </row>
    <row r="189" spans="1:8" x14ac:dyDescent="0.25">
      <c r="A189" s="13"/>
      <c r="B189" s="13"/>
      <c r="C189" s="427"/>
      <c r="D189" s="427"/>
      <c r="E189" s="428"/>
      <c r="F189" s="14"/>
      <c r="G189" s="14"/>
      <c r="H189" s="86"/>
    </row>
    <row r="190" spans="1:8" x14ac:dyDescent="0.25">
      <c r="A190" s="13"/>
      <c r="B190" s="13"/>
      <c r="C190" s="427"/>
      <c r="D190" s="427"/>
      <c r="E190" s="428"/>
      <c r="F190" s="14"/>
      <c r="G190" s="14"/>
      <c r="H190" s="86"/>
    </row>
    <row r="191" spans="1:8" x14ac:dyDescent="0.25">
      <c r="A191" s="13"/>
      <c r="B191" s="13"/>
      <c r="C191" s="427"/>
      <c r="D191" s="427"/>
      <c r="E191" s="428"/>
      <c r="F191" s="14"/>
      <c r="G191" s="14"/>
      <c r="H191" s="86"/>
    </row>
    <row r="192" spans="1:8" x14ac:dyDescent="0.25">
      <c r="A192" s="13"/>
      <c r="B192" s="13"/>
      <c r="C192" s="427"/>
      <c r="D192" s="427"/>
      <c r="E192" s="428"/>
      <c r="F192" s="14"/>
      <c r="G192" s="14"/>
      <c r="H192" s="86"/>
    </row>
    <row r="193" spans="1:8" x14ac:dyDescent="0.25">
      <c r="A193" s="13"/>
      <c r="B193" s="13"/>
      <c r="C193" s="427"/>
      <c r="D193" s="427"/>
      <c r="E193" s="428"/>
      <c r="F193" s="14"/>
      <c r="G193" s="14"/>
      <c r="H193" s="86"/>
    </row>
    <row r="194" spans="1:8" x14ac:dyDescent="0.25">
      <c r="A194" s="13"/>
      <c r="B194" s="13"/>
      <c r="C194" s="427"/>
      <c r="D194" s="427"/>
      <c r="E194" s="428"/>
      <c r="F194" s="14"/>
      <c r="G194" s="14"/>
      <c r="H194" s="86"/>
    </row>
    <row r="195" spans="1:8" x14ac:dyDescent="0.25">
      <c r="A195" s="13"/>
      <c r="B195" s="13"/>
      <c r="C195" s="427"/>
      <c r="D195" s="427"/>
      <c r="E195" s="428"/>
      <c r="F195" s="14"/>
      <c r="G195" s="14"/>
      <c r="H195" s="86"/>
    </row>
    <row r="196" spans="1:8" x14ac:dyDescent="0.25">
      <c r="A196" s="13"/>
      <c r="B196" s="13"/>
      <c r="C196" s="427"/>
      <c r="D196" s="427"/>
      <c r="E196" s="428"/>
      <c r="F196" s="14"/>
      <c r="G196" s="14"/>
      <c r="H196" s="86"/>
    </row>
    <row r="197" spans="1:8" x14ac:dyDescent="0.25">
      <c r="A197" s="13"/>
      <c r="B197" s="13"/>
      <c r="C197" s="427"/>
      <c r="D197" s="427"/>
      <c r="E197" s="428"/>
      <c r="F197" s="14"/>
      <c r="G197" s="14"/>
      <c r="H197" s="86"/>
    </row>
    <row r="198" spans="1:8" x14ac:dyDescent="0.25">
      <c r="A198" s="13"/>
      <c r="B198" s="13"/>
      <c r="C198" s="427"/>
      <c r="D198" s="427"/>
      <c r="E198" s="428"/>
      <c r="F198" s="14"/>
      <c r="G198" s="14"/>
      <c r="H198" s="86"/>
    </row>
    <row r="199" spans="1:8" x14ac:dyDescent="0.25">
      <c r="A199" s="13"/>
      <c r="B199" s="13"/>
      <c r="C199" s="427"/>
      <c r="D199" s="427"/>
      <c r="E199" s="428"/>
      <c r="F199" s="14"/>
      <c r="G199" s="14"/>
      <c r="H199" s="86"/>
    </row>
    <row r="200" spans="1:8" x14ac:dyDescent="0.25">
      <c r="A200" s="13"/>
      <c r="B200" s="13"/>
      <c r="C200" s="427"/>
      <c r="D200" s="427"/>
      <c r="E200" s="428"/>
      <c r="F200" s="14"/>
      <c r="G200" s="14"/>
      <c r="H200" s="86"/>
    </row>
    <row r="201" spans="1:8" x14ac:dyDescent="0.25">
      <c r="A201" s="13"/>
      <c r="B201" s="13"/>
      <c r="C201" s="427"/>
      <c r="D201" s="427"/>
      <c r="E201" s="428"/>
      <c r="F201" s="14"/>
      <c r="G201" s="14"/>
      <c r="H201" s="86"/>
    </row>
    <row r="202" spans="1:8" x14ac:dyDescent="0.25">
      <c r="A202" s="13"/>
      <c r="B202" s="13"/>
      <c r="C202" s="427"/>
      <c r="D202" s="427"/>
      <c r="E202" s="428"/>
      <c r="F202" s="14"/>
      <c r="G202" s="14"/>
      <c r="H202" s="86"/>
    </row>
    <row r="203" spans="1:8" x14ac:dyDescent="0.25">
      <c r="A203" s="13"/>
      <c r="B203" s="13"/>
      <c r="C203" s="427"/>
      <c r="D203" s="427"/>
      <c r="E203" s="428"/>
      <c r="F203" s="14"/>
      <c r="G203" s="14"/>
      <c r="H203" s="86"/>
    </row>
    <row r="204" spans="1:8" x14ac:dyDescent="0.25">
      <c r="A204" s="13"/>
      <c r="B204" s="13"/>
      <c r="C204" s="427"/>
      <c r="D204" s="427"/>
      <c r="E204" s="428"/>
      <c r="F204" s="14"/>
      <c r="G204" s="14"/>
      <c r="H204" s="86"/>
    </row>
    <row r="205" spans="1:8" x14ac:dyDescent="0.25">
      <c r="A205" s="13"/>
      <c r="B205" s="13"/>
      <c r="C205" s="427"/>
      <c r="D205" s="427"/>
      <c r="E205" s="428"/>
      <c r="F205" s="14"/>
      <c r="G205" s="14"/>
      <c r="H205" s="86"/>
    </row>
    <row r="206" spans="1:8" x14ac:dyDescent="0.25">
      <c r="A206" s="13"/>
      <c r="B206" s="13"/>
      <c r="C206" s="427"/>
      <c r="D206" s="427"/>
      <c r="E206" s="428"/>
      <c r="F206" s="14"/>
      <c r="G206" s="14"/>
      <c r="H206" s="86"/>
    </row>
    <row r="207" spans="1:8" x14ac:dyDescent="0.25">
      <c r="A207" s="13"/>
      <c r="B207" s="13"/>
      <c r="C207" s="427"/>
      <c r="D207" s="427"/>
      <c r="E207" s="428"/>
      <c r="F207" s="14"/>
      <c r="G207" s="14"/>
      <c r="H207" s="86"/>
    </row>
    <row r="208" spans="1:8" x14ac:dyDescent="0.25">
      <c r="A208" s="13"/>
      <c r="B208" s="13"/>
      <c r="C208" s="427"/>
      <c r="D208" s="427"/>
      <c r="E208" s="428"/>
      <c r="F208" s="14"/>
      <c r="G208" s="14"/>
      <c r="H208" s="86"/>
    </row>
    <row r="209" spans="1:8" x14ac:dyDescent="0.25">
      <c r="A209" s="13"/>
      <c r="B209" s="13"/>
      <c r="C209" s="427"/>
      <c r="D209" s="427"/>
      <c r="E209" s="428"/>
      <c r="F209" s="14"/>
      <c r="G209" s="14"/>
      <c r="H209" s="86"/>
    </row>
    <row r="210" spans="1:8" x14ac:dyDescent="0.25">
      <c r="A210" s="13"/>
      <c r="B210" s="13"/>
      <c r="C210" s="427"/>
      <c r="D210" s="427"/>
      <c r="E210" s="428"/>
      <c r="F210" s="14"/>
      <c r="G210" s="14"/>
      <c r="H210" s="86"/>
    </row>
    <row r="211" spans="1:8" x14ac:dyDescent="0.25">
      <c r="A211" s="13"/>
      <c r="B211" s="13"/>
      <c r="C211" s="427"/>
      <c r="D211" s="427"/>
      <c r="E211" s="428"/>
      <c r="F211" s="14"/>
      <c r="G211" s="14"/>
      <c r="H211" s="86"/>
    </row>
    <row r="212" spans="1:8" x14ac:dyDescent="0.25">
      <c r="A212" s="13"/>
      <c r="B212" s="13"/>
      <c r="C212" s="427"/>
      <c r="D212" s="427"/>
      <c r="E212" s="428"/>
      <c r="F212" s="14"/>
      <c r="G212" s="14"/>
      <c r="H212" s="86"/>
    </row>
    <row r="213" spans="1:8" x14ac:dyDescent="0.25">
      <c r="A213" s="13"/>
      <c r="B213" s="13"/>
      <c r="C213" s="427"/>
      <c r="D213" s="427"/>
      <c r="E213" s="428"/>
      <c r="F213" s="14"/>
      <c r="G213" s="14"/>
      <c r="H213" s="86"/>
    </row>
    <row r="214" spans="1:8" x14ac:dyDescent="0.25">
      <c r="A214" s="13"/>
      <c r="B214" s="13"/>
      <c r="C214" s="427"/>
      <c r="D214" s="427"/>
      <c r="E214" s="428"/>
      <c r="F214" s="14"/>
      <c r="G214" s="14"/>
      <c r="H214" s="86"/>
    </row>
    <row r="215" spans="1:8" x14ac:dyDescent="0.25">
      <c r="A215" s="13"/>
      <c r="B215" s="13"/>
      <c r="C215" s="427"/>
      <c r="D215" s="427"/>
      <c r="E215" s="428"/>
      <c r="F215" s="14"/>
      <c r="G215" s="14"/>
      <c r="H215" s="86"/>
    </row>
    <row r="216" spans="1:8" x14ac:dyDescent="0.25">
      <c r="A216" s="13"/>
      <c r="B216" s="13"/>
      <c r="C216" s="163"/>
      <c r="D216" s="163"/>
      <c r="E216" s="260"/>
      <c r="F216" s="14"/>
      <c r="G216" s="14"/>
      <c r="H216" s="86"/>
    </row>
    <row r="217" spans="1:8" x14ac:dyDescent="0.25">
      <c r="A217" s="13"/>
      <c r="B217" s="13"/>
      <c r="C217" s="163"/>
      <c r="D217" s="163"/>
      <c r="E217" s="260"/>
      <c r="F217" s="14"/>
      <c r="G217" s="14"/>
      <c r="H217" s="86"/>
    </row>
    <row r="218" spans="1:8" x14ac:dyDescent="0.25">
      <c r="A218" s="13"/>
      <c r="B218" s="13"/>
      <c r="C218" s="163"/>
      <c r="D218" s="163"/>
      <c r="E218" s="260"/>
      <c r="F218" s="14"/>
      <c r="G218" s="14"/>
      <c r="H218" s="86"/>
    </row>
    <row r="219" spans="1:8" x14ac:dyDescent="0.25">
      <c r="A219" s="13"/>
      <c r="B219" s="13"/>
      <c r="C219" s="163"/>
      <c r="D219" s="163"/>
      <c r="E219" s="260"/>
      <c r="F219" s="14"/>
      <c r="G219" s="14"/>
      <c r="H219" s="86"/>
    </row>
    <row r="220" spans="1:8" x14ac:dyDescent="0.25">
      <c r="A220" s="13"/>
      <c r="B220" s="13"/>
      <c r="C220" s="163"/>
      <c r="D220" s="163"/>
      <c r="E220" s="260"/>
      <c r="F220" s="14"/>
      <c r="G220" s="14"/>
      <c r="H220" s="86"/>
    </row>
    <row r="221" spans="1:8" x14ac:dyDescent="0.25">
      <c r="A221" s="13"/>
      <c r="B221" s="13"/>
      <c r="C221" s="163"/>
      <c r="D221" s="163"/>
      <c r="E221" s="260"/>
      <c r="F221" s="14"/>
      <c r="G221" s="14"/>
      <c r="H221" s="86"/>
    </row>
    <row r="222" spans="1:8" x14ac:dyDescent="0.25">
      <c r="A222" s="13"/>
      <c r="B222" s="13"/>
      <c r="C222" s="163"/>
      <c r="D222" s="163"/>
      <c r="E222" s="260"/>
      <c r="F222" s="14"/>
      <c r="G222" s="14"/>
      <c r="H222" s="86"/>
    </row>
    <row r="223" spans="1:8" x14ac:dyDescent="0.25">
      <c r="A223" s="13"/>
      <c r="B223" s="13"/>
      <c r="C223" s="163"/>
      <c r="D223" s="163"/>
      <c r="E223" s="260"/>
      <c r="F223" s="14"/>
      <c r="G223" s="14"/>
      <c r="H223" s="86"/>
    </row>
    <row r="224" spans="1:8" x14ac:dyDescent="0.25">
      <c r="A224" s="13"/>
      <c r="B224" s="13"/>
      <c r="C224" s="163"/>
      <c r="D224" s="163"/>
      <c r="E224" s="260"/>
      <c r="F224" s="14"/>
      <c r="G224" s="14"/>
      <c r="H224" s="86"/>
    </row>
    <row r="225" spans="1:8" x14ac:dyDescent="0.25">
      <c r="A225" s="13"/>
      <c r="B225" s="13"/>
      <c r="C225" s="163"/>
      <c r="D225" s="163"/>
      <c r="E225" s="260"/>
      <c r="F225" s="14"/>
      <c r="G225" s="14"/>
      <c r="H225" s="86"/>
    </row>
    <row r="226" spans="1:8" x14ac:dyDescent="0.25">
      <c r="A226" s="13"/>
      <c r="B226" s="13"/>
      <c r="C226" s="163"/>
      <c r="D226" s="163"/>
      <c r="E226" s="260"/>
      <c r="F226" s="14"/>
      <c r="G226" s="14"/>
      <c r="H226" s="86"/>
    </row>
    <row r="227" spans="1:8" x14ac:dyDescent="0.25">
      <c r="A227" s="13"/>
      <c r="B227" s="13"/>
      <c r="C227" s="163"/>
      <c r="D227" s="163"/>
      <c r="E227" s="260"/>
      <c r="F227" s="14"/>
      <c r="G227" s="14"/>
      <c r="H227" s="86"/>
    </row>
    <row r="228" spans="1:8" x14ac:dyDescent="0.25">
      <c r="A228" s="13"/>
      <c r="B228" s="13"/>
      <c r="C228" s="163"/>
      <c r="D228" s="163"/>
      <c r="E228" s="260"/>
      <c r="F228" s="14"/>
      <c r="G228" s="14"/>
      <c r="H228" s="86"/>
    </row>
    <row r="229" spans="1:8" x14ac:dyDescent="0.25">
      <c r="A229" s="13"/>
      <c r="B229" s="13"/>
      <c r="C229" s="163"/>
      <c r="D229" s="163"/>
      <c r="E229" s="260"/>
      <c r="F229" s="14"/>
      <c r="G229" s="14"/>
      <c r="H229" s="86"/>
    </row>
    <row r="230" spans="1:8" x14ac:dyDescent="0.25">
      <c r="A230" s="13"/>
      <c r="B230" s="13"/>
      <c r="C230" s="163"/>
      <c r="D230" s="163"/>
      <c r="E230" s="260"/>
      <c r="F230" s="14"/>
      <c r="G230" s="14"/>
      <c r="H230" s="86"/>
    </row>
    <row r="231" spans="1:8" x14ac:dyDescent="0.25">
      <c r="A231" s="13"/>
      <c r="B231" s="13"/>
      <c r="C231" s="163"/>
      <c r="D231" s="163"/>
      <c r="E231" s="260"/>
      <c r="F231" s="14"/>
      <c r="G231" s="14"/>
      <c r="H231" s="86"/>
    </row>
    <row r="232" spans="1:8" x14ac:dyDescent="0.25">
      <c r="A232" s="13"/>
      <c r="B232" s="13"/>
      <c r="C232" s="163"/>
      <c r="D232" s="163"/>
      <c r="E232" s="260"/>
      <c r="F232" s="14"/>
      <c r="G232" s="14"/>
      <c r="H232" s="86"/>
    </row>
    <row r="233" spans="1:8" x14ac:dyDescent="0.25">
      <c r="A233" s="13"/>
      <c r="B233" s="13"/>
      <c r="C233" s="163"/>
      <c r="D233" s="163"/>
      <c r="E233" s="260"/>
      <c r="F233" s="14"/>
      <c r="G233" s="14"/>
      <c r="H233" s="86"/>
    </row>
    <row r="234" spans="1:8" x14ac:dyDescent="0.25">
      <c r="A234" s="13"/>
      <c r="B234" s="13"/>
      <c r="C234" s="163"/>
      <c r="D234" s="163"/>
      <c r="E234" s="260"/>
      <c r="F234" s="14"/>
      <c r="G234" s="14"/>
      <c r="H234" s="86"/>
    </row>
    <row r="235" spans="1:8" x14ac:dyDescent="0.25">
      <c r="A235" s="13"/>
      <c r="B235" s="13"/>
      <c r="C235" s="163"/>
      <c r="D235" s="163"/>
      <c r="E235" s="260"/>
      <c r="F235" s="14"/>
      <c r="G235" s="14"/>
      <c r="H235" s="86"/>
    </row>
    <row r="236" spans="1:8" x14ac:dyDescent="0.25">
      <c r="A236" s="13"/>
      <c r="B236" s="13"/>
      <c r="C236" s="163"/>
      <c r="D236" s="163"/>
      <c r="E236" s="260"/>
      <c r="F236" s="14"/>
      <c r="G236" s="14"/>
      <c r="H236" s="86"/>
    </row>
    <row r="237" spans="1:8" x14ac:dyDescent="0.25">
      <c r="A237" s="13"/>
      <c r="B237" s="13"/>
      <c r="C237" s="163"/>
      <c r="D237" s="163"/>
      <c r="E237" s="260"/>
      <c r="F237" s="14"/>
      <c r="G237" s="14"/>
      <c r="H237" s="86"/>
    </row>
    <row r="238" spans="1:8" x14ac:dyDescent="0.25">
      <c r="A238" s="13"/>
      <c r="B238" s="13"/>
      <c r="C238" s="163"/>
      <c r="D238" s="163"/>
      <c r="E238" s="260"/>
      <c r="F238" s="14"/>
      <c r="G238" s="14"/>
      <c r="H238" s="86"/>
    </row>
    <row r="239" spans="1:8" x14ac:dyDescent="0.25">
      <c r="A239" s="13"/>
      <c r="B239" s="13"/>
      <c r="C239" s="163"/>
      <c r="D239" s="163"/>
      <c r="E239" s="260"/>
      <c r="F239" s="14"/>
      <c r="G239" s="14"/>
      <c r="H239" s="86"/>
    </row>
    <row r="240" spans="1:8" x14ac:dyDescent="0.25">
      <c r="A240" s="13"/>
      <c r="B240" s="13"/>
      <c r="C240" s="163"/>
      <c r="D240" s="163"/>
      <c r="E240" s="260"/>
      <c r="F240" s="14"/>
      <c r="G240" s="14"/>
      <c r="H240" s="86"/>
    </row>
    <row r="241" spans="1:8" x14ac:dyDescent="0.25">
      <c r="A241" s="13"/>
      <c r="B241" s="13"/>
      <c r="C241" s="163"/>
      <c r="D241" s="163"/>
      <c r="E241" s="260"/>
      <c r="F241" s="14"/>
      <c r="G241" s="14"/>
      <c r="H241" s="86"/>
    </row>
    <row r="242" spans="1:8" x14ac:dyDescent="0.25">
      <c r="A242" s="13"/>
      <c r="B242" s="13"/>
      <c r="C242" s="163"/>
      <c r="D242" s="163"/>
      <c r="E242" s="260"/>
      <c r="F242" s="14"/>
      <c r="G242" s="14"/>
      <c r="H242" s="86"/>
    </row>
    <row r="243" spans="1:8" x14ac:dyDescent="0.25">
      <c r="A243" s="13"/>
      <c r="B243" s="13"/>
      <c r="C243" s="163"/>
      <c r="D243" s="163"/>
      <c r="E243" s="260"/>
      <c r="F243" s="14"/>
      <c r="G243" s="14"/>
      <c r="H243" s="86"/>
    </row>
    <row r="244" spans="1:8" x14ac:dyDescent="0.25">
      <c r="A244" s="13"/>
      <c r="B244" s="13"/>
      <c r="C244" s="163"/>
      <c r="D244" s="163"/>
      <c r="E244" s="260"/>
      <c r="F244" s="14"/>
      <c r="G244" s="14"/>
      <c r="H244" s="86"/>
    </row>
    <row r="245" spans="1:8" x14ac:dyDescent="0.25">
      <c r="A245" s="13"/>
      <c r="B245" s="13"/>
      <c r="C245" s="163"/>
      <c r="D245" s="163"/>
      <c r="E245" s="260"/>
      <c r="F245" s="14"/>
      <c r="G245" s="14"/>
      <c r="H245" s="86"/>
    </row>
    <row r="246" spans="1:8" x14ac:dyDescent="0.25">
      <c r="A246" s="13"/>
      <c r="B246" s="13"/>
      <c r="C246" s="163"/>
      <c r="D246" s="163"/>
      <c r="E246" s="260"/>
      <c r="F246" s="14"/>
      <c r="G246" s="14"/>
      <c r="H246" s="86"/>
    </row>
    <row r="247" spans="1:8" x14ac:dyDescent="0.25">
      <c r="A247" s="13"/>
      <c r="B247" s="13"/>
      <c r="C247" s="163"/>
      <c r="D247" s="163"/>
      <c r="E247" s="260"/>
      <c r="F247" s="14"/>
      <c r="G247" s="14"/>
      <c r="H247" s="86"/>
    </row>
    <row r="248" spans="1:8" x14ac:dyDescent="0.25">
      <c r="A248" s="13"/>
      <c r="B248" s="13"/>
      <c r="C248" s="163"/>
      <c r="D248" s="163"/>
      <c r="E248" s="260"/>
      <c r="F248" s="14"/>
      <c r="G248" s="14"/>
      <c r="H248" s="86"/>
    </row>
    <row r="249" spans="1:8" x14ac:dyDescent="0.25">
      <c r="A249" s="13"/>
      <c r="B249" s="13"/>
      <c r="C249" s="163"/>
      <c r="D249" s="163"/>
      <c r="E249" s="260"/>
      <c r="F249" s="14"/>
      <c r="G249" s="14"/>
      <c r="H249" s="86"/>
    </row>
    <row r="250" spans="1:8" x14ac:dyDescent="0.25">
      <c r="A250" s="13"/>
      <c r="B250" s="13"/>
      <c r="C250" s="163"/>
      <c r="D250" s="163"/>
      <c r="E250" s="260"/>
      <c r="F250" s="14"/>
      <c r="G250" s="14"/>
      <c r="H250" s="86"/>
    </row>
    <row r="251" spans="1:8" x14ac:dyDescent="0.25">
      <c r="A251" s="13"/>
      <c r="B251" s="13"/>
      <c r="C251" s="163"/>
      <c r="D251" s="163"/>
      <c r="E251" s="260"/>
      <c r="F251" s="14"/>
      <c r="G251" s="14"/>
      <c r="H251" s="86"/>
    </row>
    <row r="252" spans="1:8" x14ac:dyDescent="0.25">
      <c r="A252" s="13"/>
      <c r="B252" s="13"/>
      <c r="C252" s="163"/>
      <c r="D252" s="163"/>
      <c r="E252" s="260"/>
      <c r="F252" s="14"/>
      <c r="G252" s="14"/>
      <c r="H252" s="86"/>
    </row>
    <row r="253" spans="1:8" x14ac:dyDescent="0.25">
      <c r="A253" s="13"/>
      <c r="B253" s="13"/>
      <c r="C253" s="163"/>
      <c r="D253" s="163"/>
      <c r="E253" s="260"/>
      <c r="F253" s="14"/>
      <c r="G253" s="14"/>
      <c r="H253" s="86"/>
    </row>
    <row r="254" spans="1:8" x14ac:dyDescent="0.25">
      <c r="A254" s="13"/>
      <c r="B254" s="13"/>
      <c r="C254" s="163"/>
      <c r="D254" s="163"/>
      <c r="E254" s="260"/>
      <c r="F254" s="14"/>
      <c r="G254" s="14"/>
      <c r="H254" s="86"/>
    </row>
    <row r="255" spans="1:8" x14ac:dyDescent="0.25">
      <c r="A255" s="13"/>
      <c r="B255" s="13"/>
      <c r="C255" s="163"/>
      <c r="D255" s="163"/>
      <c r="E255" s="260"/>
      <c r="F255" s="14"/>
      <c r="G255" s="14"/>
      <c r="H255" s="86"/>
    </row>
    <row r="256" spans="1:8" x14ac:dyDescent="0.25">
      <c r="A256" s="13"/>
      <c r="B256" s="13"/>
      <c r="C256" s="163"/>
      <c r="D256" s="163"/>
      <c r="E256" s="260"/>
      <c r="F256" s="14"/>
      <c r="G256" s="14"/>
      <c r="H256" s="86"/>
    </row>
    <row r="257" spans="1:8" x14ac:dyDescent="0.25">
      <c r="A257" s="13"/>
      <c r="B257" s="13"/>
      <c r="C257" s="163"/>
      <c r="D257" s="163"/>
      <c r="E257" s="260"/>
      <c r="F257" s="14"/>
      <c r="G257" s="14"/>
      <c r="H257" s="86"/>
    </row>
    <row r="258" spans="1:8" x14ac:dyDescent="0.25">
      <c r="A258" s="13"/>
      <c r="B258" s="13"/>
      <c r="C258" s="163"/>
      <c r="D258" s="163"/>
      <c r="E258" s="260"/>
      <c r="F258" s="14"/>
      <c r="G258" s="14"/>
      <c r="H258" s="86"/>
    </row>
    <row r="259" spans="1:8" x14ac:dyDescent="0.25">
      <c r="A259" s="13"/>
      <c r="B259" s="13"/>
      <c r="C259" s="163"/>
      <c r="D259" s="163"/>
      <c r="E259" s="260"/>
      <c r="F259" s="14"/>
      <c r="G259" s="14"/>
      <c r="H259" s="86"/>
    </row>
    <row r="260" spans="1:8" x14ac:dyDescent="0.25">
      <c r="A260" s="13"/>
      <c r="B260" s="13"/>
      <c r="C260" s="163"/>
      <c r="D260" s="163"/>
      <c r="E260" s="260"/>
      <c r="F260" s="14"/>
      <c r="G260" s="14"/>
      <c r="H260" s="86"/>
    </row>
    <row r="261" spans="1:8" x14ac:dyDescent="0.25">
      <c r="A261" s="13"/>
      <c r="B261" s="13"/>
      <c r="C261" s="163"/>
      <c r="D261" s="163"/>
      <c r="E261" s="260"/>
      <c r="F261" s="14"/>
      <c r="G261" s="14"/>
      <c r="H261" s="86"/>
    </row>
    <row r="262" spans="1:8" x14ac:dyDescent="0.25">
      <c r="A262" s="13"/>
      <c r="B262" s="13"/>
      <c r="C262" s="163"/>
      <c r="D262" s="163"/>
      <c r="E262" s="260"/>
      <c r="F262" s="14"/>
      <c r="G262" s="14"/>
      <c r="H262" s="86"/>
    </row>
    <row r="263" spans="1:8" x14ac:dyDescent="0.25">
      <c r="A263" s="13"/>
      <c r="B263" s="13"/>
      <c r="C263" s="163"/>
      <c r="D263" s="163"/>
      <c r="E263" s="260"/>
      <c r="F263" s="14"/>
      <c r="G263" s="14"/>
      <c r="H263" s="86"/>
    </row>
    <row r="264" spans="1:8" x14ac:dyDescent="0.25">
      <c r="A264" s="13"/>
      <c r="B264" s="13"/>
      <c r="C264" s="163"/>
      <c r="D264" s="163"/>
      <c r="E264" s="260"/>
      <c r="F264" s="14"/>
      <c r="G264" s="14"/>
      <c r="H264" s="86"/>
    </row>
    <row r="265" spans="1:8" x14ac:dyDescent="0.25">
      <c r="A265" s="13"/>
      <c r="B265" s="13"/>
      <c r="C265" s="163"/>
      <c r="D265" s="163"/>
      <c r="E265" s="260"/>
      <c r="F265" s="14"/>
      <c r="G265" s="14"/>
      <c r="H265" s="86"/>
    </row>
    <row r="266" spans="1:8" x14ac:dyDescent="0.25">
      <c r="A266" s="13"/>
      <c r="B266" s="13"/>
      <c r="C266" s="163"/>
      <c r="D266" s="163"/>
      <c r="E266" s="260"/>
      <c r="F266" s="14"/>
      <c r="G266" s="14"/>
      <c r="H266" s="86"/>
    </row>
    <row r="267" spans="1:8" x14ac:dyDescent="0.25">
      <c r="A267" s="13"/>
      <c r="B267" s="13"/>
      <c r="C267" s="163"/>
      <c r="D267" s="163"/>
      <c r="E267" s="260"/>
      <c r="F267" s="14"/>
      <c r="G267" s="14"/>
      <c r="H267" s="86"/>
    </row>
    <row r="268" spans="1:8" x14ac:dyDescent="0.25">
      <c r="A268" s="13"/>
      <c r="B268" s="13"/>
      <c r="C268" s="163"/>
      <c r="D268" s="163"/>
      <c r="E268" s="260"/>
      <c r="F268" s="14"/>
      <c r="G268" s="14"/>
      <c r="H268" s="86"/>
    </row>
    <row r="269" spans="1:8" x14ac:dyDescent="0.25">
      <c r="A269" s="13"/>
      <c r="B269" s="13"/>
      <c r="C269" s="163"/>
      <c r="D269" s="163"/>
      <c r="E269" s="260"/>
      <c r="F269" s="14"/>
      <c r="G269" s="14"/>
      <c r="H269" s="86"/>
    </row>
    <row r="270" spans="1:8" x14ac:dyDescent="0.25">
      <c r="A270" s="13"/>
      <c r="B270" s="13"/>
      <c r="C270" s="163"/>
      <c r="D270" s="163"/>
      <c r="E270" s="260"/>
      <c r="F270" s="14"/>
      <c r="G270" s="14"/>
      <c r="H270" s="86"/>
    </row>
    <row r="271" spans="1:8" x14ac:dyDescent="0.25">
      <c r="A271" s="13"/>
      <c r="B271" s="13"/>
      <c r="C271" s="163"/>
      <c r="D271" s="163"/>
      <c r="E271" s="260"/>
      <c r="F271" s="14"/>
      <c r="G271" s="14"/>
      <c r="H271" s="86"/>
    </row>
    <row r="272" spans="1:8" x14ac:dyDescent="0.25">
      <c r="A272" s="13"/>
      <c r="B272" s="13"/>
      <c r="C272" s="163"/>
      <c r="D272" s="163"/>
      <c r="E272" s="260"/>
      <c r="F272" s="14"/>
      <c r="G272" s="14"/>
      <c r="H272" s="86"/>
    </row>
    <row r="273" spans="1:8" x14ac:dyDescent="0.25">
      <c r="A273" s="13"/>
      <c r="B273" s="13"/>
      <c r="C273" s="163"/>
      <c r="D273" s="163"/>
      <c r="E273" s="260"/>
      <c r="F273" s="14"/>
      <c r="G273" s="14"/>
      <c r="H273" s="86"/>
    </row>
    <row r="274" spans="1:8" x14ac:dyDescent="0.25">
      <c r="A274" s="13"/>
      <c r="B274" s="13"/>
      <c r="C274" s="163"/>
      <c r="D274" s="163"/>
      <c r="E274" s="260"/>
      <c r="F274" s="14"/>
      <c r="G274" s="14"/>
      <c r="H274" s="86"/>
    </row>
    <row r="275" spans="1:8" x14ac:dyDescent="0.25">
      <c r="A275" s="13"/>
      <c r="B275" s="13"/>
      <c r="C275" s="163"/>
      <c r="D275" s="163"/>
      <c r="E275" s="260"/>
      <c r="F275" s="14"/>
      <c r="G275" s="14"/>
      <c r="H275" s="86"/>
    </row>
    <row r="276" spans="1:8" x14ac:dyDescent="0.25">
      <c r="A276" s="13"/>
      <c r="B276" s="13"/>
      <c r="C276" s="163"/>
      <c r="D276" s="163"/>
      <c r="E276" s="260"/>
      <c r="F276" s="14"/>
      <c r="G276" s="14"/>
      <c r="H276" s="86"/>
    </row>
    <row r="277" spans="1:8" x14ac:dyDescent="0.25">
      <c r="A277" s="13"/>
      <c r="B277" s="13"/>
      <c r="C277" s="163"/>
      <c r="D277" s="163"/>
      <c r="E277" s="260"/>
      <c r="F277" s="14"/>
      <c r="G277" s="14"/>
      <c r="H277" s="86"/>
    </row>
    <row r="278" spans="1:8" x14ac:dyDescent="0.25">
      <c r="A278" s="13"/>
      <c r="B278" s="13"/>
      <c r="C278" s="163"/>
      <c r="D278" s="163"/>
      <c r="E278" s="260"/>
      <c r="F278" s="14"/>
      <c r="G278" s="14"/>
      <c r="H278" s="86"/>
    </row>
    <row r="279" spans="1:8" x14ac:dyDescent="0.25">
      <c r="A279" s="13"/>
      <c r="B279" s="13"/>
      <c r="C279" s="163"/>
      <c r="D279" s="163"/>
      <c r="E279" s="260"/>
      <c r="F279" s="14"/>
      <c r="G279" s="14"/>
      <c r="H279" s="86"/>
    </row>
    <row r="280" spans="1:8" x14ac:dyDescent="0.25">
      <c r="A280" s="13"/>
      <c r="B280" s="13"/>
      <c r="C280" s="163"/>
      <c r="D280" s="163"/>
      <c r="E280" s="260"/>
      <c r="F280" s="14"/>
      <c r="G280" s="14"/>
      <c r="H280" s="86"/>
    </row>
    <row r="281" spans="1:8" x14ac:dyDescent="0.25">
      <c r="A281" s="13"/>
      <c r="B281" s="13"/>
      <c r="C281" s="163"/>
      <c r="D281" s="163"/>
      <c r="E281" s="260"/>
      <c r="F281" s="14"/>
      <c r="G281" s="14"/>
      <c r="H281" s="86"/>
    </row>
  </sheetData>
  <sheetProtection selectLockedCells="1" selectUnlockedCells="1"/>
  <mergeCells count="4">
    <mergeCell ref="C5:E5"/>
    <mergeCell ref="F5:H5"/>
    <mergeCell ref="C78:E78"/>
    <mergeCell ref="F78:H78"/>
  </mergeCells>
  <printOptions horizontalCentered="1"/>
  <pageMargins left="0.52013888888888893" right="0.39374999999999999" top="0.5" bottom="0.51180555555555551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5"/>
  <sheetViews>
    <sheetView view="pageBreakPreview" zoomScale="80" zoomScaleSheetLayoutView="80" workbookViewId="0">
      <selection activeCell="D2" sqref="D2"/>
    </sheetView>
  </sheetViews>
  <sheetFormatPr defaultColWidth="11.5703125" defaultRowHeight="15.75" x14ac:dyDescent="0.25"/>
  <cols>
    <col min="1" max="1" width="10.42578125" style="89" customWidth="1"/>
    <col min="2" max="2" width="71.140625" style="13" customWidth="1"/>
    <col min="3" max="3" width="7.85546875" style="13" customWidth="1"/>
    <col min="4" max="4" width="15.42578125" style="13" customWidth="1"/>
    <col min="5" max="5" width="0" style="13" hidden="1" customWidth="1"/>
    <col min="6" max="6" width="15.5703125" style="13" customWidth="1"/>
    <col min="7" max="7" width="17.140625" style="13" bestFit="1" customWidth="1"/>
    <col min="8" max="254" width="9.140625" style="13" customWidth="1"/>
  </cols>
  <sheetData>
    <row r="1" spans="1:7" ht="18.75" x14ac:dyDescent="0.25">
      <c r="D1" s="15" t="s">
        <v>333</v>
      </c>
      <c r="E1" s="16" t="s">
        <v>334</v>
      </c>
    </row>
    <row r="2" spans="1:7" x14ac:dyDescent="0.25">
      <c r="D2" s="16" t="s">
        <v>937</v>
      </c>
      <c r="E2" s="16" t="s">
        <v>11</v>
      </c>
    </row>
    <row r="3" spans="1:7" x14ac:dyDescent="0.25">
      <c r="D3" s="15"/>
      <c r="E3" s="15"/>
    </row>
    <row r="4" spans="1:7" ht="24" customHeight="1" x14ac:dyDescent="0.3">
      <c r="B4" s="35" t="s">
        <v>879</v>
      </c>
      <c r="C4" s="90"/>
      <c r="D4" s="90"/>
      <c r="E4" s="90"/>
    </row>
    <row r="5" spans="1:7" ht="18.75" x14ac:dyDescent="0.3">
      <c r="B5" s="35"/>
      <c r="C5" s="91"/>
      <c r="D5" s="91"/>
      <c r="E5" s="91"/>
    </row>
    <row r="6" spans="1:7" x14ac:dyDescent="0.25">
      <c r="A6" s="89" t="s">
        <v>335</v>
      </c>
      <c r="B6" s="42" t="s">
        <v>866</v>
      </c>
      <c r="C6" s="92"/>
      <c r="D6" s="92"/>
      <c r="E6" s="92"/>
    </row>
    <row r="7" spans="1:7" x14ac:dyDescent="0.25">
      <c r="A7" s="89" t="s">
        <v>336</v>
      </c>
    </row>
    <row r="8" spans="1:7" ht="47.25" x14ac:dyDescent="0.25">
      <c r="B8" s="19" t="s">
        <v>14</v>
      </c>
      <c r="C8" s="48" t="s">
        <v>41</v>
      </c>
      <c r="D8" s="93" t="s">
        <v>12</v>
      </c>
      <c r="E8" s="93" t="s">
        <v>13</v>
      </c>
      <c r="F8" s="94" t="s">
        <v>337</v>
      </c>
      <c r="G8" s="94" t="s">
        <v>865</v>
      </c>
    </row>
    <row r="9" spans="1:7" x14ac:dyDescent="0.25">
      <c r="A9" s="89" t="s">
        <v>338</v>
      </c>
      <c r="B9" s="95" t="s">
        <v>339</v>
      </c>
      <c r="C9" s="54" t="s">
        <v>217</v>
      </c>
      <c r="D9" s="24">
        <v>53000000</v>
      </c>
      <c r="E9" s="24">
        <v>0</v>
      </c>
      <c r="F9" s="96">
        <v>51475</v>
      </c>
      <c r="G9" s="13">
        <v>56624</v>
      </c>
    </row>
    <row r="10" spans="1:7" x14ac:dyDescent="0.25">
      <c r="B10" s="95" t="s">
        <v>340</v>
      </c>
      <c r="C10" s="54" t="s">
        <v>217</v>
      </c>
      <c r="D10" s="24"/>
      <c r="E10" s="24"/>
      <c r="F10" s="96"/>
    </row>
    <row r="11" spans="1:7" x14ac:dyDescent="0.25">
      <c r="A11" s="89" t="s">
        <v>341</v>
      </c>
      <c r="B11" s="95" t="s">
        <v>342</v>
      </c>
      <c r="C11" s="54" t="s">
        <v>217</v>
      </c>
      <c r="D11" s="24">
        <v>60000000</v>
      </c>
      <c r="E11" s="24">
        <v>0</v>
      </c>
      <c r="F11" s="96">
        <v>61591</v>
      </c>
      <c r="G11" s="13">
        <v>62398</v>
      </c>
    </row>
    <row r="12" spans="1:7" x14ac:dyDescent="0.25">
      <c r="A12" s="89" t="s">
        <v>343</v>
      </c>
      <c r="B12" s="95" t="s">
        <v>344</v>
      </c>
      <c r="C12" s="54" t="s">
        <v>217</v>
      </c>
      <c r="D12" s="24">
        <v>2500000</v>
      </c>
      <c r="E12" s="24">
        <v>0</v>
      </c>
      <c r="F12" s="96">
        <v>2273</v>
      </c>
      <c r="G12" s="13">
        <v>2770</v>
      </c>
    </row>
    <row r="13" spans="1:7" s="101" customFormat="1" x14ac:dyDescent="0.25">
      <c r="A13" s="89"/>
      <c r="B13" s="97" t="s">
        <v>345</v>
      </c>
      <c r="C13" s="98" t="s">
        <v>217</v>
      </c>
      <c r="D13" s="99">
        <f>SUM(D9:D12)</f>
        <v>115500000</v>
      </c>
      <c r="E13" s="99">
        <f>SUM(E9:E12)</f>
        <v>0</v>
      </c>
      <c r="F13" s="100"/>
    </row>
    <row r="14" spans="1:7" x14ac:dyDescent="0.25">
      <c r="B14" s="95" t="s">
        <v>346</v>
      </c>
      <c r="C14" s="65" t="s">
        <v>347</v>
      </c>
      <c r="D14" s="24">
        <f>SUM(D15:D16)</f>
        <v>290000000</v>
      </c>
      <c r="E14" s="24">
        <f>SUM(E15:E16)</f>
        <v>0</v>
      </c>
      <c r="F14" s="96"/>
    </row>
    <row r="15" spans="1:7" ht="31.5" x14ac:dyDescent="0.25">
      <c r="A15" s="89" t="s">
        <v>348</v>
      </c>
      <c r="B15" s="102" t="s">
        <v>349</v>
      </c>
      <c r="C15" s="103" t="s">
        <v>347</v>
      </c>
      <c r="D15" s="104">
        <v>290000000</v>
      </c>
      <c r="E15" s="104">
        <v>0</v>
      </c>
      <c r="F15" s="96">
        <v>349650</v>
      </c>
      <c r="G15" s="13">
        <v>296595</v>
      </c>
    </row>
    <row r="16" spans="1:7" ht="31.5" hidden="1" x14ac:dyDescent="0.25">
      <c r="B16" s="102" t="s">
        <v>350</v>
      </c>
      <c r="C16" s="103" t="s">
        <v>347</v>
      </c>
      <c r="D16" s="104"/>
      <c r="E16" s="104"/>
      <c r="F16" s="96"/>
    </row>
    <row r="17" spans="1:7" x14ac:dyDescent="0.25">
      <c r="A17" s="89" t="s">
        <v>352</v>
      </c>
      <c r="B17" s="105" t="s">
        <v>928</v>
      </c>
      <c r="C17" s="103" t="s">
        <v>351</v>
      </c>
      <c r="D17" s="104">
        <v>26500000</v>
      </c>
      <c r="E17" s="104">
        <v>0</v>
      </c>
      <c r="F17" s="96">
        <v>25036</v>
      </c>
      <c r="G17" s="13">
        <v>28037</v>
      </c>
    </row>
    <row r="18" spans="1:7" hidden="1" x14ac:dyDescent="0.25">
      <c r="B18" s="102" t="s">
        <v>353</v>
      </c>
      <c r="C18" s="103" t="s">
        <v>351</v>
      </c>
      <c r="D18" s="24"/>
      <c r="E18" s="24"/>
      <c r="F18" s="96"/>
    </row>
    <row r="19" spans="1:7" hidden="1" x14ac:dyDescent="0.25">
      <c r="B19" s="102" t="s">
        <v>354</v>
      </c>
      <c r="C19" s="103" t="s">
        <v>351</v>
      </c>
      <c r="D19" s="24"/>
      <c r="E19" s="24"/>
      <c r="F19" s="96"/>
    </row>
    <row r="20" spans="1:7" x14ac:dyDescent="0.25">
      <c r="B20" s="105" t="s">
        <v>355</v>
      </c>
      <c r="C20" s="73" t="s">
        <v>356</v>
      </c>
      <c r="D20" s="24">
        <f>SUM(D21:D22)</f>
        <v>1700000</v>
      </c>
      <c r="E20" s="24">
        <f>SUM(E21:E22)</f>
        <v>0</v>
      </c>
      <c r="F20" s="96"/>
    </row>
    <row r="21" spans="1:7" x14ac:dyDescent="0.25">
      <c r="A21" s="89" t="s">
        <v>357</v>
      </c>
      <c r="B21" s="102" t="s">
        <v>358</v>
      </c>
      <c r="C21" s="103" t="s">
        <v>356</v>
      </c>
      <c r="D21" s="104">
        <v>1700000</v>
      </c>
      <c r="E21" s="104">
        <v>0</v>
      </c>
      <c r="F21" s="96">
        <v>837</v>
      </c>
      <c r="G21" s="13">
        <v>1676</v>
      </c>
    </row>
    <row r="22" spans="1:7" hidden="1" x14ac:dyDescent="0.25">
      <c r="B22" s="102" t="s">
        <v>359</v>
      </c>
      <c r="C22" s="103" t="s">
        <v>356</v>
      </c>
      <c r="D22" s="104"/>
      <c r="E22" s="104"/>
      <c r="F22" s="94"/>
    </row>
    <row r="23" spans="1:7" s="101" customFormat="1" x14ac:dyDescent="0.25">
      <c r="A23" s="89"/>
      <c r="B23" s="97" t="s">
        <v>360</v>
      </c>
      <c r="C23" s="98" t="s">
        <v>219</v>
      </c>
      <c r="D23" s="99">
        <f>+D20+D17+D14</f>
        <v>318200000</v>
      </c>
      <c r="E23" s="99" t="e">
        <f>+E20+#REF!+E14</f>
        <v>#REF!</v>
      </c>
      <c r="F23" s="106"/>
    </row>
    <row r="24" spans="1:7" hidden="1" x14ac:dyDescent="0.25">
      <c r="B24" s="95" t="s">
        <v>361</v>
      </c>
      <c r="C24" s="54" t="s">
        <v>221</v>
      </c>
      <c r="D24" s="24"/>
      <c r="E24" s="24"/>
      <c r="F24" s="94"/>
    </row>
    <row r="25" spans="1:7" hidden="1" x14ac:dyDescent="0.25">
      <c r="B25" s="95" t="s">
        <v>362</v>
      </c>
      <c r="C25" s="54" t="s">
        <v>221</v>
      </c>
      <c r="D25" s="24"/>
      <c r="E25" s="24"/>
      <c r="F25" s="94"/>
    </row>
    <row r="26" spans="1:7" hidden="1" x14ac:dyDescent="0.25">
      <c r="B26" s="95" t="s">
        <v>363</v>
      </c>
      <c r="C26" s="54" t="s">
        <v>221</v>
      </c>
      <c r="D26" s="24"/>
      <c r="E26" s="24"/>
      <c r="F26" s="94"/>
    </row>
    <row r="27" spans="1:7" hidden="1" x14ac:dyDescent="0.25">
      <c r="B27" s="95" t="s">
        <v>364</v>
      </c>
      <c r="C27" s="54" t="s">
        <v>221</v>
      </c>
      <c r="D27" s="24"/>
      <c r="E27" s="24"/>
      <c r="F27" s="94"/>
    </row>
    <row r="28" spans="1:7" hidden="1" x14ac:dyDescent="0.25">
      <c r="B28" s="95" t="s">
        <v>365</v>
      </c>
      <c r="C28" s="54" t="s">
        <v>221</v>
      </c>
      <c r="D28" s="24"/>
      <c r="E28" s="24"/>
      <c r="F28" s="94"/>
    </row>
    <row r="29" spans="1:7" hidden="1" x14ac:dyDescent="0.25">
      <c r="B29" s="95" t="s">
        <v>366</v>
      </c>
      <c r="C29" s="54" t="s">
        <v>221</v>
      </c>
      <c r="D29" s="24"/>
      <c r="E29" s="24"/>
      <c r="F29" s="94"/>
    </row>
    <row r="30" spans="1:7" hidden="1" x14ac:dyDescent="0.25">
      <c r="B30" s="95" t="s">
        <v>367</v>
      </c>
      <c r="C30" s="54" t="s">
        <v>221</v>
      </c>
      <c r="D30" s="24"/>
      <c r="E30" s="24"/>
      <c r="F30" s="94"/>
    </row>
    <row r="31" spans="1:7" hidden="1" x14ac:dyDescent="0.25">
      <c r="B31" s="95" t="s">
        <v>368</v>
      </c>
      <c r="C31" s="54" t="s">
        <v>221</v>
      </c>
      <c r="D31" s="24"/>
      <c r="E31" s="24"/>
      <c r="F31" s="94"/>
    </row>
    <row r="32" spans="1:7" ht="39" customHeight="1" x14ac:dyDescent="0.25">
      <c r="B32" s="95" t="s">
        <v>369</v>
      </c>
      <c r="C32" s="54" t="s">
        <v>221</v>
      </c>
      <c r="D32" s="24">
        <v>500000</v>
      </c>
      <c r="E32" s="24">
        <v>0</v>
      </c>
      <c r="F32" s="94">
        <f>21+318</f>
        <v>339</v>
      </c>
      <c r="G32" s="13">
        <v>0</v>
      </c>
    </row>
    <row r="33" spans="1:7" x14ac:dyDescent="0.25">
      <c r="A33" s="89" t="s">
        <v>370</v>
      </c>
      <c r="B33" s="95" t="s">
        <v>371</v>
      </c>
      <c r="C33" s="54" t="s">
        <v>221</v>
      </c>
      <c r="D33" s="24">
        <v>2500000</v>
      </c>
      <c r="E33" s="24">
        <v>0</v>
      </c>
      <c r="F33" s="94">
        <v>4477</v>
      </c>
      <c r="G33" s="13">
        <v>2739</v>
      </c>
    </row>
    <row r="34" spans="1:7" s="101" customFormat="1" x14ac:dyDescent="0.25">
      <c r="A34" s="89"/>
      <c r="B34" s="97" t="s">
        <v>372</v>
      </c>
      <c r="C34" s="98" t="s">
        <v>221</v>
      </c>
      <c r="D34" s="99">
        <f>SUM(D24:D33)</f>
        <v>3000000</v>
      </c>
      <c r="E34" s="99">
        <f>SUM(E24:E33)</f>
        <v>0</v>
      </c>
      <c r="F34" s="107"/>
    </row>
    <row r="36" spans="1:7" x14ac:dyDescent="0.25">
      <c r="D36" s="14"/>
      <c r="E36" s="14"/>
    </row>
    <row r="37" spans="1:7" ht="47.25" x14ac:dyDescent="0.25">
      <c r="A37" s="89" t="s">
        <v>335</v>
      </c>
      <c r="B37" s="19" t="s">
        <v>14</v>
      </c>
      <c r="C37" s="48" t="s">
        <v>181</v>
      </c>
      <c r="D37" s="93" t="s">
        <v>12</v>
      </c>
      <c r="E37" s="93" t="s">
        <v>13</v>
      </c>
    </row>
    <row r="38" spans="1:7" x14ac:dyDescent="0.25">
      <c r="A38" s="89" t="s">
        <v>373</v>
      </c>
      <c r="B38" s="108" t="s">
        <v>374</v>
      </c>
      <c r="C38" s="65" t="s">
        <v>183</v>
      </c>
      <c r="D38" s="109">
        <v>135705400</v>
      </c>
      <c r="E38" s="109">
        <v>0</v>
      </c>
      <c r="F38" s="13" t="s">
        <v>375</v>
      </c>
    </row>
    <row r="39" spans="1:7" x14ac:dyDescent="0.25">
      <c r="B39" s="108" t="s">
        <v>376</v>
      </c>
      <c r="C39" s="65" t="s">
        <v>183</v>
      </c>
      <c r="D39" s="109">
        <f>SUM(D40:D43)</f>
        <v>72590070</v>
      </c>
      <c r="E39" s="109">
        <f>SUM(E40:E43)</f>
        <v>0</v>
      </c>
      <c r="F39" s="13" t="s">
        <v>377</v>
      </c>
    </row>
    <row r="40" spans="1:7" ht="31.5" x14ac:dyDescent="0.25">
      <c r="B40" s="110" t="s">
        <v>378</v>
      </c>
      <c r="C40" s="65" t="s">
        <v>183</v>
      </c>
      <c r="D40" s="109">
        <v>19748880</v>
      </c>
      <c r="E40" s="109">
        <v>0</v>
      </c>
      <c r="F40" s="13" t="s">
        <v>379</v>
      </c>
    </row>
    <row r="41" spans="1:7" x14ac:dyDescent="0.25">
      <c r="B41" s="110" t="s">
        <v>380</v>
      </c>
      <c r="C41" s="65" t="s">
        <v>183</v>
      </c>
      <c r="D41" s="109">
        <v>28280000</v>
      </c>
      <c r="E41" s="109">
        <v>0</v>
      </c>
      <c r="F41" s="13" t="s">
        <v>381</v>
      </c>
    </row>
    <row r="42" spans="1:7" x14ac:dyDescent="0.25">
      <c r="B42" s="110" t="s">
        <v>382</v>
      </c>
      <c r="C42" s="65" t="s">
        <v>183</v>
      </c>
      <c r="D42" s="109">
        <v>7047040</v>
      </c>
      <c r="E42" s="109">
        <v>0</v>
      </c>
      <c r="F42" s="13" t="s">
        <v>383</v>
      </c>
    </row>
    <row r="43" spans="1:7" x14ac:dyDescent="0.25">
      <c r="B43" s="110" t="s">
        <v>384</v>
      </c>
      <c r="C43" s="65" t="s">
        <v>183</v>
      </c>
      <c r="D43" s="109">
        <v>17514150</v>
      </c>
      <c r="E43" s="109">
        <v>0</v>
      </c>
    </row>
    <row r="44" spans="1:7" x14ac:dyDescent="0.25">
      <c r="B44" s="110" t="s">
        <v>385</v>
      </c>
      <c r="C44" s="65" t="s">
        <v>183</v>
      </c>
      <c r="D44" s="109">
        <v>920077</v>
      </c>
      <c r="E44" s="109"/>
    </row>
    <row r="45" spans="1:7" x14ac:dyDescent="0.25">
      <c r="B45" s="108" t="s">
        <v>387</v>
      </c>
      <c r="C45" s="65" t="s">
        <v>183</v>
      </c>
      <c r="D45" s="109">
        <v>229500</v>
      </c>
      <c r="E45" s="109"/>
    </row>
    <row r="46" spans="1:7" x14ac:dyDescent="0.25">
      <c r="B46" s="108" t="s">
        <v>388</v>
      </c>
      <c r="C46" s="65" t="s">
        <v>183</v>
      </c>
      <c r="D46" s="109">
        <v>837343</v>
      </c>
      <c r="E46" s="109">
        <v>0</v>
      </c>
    </row>
    <row r="47" spans="1:7" x14ac:dyDescent="0.25">
      <c r="B47" s="108" t="s">
        <v>386</v>
      </c>
      <c r="C47" s="65" t="s">
        <v>183</v>
      </c>
      <c r="D47" s="109">
        <v>1468084</v>
      </c>
      <c r="E47" s="109"/>
    </row>
    <row r="48" spans="1:7" x14ac:dyDescent="0.25">
      <c r="B48" s="108" t="s">
        <v>868</v>
      </c>
      <c r="C48" s="65" t="s">
        <v>183</v>
      </c>
      <c r="D48" s="109">
        <v>2048700</v>
      </c>
      <c r="E48" s="109"/>
    </row>
    <row r="49" spans="1:7" x14ac:dyDescent="0.25">
      <c r="B49" s="108" t="s">
        <v>867</v>
      </c>
      <c r="C49" s="65" t="s">
        <v>183</v>
      </c>
      <c r="D49" s="109"/>
      <c r="E49" s="109">
        <v>0</v>
      </c>
    </row>
    <row r="50" spans="1:7" s="114" customFormat="1" x14ac:dyDescent="0.25">
      <c r="A50" s="89" t="s">
        <v>389</v>
      </c>
      <c r="B50" s="111" t="s">
        <v>390</v>
      </c>
      <c r="C50" s="98" t="s">
        <v>183</v>
      </c>
      <c r="D50" s="112">
        <f>SUM(D38:D49)-D39</f>
        <v>213799174</v>
      </c>
      <c r="E50" s="112">
        <f>SUM(E38:E49)-E39</f>
        <v>0</v>
      </c>
      <c r="F50" s="113">
        <v>213799174</v>
      </c>
      <c r="G50" s="113">
        <f>+F50-D50</f>
        <v>0</v>
      </c>
    </row>
    <row r="51" spans="1:7" s="27" customFormat="1" x14ac:dyDescent="0.25">
      <c r="A51" s="89"/>
      <c r="B51" s="115" t="s">
        <v>391</v>
      </c>
      <c r="C51" s="65" t="s">
        <v>185</v>
      </c>
      <c r="D51" s="109">
        <f>74239200+37119600</f>
        <v>111358800</v>
      </c>
      <c r="E51" s="109">
        <v>0</v>
      </c>
    </row>
    <row r="52" spans="1:7" s="27" customFormat="1" x14ac:dyDescent="0.25">
      <c r="A52" s="89"/>
      <c r="B52" s="115" t="s">
        <v>392</v>
      </c>
      <c r="C52" s="65" t="s">
        <v>185</v>
      </c>
      <c r="D52" s="109">
        <f>26460000+13230000</f>
        <v>39690000</v>
      </c>
      <c r="E52" s="109">
        <v>0</v>
      </c>
    </row>
    <row r="53" spans="1:7" s="27" customFormat="1" x14ac:dyDescent="0.25">
      <c r="A53" s="89"/>
      <c r="B53" s="115" t="s">
        <v>393</v>
      </c>
      <c r="C53" s="65" t="s">
        <v>185</v>
      </c>
      <c r="D53" s="109">
        <f>15631933+7815967</f>
        <v>23447900</v>
      </c>
      <c r="E53" s="109">
        <v>0</v>
      </c>
    </row>
    <row r="54" spans="1:7" s="27" customFormat="1" x14ac:dyDescent="0.25">
      <c r="A54" s="89"/>
      <c r="B54" s="115" t="s">
        <v>394</v>
      </c>
      <c r="C54" s="65" t="s">
        <v>185</v>
      </c>
      <c r="D54" s="109">
        <f>2406000+735168+1463000</f>
        <v>4604168</v>
      </c>
      <c r="E54" s="109">
        <v>0</v>
      </c>
    </row>
    <row r="55" spans="1:7" s="27" customFormat="1" x14ac:dyDescent="0.25">
      <c r="A55" s="89"/>
      <c r="B55" s="108"/>
      <c r="C55" s="65" t="s">
        <v>185</v>
      </c>
      <c r="D55" s="109"/>
      <c r="E55" s="109"/>
    </row>
    <row r="56" spans="1:7" s="114" customFormat="1" ht="31.5" x14ac:dyDescent="0.25">
      <c r="A56" s="89" t="s">
        <v>395</v>
      </c>
      <c r="B56" s="97" t="s">
        <v>396</v>
      </c>
      <c r="C56" s="98" t="s">
        <v>185</v>
      </c>
      <c r="D56" s="112">
        <f>SUM(D51:D55)</f>
        <v>179100868</v>
      </c>
      <c r="E56" s="112">
        <f>SUM(E51:E55)</f>
        <v>0</v>
      </c>
      <c r="F56" s="113">
        <v>179100868</v>
      </c>
      <c r="G56" s="113">
        <f>+F56-D56</f>
        <v>0</v>
      </c>
    </row>
    <row r="57" spans="1:7" s="27" customFormat="1" x14ac:dyDescent="0.25">
      <c r="A57" s="89"/>
      <c r="B57" s="108" t="s">
        <v>397</v>
      </c>
      <c r="C57" s="65" t="s">
        <v>187</v>
      </c>
      <c r="D57" s="109">
        <v>88503000</v>
      </c>
      <c r="E57" s="109">
        <v>0</v>
      </c>
      <c r="F57" s="27" t="s">
        <v>398</v>
      </c>
    </row>
    <row r="58" spans="1:7" s="27" customFormat="1" x14ac:dyDescent="0.25">
      <c r="A58" s="89"/>
      <c r="B58" s="116" t="s">
        <v>399</v>
      </c>
      <c r="C58" s="65" t="s">
        <v>187</v>
      </c>
      <c r="D58" s="109">
        <v>4760000</v>
      </c>
      <c r="E58" s="109">
        <v>0</v>
      </c>
      <c r="F58" s="27" t="s">
        <v>400</v>
      </c>
    </row>
    <row r="59" spans="1:7" s="27" customFormat="1" x14ac:dyDescent="0.25">
      <c r="A59" s="89"/>
      <c r="B59" s="116" t="s">
        <v>401</v>
      </c>
      <c r="C59" s="65" t="s">
        <v>187</v>
      </c>
      <c r="D59" s="109">
        <v>21450000</v>
      </c>
      <c r="E59" s="109">
        <v>0</v>
      </c>
    </row>
    <row r="60" spans="1:7" s="27" customFormat="1" x14ac:dyDescent="0.25">
      <c r="A60" s="89"/>
      <c r="B60" s="108" t="s">
        <v>402</v>
      </c>
      <c r="C60" s="65" t="s">
        <v>187</v>
      </c>
      <c r="D60" s="109">
        <v>7196800</v>
      </c>
      <c r="E60" s="109">
        <v>0</v>
      </c>
      <c r="F60" s="27" t="s">
        <v>400</v>
      </c>
    </row>
    <row r="61" spans="1:7" s="27" customFormat="1" x14ac:dyDescent="0.25">
      <c r="A61" s="89"/>
      <c r="B61" s="108" t="s">
        <v>403</v>
      </c>
      <c r="C61" s="65" t="s">
        <v>187</v>
      </c>
      <c r="D61" s="109">
        <f>200000+6600000</f>
        <v>6800000</v>
      </c>
      <c r="E61" s="109">
        <v>0</v>
      </c>
      <c r="F61" s="27" t="s">
        <v>400</v>
      </c>
    </row>
    <row r="62" spans="1:7" s="27" customFormat="1" x14ac:dyDescent="0.25">
      <c r="A62" s="89"/>
      <c r="B62" s="108" t="s">
        <v>404</v>
      </c>
      <c r="C62" s="65" t="s">
        <v>187</v>
      </c>
      <c r="D62" s="109">
        <v>3270000</v>
      </c>
      <c r="E62" s="109">
        <v>0</v>
      </c>
      <c r="F62" s="27" t="s">
        <v>400</v>
      </c>
    </row>
    <row r="63" spans="1:7" s="27" customFormat="1" x14ac:dyDescent="0.25">
      <c r="A63" s="89"/>
      <c r="B63" s="108" t="s">
        <v>405</v>
      </c>
      <c r="C63" s="65" t="s">
        <v>187</v>
      </c>
      <c r="D63" s="109">
        <v>3000000</v>
      </c>
      <c r="E63" s="109"/>
    </row>
    <row r="64" spans="1:7" s="27" customFormat="1" x14ac:dyDescent="0.25">
      <c r="A64" s="89"/>
      <c r="B64" s="108" t="s">
        <v>406</v>
      </c>
      <c r="C64" s="65" t="s">
        <v>187</v>
      </c>
      <c r="D64" s="109">
        <f>3400000+6750000</f>
        <v>10150000</v>
      </c>
      <c r="E64" s="109"/>
      <c r="F64" s="27" t="s">
        <v>400</v>
      </c>
    </row>
    <row r="65" spans="1:7" s="27" customFormat="1" x14ac:dyDescent="0.25">
      <c r="A65" s="89"/>
      <c r="B65" s="108" t="s">
        <v>407</v>
      </c>
      <c r="C65" s="65" t="s">
        <v>187</v>
      </c>
      <c r="D65" s="109">
        <v>116768000</v>
      </c>
      <c r="E65" s="109">
        <v>0</v>
      </c>
      <c r="F65" s="27" t="s">
        <v>400</v>
      </c>
    </row>
    <row r="66" spans="1:7" s="27" customFormat="1" x14ac:dyDescent="0.25">
      <c r="A66" s="89"/>
      <c r="B66" s="108" t="s">
        <v>408</v>
      </c>
      <c r="C66" s="65" t="s">
        <v>187</v>
      </c>
      <c r="D66" s="109">
        <v>64336000</v>
      </c>
      <c r="E66" s="109">
        <v>0</v>
      </c>
      <c r="F66" s="27" t="s">
        <v>400</v>
      </c>
    </row>
    <row r="67" spans="1:7" s="27" customFormat="1" x14ac:dyDescent="0.25">
      <c r="A67" s="89"/>
      <c r="B67" s="108" t="s">
        <v>409</v>
      </c>
      <c r="C67" s="65" t="s">
        <v>187</v>
      </c>
      <c r="D67" s="109">
        <v>70794000</v>
      </c>
      <c r="E67" s="109">
        <v>0</v>
      </c>
    </row>
    <row r="68" spans="1:7" s="27" customFormat="1" x14ac:dyDescent="0.25">
      <c r="A68" s="89"/>
      <c r="B68" s="108" t="s">
        <v>410</v>
      </c>
      <c r="C68" s="65" t="s">
        <v>187</v>
      </c>
      <c r="D68" s="109">
        <v>105600770</v>
      </c>
      <c r="E68" s="109">
        <v>0</v>
      </c>
    </row>
    <row r="69" spans="1:7" s="27" customFormat="1" x14ac:dyDescent="0.25">
      <c r="A69" s="89"/>
      <c r="B69" s="116" t="s">
        <v>411</v>
      </c>
      <c r="C69" s="65" t="s">
        <v>187</v>
      </c>
      <c r="D69" s="109">
        <v>9021960</v>
      </c>
      <c r="E69" s="109">
        <v>0</v>
      </c>
    </row>
    <row r="70" spans="1:7" s="27" customFormat="1" x14ac:dyDescent="0.25">
      <c r="A70" s="89"/>
      <c r="B70" s="108" t="s">
        <v>870</v>
      </c>
      <c r="C70" s="65" t="s">
        <v>187</v>
      </c>
      <c r="D70" s="109">
        <v>21848900</v>
      </c>
      <c r="E70" s="109">
        <v>0</v>
      </c>
    </row>
    <row r="71" spans="1:7" s="27" customFormat="1" x14ac:dyDescent="0.25">
      <c r="A71" s="89"/>
      <c r="B71" s="108" t="s">
        <v>869</v>
      </c>
      <c r="C71" s="65" t="s">
        <v>187</v>
      </c>
      <c r="D71" s="109">
        <v>11196000</v>
      </c>
      <c r="E71" s="109">
        <v>0</v>
      </c>
    </row>
    <row r="72" spans="1:7" s="101" customFormat="1" ht="31.5" x14ac:dyDescent="0.25">
      <c r="A72" s="89" t="s">
        <v>412</v>
      </c>
      <c r="B72" s="97" t="s">
        <v>413</v>
      </c>
      <c r="C72" s="98" t="s">
        <v>187</v>
      </c>
      <c r="D72" s="112">
        <f>SUM(D57:D71)</f>
        <v>544695430</v>
      </c>
      <c r="E72" s="112">
        <f>SUM(E57:E71)</f>
        <v>0</v>
      </c>
      <c r="F72" s="113">
        <v>544695430</v>
      </c>
      <c r="G72" s="125">
        <f>+F72-D72</f>
        <v>0</v>
      </c>
    </row>
    <row r="73" spans="1:7" x14ac:dyDescent="0.25">
      <c r="B73" s="108" t="s">
        <v>414</v>
      </c>
      <c r="C73" s="65" t="s">
        <v>189</v>
      </c>
      <c r="D73" s="109">
        <v>13507230</v>
      </c>
      <c r="E73" s="109">
        <v>0</v>
      </c>
      <c r="F73" s="13" t="s">
        <v>415</v>
      </c>
    </row>
    <row r="74" spans="1:7" hidden="1" x14ac:dyDescent="0.25">
      <c r="B74" s="108" t="s">
        <v>416</v>
      </c>
      <c r="C74" s="65" t="s">
        <v>189</v>
      </c>
      <c r="D74" s="109">
        <v>0</v>
      </c>
      <c r="E74" s="109">
        <v>0</v>
      </c>
      <c r="F74" s="13" t="s">
        <v>415</v>
      </c>
    </row>
    <row r="75" spans="1:7" s="101" customFormat="1" ht="29.85" customHeight="1" x14ac:dyDescent="0.25">
      <c r="A75" s="89" t="s">
        <v>417</v>
      </c>
      <c r="B75" s="97" t="s">
        <v>418</v>
      </c>
      <c r="C75" s="98" t="s">
        <v>189</v>
      </c>
      <c r="D75" s="112">
        <f>SUM(D73:D74)</f>
        <v>13507230</v>
      </c>
      <c r="E75" s="112">
        <f>SUM(E73:E74)</f>
        <v>0</v>
      </c>
    </row>
    <row r="76" spans="1:7" x14ac:dyDescent="0.25">
      <c r="B76" s="108"/>
      <c r="C76" s="65"/>
      <c r="D76" s="109"/>
      <c r="E76" s="109"/>
    </row>
    <row r="77" spans="1:7" hidden="1" x14ac:dyDescent="0.25">
      <c r="B77" s="118" t="s">
        <v>419</v>
      </c>
      <c r="C77" s="65" t="s">
        <v>191</v>
      </c>
      <c r="D77" s="109"/>
      <c r="E77" s="109">
        <v>0</v>
      </c>
    </row>
    <row r="78" spans="1:7" hidden="1" x14ac:dyDescent="0.25">
      <c r="B78" s="117" t="s">
        <v>420</v>
      </c>
      <c r="C78" s="65" t="s">
        <v>191</v>
      </c>
      <c r="D78" s="109"/>
      <c r="E78" s="109">
        <v>0</v>
      </c>
    </row>
    <row r="79" spans="1:7" s="123" customFormat="1" ht="17.25" customHeight="1" x14ac:dyDescent="0.25">
      <c r="A79" s="119"/>
      <c r="B79" s="120" t="s">
        <v>421</v>
      </c>
      <c r="C79" s="121" t="s">
        <v>191</v>
      </c>
      <c r="D79" s="122">
        <f>89045596-9450000+187933000-64000000+6650736</f>
        <v>210179332</v>
      </c>
      <c r="E79" s="122">
        <v>0</v>
      </c>
    </row>
    <row r="80" spans="1:7" s="114" customFormat="1" x14ac:dyDescent="0.25">
      <c r="A80" s="89" t="s">
        <v>422</v>
      </c>
      <c r="B80" s="97" t="s">
        <v>423</v>
      </c>
      <c r="C80" s="98" t="s">
        <v>191</v>
      </c>
      <c r="D80" s="112">
        <f>SUM(D76:D79)</f>
        <v>210179332</v>
      </c>
      <c r="E80" s="112">
        <f>SUM(E76:E79)</f>
        <v>0</v>
      </c>
      <c r="F80" s="13"/>
    </row>
    <row r="81" spans="1:9" x14ac:dyDescent="0.25">
      <c r="A81" s="89" t="s">
        <v>424</v>
      </c>
      <c r="B81" s="108"/>
      <c r="C81" s="65" t="s">
        <v>193</v>
      </c>
      <c r="D81" s="109"/>
      <c r="E81" s="109"/>
      <c r="I81" s="13" t="s">
        <v>425</v>
      </c>
    </row>
    <row r="82" spans="1:9" s="114" customFormat="1" x14ac:dyDescent="0.25">
      <c r="A82" s="89"/>
      <c r="B82" s="97" t="s">
        <v>426</v>
      </c>
      <c r="C82" s="98" t="s">
        <v>193</v>
      </c>
      <c r="D82" s="112">
        <f>SUM(D81:D81)</f>
        <v>0</v>
      </c>
      <c r="E82" s="112">
        <f>SUM(E81:E81)</f>
        <v>0</v>
      </c>
      <c r="F82" s="13"/>
    </row>
    <row r="83" spans="1:9" s="101" customFormat="1" x14ac:dyDescent="0.25">
      <c r="A83" s="89"/>
      <c r="B83" s="124" t="s">
        <v>194</v>
      </c>
      <c r="C83" s="124" t="s">
        <v>195</v>
      </c>
      <c r="D83" s="99">
        <f>+D82+D80+D75+D72+D56+D50</f>
        <v>1161282034</v>
      </c>
      <c r="E83" s="99">
        <f>+E82+E80+E75+E72+E56+E50</f>
        <v>0</v>
      </c>
      <c r="F83" s="125"/>
    </row>
    <row r="84" spans="1:9" x14ac:dyDescent="0.25">
      <c r="D84" s="126"/>
      <c r="E84" s="126"/>
    </row>
    <row r="85" spans="1:9" x14ac:dyDescent="0.25">
      <c r="D85" s="14"/>
      <c r="E85" s="14"/>
    </row>
    <row r="86" spans="1:9" x14ac:dyDescent="0.25">
      <c r="D86" s="127"/>
      <c r="E86" s="127"/>
    </row>
    <row r="87" spans="1:9" x14ac:dyDescent="0.25">
      <c r="D87" s="14"/>
      <c r="E87" s="14"/>
    </row>
    <row r="88" spans="1:9" x14ac:dyDescent="0.25">
      <c r="D88" s="14"/>
      <c r="E88" s="14"/>
    </row>
    <row r="89" spans="1:9" x14ac:dyDescent="0.25">
      <c r="D89" s="14"/>
      <c r="E89" s="14"/>
    </row>
    <row r="90" spans="1:9" x14ac:dyDescent="0.25">
      <c r="D90" s="14"/>
      <c r="E90" s="14"/>
    </row>
    <row r="91" spans="1:9" x14ac:dyDescent="0.25">
      <c r="D91" s="14"/>
      <c r="E91" s="14"/>
    </row>
    <row r="92" spans="1:9" x14ac:dyDescent="0.25">
      <c r="D92" s="14"/>
      <c r="E92" s="14"/>
    </row>
    <row r="93" spans="1:9" x14ac:dyDescent="0.25">
      <c r="D93" s="14"/>
      <c r="E93" s="14"/>
    </row>
    <row r="94" spans="1:9" x14ac:dyDescent="0.25">
      <c r="D94" s="14"/>
      <c r="E94" s="14"/>
    </row>
    <row r="95" spans="1:9" x14ac:dyDescent="0.25">
      <c r="D95" s="14"/>
      <c r="E95" s="14"/>
    </row>
  </sheetData>
  <sheetProtection selectLockedCells="1" selectUnlockedCells="1"/>
  <printOptions horizontalCentered="1"/>
  <pageMargins left="0.70833333333333337" right="0.43333333333333335" top="0.41597222222222224" bottom="0.74861111111111112" header="0.51180555555555551" footer="0.31527777777777777"/>
  <pageSetup paperSize="9" scale="81" firstPageNumber="0" orientation="portrait" horizontalDpi="300" verticalDpi="300" r:id="rId1"/>
  <headerFooter alignWithMargins="0">
    <oddFooter>&amp;R&amp;P</oddFooter>
  </headerFooter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26"/>
  <sheetViews>
    <sheetView view="pageBreakPreview" zoomScale="80" zoomScaleSheetLayoutView="80" workbookViewId="0">
      <selection activeCell="E2" sqref="E2"/>
    </sheetView>
  </sheetViews>
  <sheetFormatPr defaultColWidth="11.5703125" defaultRowHeight="15.75" x14ac:dyDescent="0.25"/>
  <cols>
    <col min="1" max="1" width="11.7109375" style="89" customWidth="1"/>
    <col min="2" max="2" width="87.5703125" style="13" customWidth="1"/>
    <col min="3" max="3" width="9.140625" style="13" customWidth="1"/>
    <col min="4" max="4" width="16" style="14" customWidth="1"/>
    <col min="5" max="5" width="17.42578125" style="14" customWidth="1"/>
    <col min="6" max="7" width="0" style="14" hidden="1" customWidth="1"/>
    <col min="8" max="253" width="9.140625" style="13" customWidth="1"/>
  </cols>
  <sheetData>
    <row r="1" spans="1:7" ht="18.75" x14ac:dyDescent="0.25">
      <c r="E1" s="15" t="s">
        <v>427</v>
      </c>
      <c r="G1" s="16" t="s">
        <v>428</v>
      </c>
    </row>
    <row r="2" spans="1:7" x14ac:dyDescent="0.25">
      <c r="E2" s="16" t="s">
        <v>937</v>
      </c>
      <c r="G2" s="16" t="s">
        <v>11</v>
      </c>
    </row>
    <row r="3" spans="1:7" x14ac:dyDescent="0.25">
      <c r="E3" s="15"/>
      <c r="G3" s="15"/>
    </row>
    <row r="4" spans="1:7" ht="27" customHeight="1" x14ac:dyDescent="0.3">
      <c r="B4" s="35" t="s">
        <v>879</v>
      </c>
      <c r="C4" s="37"/>
      <c r="D4" s="37"/>
      <c r="F4" s="37"/>
    </row>
    <row r="5" spans="1:7" x14ac:dyDescent="0.25">
      <c r="B5" s="44"/>
      <c r="C5" s="43"/>
      <c r="D5" s="43"/>
      <c r="F5" s="43"/>
    </row>
    <row r="6" spans="1:7" ht="12.75" customHeight="1" x14ac:dyDescent="0.25">
      <c r="B6" s="468" t="s">
        <v>876</v>
      </c>
      <c r="C6" s="468"/>
    </row>
    <row r="7" spans="1:7" ht="15.75" customHeight="1" x14ac:dyDescent="0.25">
      <c r="B7" s="42"/>
      <c r="C7" s="43"/>
      <c r="D7" s="45"/>
      <c r="F7" s="45"/>
    </row>
    <row r="8" spans="1:7" ht="39.200000000000003" customHeight="1" x14ac:dyDescent="0.25">
      <c r="D8" s="469" t="s">
        <v>429</v>
      </c>
      <c r="E8" s="469"/>
      <c r="F8" s="469" t="s">
        <v>13</v>
      </c>
      <c r="G8" s="469"/>
    </row>
    <row r="9" spans="1:7" ht="47.25" x14ac:dyDescent="0.25">
      <c r="B9" s="19" t="s">
        <v>14</v>
      </c>
      <c r="C9" s="48" t="s">
        <v>41</v>
      </c>
      <c r="D9" s="50" t="s">
        <v>430</v>
      </c>
      <c r="E9" s="50" t="s">
        <v>431</v>
      </c>
      <c r="F9" s="50" t="s">
        <v>430</v>
      </c>
      <c r="G9" s="50" t="s">
        <v>431</v>
      </c>
    </row>
    <row r="10" spans="1:7" hidden="1" x14ac:dyDescent="0.25">
      <c r="B10" s="67"/>
      <c r="C10" s="65"/>
      <c r="D10" s="24"/>
      <c r="E10" s="24"/>
      <c r="F10" s="24"/>
      <c r="G10" s="24"/>
    </row>
    <row r="11" spans="1:7" hidden="1" x14ac:dyDescent="0.25">
      <c r="B11" s="67"/>
      <c r="C11" s="65"/>
      <c r="D11" s="24"/>
      <c r="E11" s="24"/>
      <c r="F11" s="24"/>
      <c r="G11" s="24"/>
    </row>
    <row r="12" spans="1:7" s="101" customFormat="1" ht="31.5" hidden="1" x14ac:dyDescent="0.25">
      <c r="A12" s="89" t="s">
        <v>335</v>
      </c>
      <c r="B12" s="97" t="s">
        <v>432</v>
      </c>
      <c r="C12" s="98" t="s">
        <v>201</v>
      </c>
      <c r="D12" s="99">
        <f>SUM(D10:D11)</f>
        <v>0</v>
      </c>
      <c r="E12" s="99">
        <f>SUM(E10:E11)</f>
        <v>0</v>
      </c>
      <c r="F12" s="99">
        <f>SUM(F10:F11)</f>
        <v>0</v>
      </c>
      <c r="G12" s="99">
        <f>SUM(G10:G11)</f>
        <v>0</v>
      </c>
    </row>
    <row r="13" spans="1:7" hidden="1" x14ac:dyDescent="0.25">
      <c r="A13" s="89" t="s">
        <v>433</v>
      </c>
      <c r="B13" s="67"/>
      <c r="C13" s="65"/>
      <c r="D13" s="24"/>
      <c r="E13" s="24"/>
      <c r="F13" s="24"/>
      <c r="G13" s="24"/>
    </row>
    <row r="14" spans="1:7" hidden="1" x14ac:dyDescent="0.25">
      <c r="B14" s="67"/>
      <c r="C14" s="65"/>
      <c r="D14" s="24"/>
      <c r="E14" s="24"/>
      <c r="F14" s="24"/>
      <c r="G14" s="24"/>
    </row>
    <row r="15" spans="1:7" s="101" customFormat="1" ht="31.5" hidden="1" x14ac:dyDescent="0.25">
      <c r="A15" s="89"/>
      <c r="B15" s="97" t="s">
        <v>434</v>
      </c>
      <c r="C15" s="98" t="s">
        <v>203</v>
      </c>
      <c r="D15" s="99">
        <f>SUM(D13:D14)</f>
        <v>0</v>
      </c>
      <c r="E15" s="99">
        <f>SUM(E13:E14)</f>
        <v>0</v>
      </c>
      <c r="F15" s="99">
        <f>SUM(F13:F14)</f>
        <v>0</v>
      </c>
      <c r="G15" s="99">
        <f>SUM(G13:G14)</f>
        <v>0</v>
      </c>
    </row>
    <row r="16" spans="1:7" x14ac:dyDescent="0.25">
      <c r="B16" s="57"/>
      <c r="C16" s="66"/>
      <c r="D16" s="25"/>
      <c r="E16" s="24"/>
      <c r="F16" s="25"/>
      <c r="G16" s="24"/>
    </row>
    <row r="17" spans="1:8" x14ac:dyDescent="0.25">
      <c r="B17" s="129"/>
      <c r="C17" s="121"/>
      <c r="D17" s="25"/>
      <c r="E17" s="24"/>
      <c r="F17" s="25"/>
      <c r="G17" s="24"/>
    </row>
    <row r="18" spans="1:8" x14ac:dyDescent="0.25">
      <c r="B18" s="130" t="s">
        <v>439</v>
      </c>
      <c r="C18" s="121" t="s">
        <v>436</v>
      </c>
      <c r="D18" s="24"/>
      <c r="E18" s="24">
        <v>154465000</v>
      </c>
      <c r="F18" s="25"/>
      <c r="G18" s="24"/>
    </row>
    <row r="19" spans="1:8" x14ac:dyDescent="0.25">
      <c r="A19" s="89">
        <v>1</v>
      </c>
      <c r="B19" s="129" t="s">
        <v>441</v>
      </c>
      <c r="C19" s="121" t="s">
        <v>436</v>
      </c>
      <c r="D19" s="24"/>
      <c r="E19" s="24">
        <v>500000000</v>
      </c>
      <c r="F19" s="24"/>
      <c r="G19" s="24">
        <v>0</v>
      </c>
      <c r="H19" s="131"/>
    </row>
    <row r="20" spans="1:8" s="101" customFormat="1" x14ac:dyDescent="0.25">
      <c r="A20" s="89" t="s">
        <v>442</v>
      </c>
      <c r="B20" s="132" t="s">
        <v>443</v>
      </c>
      <c r="C20" s="133" t="s">
        <v>436</v>
      </c>
      <c r="D20" s="134">
        <f>SUM(D16:D19)</f>
        <v>0</v>
      </c>
      <c r="E20" s="134">
        <f>SUM(E16:E19)</f>
        <v>654465000</v>
      </c>
      <c r="F20" s="134">
        <f>SUM(F16:F19)</f>
        <v>0</v>
      </c>
      <c r="G20" s="134">
        <f>SUM(G16:G19)</f>
        <v>0</v>
      </c>
      <c r="H20" s="135"/>
    </row>
    <row r="21" spans="1:8" x14ac:dyDescent="0.25">
      <c r="B21" s="136"/>
      <c r="C21" s="66"/>
      <c r="D21" s="137"/>
      <c r="E21" s="137"/>
      <c r="F21" s="137"/>
      <c r="G21" s="137"/>
      <c r="H21" s="131"/>
    </row>
    <row r="22" spans="1:8" x14ac:dyDescent="0.25">
      <c r="A22" s="89">
        <v>5</v>
      </c>
      <c r="B22" s="138" t="s">
        <v>444</v>
      </c>
      <c r="C22" s="121" t="s">
        <v>445</v>
      </c>
      <c r="D22" s="24">
        <v>5259000</v>
      </c>
      <c r="E22" s="24"/>
      <c r="F22" s="24">
        <v>0</v>
      </c>
      <c r="G22" s="24"/>
      <c r="H22" s="27" t="s">
        <v>400</v>
      </c>
    </row>
    <row r="23" spans="1:8" x14ac:dyDescent="0.25">
      <c r="A23" s="89">
        <v>3</v>
      </c>
      <c r="B23" s="138" t="s">
        <v>446</v>
      </c>
      <c r="C23" s="121" t="s">
        <v>445</v>
      </c>
      <c r="D23" s="24">
        <v>2960000</v>
      </c>
      <c r="E23" s="24"/>
      <c r="F23" s="24">
        <v>0</v>
      </c>
      <c r="G23" s="24"/>
      <c r="H23" s="27" t="s">
        <v>400</v>
      </c>
    </row>
    <row r="24" spans="1:8" s="101" customFormat="1" x14ac:dyDescent="0.25">
      <c r="A24" s="89" t="s">
        <v>447</v>
      </c>
      <c r="B24" s="132" t="s">
        <v>448</v>
      </c>
      <c r="C24" s="133" t="s">
        <v>445</v>
      </c>
      <c r="D24" s="134">
        <f>SUM(D22:D23)</f>
        <v>8219000</v>
      </c>
      <c r="E24" s="134">
        <f>SUM(E22:E23)</f>
        <v>0</v>
      </c>
      <c r="F24" s="134">
        <f>SUM(F22:F23)</f>
        <v>0</v>
      </c>
      <c r="G24" s="134">
        <f>SUM(G22:G23)</f>
        <v>0</v>
      </c>
      <c r="H24" s="114"/>
    </row>
    <row r="25" spans="1:8" s="101" customFormat="1" x14ac:dyDescent="0.25">
      <c r="A25" s="89"/>
      <c r="B25" s="139" t="s">
        <v>449</v>
      </c>
      <c r="C25" s="140" t="s">
        <v>205</v>
      </c>
      <c r="D25" s="141">
        <f>+D24+D20</f>
        <v>8219000</v>
      </c>
      <c r="E25" s="141">
        <f>+E24+E20</f>
        <v>654465000</v>
      </c>
      <c r="F25" s="141">
        <f>+F24+F20</f>
        <v>0</v>
      </c>
      <c r="G25" s="141">
        <f>+G24+G20</f>
        <v>0</v>
      </c>
    </row>
    <row r="26" spans="1:8" ht="13.5" customHeight="1" x14ac:dyDescent="0.25">
      <c r="B26" s="142"/>
      <c r="C26" s="143"/>
      <c r="D26" s="144"/>
      <c r="E26" s="144"/>
      <c r="F26" s="144"/>
      <c r="G26" s="144"/>
    </row>
    <row r="27" spans="1:8" x14ac:dyDescent="0.25">
      <c r="A27" s="89" t="s">
        <v>450</v>
      </c>
      <c r="B27" s="130"/>
      <c r="C27" s="65" t="s">
        <v>451</v>
      </c>
      <c r="D27" s="104"/>
      <c r="E27" s="145"/>
      <c r="F27" s="104"/>
      <c r="G27" s="145">
        <v>0</v>
      </c>
    </row>
    <row r="28" spans="1:8" s="101" customFormat="1" x14ac:dyDescent="0.25">
      <c r="A28" s="89"/>
      <c r="B28" s="139" t="s">
        <v>452</v>
      </c>
      <c r="C28" s="140" t="s">
        <v>451</v>
      </c>
      <c r="D28" s="141">
        <f>SUM(D26:D27)</f>
        <v>0</v>
      </c>
      <c r="E28" s="141">
        <f>SUM(E26:E27)</f>
        <v>0</v>
      </c>
      <c r="F28" s="141">
        <f>SUM(F26:F27)</f>
        <v>0</v>
      </c>
      <c r="G28" s="141">
        <f>SUM(G26:G27)</f>
        <v>0</v>
      </c>
    </row>
    <row r="29" spans="1:8" ht="13.5" hidden="1" customHeight="1" x14ac:dyDescent="0.25">
      <c r="B29" s="142"/>
      <c r="C29" s="143"/>
      <c r="D29" s="144"/>
      <c r="E29" s="144"/>
      <c r="F29" s="144"/>
      <c r="G29" s="144"/>
    </row>
    <row r="30" spans="1:8" hidden="1" x14ac:dyDescent="0.25">
      <c r="B30" s="67"/>
      <c r="C30" s="65"/>
      <c r="D30" s="24"/>
      <c r="E30" s="24"/>
      <c r="F30" s="24"/>
      <c r="G30" s="24"/>
    </row>
    <row r="31" spans="1:8" s="101" customFormat="1" ht="31.5" hidden="1" x14ac:dyDescent="0.25">
      <c r="A31" s="89"/>
      <c r="B31" s="97" t="s">
        <v>453</v>
      </c>
      <c r="C31" s="98" t="s">
        <v>454</v>
      </c>
      <c r="D31" s="99">
        <f>SUM(D29:D30)</f>
        <v>0</v>
      </c>
      <c r="E31" s="99">
        <f>SUM(E29:E30)</f>
        <v>0</v>
      </c>
      <c r="F31" s="99">
        <f>SUM(F29:F30)</f>
        <v>0</v>
      </c>
      <c r="G31" s="99">
        <f>SUM(G29:G30)</f>
        <v>0</v>
      </c>
    </row>
    <row r="32" spans="1:8" hidden="1" x14ac:dyDescent="0.25">
      <c r="B32" s="67"/>
      <c r="C32" s="65"/>
      <c r="D32" s="24"/>
      <c r="E32" s="24"/>
      <c r="F32" s="24"/>
      <c r="G32" s="24"/>
    </row>
    <row r="33" spans="1:8" hidden="1" x14ac:dyDescent="0.25">
      <c r="B33" s="67"/>
      <c r="C33" s="65"/>
      <c r="D33" s="24"/>
      <c r="E33" s="24"/>
      <c r="F33" s="24"/>
      <c r="G33" s="24"/>
    </row>
    <row r="34" spans="1:8" s="101" customFormat="1" ht="31.5" hidden="1" x14ac:dyDescent="0.25">
      <c r="A34" s="89"/>
      <c r="B34" s="97" t="s">
        <v>455</v>
      </c>
      <c r="C34" s="98" t="s">
        <v>456</v>
      </c>
      <c r="D34" s="99">
        <f>SUM(D32:D33)</f>
        <v>0</v>
      </c>
      <c r="E34" s="99">
        <f>SUM(E32:E33)</f>
        <v>0</v>
      </c>
      <c r="F34" s="99">
        <f>SUM(F32:F33)</f>
        <v>0</v>
      </c>
      <c r="G34" s="99">
        <f>SUM(G32:G33)</f>
        <v>0</v>
      </c>
    </row>
    <row r="35" spans="1:8" x14ac:dyDescent="0.25">
      <c r="A35" s="89" t="s">
        <v>335</v>
      </c>
      <c r="B35" s="57"/>
      <c r="C35" s="66"/>
      <c r="D35" s="24"/>
      <c r="E35" s="24"/>
      <c r="F35" s="24"/>
      <c r="G35" s="24"/>
    </row>
    <row r="36" spans="1:8" x14ac:dyDescent="0.25">
      <c r="B36" s="130" t="s">
        <v>926</v>
      </c>
      <c r="C36" s="65" t="s">
        <v>458</v>
      </c>
      <c r="D36" s="144">
        <v>30000000</v>
      </c>
      <c r="E36" s="24"/>
      <c r="F36" s="24"/>
      <c r="G36" s="24"/>
    </row>
    <row r="37" spans="1:8" x14ac:dyDescent="0.25">
      <c r="B37" s="130" t="s">
        <v>459</v>
      </c>
      <c r="C37" s="65" t="s">
        <v>458</v>
      </c>
      <c r="D37" s="144">
        <v>30874000</v>
      </c>
      <c r="E37" s="24"/>
      <c r="F37" s="24"/>
      <c r="G37" s="24"/>
    </row>
    <row r="38" spans="1:8" x14ac:dyDescent="0.25">
      <c r="B38" s="130" t="s">
        <v>460</v>
      </c>
      <c r="C38" s="65" t="s">
        <v>458</v>
      </c>
      <c r="D38" s="24">
        <v>18482000</v>
      </c>
      <c r="E38" s="24"/>
      <c r="F38" s="24"/>
      <c r="G38" s="24"/>
    </row>
    <row r="39" spans="1:8" x14ac:dyDescent="0.25">
      <c r="B39" s="130" t="s">
        <v>461</v>
      </c>
      <c r="C39" s="65" t="s">
        <v>458</v>
      </c>
      <c r="D39" s="24">
        <v>94089000</v>
      </c>
      <c r="E39" s="24"/>
      <c r="F39" s="24"/>
      <c r="G39" s="24"/>
    </row>
    <row r="40" spans="1:8" s="101" customFormat="1" x14ac:dyDescent="0.25">
      <c r="A40" s="89" t="s">
        <v>462</v>
      </c>
      <c r="B40" s="132" t="s">
        <v>463</v>
      </c>
      <c r="C40" s="133" t="s">
        <v>458</v>
      </c>
      <c r="D40" s="134">
        <f>SUM(D35:D39)</f>
        <v>173445000</v>
      </c>
      <c r="E40" s="134">
        <f>SUM(E35:E39)</f>
        <v>0</v>
      </c>
      <c r="F40" s="134">
        <f>SUM(F35:F37)</f>
        <v>0</v>
      </c>
      <c r="G40" s="134">
        <f>SUM(G35:G37)</f>
        <v>0</v>
      </c>
    </row>
    <row r="41" spans="1:8" x14ac:dyDescent="0.25">
      <c r="B41" s="57"/>
      <c r="C41" s="66"/>
      <c r="D41" s="24"/>
      <c r="E41" s="24"/>
      <c r="F41" s="24"/>
      <c r="G41" s="24"/>
    </row>
    <row r="42" spans="1:8" s="123" customFormat="1" x14ac:dyDescent="0.25">
      <c r="A42" s="119"/>
      <c r="B42" s="130" t="s">
        <v>904</v>
      </c>
      <c r="C42" s="65" t="s">
        <v>465</v>
      </c>
      <c r="D42" s="146">
        <v>572931453</v>
      </c>
      <c r="E42" s="24"/>
      <c r="F42" s="146">
        <v>0</v>
      </c>
      <c r="G42" s="24"/>
      <c r="H42" s="123" t="s">
        <v>466</v>
      </c>
    </row>
    <row r="43" spans="1:8" s="123" customFormat="1" x14ac:dyDescent="0.25">
      <c r="A43" s="119"/>
      <c r="B43" s="130" t="s">
        <v>467</v>
      </c>
      <c r="C43" s="65" t="s">
        <v>465</v>
      </c>
      <c r="D43" s="146">
        <v>495427000</v>
      </c>
      <c r="E43" s="24"/>
      <c r="F43" s="146"/>
      <c r="G43" s="24"/>
    </row>
    <row r="44" spans="1:8" s="123" customFormat="1" x14ac:dyDescent="0.25">
      <c r="A44" s="119"/>
      <c r="B44" s="130" t="s">
        <v>905</v>
      </c>
      <c r="C44" s="65" t="s">
        <v>465</v>
      </c>
      <c r="D44" s="24"/>
      <c r="E44" s="24">
        <v>100000000</v>
      </c>
      <c r="F44" s="24"/>
      <c r="G44" s="24"/>
      <c r="H44" s="123" t="s">
        <v>466</v>
      </c>
    </row>
    <row r="45" spans="1:8" s="123" customFormat="1" x14ac:dyDescent="0.25">
      <c r="A45" s="119">
        <v>11</v>
      </c>
      <c r="B45" s="130" t="s">
        <v>470</v>
      </c>
      <c r="C45" s="65" t="s">
        <v>465</v>
      </c>
      <c r="D45" s="24"/>
      <c r="E45" s="24">
        <v>144623000</v>
      </c>
      <c r="F45" s="24"/>
      <c r="G45" s="24">
        <v>0</v>
      </c>
      <c r="H45" s="123" t="s">
        <v>466</v>
      </c>
    </row>
    <row r="46" spans="1:8" s="123" customFormat="1" x14ac:dyDescent="0.25">
      <c r="A46" s="119"/>
      <c r="B46" s="130" t="s">
        <v>471</v>
      </c>
      <c r="C46" s="65" t="s">
        <v>465</v>
      </c>
      <c r="D46" s="24"/>
      <c r="E46" s="24">
        <v>262434000</v>
      </c>
      <c r="F46" s="24"/>
      <c r="G46" s="24"/>
      <c r="H46" s="123" t="s">
        <v>466</v>
      </c>
    </row>
    <row r="47" spans="1:8" s="123" customFormat="1" x14ac:dyDescent="0.25">
      <c r="A47" s="119">
        <v>10</v>
      </c>
      <c r="B47" s="130" t="s">
        <v>472</v>
      </c>
      <c r="C47" s="65" t="s">
        <v>465</v>
      </c>
      <c r="D47" s="24"/>
      <c r="E47" s="24">
        <v>157099000</v>
      </c>
      <c r="F47" s="24"/>
      <c r="G47" s="24">
        <v>0</v>
      </c>
      <c r="H47" s="123" t="s">
        <v>466</v>
      </c>
    </row>
    <row r="48" spans="1:8" s="123" customFormat="1" x14ac:dyDescent="0.25">
      <c r="A48" s="119"/>
      <c r="B48" s="130" t="s">
        <v>474</v>
      </c>
      <c r="C48" s="65" t="s">
        <v>465</v>
      </c>
      <c r="D48" s="24">
        <v>190121000</v>
      </c>
      <c r="E48" s="24"/>
      <c r="F48" s="24"/>
      <c r="G48" s="24"/>
      <c r="H48" s="123" t="s">
        <v>466</v>
      </c>
    </row>
    <row r="49" spans="1:8" s="123" customFormat="1" x14ac:dyDescent="0.25">
      <c r="A49" s="119">
        <v>14</v>
      </c>
      <c r="B49" s="130" t="s">
        <v>475</v>
      </c>
      <c r="C49" s="65" t="s">
        <v>465</v>
      </c>
      <c r="D49" s="24">
        <v>190125000</v>
      </c>
      <c r="E49" s="24"/>
      <c r="F49" s="24">
        <v>0</v>
      </c>
      <c r="G49" s="24"/>
      <c r="H49" s="123" t="s">
        <v>466</v>
      </c>
    </row>
    <row r="50" spans="1:8" s="123" customFormat="1" x14ac:dyDescent="0.25">
      <c r="A50" s="119"/>
      <c r="B50" s="130" t="s">
        <v>476</v>
      </c>
      <c r="C50" s="65" t="s">
        <v>465</v>
      </c>
      <c r="D50" s="24">
        <v>86900000</v>
      </c>
      <c r="E50" s="24"/>
      <c r="F50" s="24"/>
      <c r="G50" s="24"/>
    </row>
    <row r="51" spans="1:8" s="123" customFormat="1" x14ac:dyDescent="0.25">
      <c r="A51" s="119">
        <v>15</v>
      </c>
      <c r="B51" s="130" t="s">
        <v>477</v>
      </c>
      <c r="C51" s="65" t="s">
        <v>465</v>
      </c>
      <c r="D51" s="24">
        <v>846805000</v>
      </c>
      <c r="E51" s="24"/>
      <c r="F51" s="24"/>
      <c r="G51" s="24">
        <v>0</v>
      </c>
    </row>
    <row r="52" spans="1:8" s="101" customFormat="1" x14ac:dyDescent="0.25">
      <c r="A52" s="89" t="s">
        <v>478</v>
      </c>
      <c r="B52" s="132" t="s">
        <v>443</v>
      </c>
      <c r="C52" s="133" t="s">
        <v>465</v>
      </c>
      <c r="D52" s="134">
        <f>SUM(D41:D51)</f>
        <v>2382309453</v>
      </c>
      <c r="E52" s="134">
        <f>SUM(E41:E51)</f>
        <v>664156000</v>
      </c>
      <c r="F52" s="134">
        <f>SUM(F41:F51)</f>
        <v>0</v>
      </c>
      <c r="G52" s="134">
        <f>SUM(G41:G51)</f>
        <v>0</v>
      </c>
    </row>
    <row r="53" spans="1:8" s="101" customFormat="1" x14ac:dyDescent="0.25">
      <c r="A53" s="89"/>
      <c r="B53" s="97" t="s">
        <v>479</v>
      </c>
      <c r="C53" s="98" t="s">
        <v>480</v>
      </c>
      <c r="D53" s="99">
        <f>+D52+D40</f>
        <v>2555754453</v>
      </c>
      <c r="E53" s="99">
        <f>+E52+E40</f>
        <v>664156000</v>
      </c>
      <c r="F53" s="99">
        <f>+F52+F40</f>
        <v>0</v>
      </c>
      <c r="G53" s="99">
        <f>+G52+G40</f>
        <v>0</v>
      </c>
    </row>
    <row r="54" spans="1:8" s="101" customFormat="1" x14ac:dyDescent="0.25">
      <c r="A54" s="89"/>
      <c r="B54" s="139" t="s">
        <v>481</v>
      </c>
      <c r="C54" s="140" t="s">
        <v>209</v>
      </c>
      <c r="D54" s="141">
        <f>+D53+D34+D31+D28</f>
        <v>2555754453</v>
      </c>
      <c r="E54" s="141">
        <f>+E53+E34+E31+E28</f>
        <v>664156000</v>
      </c>
      <c r="F54" s="141">
        <f>+F53+F34+F31+F28</f>
        <v>0</v>
      </c>
      <c r="G54" s="141">
        <f>+G53+G34+G31+G28</f>
        <v>0</v>
      </c>
      <c r="H54" s="147"/>
    </row>
    <row r="55" spans="1:8" x14ac:dyDescent="0.25">
      <c r="B55" s="142"/>
      <c r="C55" s="148"/>
      <c r="D55" s="144"/>
      <c r="E55" s="144"/>
      <c r="F55" s="144"/>
      <c r="G55" s="144"/>
    </row>
    <row r="56" spans="1:8" hidden="1" x14ac:dyDescent="0.25">
      <c r="B56" s="67"/>
      <c r="C56" s="54"/>
      <c r="D56" s="24"/>
      <c r="E56" s="24"/>
      <c r="F56" s="24"/>
      <c r="G56" s="24"/>
    </row>
    <row r="57" spans="1:8" s="101" customFormat="1" ht="19.5" hidden="1" customHeight="1" x14ac:dyDescent="0.25">
      <c r="A57" s="89"/>
      <c r="B57" s="97" t="s">
        <v>482</v>
      </c>
      <c r="C57" s="98" t="s">
        <v>483</v>
      </c>
      <c r="D57" s="99">
        <f>SUM(D55:D56)</f>
        <v>0</v>
      </c>
      <c r="E57" s="99">
        <f>SUM(E55:E56)</f>
        <v>0</v>
      </c>
      <c r="F57" s="99">
        <f>SUM(F55:F56)</f>
        <v>0</v>
      </c>
      <c r="G57" s="99">
        <f>SUM(G55:G56)</f>
        <v>0</v>
      </c>
    </row>
    <row r="58" spans="1:8" hidden="1" x14ac:dyDescent="0.25">
      <c r="B58" s="67"/>
      <c r="C58" s="54"/>
      <c r="D58" s="24"/>
      <c r="E58" s="24"/>
      <c r="F58" s="24"/>
      <c r="G58" s="24"/>
    </row>
    <row r="59" spans="1:8" hidden="1" x14ac:dyDescent="0.25">
      <c r="B59" s="67"/>
      <c r="C59" s="54"/>
      <c r="D59" s="24"/>
      <c r="E59" s="24"/>
      <c r="F59" s="24"/>
      <c r="G59" s="24"/>
    </row>
    <row r="60" spans="1:8" s="101" customFormat="1" ht="31.5" hidden="1" x14ac:dyDescent="0.25">
      <c r="A60" s="89"/>
      <c r="B60" s="97" t="s">
        <v>484</v>
      </c>
      <c r="C60" s="98" t="s">
        <v>485</v>
      </c>
      <c r="D60" s="99">
        <f>SUM(D58:D59)</f>
        <v>0</v>
      </c>
      <c r="E60" s="99">
        <f>SUM(E58:E59)</f>
        <v>0</v>
      </c>
      <c r="F60" s="99">
        <f>SUM(F58:F59)</f>
        <v>0</v>
      </c>
      <c r="G60" s="99">
        <f>SUM(G58:G59)</f>
        <v>0</v>
      </c>
    </row>
    <row r="61" spans="1:8" hidden="1" x14ac:dyDescent="0.25">
      <c r="B61" s="67"/>
      <c r="C61" s="54"/>
      <c r="D61" s="24"/>
      <c r="E61" s="24"/>
      <c r="F61" s="24"/>
      <c r="G61" s="24"/>
    </row>
    <row r="62" spans="1:8" hidden="1" x14ac:dyDescent="0.25">
      <c r="B62" s="67"/>
      <c r="C62" s="54"/>
      <c r="D62" s="24"/>
      <c r="E62" s="24"/>
      <c r="F62" s="24"/>
      <c r="G62" s="24"/>
    </row>
    <row r="63" spans="1:8" s="101" customFormat="1" ht="31.5" hidden="1" x14ac:dyDescent="0.25">
      <c r="A63" s="89"/>
      <c r="B63" s="97" t="s">
        <v>486</v>
      </c>
      <c r="C63" s="98" t="s">
        <v>265</v>
      </c>
      <c r="D63" s="99">
        <f>SUM(D61:D62)</f>
        <v>0</v>
      </c>
      <c r="E63" s="99">
        <f>SUM(E61:E62)</f>
        <v>0</v>
      </c>
      <c r="F63" s="99">
        <f>SUM(F61:F62)</f>
        <v>0</v>
      </c>
      <c r="G63" s="99">
        <f>SUM(G61:G62)</f>
        <v>0</v>
      </c>
    </row>
    <row r="64" spans="1:8" hidden="1" x14ac:dyDescent="0.25">
      <c r="B64" s="67"/>
      <c r="C64" s="54"/>
      <c r="D64" s="24"/>
      <c r="E64" s="24"/>
      <c r="F64" s="24"/>
      <c r="G64" s="24"/>
    </row>
    <row r="65" spans="1:7" hidden="1" x14ac:dyDescent="0.25">
      <c r="B65" s="67"/>
      <c r="C65" s="54"/>
      <c r="D65" s="24"/>
      <c r="E65" s="24"/>
      <c r="F65" s="24"/>
      <c r="G65" s="24"/>
    </row>
    <row r="66" spans="1:7" s="101" customFormat="1" ht="31.5" hidden="1" x14ac:dyDescent="0.25">
      <c r="A66" s="89"/>
      <c r="B66" s="453" t="s">
        <v>487</v>
      </c>
      <c r="C66" s="454" t="s">
        <v>267</v>
      </c>
      <c r="D66" s="455">
        <f>SUM(D64:D65)</f>
        <v>0</v>
      </c>
      <c r="E66" s="455">
        <f>SUM(E64:E65)</f>
        <v>0</v>
      </c>
      <c r="F66" s="99">
        <f>SUM(F64:F65)</f>
        <v>0</v>
      </c>
      <c r="G66" s="99">
        <f>SUM(G64:G65)</f>
        <v>0</v>
      </c>
    </row>
    <row r="67" spans="1:7" s="101" customFormat="1" x14ac:dyDescent="0.25">
      <c r="A67" s="89"/>
      <c r="B67" s="129" t="s">
        <v>464</v>
      </c>
      <c r="C67" s="459" t="s">
        <v>297</v>
      </c>
      <c r="D67" s="460">
        <v>108986959</v>
      </c>
      <c r="E67" s="461"/>
      <c r="F67" s="397"/>
      <c r="G67" s="397"/>
    </row>
    <row r="68" spans="1:7" s="101" customFormat="1" x14ac:dyDescent="0.25">
      <c r="A68" s="89"/>
      <c r="B68" s="129" t="s">
        <v>473</v>
      </c>
      <c r="C68" s="459" t="s">
        <v>297</v>
      </c>
      <c r="D68" s="460">
        <v>168733611</v>
      </c>
      <c r="E68" s="461"/>
      <c r="F68" s="397"/>
      <c r="G68" s="397"/>
    </row>
    <row r="69" spans="1:7" s="101" customFormat="1" x14ac:dyDescent="0.25">
      <c r="A69" s="89"/>
      <c r="B69" s="129" t="s">
        <v>469</v>
      </c>
      <c r="C69" s="459" t="s">
        <v>297</v>
      </c>
      <c r="D69" s="460">
        <v>81173203</v>
      </c>
      <c r="E69" s="461"/>
      <c r="F69" s="397"/>
      <c r="G69" s="397"/>
    </row>
    <row r="70" spans="1:7" s="101" customFormat="1" x14ac:dyDescent="0.25">
      <c r="A70" s="89"/>
      <c r="B70" s="130" t="s">
        <v>468</v>
      </c>
      <c r="C70" s="459" t="s">
        <v>297</v>
      </c>
      <c r="D70" s="460">
        <v>146939024</v>
      </c>
      <c r="E70" s="461"/>
      <c r="F70" s="397"/>
      <c r="G70" s="397"/>
    </row>
    <row r="71" spans="1:7" x14ac:dyDescent="0.25">
      <c r="A71" s="89" t="s">
        <v>488</v>
      </c>
      <c r="B71" s="129" t="s">
        <v>457</v>
      </c>
      <c r="C71" s="459" t="s">
        <v>297</v>
      </c>
      <c r="D71" s="460">
        <v>30000000</v>
      </c>
      <c r="E71" s="461"/>
      <c r="F71" s="451">
        <v>0</v>
      </c>
      <c r="G71" s="149"/>
    </row>
    <row r="72" spans="1:7" s="101" customFormat="1" x14ac:dyDescent="0.25">
      <c r="A72" s="89"/>
      <c r="B72" s="462" t="s">
        <v>489</v>
      </c>
      <c r="C72" s="462" t="s">
        <v>297</v>
      </c>
      <c r="D72" s="463">
        <f>SUM(D67:D71)</f>
        <v>535832797</v>
      </c>
      <c r="E72" s="463">
        <f>SUM(E71:E71)</f>
        <v>0</v>
      </c>
      <c r="F72" s="452">
        <f>SUM(F71:F71)</f>
        <v>0</v>
      </c>
      <c r="G72" s="150">
        <f>SUM(G71:G71)</f>
        <v>0</v>
      </c>
    </row>
    <row r="73" spans="1:7" x14ac:dyDescent="0.25">
      <c r="B73" s="456"/>
      <c r="C73" s="457"/>
      <c r="D73" s="458"/>
      <c r="E73" s="458"/>
      <c r="F73" s="50"/>
      <c r="G73" s="50"/>
    </row>
    <row r="74" spans="1:7" x14ac:dyDescent="0.25">
      <c r="B74" s="26"/>
      <c r="C74" s="151" t="s">
        <v>249</v>
      </c>
      <c r="D74" s="50"/>
      <c r="E74" s="50"/>
      <c r="F74" s="50"/>
      <c r="G74" s="50"/>
    </row>
    <row r="75" spans="1:7" s="114" customFormat="1" x14ac:dyDescent="0.25">
      <c r="A75" s="89" t="s">
        <v>335</v>
      </c>
      <c r="B75" s="152" t="s">
        <v>490</v>
      </c>
      <c r="C75" s="98" t="s">
        <v>249</v>
      </c>
      <c r="D75" s="99">
        <f>SUM(D73:D74)</f>
        <v>0</v>
      </c>
      <c r="E75" s="99">
        <f>SUM(E73:E74)</f>
        <v>0</v>
      </c>
      <c r="F75" s="99">
        <f>SUM(F73:F74)</f>
        <v>0</v>
      </c>
      <c r="G75" s="99">
        <f>SUM(G73:G74)</f>
        <v>0</v>
      </c>
    </row>
    <row r="76" spans="1:7" x14ac:dyDescent="0.25">
      <c r="A76" s="89" t="s">
        <v>491</v>
      </c>
      <c r="B76" s="138"/>
      <c r="C76" s="65"/>
      <c r="D76" s="24"/>
      <c r="E76" s="24"/>
      <c r="F76" s="24"/>
      <c r="G76" s="24"/>
    </row>
    <row r="77" spans="1:7" x14ac:dyDescent="0.25">
      <c r="A77" s="89" t="s">
        <v>492</v>
      </c>
      <c r="B77" s="138" t="s">
        <v>493</v>
      </c>
      <c r="C77" s="121" t="s">
        <v>251</v>
      </c>
      <c r="D77" s="24">
        <v>35000000</v>
      </c>
      <c r="E77" s="24"/>
      <c r="F77" s="24"/>
      <c r="G77" s="24">
        <v>0</v>
      </c>
    </row>
    <row r="78" spans="1:7" x14ac:dyDescent="0.25">
      <c r="A78" s="89" t="s">
        <v>494</v>
      </c>
      <c r="B78" s="138" t="s">
        <v>495</v>
      </c>
      <c r="C78" s="121" t="s">
        <v>251</v>
      </c>
      <c r="D78" s="24">
        <v>0</v>
      </c>
      <c r="E78" s="24"/>
      <c r="F78" s="24"/>
      <c r="G78" s="24">
        <v>0</v>
      </c>
    </row>
    <row r="79" spans="1:7" x14ac:dyDescent="0.25">
      <c r="A79" s="89" t="s">
        <v>496</v>
      </c>
      <c r="B79" s="138" t="s">
        <v>497</v>
      </c>
      <c r="C79" s="121" t="s">
        <v>251</v>
      </c>
      <c r="D79" s="153">
        <v>19000000</v>
      </c>
      <c r="E79" s="153"/>
      <c r="F79" s="153"/>
      <c r="G79" s="153">
        <v>0</v>
      </c>
    </row>
    <row r="80" spans="1:7" x14ac:dyDescent="0.25">
      <c r="A80" s="89" t="s">
        <v>498</v>
      </c>
      <c r="B80" s="138" t="s">
        <v>499</v>
      </c>
      <c r="C80" s="121" t="s">
        <v>251</v>
      </c>
      <c r="D80" s="153">
        <v>55000000</v>
      </c>
      <c r="E80" s="153"/>
      <c r="F80" s="153"/>
      <c r="G80" s="153">
        <v>0</v>
      </c>
    </row>
    <row r="81" spans="1:7" s="114" customFormat="1" x14ac:dyDescent="0.25">
      <c r="A81" s="154"/>
      <c r="B81" s="152" t="s">
        <v>500</v>
      </c>
      <c r="C81" s="98" t="s">
        <v>251</v>
      </c>
      <c r="D81" s="99">
        <f>SUM(D76:D80)</f>
        <v>109000000</v>
      </c>
      <c r="E81" s="99">
        <f>SUM(E76:E80)</f>
        <v>0</v>
      </c>
      <c r="F81" s="99">
        <f>SUM(F76:F80)</f>
        <v>0</v>
      </c>
      <c r="G81" s="99">
        <f>SUM(G76:G80)</f>
        <v>0</v>
      </c>
    </row>
    <row r="82" spans="1:7" x14ac:dyDescent="0.25">
      <c r="B82" s="67"/>
      <c r="C82" s="65"/>
      <c r="D82" s="24"/>
      <c r="E82" s="24"/>
      <c r="F82" s="24"/>
      <c r="G82" s="24"/>
    </row>
    <row r="83" spans="1:7" x14ac:dyDescent="0.25">
      <c r="A83" s="89" t="s">
        <v>501</v>
      </c>
      <c r="B83" s="129" t="s">
        <v>889</v>
      </c>
      <c r="C83" s="121" t="s">
        <v>253</v>
      </c>
      <c r="D83" s="24">
        <v>500000</v>
      </c>
      <c r="E83" s="24">
        <v>0</v>
      </c>
      <c r="F83" s="24"/>
      <c r="G83" s="24"/>
    </row>
    <row r="84" spans="1:7" s="114" customFormat="1" x14ac:dyDescent="0.25">
      <c r="A84" s="154"/>
      <c r="B84" s="152" t="s">
        <v>502</v>
      </c>
      <c r="C84" s="98" t="s">
        <v>253</v>
      </c>
      <c r="D84" s="99">
        <f>SUM(D82:D83)</f>
        <v>500000</v>
      </c>
      <c r="E84" s="99">
        <f>SUM(E82:E83)</f>
        <v>0</v>
      </c>
      <c r="F84" s="99">
        <f>SUM(F82:F83)</f>
        <v>0</v>
      </c>
      <c r="G84" s="99">
        <f>SUM(G82:G83)</f>
        <v>0</v>
      </c>
    </row>
    <row r="85" spans="1:7" hidden="1" x14ac:dyDescent="0.25">
      <c r="B85" s="67"/>
      <c r="C85" s="65"/>
      <c r="D85" s="24"/>
      <c r="E85" s="24"/>
      <c r="F85" s="24"/>
      <c r="G85" s="24"/>
    </row>
    <row r="86" spans="1:7" hidden="1" x14ac:dyDescent="0.25">
      <c r="B86" s="67"/>
      <c r="C86" s="65"/>
      <c r="D86" s="24"/>
      <c r="E86" s="24"/>
      <c r="F86" s="24"/>
      <c r="G86" s="24"/>
    </row>
    <row r="87" spans="1:7" s="114" customFormat="1" hidden="1" x14ac:dyDescent="0.25">
      <c r="A87" s="154"/>
      <c r="B87" s="152" t="s">
        <v>503</v>
      </c>
      <c r="C87" s="98" t="s">
        <v>255</v>
      </c>
      <c r="D87" s="99">
        <f>SUM(D85:D86)</f>
        <v>0</v>
      </c>
      <c r="E87" s="99">
        <f>SUM(E85:E86)</f>
        <v>0</v>
      </c>
      <c r="F87" s="99">
        <f>SUM(F85:F86)</f>
        <v>0</v>
      </c>
      <c r="G87" s="99">
        <f>SUM(G85:G86)</f>
        <v>0</v>
      </c>
    </row>
    <row r="88" spans="1:7" hidden="1" x14ac:dyDescent="0.25">
      <c r="B88" s="67"/>
      <c r="C88" s="65"/>
      <c r="D88" s="24"/>
      <c r="E88" s="24"/>
      <c r="F88" s="24"/>
      <c r="G88" s="24"/>
    </row>
    <row r="89" spans="1:7" hidden="1" x14ac:dyDescent="0.25">
      <c r="B89" s="67"/>
      <c r="C89" s="65"/>
      <c r="D89" s="24"/>
      <c r="E89" s="24"/>
      <c r="F89" s="24"/>
      <c r="G89" s="24"/>
    </row>
    <row r="90" spans="1:7" s="114" customFormat="1" hidden="1" x14ac:dyDescent="0.25">
      <c r="A90" s="154"/>
      <c r="B90" s="152" t="s">
        <v>504</v>
      </c>
      <c r="C90" s="98" t="s">
        <v>257</v>
      </c>
      <c r="D90" s="99">
        <f>SUM(D88:D89)</f>
        <v>0</v>
      </c>
      <c r="E90" s="99">
        <f>SUM(E88:E89)</f>
        <v>0</v>
      </c>
      <c r="F90" s="99">
        <f>SUM(F88:F89)</f>
        <v>0</v>
      </c>
      <c r="G90" s="99">
        <f>SUM(G88:G89)</f>
        <v>0</v>
      </c>
    </row>
    <row r="91" spans="1:7" s="101" customFormat="1" x14ac:dyDescent="0.25">
      <c r="A91" s="89"/>
      <c r="B91" s="97" t="s">
        <v>505</v>
      </c>
      <c r="C91" s="98" t="s">
        <v>259</v>
      </c>
      <c r="D91" s="99">
        <f>+D90+D87+D84+D81+D75</f>
        <v>109500000</v>
      </c>
      <c r="E91" s="99">
        <f>+E90+E87+E84+E81+E75</f>
        <v>0</v>
      </c>
      <c r="F91" s="99">
        <f>+F90+F87+F84+F81+F75</f>
        <v>0</v>
      </c>
      <c r="G91" s="99">
        <f>+G90+G87+G84+G81+G75</f>
        <v>0</v>
      </c>
    </row>
    <row r="94" spans="1:7" x14ac:dyDescent="0.25">
      <c r="D94" s="14">
        <f>+D54+E54+D25+E25-D22-D23</f>
        <v>3874375453</v>
      </c>
    </row>
    <row r="95" spans="1:7" x14ac:dyDescent="0.25">
      <c r="D95" s="14">
        <v>3639890</v>
      </c>
    </row>
    <row r="96" spans="1:7" x14ac:dyDescent="0.25">
      <c r="D96" s="14">
        <f>+D95-D94</f>
        <v>-3870735563</v>
      </c>
    </row>
    <row r="97" spans="2:5" x14ac:dyDescent="0.25">
      <c r="D97" s="14">
        <v>24678</v>
      </c>
    </row>
    <row r="98" spans="2:5" x14ac:dyDescent="0.25">
      <c r="D98" s="14">
        <f>+D97-D96</f>
        <v>3870760241</v>
      </c>
    </row>
    <row r="104" spans="2:5" x14ac:dyDescent="0.25">
      <c r="D104" s="14" t="s">
        <v>933</v>
      </c>
      <c r="E104" s="14" t="s">
        <v>934</v>
      </c>
    </row>
    <row r="105" spans="2:5" x14ac:dyDescent="0.25">
      <c r="B105" s="130" t="s">
        <v>517</v>
      </c>
      <c r="E105" s="14">
        <f>+E45</f>
        <v>144623000</v>
      </c>
    </row>
    <row r="106" spans="2:5" x14ac:dyDescent="0.25">
      <c r="B106" s="129" t="s">
        <v>473</v>
      </c>
      <c r="D106" s="14">
        <f>+D68</f>
        <v>168733611</v>
      </c>
    </row>
    <row r="107" spans="2:5" x14ac:dyDescent="0.25">
      <c r="B107" s="129" t="s">
        <v>457</v>
      </c>
      <c r="D107" s="14">
        <f>+D71</f>
        <v>30000000</v>
      </c>
    </row>
    <row r="108" spans="2:5" x14ac:dyDescent="0.25">
      <c r="B108" s="129" t="s">
        <v>469</v>
      </c>
      <c r="D108" s="14">
        <f>+D69</f>
        <v>81173203</v>
      </c>
    </row>
    <row r="109" spans="2:5" x14ac:dyDescent="0.25">
      <c r="B109" s="129" t="s">
        <v>464</v>
      </c>
      <c r="D109" s="14">
        <f>+D67</f>
        <v>108986959</v>
      </c>
    </row>
    <row r="110" spans="2:5" x14ac:dyDescent="0.25">
      <c r="B110" s="130" t="s">
        <v>467</v>
      </c>
      <c r="E110" s="14">
        <f>+D43</f>
        <v>495427000</v>
      </c>
    </row>
    <row r="111" spans="2:5" x14ac:dyDescent="0.25">
      <c r="B111" s="130" t="s">
        <v>474</v>
      </c>
      <c r="E111" s="14">
        <f>+D48</f>
        <v>190121000</v>
      </c>
    </row>
    <row r="112" spans="2:5" x14ac:dyDescent="0.25">
      <c r="B112" s="130" t="s">
        <v>475</v>
      </c>
      <c r="E112" s="14">
        <f>+D49</f>
        <v>190125000</v>
      </c>
    </row>
    <row r="113" spans="2:5" x14ac:dyDescent="0.25">
      <c r="B113" s="130" t="s">
        <v>471</v>
      </c>
      <c r="E113" s="14">
        <f>+E46</f>
        <v>262434000</v>
      </c>
    </row>
    <row r="114" spans="2:5" x14ac:dyDescent="0.25">
      <c r="B114" s="130" t="s">
        <v>472</v>
      </c>
      <c r="E114" s="14">
        <f>+E47</f>
        <v>157099000</v>
      </c>
    </row>
    <row r="115" spans="2:5" x14ac:dyDescent="0.25">
      <c r="B115" s="130" t="s">
        <v>468</v>
      </c>
      <c r="D115" s="14">
        <f>+D70</f>
        <v>146939024</v>
      </c>
    </row>
    <row r="116" spans="2:5" x14ac:dyDescent="0.25">
      <c r="B116" s="130" t="s">
        <v>477</v>
      </c>
      <c r="E116" s="14">
        <f>+D51+D39</f>
        <v>940894000</v>
      </c>
    </row>
    <row r="117" spans="2:5" x14ac:dyDescent="0.25">
      <c r="B117" s="130" t="s">
        <v>914</v>
      </c>
      <c r="E117" s="14">
        <f>+D50</f>
        <v>86900000</v>
      </c>
    </row>
    <row r="118" spans="2:5" x14ac:dyDescent="0.25">
      <c r="B118" s="130" t="s">
        <v>911</v>
      </c>
      <c r="E118" s="14">
        <f>+E18</f>
        <v>154465000</v>
      </c>
    </row>
    <row r="119" spans="2:5" x14ac:dyDescent="0.25">
      <c r="B119" s="130" t="s">
        <v>905</v>
      </c>
      <c r="E119" s="14">
        <f>+E44</f>
        <v>100000000</v>
      </c>
    </row>
    <row r="120" spans="2:5" x14ac:dyDescent="0.25">
      <c r="B120" s="130" t="s">
        <v>904</v>
      </c>
      <c r="E120" s="14">
        <f>+D42</f>
        <v>572931453</v>
      </c>
    </row>
    <row r="121" spans="2:5" x14ac:dyDescent="0.25">
      <c r="B121" s="130" t="s">
        <v>935</v>
      </c>
      <c r="E121" s="14">
        <f>+E19</f>
        <v>500000000</v>
      </c>
    </row>
    <row r="122" spans="2:5" x14ac:dyDescent="0.25">
      <c r="B122" s="129"/>
    </row>
    <row r="124" spans="2:5" x14ac:dyDescent="0.25">
      <c r="D124" s="14">
        <f>SUM(D105:D123)</f>
        <v>535832797</v>
      </c>
      <c r="E124" s="14">
        <f>SUM(E105:E123)</f>
        <v>3795019453</v>
      </c>
    </row>
    <row r="125" spans="2:5" x14ac:dyDescent="0.25">
      <c r="E125" s="14">
        <f>+D54+E54+E25-D36-D37-D38</f>
        <v>3795019453</v>
      </c>
    </row>
    <row r="126" spans="2:5" x14ac:dyDescent="0.25">
      <c r="E126" s="14">
        <f>+E125-E124</f>
        <v>0</v>
      </c>
    </row>
  </sheetData>
  <sheetProtection selectLockedCells="1" selectUnlockedCells="1"/>
  <mergeCells count="3">
    <mergeCell ref="B6:C6"/>
    <mergeCell ref="D8:E8"/>
    <mergeCell ref="F8:G8"/>
  </mergeCells>
  <printOptions horizontalCentered="1"/>
  <pageMargins left="0.70833333333333337" right="0.70833333333333337" top="0.59027777777777779" bottom="0.55138888888888893" header="0.51180555555555551" footer="0.31527777777777777"/>
  <pageSetup paperSize="9" scale="66" firstPageNumber="0" orientation="portrait" horizontalDpi="300" verticalDpi="300" r:id="rId1"/>
  <headerFooter alignWithMargins="0">
    <oddFooter>&amp;R&amp;P</oddFooter>
  </headerFooter>
  <colBreaks count="1" manualBreakCount="1">
    <brk id="5" max="8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24"/>
  <sheetViews>
    <sheetView view="pageBreakPreview" zoomScale="80" zoomScaleSheetLayoutView="80" workbookViewId="0">
      <selection activeCell="E2" sqref="E2"/>
    </sheetView>
  </sheetViews>
  <sheetFormatPr defaultColWidth="11.5703125" defaultRowHeight="15.75" x14ac:dyDescent="0.25"/>
  <cols>
    <col min="1" max="1" width="12.28515625" style="89" customWidth="1"/>
    <col min="2" max="2" width="75.42578125" style="13" customWidth="1"/>
    <col min="3" max="3" width="8.28515625" style="13" customWidth="1"/>
    <col min="4" max="4" width="16.140625" style="14" customWidth="1"/>
    <col min="5" max="5" width="15.85546875" style="14" customWidth="1"/>
    <col min="6" max="7" width="0" style="14" hidden="1" customWidth="1"/>
    <col min="8" max="8" width="13" style="14" customWidth="1"/>
    <col min="9" max="9" width="10.85546875" style="14" customWidth="1"/>
    <col min="10" max="10" width="10.85546875" style="13" customWidth="1"/>
    <col min="11" max="253" width="9.140625" style="13" customWidth="1"/>
  </cols>
  <sheetData>
    <row r="1" spans="1:10" ht="18.75" x14ac:dyDescent="0.25">
      <c r="E1" s="15" t="s">
        <v>506</v>
      </c>
      <c r="G1" s="16" t="s">
        <v>507</v>
      </c>
    </row>
    <row r="2" spans="1:10" x14ac:dyDescent="0.25">
      <c r="E2" s="16" t="s">
        <v>937</v>
      </c>
      <c r="G2" s="16" t="s">
        <v>11</v>
      </c>
    </row>
    <row r="3" spans="1:10" x14ac:dyDescent="0.25">
      <c r="E3" s="16"/>
      <c r="G3" s="16"/>
    </row>
    <row r="4" spans="1:10" ht="21.75" customHeight="1" x14ac:dyDescent="0.3">
      <c r="B4" s="35" t="s">
        <v>879</v>
      </c>
      <c r="C4" s="37"/>
      <c r="D4" s="37"/>
      <c r="E4" s="37"/>
      <c r="F4" s="40"/>
      <c r="G4" s="40"/>
    </row>
    <row r="5" spans="1:10" ht="18.75" x14ac:dyDescent="0.3">
      <c r="B5" s="35"/>
      <c r="C5" s="37"/>
      <c r="D5" s="37"/>
      <c r="E5" s="37"/>
      <c r="F5" s="40"/>
      <c r="G5" s="40"/>
    </row>
    <row r="6" spans="1:10" x14ac:dyDescent="0.25">
      <c r="B6" s="128" t="s">
        <v>877</v>
      </c>
      <c r="C6" s="155"/>
      <c r="D6" s="155"/>
      <c r="E6" s="155"/>
      <c r="F6" s="156"/>
      <c r="G6" s="156"/>
    </row>
    <row r="7" spans="1:10" ht="15.75" customHeight="1" x14ac:dyDescent="0.25">
      <c r="B7" s="79"/>
      <c r="C7" s="79"/>
      <c r="D7" s="469" t="s">
        <v>12</v>
      </c>
      <c r="E7" s="469"/>
      <c r="F7" s="470" t="s">
        <v>13</v>
      </c>
      <c r="G7" s="470"/>
    </row>
    <row r="8" spans="1:10" ht="47.25" x14ac:dyDescent="0.25">
      <c r="A8" s="89" t="s">
        <v>335</v>
      </c>
      <c r="B8" s="19" t="s">
        <v>14</v>
      </c>
      <c r="C8" s="48" t="s">
        <v>41</v>
      </c>
      <c r="D8" s="50" t="s">
        <v>430</v>
      </c>
      <c r="E8" s="50" t="s">
        <v>431</v>
      </c>
      <c r="F8" s="50" t="s">
        <v>430</v>
      </c>
      <c r="G8" s="50" t="s">
        <v>431</v>
      </c>
    </row>
    <row r="9" spans="1:10" x14ac:dyDescent="0.25">
      <c r="A9" s="89" t="s">
        <v>433</v>
      </c>
      <c r="B9" s="129"/>
      <c r="C9" s="23" t="s">
        <v>96</v>
      </c>
      <c r="D9" s="24"/>
      <c r="E9" s="24">
        <v>0</v>
      </c>
      <c r="F9" s="24"/>
      <c r="G9" s="24"/>
      <c r="H9" s="14" t="s">
        <v>437</v>
      </c>
      <c r="I9" s="14" t="s">
        <v>508</v>
      </c>
      <c r="J9" s="13" t="e">
        <f>+E9+#REF!+E24+E32+E39+E40</f>
        <v>#REF!</v>
      </c>
    </row>
    <row r="10" spans="1:10" x14ac:dyDescent="0.25">
      <c r="A10" s="89" t="s">
        <v>509</v>
      </c>
      <c r="B10" s="129" t="s">
        <v>891</v>
      </c>
      <c r="C10" s="23" t="s">
        <v>96</v>
      </c>
      <c r="D10" s="24">
        <v>120000</v>
      </c>
      <c r="E10" s="24"/>
      <c r="F10" s="24"/>
      <c r="G10" s="24"/>
      <c r="J10" s="13">
        <v>4900</v>
      </c>
    </row>
    <row r="11" spans="1:10" s="114" customFormat="1" x14ac:dyDescent="0.25">
      <c r="A11" s="89" t="s">
        <v>335</v>
      </c>
      <c r="B11" s="152" t="s">
        <v>510</v>
      </c>
      <c r="C11" s="98" t="s">
        <v>96</v>
      </c>
      <c r="D11" s="99">
        <f>SUM(D9:D10)</f>
        <v>120000</v>
      </c>
      <c r="E11" s="99">
        <f>SUM(E9:E10)</f>
        <v>0</v>
      </c>
      <c r="F11" s="99">
        <f>SUM(F9:F10)</f>
        <v>0</v>
      </c>
      <c r="G11" s="99">
        <f>SUM(G9:G10)</f>
        <v>0</v>
      </c>
      <c r="H11" s="113"/>
      <c r="I11" s="157" t="s">
        <v>511</v>
      </c>
      <c r="J11" s="157" t="e">
        <f>+D10+#REF!+#REF!+D33</f>
        <v>#REF!</v>
      </c>
    </row>
    <row r="12" spans="1:10" x14ac:dyDescent="0.25">
      <c r="A12" s="89" t="s">
        <v>491</v>
      </c>
      <c r="B12" s="67"/>
      <c r="C12" s="65"/>
      <c r="D12" s="24"/>
      <c r="E12" s="24"/>
      <c r="F12" s="24"/>
      <c r="G12" s="24"/>
      <c r="J12" s="13">
        <v>2160</v>
      </c>
    </row>
    <row r="13" spans="1:10" x14ac:dyDescent="0.25">
      <c r="B13" s="129" t="s">
        <v>893</v>
      </c>
      <c r="C13" s="65" t="s">
        <v>98</v>
      </c>
      <c r="D13" s="24">
        <v>3200000</v>
      </c>
      <c r="E13" s="24"/>
      <c r="F13" s="24"/>
      <c r="G13" s="24"/>
    </row>
    <row r="14" spans="1:10" x14ac:dyDescent="0.25">
      <c r="A14" s="89" t="s">
        <v>512</v>
      </c>
      <c r="B14" s="158" t="s">
        <v>871</v>
      </c>
      <c r="C14" s="65" t="s">
        <v>98</v>
      </c>
      <c r="D14" s="24">
        <f>35000000/1.27</f>
        <v>27559055.118110236</v>
      </c>
      <c r="E14" s="24"/>
      <c r="F14" s="104">
        <v>0</v>
      </c>
      <c r="G14" s="24"/>
      <c r="J14" s="13" t="e">
        <f>+J12-J11</f>
        <v>#REF!</v>
      </c>
    </row>
    <row r="15" spans="1:10" s="114" customFormat="1" x14ac:dyDescent="0.25">
      <c r="A15" s="154"/>
      <c r="B15" s="152" t="s">
        <v>513</v>
      </c>
      <c r="C15" s="98" t="s">
        <v>98</v>
      </c>
      <c r="D15" s="99">
        <f>SUM(D12:D14)</f>
        <v>30759055.118110236</v>
      </c>
      <c r="E15" s="99">
        <f>SUM(E12:E14)</f>
        <v>0</v>
      </c>
      <c r="F15" s="99">
        <f>SUM(F12:F14)</f>
        <v>0</v>
      </c>
      <c r="G15" s="99">
        <f>SUM(G12:G14)</f>
        <v>0</v>
      </c>
      <c r="H15" s="113"/>
      <c r="I15" s="113"/>
    </row>
    <row r="16" spans="1:10" x14ac:dyDescent="0.25">
      <c r="B16" s="67"/>
      <c r="C16" s="65"/>
      <c r="D16" s="24"/>
      <c r="E16" s="24"/>
      <c r="F16" s="24"/>
      <c r="G16" s="24"/>
    </row>
    <row r="17" spans="1:9" x14ac:dyDescent="0.25">
      <c r="B17" s="129" t="s">
        <v>514</v>
      </c>
      <c r="C17" s="65" t="s">
        <v>100</v>
      </c>
      <c r="D17" s="24">
        <f>170000*4</f>
        <v>680000</v>
      </c>
      <c r="E17" s="24"/>
      <c r="F17" s="24"/>
      <c r="G17" s="24"/>
      <c r="H17" s="14" t="s">
        <v>437</v>
      </c>
    </row>
    <row r="18" spans="1:9" s="114" customFormat="1" x14ac:dyDescent="0.25">
      <c r="A18" s="89" t="s">
        <v>335</v>
      </c>
      <c r="B18" s="97" t="s">
        <v>515</v>
      </c>
      <c r="C18" s="98" t="s">
        <v>100</v>
      </c>
      <c r="D18" s="99">
        <f>SUM(D16:D17)</f>
        <v>680000</v>
      </c>
      <c r="E18" s="99">
        <f>SUM(E16:E17)</f>
        <v>0</v>
      </c>
      <c r="F18" s="99">
        <f>SUM(F16:F17)</f>
        <v>0</v>
      </c>
      <c r="G18" s="99">
        <f>SUM(G16:G17)</f>
        <v>0</v>
      </c>
      <c r="H18" s="113"/>
      <c r="I18" s="113"/>
    </row>
    <row r="19" spans="1:9" x14ac:dyDescent="0.25">
      <c r="A19" s="89" t="s">
        <v>433</v>
      </c>
      <c r="B19" s="54"/>
      <c r="C19" s="65"/>
      <c r="D19" s="24"/>
      <c r="E19" s="24"/>
      <c r="F19" s="24"/>
      <c r="G19" s="24"/>
    </row>
    <row r="20" spans="1:9" x14ac:dyDescent="0.25">
      <c r="A20" s="89" t="s">
        <v>516</v>
      </c>
      <c r="B20" s="130" t="s">
        <v>517</v>
      </c>
      <c r="C20" s="65" t="s">
        <v>102</v>
      </c>
      <c r="D20" s="24"/>
      <c r="E20" s="24">
        <v>108540944.88188976</v>
      </c>
      <c r="F20" s="24"/>
      <c r="G20" s="24">
        <v>0</v>
      </c>
      <c r="H20" s="14" t="s">
        <v>466</v>
      </c>
    </row>
    <row r="21" spans="1:9" ht="16.5" customHeight="1" x14ac:dyDescent="0.25">
      <c r="B21" s="130" t="s">
        <v>518</v>
      </c>
      <c r="C21" s="65" t="s">
        <v>102</v>
      </c>
      <c r="D21" s="24">
        <v>8689000</v>
      </c>
      <c r="E21" s="24"/>
      <c r="F21" s="24"/>
      <c r="G21" s="24"/>
      <c r="H21" s="14" t="s">
        <v>466</v>
      </c>
    </row>
    <row r="22" spans="1:9" ht="16.5" customHeight="1" x14ac:dyDescent="0.25">
      <c r="B22" s="130" t="s">
        <v>917</v>
      </c>
      <c r="C22" s="65" t="s">
        <v>102</v>
      </c>
      <c r="D22" s="24"/>
      <c r="E22" s="24">
        <v>7134000</v>
      </c>
      <c r="F22" s="24"/>
      <c r="G22" s="24"/>
    </row>
    <row r="23" spans="1:9" ht="16.5" customHeight="1" x14ac:dyDescent="0.25">
      <c r="B23" s="129" t="s">
        <v>519</v>
      </c>
      <c r="C23" s="65" t="s">
        <v>102</v>
      </c>
      <c r="D23" s="24"/>
      <c r="E23" s="24">
        <v>6496000</v>
      </c>
      <c r="F23" s="24"/>
      <c r="G23" s="24"/>
    </row>
    <row r="24" spans="1:9" ht="16.5" customHeight="1" x14ac:dyDescent="0.25">
      <c r="B24" s="130" t="s">
        <v>520</v>
      </c>
      <c r="C24" s="65" t="s">
        <v>102</v>
      </c>
      <c r="D24" s="24"/>
      <c r="E24" s="24">
        <v>682000</v>
      </c>
      <c r="F24" s="24"/>
      <c r="G24" s="24"/>
      <c r="H24" s="14" t="s">
        <v>437</v>
      </c>
    </row>
    <row r="25" spans="1:9" x14ac:dyDescent="0.25">
      <c r="B25" s="130" t="s">
        <v>873</v>
      </c>
      <c r="C25" s="65" t="s">
        <v>102</v>
      </c>
      <c r="D25" s="24">
        <v>5600000</v>
      </c>
      <c r="E25" s="24"/>
      <c r="F25" s="24"/>
      <c r="G25" s="24">
        <v>0</v>
      </c>
      <c r="H25" s="14" t="s">
        <v>437</v>
      </c>
    </row>
    <row r="26" spans="1:9" s="114" customFormat="1" x14ac:dyDescent="0.25">
      <c r="A26" s="154"/>
      <c r="B26" s="152" t="s">
        <v>521</v>
      </c>
      <c r="C26" s="98" t="s">
        <v>102</v>
      </c>
      <c r="D26" s="99">
        <f>SUM(D19:D25)</f>
        <v>14289000</v>
      </c>
      <c r="E26" s="99">
        <f>SUM(E19:E25)</f>
        <v>122852944.88188976</v>
      </c>
      <c r="F26" s="99">
        <f>SUM(F19:F25)</f>
        <v>0</v>
      </c>
      <c r="G26" s="99">
        <f>SUM(G19:G25)</f>
        <v>0</v>
      </c>
      <c r="H26" s="113"/>
      <c r="I26" s="113"/>
    </row>
    <row r="27" spans="1:9" x14ac:dyDescent="0.25">
      <c r="B27" s="67"/>
      <c r="C27" s="65"/>
      <c r="D27" s="24"/>
      <c r="E27" s="24"/>
      <c r="F27" s="24"/>
      <c r="G27" s="24"/>
    </row>
    <row r="28" spans="1:9" s="114" customFormat="1" x14ac:dyDescent="0.25">
      <c r="A28" s="154"/>
      <c r="B28" s="152" t="s">
        <v>522</v>
      </c>
      <c r="C28" s="98" t="s">
        <v>104</v>
      </c>
      <c r="D28" s="99">
        <f>SUM(D27:D27)</f>
        <v>0</v>
      </c>
      <c r="E28" s="99">
        <f>SUM(E27:E27)</f>
        <v>0</v>
      </c>
      <c r="F28" s="99">
        <f>SUM(F27:F27)</f>
        <v>0</v>
      </c>
      <c r="G28" s="99">
        <f>SUM(G27:G27)</f>
        <v>0</v>
      </c>
      <c r="H28" s="113"/>
      <c r="I28" s="113"/>
    </row>
    <row r="29" spans="1:9" x14ac:dyDescent="0.25">
      <c r="B29" s="67"/>
      <c r="C29" s="65"/>
      <c r="D29" s="24"/>
      <c r="E29" s="24"/>
      <c r="F29" s="24"/>
      <c r="G29" s="24"/>
    </row>
    <row r="30" spans="1:9" s="114" customFormat="1" x14ac:dyDescent="0.25">
      <c r="A30" s="154"/>
      <c r="B30" s="97" t="s">
        <v>523</v>
      </c>
      <c r="C30" s="98" t="s">
        <v>106</v>
      </c>
      <c r="D30" s="99">
        <f>SUM(D29:D29)</f>
        <v>0</v>
      </c>
      <c r="E30" s="99">
        <f>SUM(E29:E29)</f>
        <v>0</v>
      </c>
      <c r="F30" s="99">
        <f>SUM(F29:F29)</f>
        <v>0</v>
      </c>
      <c r="G30" s="99">
        <f>SUM(G29:G29)</f>
        <v>0</v>
      </c>
      <c r="H30" s="113"/>
      <c r="I30" s="113"/>
    </row>
    <row r="31" spans="1:9" x14ac:dyDescent="0.25">
      <c r="B31" s="54"/>
      <c r="C31" s="65"/>
      <c r="D31" s="24"/>
      <c r="E31" s="24"/>
      <c r="F31" s="24"/>
      <c r="G31" s="24"/>
    </row>
    <row r="32" spans="1:9" x14ac:dyDescent="0.25">
      <c r="B32" s="158" t="s">
        <v>872</v>
      </c>
      <c r="C32" s="65" t="s">
        <v>108</v>
      </c>
      <c r="D32" s="24">
        <f>+D14*0.27</f>
        <v>7440944.8818897642</v>
      </c>
      <c r="E32" s="24">
        <v>0</v>
      </c>
      <c r="F32" s="24"/>
      <c r="G32" s="24"/>
      <c r="H32" s="14" t="s">
        <v>437</v>
      </c>
    </row>
    <row r="33" spans="1:9" x14ac:dyDescent="0.25">
      <c r="B33" s="129" t="s">
        <v>892</v>
      </c>
      <c r="C33" s="65" t="s">
        <v>108</v>
      </c>
      <c r="D33" s="24">
        <f>+D10*0.27</f>
        <v>32400.000000000004</v>
      </c>
      <c r="E33" s="24"/>
      <c r="F33" s="24"/>
      <c r="G33" s="24"/>
    </row>
    <row r="34" spans="1:9" x14ac:dyDescent="0.25">
      <c r="A34" s="89">
        <v>11</v>
      </c>
      <c r="B34" s="129" t="s">
        <v>524</v>
      </c>
      <c r="C34" s="65" t="s">
        <v>108</v>
      </c>
      <c r="D34" s="24">
        <f>+D17*0.27</f>
        <v>183600</v>
      </c>
      <c r="E34" s="24"/>
      <c r="F34" s="24">
        <v>0</v>
      </c>
      <c r="G34" s="24"/>
      <c r="H34" s="14" t="s">
        <v>437</v>
      </c>
    </row>
    <row r="35" spans="1:9" x14ac:dyDescent="0.25">
      <c r="A35" s="89">
        <v>10</v>
      </c>
      <c r="B35" s="130" t="s">
        <v>894</v>
      </c>
      <c r="C35" s="65" t="s">
        <v>108</v>
      </c>
      <c r="D35" s="24"/>
      <c r="E35" s="24">
        <f>+E20*0.27</f>
        <v>29306055.118110236</v>
      </c>
      <c r="F35" s="24"/>
      <c r="G35" s="24">
        <v>0</v>
      </c>
      <c r="H35" s="14" t="s">
        <v>466</v>
      </c>
    </row>
    <row r="36" spans="1:9" x14ac:dyDescent="0.25">
      <c r="B36" s="130" t="s">
        <v>525</v>
      </c>
      <c r="C36" s="65" t="s">
        <v>108</v>
      </c>
      <c r="D36" s="24">
        <v>2347000</v>
      </c>
      <c r="E36" s="24"/>
      <c r="F36" s="24"/>
      <c r="G36" s="24"/>
      <c r="H36" s="14" t="s">
        <v>466</v>
      </c>
    </row>
    <row r="37" spans="1:9" x14ac:dyDescent="0.25">
      <c r="B37" s="447" t="s">
        <v>526</v>
      </c>
      <c r="C37" s="65" t="s">
        <v>108</v>
      </c>
      <c r="D37" s="24"/>
      <c r="E37" s="24">
        <v>184000</v>
      </c>
      <c r="F37" s="24"/>
      <c r="G37" s="24"/>
      <c r="H37" s="14" t="s">
        <v>437</v>
      </c>
    </row>
    <row r="38" spans="1:9" x14ac:dyDescent="0.25">
      <c r="B38" s="130" t="s">
        <v>917</v>
      </c>
      <c r="C38" s="65" t="s">
        <v>108</v>
      </c>
      <c r="D38" s="24"/>
      <c r="E38" s="24">
        <v>1926000</v>
      </c>
      <c r="F38" s="24"/>
      <c r="G38" s="24"/>
    </row>
    <row r="39" spans="1:9" x14ac:dyDescent="0.25">
      <c r="B39" s="448" t="s">
        <v>527</v>
      </c>
      <c r="C39" s="445" t="s">
        <v>108</v>
      </c>
      <c r="D39" s="24"/>
      <c r="E39" s="24">
        <v>1754000</v>
      </c>
      <c r="F39" s="24"/>
      <c r="G39" s="24"/>
      <c r="H39" s="14" t="s">
        <v>437</v>
      </c>
    </row>
    <row r="40" spans="1:9" x14ac:dyDescent="0.25">
      <c r="B40" s="446" t="s">
        <v>873</v>
      </c>
      <c r="C40" s="65" t="s">
        <v>108</v>
      </c>
      <c r="D40" s="24">
        <f>+D25*0.27</f>
        <v>1512000</v>
      </c>
      <c r="E40" s="24">
        <v>0</v>
      </c>
      <c r="F40" s="24"/>
      <c r="G40" s="24"/>
      <c r="H40" s="14" t="s">
        <v>437</v>
      </c>
    </row>
    <row r="41" spans="1:9" s="114" customFormat="1" x14ac:dyDescent="0.25">
      <c r="A41" s="154" t="s">
        <v>528</v>
      </c>
      <c r="B41" s="97" t="s">
        <v>529</v>
      </c>
      <c r="C41" s="98" t="s">
        <v>108</v>
      </c>
      <c r="D41" s="99">
        <f>SUM(D31:D40)</f>
        <v>11515944.881889764</v>
      </c>
      <c r="E41" s="99">
        <f>SUM(E31:E40)</f>
        <v>33170055.118110236</v>
      </c>
      <c r="F41" s="99">
        <f>SUM(F31:F40)</f>
        <v>0</v>
      </c>
      <c r="G41" s="99">
        <f>SUM(G31:G40)</f>
        <v>0</v>
      </c>
      <c r="H41" s="113"/>
      <c r="I41" s="113"/>
    </row>
    <row r="42" spans="1:9" s="101" customFormat="1" x14ac:dyDescent="0.25">
      <c r="A42" s="89" t="s">
        <v>335</v>
      </c>
      <c r="B42" s="152" t="s">
        <v>530</v>
      </c>
      <c r="C42" s="98" t="s">
        <v>110</v>
      </c>
      <c r="D42" s="99">
        <f>+D41+D30+D28+D26+D18+D15+D11</f>
        <v>57364000</v>
      </c>
      <c r="E42" s="99">
        <f>+E41+E30+E28+E26+E18+E15+E11</f>
        <v>156023000</v>
      </c>
      <c r="F42" s="99">
        <f>+F41+F30+F28+F26+F18+F15+F11</f>
        <v>0</v>
      </c>
      <c r="G42" s="99">
        <f>+G41+G30+G28+G26+G18+G15+G11</f>
        <v>0</v>
      </c>
      <c r="H42" s="125"/>
      <c r="I42" s="125"/>
    </row>
    <row r="43" spans="1:9" s="89" customFormat="1" x14ac:dyDescent="0.25">
      <c r="A43" s="89" t="s">
        <v>491</v>
      </c>
      <c r="B43" s="129"/>
      <c r="C43" s="66"/>
      <c r="D43" s="146"/>
      <c r="E43" s="146"/>
      <c r="F43" s="146"/>
      <c r="G43" s="146"/>
      <c r="H43" s="159"/>
      <c r="I43" s="159"/>
    </row>
    <row r="44" spans="1:9" s="89" customFormat="1" x14ac:dyDescent="0.25">
      <c r="A44" s="89" t="s">
        <v>531</v>
      </c>
      <c r="B44" s="129" t="s">
        <v>473</v>
      </c>
      <c r="C44" s="65" t="s">
        <v>112</v>
      </c>
      <c r="D44" s="24">
        <v>133255000</v>
      </c>
      <c r="E44" s="146"/>
      <c r="F44" s="24">
        <v>0</v>
      </c>
      <c r="G44" s="146"/>
      <c r="H44" s="159" t="s">
        <v>466</v>
      </c>
      <c r="I44" s="159"/>
    </row>
    <row r="45" spans="1:9" s="89" customFormat="1" x14ac:dyDescent="0.25">
      <c r="B45" s="129" t="s">
        <v>457</v>
      </c>
      <c r="C45" s="65" t="s">
        <v>112</v>
      </c>
      <c r="D45" s="24">
        <v>31496000</v>
      </c>
      <c r="E45" s="146"/>
      <c r="F45" s="24">
        <v>0</v>
      </c>
      <c r="G45" s="146"/>
      <c r="H45" s="14" t="s">
        <v>437</v>
      </c>
      <c r="I45" s="159"/>
    </row>
    <row r="46" spans="1:9" s="89" customFormat="1" ht="31.5" x14ac:dyDescent="0.25">
      <c r="B46" s="129" t="s">
        <v>469</v>
      </c>
      <c r="C46" s="65" t="s">
        <v>112</v>
      </c>
      <c r="D46" s="146">
        <f>64296000-1725469</f>
        <v>62570531</v>
      </c>
      <c r="E46" s="146"/>
      <c r="F46" s="24">
        <v>0</v>
      </c>
      <c r="G46" s="146"/>
      <c r="H46" s="159" t="s">
        <v>466</v>
      </c>
      <c r="I46" s="159"/>
    </row>
    <row r="47" spans="1:9" s="89" customFormat="1" x14ac:dyDescent="0.25">
      <c r="A47" s="89" t="s">
        <v>532</v>
      </c>
      <c r="B47" s="129" t="s">
        <v>464</v>
      </c>
      <c r="C47" s="65" t="s">
        <v>112</v>
      </c>
      <c r="D47" s="146">
        <f>110416000-27411650</f>
        <v>83004350</v>
      </c>
      <c r="E47" s="146"/>
      <c r="F47" s="146">
        <v>0</v>
      </c>
      <c r="G47" s="146"/>
      <c r="H47" s="159" t="s">
        <v>437</v>
      </c>
      <c r="I47" s="159"/>
    </row>
    <row r="48" spans="1:9" s="89" customFormat="1" x14ac:dyDescent="0.25">
      <c r="A48" s="89" t="s">
        <v>532</v>
      </c>
      <c r="B48" s="129" t="s">
        <v>899</v>
      </c>
      <c r="C48" s="65" t="s">
        <v>112</v>
      </c>
      <c r="D48" s="146">
        <v>6500000</v>
      </c>
      <c r="E48" s="146"/>
      <c r="F48" s="146">
        <v>0</v>
      </c>
      <c r="G48" s="146"/>
      <c r="H48" s="159" t="s">
        <v>437</v>
      </c>
      <c r="I48" s="159"/>
    </row>
    <row r="49" spans="1:9" ht="18" customHeight="1" x14ac:dyDescent="0.25">
      <c r="A49" s="89" t="s">
        <v>533</v>
      </c>
      <c r="B49" s="130" t="s">
        <v>467</v>
      </c>
      <c r="C49" s="65" t="s">
        <v>112</v>
      </c>
      <c r="D49" s="24">
        <v>353700000</v>
      </c>
      <c r="E49" s="24"/>
      <c r="F49" s="24"/>
      <c r="G49" s="24">
        <v>0</v>
      </c>
      <c r="H49" s="14" t="s">
        <v>466</v>
      </c>
    </row>
    <row r="50" spans="1:9" x14ac:dyDescent="0.25">
      <c r="A50" s="89" t="s">
        <v>534</v>
      </c>
      <c r="B50" s="130" t="s">
        <v>474</v>
      </c>
      <c r="C50" s="65" t="s">
        <v>112</v>
      </c>
      <c r="D50" s="24">
        <v>145863000</v>
      </c>
      <c r="E50" s="24"/>
      <c r="F50" s="24">
        <v>0</v>
      </c>
      <c r="G50" s="24"/>
      <c r="H50" s="14" t="s">
        <v>466</v>
      </c>
    </row>
    <row r="51" spans="1:9" x14ac:dyDescent="0.25">
      <c r="B51" s="130" t="s">
        <v>475</v>
      </c>
      <c r="C51" s="65" t="s">
        <v>112</v>
      </c>
      <c r="D51" s="24">
        <v>145866000</v>
      </c>
      <c r="E51" s="24"/>
      <c r="F51" s="24"/>
      <c r="G51" s="24"/>
      <c r="H51" s="14" t="s">
        <v>466</v>
      </c>
    </row>
    <row r="52" spans="1:9" x14ac:dyDescent="0.25">
      <c r="A52" s="89" t="s">
        <v>535</v>
      </c>
      <c r="B52" s="130" t="s">
        <v>471</v>
      </c>
      <c r="C52" s="65" t="s">
        <v>112</v>
      </c>
      <c r="D52" s="24"/>
      <c r="E52" s="24">
        <v>221491000</v>
      </c>
      <c r="F52" s="24"/>
      <c r="G52" s="24">
        <v>0</v>
      </c>
      <c r="H52" s="14" t="s">
        <v>466</v>
      </c>
    </row>
    <row r="53" spans="1:9" x14ac:dyDescent="0.25">
      <c r="B53" s="130" t="s">
        <v>472</v>
      </c>
      <c r="C53" s="65" t="s">
        <v>112</v>
      </c>
      <c r="D53" s="24"/>
      <c r="E53" s="24">
        <v>120509000</v>
      </c>
      <c r="F53" s="24"/>
      <c r="G53" s="24"/>
      <c r="H53" s="14" t="s">
        <v>466</v>
      </c>
    </row>
    <row r="54" spans="1:9" x14ac:dyDescent="0.25">
      <c r="A54" s="89" t="s">
        <v>536</v>
      </c>
      <c r="B54" s="130" t="s">
        <v>468</v>
      </c>
      <c r="C54" s="65" t="s">
        <v>112</v>
      </c>
      <c r="D54" s="146">
        <f>161576000-32125673</f>
        <v>129450327</v>
      </c>
      <c r="E54" s="24"/>
      <c r="F54" s="24">
        <v>0</v>
      </c>
      <c r="G54" s="24"/>
      <c r="H54" s="14" t="s">
        <v>466</v>
      </c>
    </row>
    <row r="55" spans="1:9" x14ac:dyDescent="0.25">
      <c r="A55" s="89" t="s">
        <v>536</v>
      </c>
      <c r="B55" s="130" t="s">
        <v>900</v>
      </c>
      <c r="C55" s="65" t="s">
        <v>112</v>
      </c>
      <c r="D55" s="146">
        <v>6500000</v>
      </c>
      <c r="E55" s="24"/>
      <c r="F55" s="24">
        <v>0</v>
      </c>
      <c r="G55" s="24"/>
      <c r="H55" s="14" t="s">
        <v>466</v>
      </c>
    </row>
    <row r="56" spans="1:9" x14ac:dyDescent="0.25">
      <c r="B56" s="130" t="s">
        <v>477</v>
      </c>
      <c r="C56" s="65" t="s">
        <v>112</v>
      </c>
      <c r="D56" s="146">
        <v>736722000</v>
      </c>
      <c r="E56" s="24"/>
      <c r="F56" s="24"/>
      <c r="G56" s="24"/>
    </row>
    <row r="57" spans="1:9" x14ac:dyDescent="0.25">
      <c r="B57" s="130" t="s">
        <v>929</v>
      </c>
      <c r="C57" s="65" t="s">
        <v>112</v>
      </c>
      <c r="D57" s="146">
        <v>68425000</v>
      </c>
      <c r="E57" s="24"/>
      <c r="F57" s="24"/>
      <c r="G57" s="24"/>
    </row>
    <row r="58" spans="1:9" x14ac:dyDescent="0.25">
      <c r="B58" s="130" t="s">
        <v>911</v>
      </c>
      <c r="C58" s="65" t="s">
        <v>112</v>
      </c>
      <c r="D58" s="146"/>
      <c r="E58" s="146">
        <v>7087000</v>
      </c>
      <c r="F58" s="24"/>
      <c r="G58" s="24"/>
    </row>
    <row r="59" spans="1:9" x14ac:dyDescent="0.25">
      <c r="B59" s="130" t="s">
        <v>905</v>
      </c>
      <c r="C59" s="65" t="s">
        <v>112</v>
      </c>
      <c r="D59" s="146"/>
      <c r="E59" s="146">
        <v>71785000</v>
      </c>
      <c r="F59" s="24"/>
      <c r="G59" s="24"/>
    </row>
    <row r="60" spans="1:9" x14ac:dyDescent="0.25">
      <c r="B60" s="130" t="s">
        <v>903</v>
      </c>
      <c r="C60" s="65" t="s">
        <v>112</v>
      </c>
      <c r="D60" s="146"/>
      <c r="E60" s="146">
        <v>35000000</v>
      </c>
      <c r="F60" s="24"/>
      <c r="G60" s="24"/>
    </row>
    <row r="61" spans="1:9" x14ac:dyDescent="0.25">
      <c r="B61" s="130" t="s">
        <v>904</v>
      </c>
      <c r="C61" s="65" t="s">
        <v>112</v>
      </c>
      <c r="D61" s="146">
        <v>424126000</v>
      </c>
      <c r="E61" s="24"/>
      <c r="F61" s="24"/>
      <c r="G61" s="24"/>
    </row>
    <row r="62" spans="1:9" x14ac:dyDescent="0.25">
      <c r="B62" s="130" t="s">
        <v>926</v>
      </c>
      <c r="C62" s="65" t="s">
        <v>112</v>
      </c>
      <c r="D62" s="146">
        <v>31496063</v>
      </c>
      <c r="E62" s="24"/>
      <c r="F62" s="24"/>
      <c r="G62" s="24"/>
    </row>
    <row r="63" spans="1:9" ht="18" customHeight="1" x14ac:dyDescent="0.25">
      <c r="B63" s="129" t="s">
        <v>537</v>
      </c>
      <c r="C63" s="65" t="s">
        <v>112</v>
      </c>
      <c r="D63" s="24">
        <v>4200000</v>
      </c>
      <c r="E63" s="24"/>
      <c r="F63" s="24">
        <v>0</v>
      </c>
      <c r="G63" s="24"/>
      <c r="H63" s="14" t="s">
        <v>466</v>
      </c>
    </row>
    <row r="64" spans="1:9" s="114" customFormat="1" x14ac:dyDescent="0.25">
      <c r="A64" s="154"/>
      <c r="B64" s="152" t="s">
        <v>538</v>
      </c>
      <c r="C64" s="98" t="s">
        <v>112</v>
      </c>
      <c r="D64" s="99">
        <f>SUM(D43:D63)</f>
        <v>2363174271</v>
      </c>
      <c r="E64" s="99">
        <f>SUM(E43:E63)</f>
        <v>455872000</v>
      </c>
      <c r="F64" s="99">
        <f>SUM(F43:F63)</f>
        <v>0</v>
      </c>
      <c r="G64" s="99">
        <f>SUM(G49:G63)</f>
        <v>0</v>
      </c>
      <c r="H64" s="113"/>
      <c r="I64" s="113"/>
    </row>
    <row r="65" spans="1:9" x14ac:dyDescent="0.25">
      <c r="B65" s="67"/>
      <c r="C65" s="65"/>
      <c r="D65" s="24"/>
      <c r="E65" s="24"/>
      <c r="F65" s="24"/>
      <c r="G65" s="24"/>
    </row>
    <row r="66" spans="1:9" s="114" customFormat="1" x14ac:dyDescent="0.25">
      <c r="A66" s="154"/>
      <c r="B66" s="152" t="s">
        <v>539</v>
      </c>
      <c r="C66" s="98" t="s">
        <v>114</v>
      </c>
      <c r="D66" s="99">
        <f>SUM(D65:D65)</f>
        <v>0</v>
      </c>
      <c r="E66" s="99">
        <f>SUM(E65:E65)</f>
        <v>0</v>
      </c>
      <c r="F66" s="99">
        <f>SUM(F65:F65)</f>
        <v>0</v>
      </c>
      <c r="G66" s="99">
        <f>SUM(G65:G65)</f>
        <v>0</v>
      </c>
      <c r="H66" s="113"/>
      <c r="I66" s="113"/>
    </row>
    <row r="67" spans="1:9" x14ac:dyDescent="0.25">
      <c r="B67" s="67"/>
      <c r="C67" s="65"/>
      <c r="D67" s="24"/>
      <c r="E67" s="24"/>
      <c r="F67" s="24"/>
      <c r="G67" s="24"/>
    </row>
    <row r="68" spans="1:9" x14ac:dyDescent="0.25">
      <c r="A68" s="89" t="s">
        <v>540</v>
      </c>
      <c r="B68" s="130"/>
      <c r="C68" s="65" t="s">
        <v>116</v>
      </c>
      <c r="D68" s="24"/>
      <c r="E68" s="104"/>
      <c r="F68" s="24"/>
      <c r="G68" s="104"/>
    </row>
    <row r="69" spans="1:9" s="114" customFormat="1" x14ac:dyDescent="0.25">
      <c r="A69" s="154"/>
      <c r="B69" s="152" t="s">
        <v>541</v>
      </c>
      <c r="C69" s="98" t="s">
        <v>116</v>
      </c>
      <c r="D69" s="99">
        <f>SUM(D67:D68)</f>
        <v>0</v>
      </c>
      <c r="E69" s="99">
        <f>SUM(E67:E68)</f>
        <v>0</v>
      </c>
      <c r="F69" s="99">
        <f>SUM(F67:F68)</f>
        <v>0</v>
      </c>
      <c r="G69" s="99">
        <f>SUM(G67:G68)</f>
        <v>0</v>
      </c>
      <c r="H69" s="113"/>
      <c r="I69" s="113"/>
    </row>
    <row r="70" spans="1:9" x14ac:dyDescent="0.25">
      <c r="B70" s="67"/>
      <c r="C70" s="65"/>
      <c r="D70" s="24"/>
      <c r="E70" s="24"/>
      <c r="F70" s="24"/>
      <c r="G70" s="24"/>
    </row>
    <row r="71" spans="1:9" x14ac:dyDescent="0.25">
      <c r="A71" s="89" t="s">
        <v>542</v>
      </c>
      <c r="B71" s="129" t="s">
        <v>543</v>
      </c>
      <c r="C71" s="65" t="s">
        <v>118</v>
      </c>
      <c r="D71" s="24">
        <v>35979000</v>
      </c>
      <c r="E71" s="24"/>
      <c r="F71" s="24">
        <v>0</v>
      </c>
      <c r="G71" s="24"/>
      <c r="H71" s="14" t="s">
        <v>466</v>
      </c>
    </row>
    <row r="72" spans="1:9" x14ac:dyDescent="0.25">
      <c r="B72" s="129" t="s">
        <v>915</v>
      </c>
      <c r="C72" s="65" t="s">
        <v>118</v>
      </c>
      <c r="D72" s="24">
        <v>8505000</v>
      </c>
      <c r="E72" s="24"/>
      <c r="F72" s="24">
        <v>0</v>
      </c>
      <c r="G72" s="24"/>
      <c r="H72" s="14" t="s">
        <v>437</v>
      </c>
    </row>
    <row r="73" spans="1:9" x14ac:dyDescent="0.25">
      <c r="B73" s="129" t="s">
        <v>916</v>
      </c>
      <c r="C73" s="65" t="s">
        <v>118</v>
      </c>
      <c r="D73" s="24">
        <f>17360000-465877</f>
        <v>16894123</v>
      </c>
      <c r="E73" s="24"/>
      <c r="F73" s="24">
        <v>0</v>
      </c>
      <c r="G73" s="24"/>
      <c r="H73" s="14" t="s">
        <v>466</v>
      </c>
    </row>
    <row r="74" spans="1:9" x14ac:dyDescent="0.25">
      <c r="A74" s="89" t="s">
        <v>544</v>
      </c>
      <c r="B74" s="129" t="s">
        <v>545</v>
      </c>
      <c r="C74" s="65" t="s">
        <v>118</v>
      </c>
      <c r="D74" s="24">
        <f>29812000-7400970</f>
        <v>22411030</v>
      </c>
      <c r="E74" s="104"/>
      <c r="F74" s="24">
        <v>0</v>
      </c>
      <c r="G74" s="104"/>
      <c r="H74" s="14" t="s">
        <v>466</v>
      </c>
    </row>
    <row r="75" spans="1:9" x14ac:dyDescent="0.25">
      <c r="B75" s="129" t="s">
        <v>901</v>
      </c>
      <c r="C75" s="65" t="s">
        <v>118</v>
      </c>
      <c r="D75" s="24">
        <f>+D48*0.27</f>
        <v>1755000</v>
      </c>
      <c r="E75" s="104"/>
      <c r="F75" s="24"/>
      <c r="G75" s="104"/>
    </row>
    <row r="76" spans="1:9" x14ac:dyDescent="0.25">
      <c r="A76" s="89" t="s">
        <v>546</v>
      </c>
      <c r="B76" s="130" t="s">
        <v>547</v>
      </c>
      <c r="C76" s="65" t="s">
        <v>118</v>
      </c>
      <c r="D76" s="24">
        <v>43626000</v>
      </c>
      <c r="E76" s="104"/>
      <c r="F76" s="24">
        <v>0</v>
      </c>
      <c r="G76" s="104"/>
      <c r="H76" s="14" t="s">
        <v>466</v>
      </c>
    </row>
    <row r="77" spans="1:9" x14ac:dyDescent="0.25">
      <c r="B77" s="130" t="s">
        <v>900</v>
      </c>
      <c r="C77" s="65" t="s">
        <v>118</v>
      </c>
      <c r="D77" s="24">
        <f>+D55*0.27</f>
        <v>1755000</v>
      </c>
      <c r="E77" s="104"/>
      <c r="F77" s="24"/>
      <c r="G77" s="104"/>
    </row>
    <row r="78" spans="1:9" x14ac:dyDescent="0.25">
      <c r="A78" s="89" t="s">
        <v>548</v>
      </c>
      <c r="B78" s="130" t="s">
        <v>549</v>
      </c>
      <c r="C78" s="65" t="s">
        <v>118</v>
      </c>
      <c r="D78" s="24">
        <v>95499000</v>
      </c>
      <c r="E78" s="24"/>
      <c r="F78" s="24"/>
      <c r="G78" s="24">
        <v>0</v>
      </c>
      <c r="H78" s="14" t="s">
        <v>466</v>
      </c>
    </row>
    <row r="79" spans="1:9" x14ac:dyDescent="0.25">
      <c r="A79" s="89" t="s">
        <v>550</v>
      </c>
      <c r="B79" s="130" t="s">
        <v>551</v>
      </c>
      <c r="C79" s="65" t="s">
        <v>118</v>
      </c>
      <c r="D79" s="24">
        <v>39383000</v>
      </c>
      <c r="E79" s="104" t="s">
        <v>425</v>
      </c>
      <c r="F79" s="24">
        <v>0</v>
      </c>
      <c r="G79" s="104" t="s">
        <v>425</v>
      </c>
      <c r="H79" s="14" t="s">
        <v>466</v>
      </c>
    </row>
    <row r="80" spans="1:9" x14ac:dyDescent="0.25">
      <c r="B80" s="130" t="s">
        <v>552</v>
      </c>
      <c r="C80" s="65" t="s">
        <v>118</v>
      </c>
      <c r="D80" s="24">
        <v>39384000</v>
      </c>
      <c r="E80" s="104"/>
      <c r="F80" s="24"/>
      <c r="G80" s="104"/>
      <c r="H80" s="14" t="s">
        <v>466</v>
      </c>
    </row>
    <row r="81" spans="1:9" x14ac:dyDescent="0.25">
      <c r="A81" s="89" t="s">
        <v>553</v>
      </c>
      <c r="B81" s="130" t="s">
        <v>554</v>
      </c>
      <c r="C81" s="65" t="s">
        <v>118</v>
      </c>
      <c r="D81" s="24"/>
      <c r="E81" s="24">
        <v>59803000</v>
      </c>
      <c r="F81" s="24"/>
      <c r="G81" s="24">
        <v>0</v>
      </c>
      <c r="H81" s="14" t="s">
        <v>466</v>
      </c>
    </row>
    <row r="82" spans="1:9" x14ac:dyDescent="0.25">
      <c r="B82" s="130" t="s">
        <v>555</v>
      </c>
      <c r="C82" s="65" t="s">
        <v>118</v>
      </c>
      <c r="D82" s="24"/>
      <c r="E82" s="24">
        <v>32538000</v>
      </c>
      <c r="F82" s="24"/>
      <c r="G82" s="24"/>
      <c r="H82" s="14" t="s">
        <v>466</v>
      </c>
    </row>
    <row r="83" spans="1:9" x14ac:dyDescent="0.25">
      <c r="B83" s="130" t="s">
        <v>556</v>
      </c>
      <c r="C83" s="65" t="s">
        <v>118</v>
      </c>
      <c r="D83" s="24">
        <v>198916000</v>
      </c>
      <c r="E83" s="24"/>
      <c r="F83" s="24"/>
      <c r="G83" s="24"/>
    </row>
    <row r="84" spans="1:9" x14ac:dyDescent="0.25">
      <c r="B84" s="130" t="s">
        <v>906</v>
      </c>
      <c r="C84" s="65" t="s">
        <v>118</v>
      </c>
      <c r="D84" s="24"/>
      <c r="E84" s="24">
        <v>19382000</v>
      </c>
      <c r="F84" s="24"/>
      <c r="G84" s="24"/>
    </row>
    <row r="85" spans="1:9" x14ac:dyDescent="0.25">
      <c r="B85" s="130" t="s">
        <v>907</v>
      </c>
      <c r="C85" s="65" t="s">
        <v>118</v>
      </c>
      <c r="D85" s="24"/>
      <c r="E85" s="24">
        <f>+E60*0.27</f>
        <v>9450000</v>
      </c>
      <c r="F85" s="24"/>
      <c r="G85" s="24"/>
    </row>
    <row r="86" spans="1:9" x14ac:dyDescent="0.25">
      <c r="B86" s="130" t="s">
        <v>930</v>
      </c>
      <c r="C86" s="65" t="s">
        <v>118</v>
      </c>
      <c r="D86" s="24">
        <v>18475000</v>
      </c>
      <c r="E86" s="24"/>
      <c r="F86" s="24"/>
      <c r="G86" s="24"/>
    </row>
    <row r="87" spans="1:9" x14ac:dyDescent="0.25">
      <c r="B87" s="130" t="s">
        <v>912</v>
      </c>
      <c r="C87" s="65" t="s">
        <v>118</v>
      </c>
      <c r="D87" s="24"/>
      <c r="E87" s="24">
        <f>9000000-E58</f>
        <v>1913000</v>
      </c>
      <c r="F87" s="24"/>
      <c r="G87" s="24"/>
    </row>
    <row r="88" spans="1:9" x14ac:dyDescent="0.25">
      <c r="B88" s="130" t="s">
        <v>913</v>
      </c>
      <c r="C88" s="65" t="s">
        <v>118</v>
      </c>
      <c r="D88" s="24">
        <v>114514000</v>
      </c>
      <c r="E88" s="24"/>
      <c r="F88" s="24"/>
      <c r="G88" s="24"/>
    </row>
    <row r="89" spans="1:9" x14ac:dyDescent="0.25">
      <c r="B89" s="130" t="s">
        <v>927</v>
      </c>
      <c r="C89" s="65" t="s">
        <v>118</v>
      </c>
      <c r="D89" s="24">
        <v>8503937</v>
      </c>
      <c r="E89" s="24"/>
      <c r="F89" s="24"/>
      <c r="G89" s="24"/>
    </row>
    <row r="90" spans="1:9" x14ac:dyDescent="0.25">
      <c r="B90" s="129" t="s">
        <v>557</v>
      </c>
      <c r="C90" s="65" t="s">
        <v>118</v>
      </c>
      <c r="D90" s="24">
        <v>1134000</v>
      </c>
      <c r="E90" s="104"/>
      <c r="F90" s="24">
        <v>0</v>
      </c>
      <c r="G90" s="104"/>
      <c r="H90" s="14" t="s">
        <v>466</v>
      </c>
    </row>
    <row r="91" spans="1:9" s="114" customFormat="1" x14ac:dyDescent="0.25">
      <c r="A91" s="89" t="s">
        <v>558</v>
      </c>
      <c r="B91" s="152" t="s">
        <v>559</v>
      </c>
      <c r="C91" s="98" t="s">
        <v>118</v>
      </c>
      <c r="D91" s="134">
        <f>SUM(D70:D90)</f>
        <v>646734090</v>
      </c>
      <c r="E91" s="134">
        <f>SUM(E70:E90)</f>
        <v>123086000</v>
      </c>
      <c r="F91" s="134">
        <f>SUM(F70:F90)</f>
        <v>0</v>
      </c>
      <c r="G91" s="134">
        <f>SUM(G70:G90)</f>
        <v>0</v>
      </c>
      <c r="H91" s="113"/>
      <c r="I91" s="113"/>
    </row>
    <row r="92" spans="1:9" s="101" customFormat="1" x14ac:dyDescent="0.25">
      <c r="A92" s="89"/>
      <c r="B92" s="152" t="s">
        <v>560</v>
      </c>
      <c r="C92" s="98" t="s">
        <v>120</v>
      </c>
      <c r="D92" s="99">
        <f>+D91+D69+D66+D64</f>
        <v>3009908361</v>
      </c>
      <c r="E92" s="99">
        <f>+E91+E69+E66+E64</f>
        <v>578958000</v>
      </c>
      <c r="F92" s="99">
        <f>+F91+F69+F66+F64</f>
        <v>0</v>
      </c>
      <c r="G92" s="99">
        <f>+G91+G69+G66+G64</f>
        <v>0</v>
      </c>
      <c r="H92" s="125"/>
      <c r="I92" s="125"/>
    </row>
    <row r="93" spans="1:9" s="101" customFormat="1" x14ac:dyDescent="0.25">
      <c r="A93" s="89"/>
      <c r="B93" s="160" t="s">
        <v>561</v>
      </c>
      <c r="C93" s="160" t="s">
        <v>562</v>
      </c>
      <c r="D93" s="134">
        <f>+D92+D42</f>
        <v>3067272361</v>
      </c>
      <c r="E93" s="134">
        <f>+E92+E42</f>
        <v>734981000</v>
      </c>
      <c r="F93" s="134">
        <f>+F92+F42</f>
        <v>0</v>
      </c>
      <c r="G93" s="134">
        <f>+G92+G42</f>
        <v>0</v>
      </c>
      <c r="H93" s="125"/>
      <c r="I93" s="125"/>
    </row>
    <row r="94" spans="1:9" x14ac:dyDescent="0.25">
      <c r="B94" s="161"/>
      <c r="C94" s="161"/>
      <c r="D94" s="137"/>
      <c r="E94" s="137"/>
      <c r="F94" s="137"/>
      <c r="G94" s="137"/>
    </row>
    <row r="95" spans="1:9" x14ac:dyDescent="0.25">
      <c r="B95" s="161"/>
      <c r="C95" s="161"/>
      <c r="D95" s="137"/>
      <c r="E95" s="137"/>
      <c r="F95" s="137"/>
      <c r="G95" s="137"/>
    </row>
    <row r="98" spans="2:9" x14ac:dyDescent="0.25">
      <c r="D98" s="14">
        <f>+D83+D82+D81+D80+D79+D78+D76+D74+D73+D71+D56+D54+D53+D52+D51+D50+D49+D47+D46+D44+E40+E39+E35+E32+E24+E23+E20+E9</f>
        <v>2429302361</v>
      </c>
    </row>
    <row r="101" spans="2:9" x14ac:dyDescent="0.25">
      <c r="B101" s="130" t="s">
        <v>917</v>
      </c>
      <c r="D101" s="14">
        <f>+E22</f>
        <v>7134000</v>
      </c>
      <c r="E101" s="14">
        <f>+E38</f>
        <v>1926000</v>
      </c>
      <c r="H101" s="14">
        <f>+E101+D101</f>
        <v>9060000</v>
      </c>
      <c r="I101" s="449">
        <v>0</v>
      </c>
    </row>
    <row r="102" spans="2:9" x14ac:dyDescent="0.25">
      <c r="B102" s="129" t="s">
        <v>519</v>
      </c>
      <c r="D102" s="14">
        <f>+E23</f>
        <v>6496000</v>
      </c>
      <c r="E102" s="14">
        <f>+E39</f>
        <v>1754000</v>
      </c>
      <c r="H102" s="14">
        <f>+E102+D102</f>
        <v>8250000</v>
      </c>
      <c r="I102" s="449">
        <v>0</v>
      </c>
    </row>
    <row r="103" spans="2:9" x14ac:dyDescent="0.25">
      <c r="B103" s="130" t="s">
        <v>517</v>
      </c>
      <c r="D103" s="14">
        <f>+E20</f>
        <v>108540944.88188976</v>
      </c>
      <c r="E103" s="14">
        <f>+E35</f>
        <v>29306055.118110236</v>
      </c>
      <c r="H103" s="14">
        <f>+E103+D103</f>
        <v>137847000</v>
      </c>
      <c r="I103" s="449">
        <v>0</v>
      </c>
    </row>
    <row r="104" spans="2:9" x14ac:dyDescent="0.25">
      <c r="B104" s="129" t="s">
        <v>473</v>
      </c>
      <c r="D104" s="14">
        <f t="shared" ref="D104:D111" si="0">+D44</f>
        <v>133255000</v>
      </c>
      <c r="E104" s="14">
        <f>+D71</f>
        <v>35979000</v>
      </c>
      <c r="H104" s="14">
        <f>+E104+D104</f>
        <v>169234000</v>
      </c>
      <c r="I104" s="449">
        <v>0</v>
      </c>
    </row>
    <row r="105" spans="2:9" x14ac:dyDescent="0.25">
      <c r="B105" s="129" t="s">
        <v>457</v>
      </c>
      <c r="D105" s="14">
        <f t="shared" si="0"/>
        <v>31496000</v>
      </c>
      <c r="E105" s="14">
        <f>+D72</f>
        <v>8505000</v>
      </c>
      <c r="H105" s="14">
        <f t="shared" ref="H105:H121" si="1">+E105+D105</f>
        <v>40001000</v>
      </c>
      <c r="I105" s="449"/>
    </row>
    <row r="106" spans="2:9" ht="31.5" x14ac:dyDescent="0.25">
      <c r="B106" s="129" t="s">
        <v>469</v>
      </c>
      <c r="D106" s="14">
        <f t="shared" si="0"/>
        <v>62570531</v>
      </c>
      <c r="E106" s="14">
        <f>+D73</f>
        <v>16894123</v>
      </c>
      <c r="H106" s="14">
        <f t="shared" si="1"/>
        <v>79464654</v>
      </c>
      <c r="I106" s="449">
        <v>0</v>
      </c>
    </row>
    <row r="107" spans="2:9" x14ac:dyDescent="0.25">
      <c r="B107" s="129" t="s">
        <v>464</v>
      </c>
      <c r="D107" s="14">
        <f t="shared" si="0"/>
        <v>83004350</v>
      </c>
      <c r="E107" s="14">
        <f>+D74</f>
        <v>22411030</v>
      </c>
      <c r="H107" s="14">
        <f t="shared" si="1"/>
        <v>105415380</v>
      </c>
      <c r="I107" s="449">
        <v>0</v>
      </c>
    </row>
    <row r="108" spans="2:9" x14ac:dyDescent="0.25">
      <c r="B108" s="129" t="s">
        <v>899</v>
      </c>
      <c r="D108" s="14">
        <f t="shared" si="0"/>
        <v>6500000</v>
      </c>
      <c r="E108" s="14">
        <f>+D75</f>
        <v>1755000</v>
      </c>
      <c r="H108" s="14">
        <f t="shared" si="1"/>
        <v>8255000</v>
      </c>
      <c r="I108" s="449"/>
    </row>
    <row r="109" spans="2:9" x14ac:dyDescent="0.25">
      <c r="B109" s="130" t="s">
        <v>467</v>
      </c>
      <c r="D109" s="14">
        <f t="shared" si="0"/>
        <v>353700000</v>
      </c>
      <c r="E109" s="14">
        <f>+D78</f>
        <v>95499000</v>
      </c>
      <c r="H109" s="14">
        <f t="shared" si="1"/>
        <v>449199000</v>
      </c>
      <c r="I109" s="449">
        <v>0</v>
      </c>
    </row>
    <row r="110" spans="2:9" x14ac:dyDescent="0.25">
      <c r="B110" s="130" t="s">
        <v>474</v>
      </c>
      <c r="D110" s="14">
        <f t="shared" si="0"/>
        <v>145863000</v>
      </c>
      <c r="E110" s="14">
        <f>+D79</f>
        <v>39383000</v>
      </c>
      <c r="H110" s="14">
        <f t="shared" si="1"/>
        <v>185246000</v>
      </c>
      <c r="I110" s="449">
        <v>0</v>
      </c>
    </row>
    <row r="111" spans="2:9" x14ac:dyDescent="0.25">
      <c r="B111" s="130" t="s">
        <v>475</v>
      </c>
      <c r="D111" s="14">
        <f t="shared" si="0"/>
        <v>145866000</v>
      </c>
      <c r="E111" s="14">
        <f>+D80</f>
        <v>39384000</v>
      </c>
      <c r="H111" s="14">
        <f t="shared" si="1"/>
        <v>185250000</v>
      </c>
      <c r="I111" s="449">
        <v>0</v>
      </c>
    </row>
    <row r="112" spans="2:9" x14ac:dyDescent="0.25">
      <c r="B112" s="130" t="s">
        <v>471</v>
      </c>
      <c r="D112" s="14">
        <f>+E52</f>
        <v>221491000</v>
      </c>
      <c r="E112" s="14">
        <f>+E81</f>
        <v>59803000</v>
      </c>
      <c r="H112" s="14">
        <f t="shared" si="1"/>
        <v>281294000</v>
      </c>
      <c r="I112" s="449">
        <v>0</v>
      </c>
    </row>
    <row r="113" spans="2:9" x14ac:dyDescent="0.25">
      <c r="B113" s="130" t="s">
        <v>472</v>
      </c>
      <c r="D113" s="14">
        <f>+E53</f>
        <v>120509000</v>
      </c>
      <c r="E113" s="14">
        <f>+E82</f>
        <v>32538000</v>
      </c>
      <c r="H113" s="14">
        <f t="shared" si="1"/>
        <v>153047000</v>
      </c>
      <c r="I113" s="449">
        <v>0</v>
      </c>
    </row>
    <row r="114" spans="2:9" x14ac:dyDescent="0.25">
      <c r="B114" s="130" t="s">
        <v>468</v>
      </c>
      <c r="D114" s="14">
        <f>+D54</f>
        <v>129450327</v>
      </c>
      <c r="E114" s="14">
        <f>+D76</f>
        <v>43626000</v>
      </c>
      <c r="H114" s="14">
        <f t="shared" si="1"/>
        <v>173076327</v>
      </c>
      <c r="I114" s="449">
        <v>0</v>
      </c>
    </row>
    <row r="115" spans="2:9" x14ac:dyDescent="0.25">
      <c r="B115" s="130" t="s">
        <v>900</v>
      </c>
      <c r="D115" s="14">
        <f>+D55</f>
        <v>6500000</v>
      </c>
      <c r="E115" s="14">
        <f>+D77</f>
        <v>1755000</v>
      </c>
      <c r="H115" s="14">
        <f t="shared" si="1"/>
        <v>8255000</v>
      </c>
      <c r="I115" s="449"/>
    </row>
    <row r="116" spans="2:9" x14ac:dyDescent="0.25">
      <c r="B116" s="130" t="s">
        <v>477</v>
      </c>
      <c r="D116" s="14">
        <f>+D56</f>
        <v>736722000</v>
      </c>
      <c r="E116" s="14">
        <f>+D83</f>
        <v>198916000</v>
      </c>
      <c r="H116" s="14">
        <f t="shared" si="1"/>
        <v>935638000</v>
      </c>
      <c r="I116" s="449">
        <v>0</v>
      </c>
    </row>
    <row r="117" spans="2:9" x14ac:dyDescent="0.25">
      <c r="B117" s="130" t="s">
        <v>914</v>
      </c>
      <c r="D117" s="14">
        <f>+D57</f>
        <v>68425000</v>
      </c>
      <c r="E117" s="14">
        <f>+D86</f>
        <v>18475000</v>
      </c>
      <c r="H117" s="14">
        <f t="shared" si="1"/>
        <v>86900000</v>
      </c>
      <c r="I117" s="449">
        <v>0</v>
      </c>
    </row>
    <row r="118" spans="2:9" x14ac:dyDescent="0.25">
      <c r="B118" s="130" t="s">
        <v>911</v>
      </c>
      <c r="D118" s="14">
        <f>+E58</f>
        <v>7087000</v>
      </c>
      <c r="E118" s="14">
        <f>+E87</f>
        <v>1913000</v>
      </c>
      <c r="H118" s="14">
        <f t="shared" si="1"/>
        <v>9000000</v>
      </c>
      <c r="I118" s="449">
        <v>0</v>
      </c>
    </row>
    <row r="119" spans="2:9" x14ac:dyDescent="0.25">
      <c r="B119" s="130" t="s">
        <v>905</v>
      </c>
      <c r="D119" s="14">
        <f>+E59</f>
        <v>71785000</v>
      </c>
      <c r="E119" s="14">
        <f>+E84</f>
        <v>19382000</v>
      </c>
      <c r="H119" s="14">
        <f t="shared" si="1"/>
        <v>91167000</v>
      </c>
      <c r="I119" s="449"/>
    </row>
    <row r="120" spans="2:9" x14ac:dyDescent="0.25">
      <c r="B120" s="130" t="s">
        <v>903</v>
      </c>
      <c r="H120" s="14">
        <f t="shared" si="1"/>
        <v>0</v>
      </c>
      <c r="I120" s="449"/>
    </row>
    <row r="121" spans="2:9" x14ac:dyDescent="0.25">
      <c r="B121" s="130" t="s">
        <v>904</v>
      </c>
      <c r="D121" s="14">
        <f>+D61</f>
        <v>424126000</v>
      </c>
      <c r="E121" s="14">
        <f>+D88</f>
        <v>114514000</v>
      </c>
      <c r="H121" s="14">
        <f t="shared" si="1"/>
        <v>538640000</v>
      </c>
      <c r="I121" s="449">
        <v>0</v>
      </c>
    </row>
    <row r="122" spans="2:9" x14ac:dyDescent="0.25">
      <c r="B122" s="130" t="s">
        <v>902</v>
      </c>
      <c r="I122" s="449"/>
    </row>
    <row r="123" spans="2:9" x14ac:dyDescent="0.25">
      <c r="B123" s="129" t="s">
        <v>537</v>
      </c>
      <c r="I123" s="449"/>
    </row>
    <row r="124" spans="2:9" x14ac:dyDescent="0.25">
      <c r="I124" s="449"/>
    </row>
  </sheetData>
  <sheetProtection selectLockedCells="1" selectUnlockedCells="1"/>
  <mergeCells count="2">
    <mergeCell ref="D7:E7"/>
    <mergeCell ref="F7:G7"/>
  </mergeCells>
  <printOptions horizontalCentered="1"/>
  <pageMargins left="0.70833333333333337" right="0.49027777777777776" top="0.5" bottom="0.61041666666666661" header="0.51180555555555551" footer="0.31527777777777777"/>
  <pageSetup paperSize="9" scale="64" firstPageNumber="0" orientation="portrait" horizontalDpi="300" verticalDpi="300" r:id="rId1"/>
  <headerFooter alignWithMargins="0">
    <oddFooter>&amp;R&amp;P</oddFooter>
  </headerFooter>
  <rowBreaks count="1" manualBreakCount="1">
    <brk id="64" max="16383" man="1"/>
  </rowBreaks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BreakPreview" zoomScale="80" zoomScaleSheetLayoutView="80" workbookViewId="0">
      <selection activeCell="F2" sqref="F2"/>
    </sheetView>
  </sheetViews>
  <sheetFormatPr defaultRowHeight="15" x14ac:dyDescent="0.25"/>
  <cols>
    <col min="1" max="1" width="10.5703125" style="162" customWidth="1"/>
    <col min="2" max="2" width="61.140625" style="163" customWidth="1"/>
    <col min="3" max="3" width="7.42578125" style="163" customWidth="1"/>
    <col min="4" max="4" width="13.140625" style="163" customWidth="1"/>
    <col min="5" max="5" width="14" style="163" customWidth="1"/>
    <col min="6" max="6" width="13.140625" style="163" customWidth="1"/>
    <col min="7" max="8" width="0" style="163" hidden="1" customWidth="1"/>
    <col min="9" max="9" width="0.140625" style="163" customWidth="1"/>
    <col min="10" max="16384" width="9.140625" style="163"/>
  </cols>
  <sheetData>
    <row r="1" spans="1:9" ht="18.75" x14ac:dyDescent="0.25">
      <c r="F1" s="15" t="s">
        <v>563</v>
      </c>
      <c r="I1" s="15" t="s">
        <v>564</v>
      </c>
    </row>
    <row r="2" spans="1:9" ht="15.75" x14ac:dyDescent="0.25">
      <c r="F2" s="16" t="s">
        <v>937</v>
      </c>
      <c r="I2" s="16" t="s">
        <v>11</v>
      </c>
    </row>
    <row r="3" spans="1:9" x14ac:dyDescent="0.25">
      <c r="F3" s="164"/>
      <c r="I3" s="164"/>
    </row>
    <row r="4" spans="1:9" x14ac:dyDescent="0.25">
      <c r="F4" s="164"/>
      <c r="I4" s="164"/>
    </row>
    <row r="5" spans="1:9" ht="24" customHeight="1" x14ac:dyDescent="0.3">
      <c r="B5" s="464" t="s">
        <v>879</v>
      </c>
      <c r="C5" s="464"/>
    </row>
    <row r="6" spans="1:9" ht="18.75" x14ac:dyDescent="0.3">
      <c r="B6" s="35"/>
      <c r="C6" s="165"/>
      <c r="D6" s="165"/>
      <c r="E6" s="165"/>
      <c r="F6" s="165"/>
      <c r="G6" s="165"/>
      <c r="H6" s="165"/>
      <c r="I6" s="165"/>
    </row>
    <row r="7" spans="1:9" ht="16.5" customHeight="1" x14ac:dyDescent="0.35">
      <c r="B7" s="18" t="s">
        <v>878</v>
      </c>
      <c r="C7" s="166"/>
      <c r="D7" s="166"/>
      <c r="E7" s="166"/>
      <c r="F7" s="166"/>
      <c r="G7" s="166"/>
      <c r="H7" s="166"/>
      <c r="I7" s="166"/>
    </row>
    <row r="8" spans="1:9" ht="19.5" x14ac:dyDescent="0.35">
      <c r="B8" s="167"/>
    </row>
    <row r="9" spans="1:9" ht="15.75" customHeight="1" x14ac:dyDescent="0.25">
      <c r="D9" s="469" t="s">
        <v>12</v>
      </c>
      <c r="E9" s="469"/>
      <c r="F9" s="469"/>
      <c r="G9" s="469" t="s">
        <v>13</v>
      </c>
      <c r="H9" s="469"/>
      <c r="I9" s="469"/>
    </row>
    <row r="10" spans="1:9" s="22" customFormat="1" ht="52.5" customHeight="1" x14ac:dyDescent="0.25">
      <c r="A10" s="89" t="s">
        <v>335</v>
      </c>
      <c r="B10" s="168" t="s">
        <v>565</v>
      </c>
      <c r="C10" s="48" t="s">
        <v>41</v>
      </c>
      <c r="D10" s="169" t="s">
        <v>15</v>
      </c>
      <c r="E10" s="169" t="s">
        <v>16</v>
      </c>
      <c r="F10" s="170" t="s">
        <v>566</v>
      </c>
      <c r="G10" s="169" t="s">
        <v>15</v>
      </c>
      <c r="H10" s="169" t="s">
        <v>16</v>
      </c>
      <c r="I10" s="170" t="s">
        <v>566</v>
      </c>
    </row>
    <row r="11" spans="1:9" ht="15.75" x14ac:dyDescent="0.25">
      <c r="A11" s="89" t="s">
        <v>433</v>
      </c>
      <c r="B11" s="171"/>
      <c r="C11" s="172"/>
      <c r="D11" s="173"/>
      <c r="E11" s="173"/>
      <c r="F11" s="174"/>
      <c r="G11" s="173"/>
      <c r="H11" s="173"/>
      <c r="I11" s="174"/>
    </row>
    <row r="12" spans="1:9" ht="15.75" x14ac:dyDescent="0.25">
      <c r="A12" s="162" t="s">
        <v>567</v>
      </c>
      <c r="B12" s="115" t="s">
        <v>568</v>
      </c>
      <c r="C12" s="66"/>
      <c r="D12" s="24">
        <f>40000000</f>
        <v>40000000</v>
      </c>
      <c r="E12" s="24">
        <v>0</v>
      </c>
      <c r="F12" s="25">
        <f>SUM(D12:E12)</f>
        <v>40000000</v>
      </c>
      <c r="G12" s="24">
        <v>0</v>
      </c>
      <c r="H12" s="24">
        <v>0</v>
      </c>
      <c r="I12" s="25">
        <f>SUM(G12:H12)</f>
        <v>0</v>
      </c>
    </row>
    <row r="13" spans="1:9" ht="15.75" x14ac:dyDescent="0.25">
      <c r="B13" s="115" t="s">
        <v>569</v>
      </c>
      <c r="C13" s="23"/>
      <c r="D13" s="24">
        <v>0</v>
      </c>
      <c r="E13" s="24">
        <v>0</v>
      </c>
      <c r="F13" s="25">
        <f>SUM(D13:E13)</f>
        <v>0</v>
      </c>
      <c r="G13" s="24">
        <v>0</v>
      </c>
      <c r="H13" s="24">
        <v>0</v>
      </c>
      <c r="I13" s="25">
        <f>SUM(G13:H13)</f>
        <v>0</v>
      </c>
    </row>
    <row r="14" spans="1:9" s="175" customFormat="1" ht="15.75" x14ac:dyDescent="0.25">
      <c r="A14" s="162"/>
      <c r="B14" s="152" t="s">
        <v>570</v>
      </c>
      <c r="C14" s="98" t="s">
        <v>89</v>
      </c>
      <c r="D14" s="99">
        <f>+D12+D13</f>
        <v>40000000</v>
      </c>
      <c r="E14" s="99">
        <f>+E12+E13</f>
        <v>0</v>
      </c>
      <c r="F14" s="99">
        <f>SUM(D14:E14)</f>
        <v>40000000</v>
      </c>
      <c r="G14" s="99">
        <f>+G12+G13</f>
        <v>0</v>
      </c>
      <c r="H14" s="99">
        <f>+H12+H13</f>
        <v>0</v>
      </c>
      <c r="I14" s="99">
        <f>SUM(G14:H14)</f>
        <v>0</v>
      </c>
    </row>
    <row r="15" spans="1:9" ht="15.75" x14ac:dyDescent="0.25">
      <c r="B15" s="23"/>
      <c r="C15" s="23"/>
      <c r="D15" s="24"/>
      <c r="E15" s="24"/>
      <c r="F15" s="25"/>
      <c r="G15" s="24"/>
      <c r="H15" s="24"/>
      <c r="I15" s="25"/>
    </row>
    <row r="16" spans="1:9" ht="15.75" x14ac:dyDescent="0.25">
      <c r="A16" s="162" t="s">
        <v>571</v>
      </c>
      <c r="B16" s="176" t="s">
        <v>572</v>
      </c>
      <c r="C16" s="66"/>
      <c r="D16" s="24">
        <v>100000</v>
      </c>
      <c r="E16" s="24"/>
      <c r="F16" s="25">
        <f>SUM(D16:E16)</f>
        <v>100000</v>
      </c>
      <c r="G16" s="24">
        <v>0</v>
      </c>
      <c r="H16" s="24"/>
      <c r="I16" s="25">
        <f>SUM(G16:H16)</f>
        <v>0</v>
      </c>
    </row>
    <row r="17" spans="1:9" ht="15.75" x14ac:dyDescent="0.25">
      <c r="A17" s="162" t="s">
        <v>573</v>
      </c>
      <c r="B17" s="176" t="s">
        <v>574</v>
      </c>
      <c r="C17" s="66"/>
      <c r="D17" s="24">
        <v>100000</v>
      </c>
      <c r="E17" s="24"/>
      <c r="F17" s="25">
        <f>SUM(D17:E17)</f>
        <v>100000</v>
      </c>
      <c r="G17" s="24">
        <v>0</v>
      </c>
      <c r="H17" s="24"/>
      <c r="I17" s="25">
        <f>SUM(G17:H17)</f>
        <v>0</v>
      </c>
    </row>
    <row r="18" spans="1:9" ht="15.75" x14ac:dyDescent="0.25">
      <c r="A18" s="162" t="s">
        <v>575</v>
      </c>
      <c r="B18" s="176" t="s">
        <v>576</v>
      </c>
      <c r="C18" s="66"/>
      <c r="D18" s="24">
        <v>100000</v>
      </c>
      <c r="E18" s="24"/>
      <c r="F18" s="25">
        <f>SUM(D18:E18)</f>
        <v>100000</v>
      </c>
      <c r="G18" s="24">
        <v>0</v>
      </c>
      <c r="H18" s="24"/>
      <c r="I18" s="25">
        <f>SUM(G18:H18)</f>
        <v>0</v>
      </c>
    </row>
    <row r="19" spans="1:9" ht="15.75" x14ac:dyDescent="0.25">
      <c r="A19" s="162" t="s">
        <v>577</v>
      </c>
      <c r="B19" s="176" t="s">
        <v>578</v>
      </c>
      <c r="C19" s="23"/>
      <c r="D19" s="24">
        <v>4000000</v>
      </c>
      <c r="E19" s="24"/>
      <c r="F19" s="25">
        <f>SUM(D19:E19)</f>
        <v>4000000</v>
      </c>
      <c r="G19" s="24">
        <v>0</v>
      </c>
      <c r="H19" s="24"/>
      <c r="I19" s="25">
        <f>SUM(G19:H19)</f>
        <v>0</v>
      </c>
    </row>
    <row r="20" spans="1:9" s="175" customFormat="1" ht="15.75" x14ac:dyDescent="0.25">
      <c r="A20" s="162"/>
      <c r="B20" s="177" t="s">
        <v>579</v>
      </c>
      <c r="C20" s="133" t="s">
        <v>89</v>
      </c>
      <c r="D20" s="134">
        <f t="shared" ref="D20:I20" si="0">SUM(D16:D19)</f>
        <v>4300000</v>
      </c>
      <c r="E20" s="134">
        <f t="shared" si="0"/>
        <v>0</v>
      </c>
      <c r="F20" s="134">
        <f t="shared" si="0"/>
        <v>4300000</v>
      </c>
      <c r="G20" s="134">
        <f t="shared" si="0"/>
        <v>0</v>
      </c>
      <c r="H20" s="134">
        <f t="shared" si="0"/>
        <v>0</v>
      </c>
      <c r="I20" s="134">
        <f t="shared" si="0"/>
        <v>0</v>
      </c>
    </row>
    <row r="21" spans="1:9" ht="15.75" x14ac:dyDescent="0.25">
      <c r="B21" s="108"/>
      <c r="C21" s="23"/>
      <c r="D21" s="24"/>
      <c r="E21" s="24"/>
      <c r="F21" s="25"/>
      <c r="G21" s="24"/>
      <c r="H21" s="24"/>
      <c r="I21" s="25"/>
    </row>
    <row r="22" spans="1:9" ht="15.75" x14ac:dyDescent="0.25">
      <c r="B22" s="108" t="s">
        <v>932</v>
      </c>
      <c r="C22" s="23"/>
      <c r="D22" s="24"/>
      <c r="E22" s="24">
        <v>10000000</v>
      </c>
      <c r="F22" s="25"/>
      <c r="G22" s="24"/>
      <c r="H22" s="24"/>
      <c r="I22" s="25"/>
    </row>
    <row r="23" spans="1:9" ht="15.75" x14ac:dyDescent="0.25">
      <c r="B23" s="118" t="s">
        <v>931</v>
      </c>
      <c r="C23" s="23"/>
      <c r="D23" s="24">
        <v>9200000</v>
      </c>
      <c r="E23" s="24">
        <v>0</v>
      </c>
      <c r="F23" s="25"/>
      <c r="G23" s="24">
        <v>0</v>
      </c>
      <c r="H23" s="24">
        <v>0</v>
      </c>
      <c r="I23" s="25"/>
    </row>
    <row r="24" spans="1:9" s="175" customFormat="1" ht="15.75" x14ac:dyDescent="0.25">
      <c r="A24" s="162"/>
      <c r="B24" s="177" t="s">
        <v>580</v>
      </c>
      <c r="C24" s="133" t="s">
        <v>89</v>
      </c>
      <c r="D24" s="134">
        <f>SUM(D22:D23)</f>
        <v>9200000</v>
      </c>
      <c r="E24" s="134">
        <f>SUM(E22:E23)</f>
        <v>10000000</v>
      </c>
      <c r="F24" s="134">
        <f>SUM(D24:E24)</f>
        <v>19200000</v>
      </c>
      <c r="G24" s="134">
        <f>SUM(G23)</f>
        <v>0</v>
      </c>
      <c r="H24" s="134">
        <f>SUM(H23)</f>
        <v>0</v>
      </c>
      <c r="I24" s="134">
        <f>SUM(G24:H24)</f>
        <v>0</v>
      </c>
    </row>
    <row r="25" spans="1:9" s="175" customFormat="1" ht="15.75" x14ac:dyDescent="0.25">
      <c r="A25" s="162"/>
      <c r="B25" s="152" t="s">
        <v>581</v>
      </c>
      <c r="C25" s="133" t="s">
        <v>89</v>
      </c>
      <c r="D25" s="99">
        <f>+D20+D24</f>
        <v>13500000</v>
      </c>
      <c r="E25" s="99">
        <f>+E20+E24</f>
        <v>10000000</v>
      </c>
      <c r="F25" s="99">
        <f>SUM(D25:E25)</f>
        <v>23500000</v>
      </c>
      <c r="G25" s="99">
        <f>+G20+G24</f>
        <v>0</v>
      </c>
      <c r="H25" s="99">
        <f>+H20+H24</f>
        <v>0</v>
      </c>
      <c r="I25" s="99">
        <f>SUM(G25:H25)</f>
        <v>0</v>
      </c>
    </row>
    <row r="26" spans="1:9" ht="15.75" x14ac:dyDescent="0.25">
      <c r="B26" s="23"/>
      <c r="C26" s="23"/>
      <c r="D26" s="23"/>
      <c r="E26" s="23"/>
      <c r="F26" s="23"/>
      <c r="G26" s="23"/>
      <c r="H26" s="23"/>
      <c r="I26" s="23"/>
    </row>
    <row r="27" spans="1:9" s="180" customFormat="1" ht="15.75" x14ac:dyDescent="0.25">
      <c r="A27" s="162" t="s">
        <v>582</v>
      </c>
      <c r="B27" s="178" t="s">
        <v>583</v>
      </c>
      <c r="C27" s="98" t="s">
        <v>89</v>
      </c>
      <c r="D27" s="179">
        <f t="shared" ref="D27:I27" si="1">+D25+D14</f>
        <v>53500000</v>
      </c>
      <c r="E27" s="179">
        <f t="shared" si="1"/>
        <v>10000000</v>
      </c>
      <c r="F27" s="179">
        <f t="shared" si="1"/>
        <v>63500000</v>
      </c>
      <c r="G27" s="179">
        <f t="shared" si="1"/>
        <v>0</v>
      </c>
      <c r="H27" s="179">
        <f t="shared" si="1"/>
        <v>0</v>
      </c>
      <c r="I27" s="179">
        <f t="shared" si="1"/>
        <v>0</v>
      </c>
    </row>
  </sheetData>
  <sheetProtection selectLockedCells="1" selectUnlockedCells="1"/>
  <mergeCells count="3">
    <mergeCell ref="B5:C5"/>
    <mergeCell ref="D9:F9"/>
    <mergeCell ref="G9:I9"/>
  </mergeCells>
  <pageMargins left="0.70833333333333337" right="0.70833333333333337" top="0.74791666666666667" bottom="0.74861111111111112" header="0.51180555555555551" footer="0.31527777777777777"/>
  <pageSetup paperSize="9" scale="80" firstPageNumber="0" orientation="portrait" horizontalDpi="300" verticalDpi="300" r:id="rId1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V259"/>
  <sheetViews>
    <sheetView view="pageBreakPreview" zoomScale="80" zoomScaleSheetLayoutView="80" workbookViewId="0">
      <pane xSplit="3" ySplit="6" topLeftCell="D82" activePane="bottomRight" state="frozen"/>
      <selection pane="topRight" activeCell="D1" sqref="D1"/>
      <selection pane="bottomLeft" activeCell="A7" sqref="A7"/>
      <selection pane="bottomRight" activeCell="F2" sqref="F2"/>
    </sheetView>
  </sheetViews>
  <sheetFormatPr defaultColWidth="11.5703125" defaultRowHeight="15" x14ac:dyDescent="0.25"/>
  <cols>
    <col min="1" max="1" width="9.140625" style="181" customWidth="1"/>
    <col min="2" max="2" width="54" style="181" customWidth="1"/>
    <col min="3" max="3" width="8.5703125" style="181" customWidth="1"/>
    <col min="4" max="4" width="13.28515625" style="181" customWidth="1"/>
    <col min="5" max="5" width="13.85546875" style="181" customWidth="1"/>
    <col min="6" max="6" width="15" style="181" customWidth="1"/>
    <col min="7" max="9" width="0" style="181" hidden="1" customWidth="1"/>
    <col min="10" max="10" width="17.140625" style="181" customWidth="1"/>
    <col min="11" max="11" width="0" style="181" hidden="1" customWidth="1"/>
    <col min="12" max="12" width="12.140625" style="181" customWidth="1"/>
    <col min="13" max="13" width="0" style="181" hidden="1" customWidth="1"/>
    <col min="14" max="14" width="13.85546875" style="181" customWidth="1"/>
    <col min="15" max="15" width="0" style="181" hidden="1" customWidth="1"/>
    <col min="16" max="16" width="14.140625" style="181" customWidth="1"/>
    <col min="17" max="17" width="0" style="181" hidden="1" customWidth="1"/>
    <col min="18" max="18" width="14.28515625" style="181" customWidth="1"/>
    <col min="19" max="19" width="0" style="181" hidden="1" customWidth="1"/>
    <col min="20" max="20" width="13" style="181" customWidth="1"/>
    <col min="21" max="21" width="0" style="181" hidden="1" customWidth="1"/>
    <col min="22" max="22" width="15" style="181" customWidth="1"/>
    <col min="23" max="23" width="0" style="181" hidden="1" customWidth="1"/>
    <col min="24" max="24" width="15.5703125" style="181" customWidth="1"/>
    <col min="25" max="25" width="0" style="181" hidden="1" customWidth="1"/>
    <col min="26" max="26" width="14.85546875" style="181" customWidth="1"/>
    <col min="27" max="27" width="0" style="181" hidden="1" customWidth="1"/>
    <col min="28" max="28" width="15.140625" style="181" customWidth="1"/>
    <col min="29" max="29" width="0" style="181" hidden="1" customWidth="1"/>
    <col min="30" max="30" width="13.5703125" style="181" customWidth="1"/>
    <col min="31" max="31" width="0" style="181" hidden="1" customWidth="1"/>
    <col min="32" max="32" width="13.140625" style="181" customWidth="1"/>
    <col min="33" max="33" width="0" style="181" hidden="1" customWidth="1"/>
    <col min="34" max="34" width="15.5703125" style="181" customWidth="1"/>
    <col min="35" max="35" width="0" style="181" hidden="1" customWidth="1"/>
    <col min="36" max="36" width="13.5703125" style="181" customWidth="1"/>
    <col min="37" max="37" width="0" style="181" hidden="1" customWidth="1"/>
    <col min="38" max="38" width="12.5703125" style="181" customWidth="1"/>
    <col min="39" max="39" width="0" style="181" hidden="1" customWidth="1"/>
    <col min="40" max="40" width="15.5703125" style="181" customWidth="1"/>
    <col min="41" max="41" width="0" style="181" hidden="1" customWidth="1"/>
    <col min="42" max="42" width="13" style="181" customWidth="1"/>
    <col min="43" max="43" width="0" style="181" hidden="1" customWidth="1"/>
    <col min="44" max="44" width="13.140625" style="181" customWidth="1"/>
    <col min="45" max="45" width="0" style="181" hidden="1" customWidth="1"/>
    <col min="46" max="46" width="12.140625" style="181" customWidth="1"/>
    <col min="47" max="47" width="0" style="181" hidden="1" customWidth="1"/>
    <col min="48" max="48" width="13.140625" style="181" customWidth="1"/>
    <col min="49" max="49" width="0" style="181" hidden="1" customWidth="1"/>
    <col min="50" max="50" width="11.140625" style="181" customWidth="1"/>
    <col min="51" max="51" width="0" style="181" hidden="1" customWidth="1"/>
    <col min="52" max="52" width="12.7109375" style="181" customWidth="1"/>
    <col min="53" max="53" width="0" style="181" hidden="1" customWidth="1"/>
    <col min="54" max="230" width="9.140625" style="181" customWidth="1"/>
  </cols>
  <sheetData>
    <row r="1" spans="2:54" s="182" customFormat="1" ht="15.75" x14ac:dyDescent="0.25">
      <c r="F1" s="183" t="s">
        <v>584</v>
      </c>
      <c r="I1" s="183"/>
      <c r="N1" s="184" t="str">
        <f>+F1</f>
        <v>7.melléklet</v>
      </c>
      <c r="O1" s="184"/>
      <c r="P1" s="184"/>
      <c r="Q1" s="184"/>
      <c r="T1" s="182" t="str">
        <f>+F1</f>
        <v>7.melléklet</v>
      </c>
      <c r="U1" s="184"/>
      <c r="X1" s="184"/>
      <c r="Y1" s="184"/>
      <c r="Z1" s="184" t="str">
        <f>+T1</f>
        <v>7.melléklet</v>
      </c>
      <c r="AA1" s="184"/>
      <c r="AF1" s="182" t="str">
        <f>+Z1</f>
        <v>7.melléklet</v>
      </c>
      <c r="AG1" s="184"/>
      <c r="AL1" s="184" t="str">
        <f>+AF1</f>
        <v>7.melléklet</v>
      </c>
      <c r="AM1" s="184"/>
      <c r="AN1" s="184"/>
      <c r="AO1" s="184"/>
      <c r="AR1" s="184" t="str">
        <f>+AL1</f>
        <v>7.melléklet</v>
      </c>
      <c r="AS1" s="184"/>
      <c r="AZ1" s="182" t="str">
        <f>+AR1</f>
        <v>7.melléklet</v>
      </c>
      <c r="BA1" s="184">
        <f>+AS1</f>
        <v>0</v>
      </c>
    </row>
    <row r="2" spans="2:54" ht="15.75" x14ac:dyDescent="0.25">
      <c r="F2" s="16" t="s">
        <v>937</v>
      </c>
      <c r="I2" s="16"/>
      <c r="N2" s="184" t="str">
        <f>+F2</f>
        <v>a  2/2018.(III.14. ) önkormányzati rendelethez</v>
      </c>
      <c r="O2" s="16"/>
      <c r="P2" s="16"/>
      <c r="Q2" s="16"/>
      <c r="T2" s="183" t="str">
        <f>+F2</f>
        <v>a  2/2018.(III.14. ) önkormányzati rendelethez</v>
      </c>
      <c r="U2" s="16"/>
      <c r="X2" s="16"/>
      <c r="Y2" s="16"/>
      <c r="Z2" s="184" t="str">
        <f>+T2</f>
        <v>a  2/2018.(III.14. ) önkormányzati rendelethez</v>
      </c>
      <c r="AA2" s="16"/>
      <c r="AF2" s="183" t="str">
        <f>+Z2</f>
        <v>a  2/2018.(III.14. ) önkormányzati rendelethez</v>
      </c>
      <c r="AG2" s="16"/>
      <c r="AH2" s="185"/>
      <c r="AI2" s="185"/>
      <c r="AJ2" s="185"/>
      <c r="AK2" s="185"/>
      <c r="AL2" s="184" t="str">
        <f>+AF2</f>
        <v>a  2/2018.(III.14. ) önkormányzati rendelethez</v>
      </c>
      <c r="AM2" s="16"/>
      <c r="AN2" s="16"/>
      <c r="AO2" s="16"/>
      <c r="AR2" s="184" t="str">
        <f>+AL2</f>
        <v>a  2/2018.(III.14. ) önkormányzati rendelethez</v>
      </c>
      <c r="AS2" s="16"/>
      <c r="AZ2" s="183" t="str">
        <f>+AR2</f>
        <v>a  2/2018.(III.14. ) önkormányzati rendelethez</v>
      </c>
      <c r="BA2" s="16">
        <f>+AS2</f>
        <v>0</v>
      </c>
    </row>
    <row r="3" spans="2:54" ht="18.75" x14ac:dyDescent="0.3">
      <c r="B3" s="35" t="s">
        <v>880</v>
      </c>
      <c r="J3" s="186"/>
      <c r="K3" s="186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BB3" s="187"/>
    </row>
    <row r="4" spans="2:54" s="188" customFormat="1" ht="19.5" x14ac:dyDescent="0.2">
      <c r="B4" s="189" t="s">
        <v>874</v>
      </c>
      <c r="J4" s="471" t="s">
        <v>585</v>
      </c>
      <c r="K4" s="471"/>
      <c r="L4" s="471"/>
      <c r="M4" s="471"/>
      <c r="N4" s="471"/>
      <c r="O4" s="471"/>
      <c r="P4" s="471" t="s">
        <v>585</v>
      </c>
      <c r="Q4" s="471"/>
      <c r="R4" s="471"/>
      <c r="S4" s="471"/>
      <c r="T4" s="471"/>
      <c r="U4" s="471"/>
      <c r="V4" s="471" t="s">
        <v>585</v>
      </c>
      <c r="W4" s="471"/>
      <c r="X4" s="471"/>
      <c r="Y4" s="471"/>
      <c r="Z4" s="471"/>
      <c r="AA4" s="471"/>
      <c r="AB4" s="471" t="s">
        <v>585</v>
      </c>
      <c r="AC4" s="471"/>
      <c r="AD4" s="471"/>
      <c r="AE4" s="471"/>
      <c r="AF4" s="471"/>
      <c r="AG4" s="471"/>
      <c r="AH4" s="472" t="s">
        <v>585</v>
      </c>
      <c r="AI4" s="472"/>
      <c r="AJ4" s="472"/>
      <c r="AK4" s="472"/>
      <c r="AL4" s="471" t="s">
        <v>586</v>
      </c>
      <c r="AM4" s="471"/>
      <c r="AN4" s="471" t="s">
        <v>586</v>
      </c>
      <c r="AO4" s="471"/>
      <c r="AP4" s="471"/>
      <c r="AQ4" s="471"/>
      <c r="AR4" s="471"/>
      <c r="AS4" s="471"/>
      <c r="AT4" s="475" t="s">
        <v>587</v>
      </c>
      <c r="AU4" s="475"/>
      <c r="AV4" s="475"/>
      <c r="AW4" s="475"/>
      <c r="AX4" s="475"/>
      <c r="AY4" s="475"/>
      <c r="AZ4" s="475"/>
      <c r="BA4" s="475"/>
      <c r="BB4" s="187"/>
    </row>
    <row r="5" spans="2:54" s="191" customFormat="1" ht="26.25" customHeight="1" x14ac:dyDescent="0.25">
      <c r="D5" s="474" t="s">
        <v>12</v>
      </c>
      <c r="E5" s="474"/>
      <c r="F5" s="474"/>
      <c r="G5" s="474" t="s">
        <v>13</v>
      </c>
      <c r="H5" s="474"/>
      <c r="I5" s="474"/>
      <c r="J5" s="192" t="s">
        <v>588</v>
      </c>
      <c r="K5" s="192" t="s">
        <v>589</v>
      </c>
      <c r="L5" s="192" t="s">
        <v>588</v>
      </c>
      <c r="M5" s="192" t="s">
        <v>589</v>
      </c>
      <c r="N5" s="192" t="s">
        <v>588</v>
      </c>
      <c r="O5" s="192" t="s">
        <v>589</v>
      </c>
      <c r="P5" s="192" t="s">
        <v>588</v>
      </c>
      <c r="Q5" s="192" t="s">
        <v>589</v>
      </c>
      <c r="R5" s="192" t="s">
        <v>588</v>
      </c>
      <c r="S5" s="192" t="s">
        <v>589</v>
      </c>
      <c r="T5" s="192" t="s">
        <v>588</v>
      </c>
      <c r="U5" s="192" t="s">
        <v>589</v>
      </c>
      <c r="V5" s="192" t="s">
        <v>588</v>
      </c>
      <c r="W5" s="192" t="s">
        <v>589</v>
      </c>
      <c r="X5" s="192" t="s">
        <v>588</v>
      </c>
      <c r="Y5" s="192" t="s">
        <v>589</v>
      </c>
      <c r="Z5" s="192" t="s">
        <v>588</v>
      </c>
      <c r="AA5" s="192" t="s">
        <v>589</v>
      </c>
      <c r="AB5" s="192" t="s">
        <v>588</v>
      </c>
      <c r="AC5" s="192" t="s">
        <v>589</v>
      </c>
      <c r="AD5" s="192" t="s">
        <v>588</v>
      </c>
      <c r="AE5" s="192" t="s">
        <v>589</v>
      </c>
      <c r="AF5" s="192" t="s">
        <v>588</v>
      </c>
      <c r="AG5" s="192" t="s">
        <v>589</v>
      </c>
      <c r="AH5" s="192" t="s">
        <v>588</v>
      </c>
      <c r="AI5" s="192" t="s">
        <v>589</v>
      </c>
      <c r="AJ5" s="192" t="s">
        <v>588</v>
      </c>
      <c r="AK5" s="192" t="s">
        <v>589</v>
      </c>
      <c r="AL5" s="192" t="s">
        <v>588</v>
      </c>
      <c r="AM5" s="192" t="s">
        <v>589</v>
      </c>
      <c r="AN5" s="192" t="s">
        <v>588</v>
      </c>
      <c r="AO5" s="192" t="s">
        <v>589</v>
      </c>
      <c r="AP5" s="192" t="s">
        <v>588</v>
      </c>
      <c r="AQ5" s="192" t="s">
        <v>589</v>
      </c>
      <c r="AR5" s="192" t="s">
        <v>588</v>
      </c>
      <c r="AS5" s="192" t="s">
        <v>589</v>
      </c>
      <c r="AT5" s="192" t="s">
        <v>588</v>
      </c>
      <c r="AU5" s="192" t="s">
        <v>589</v>
      </c>
      <c r="AV5" s="192" t="s">
        <v>588</v>
      </c>
      <c r="AW5" s="192" t="s">
        <v>589</v>
      </c>
      <c r="AX5" s="192" t="s">
        <v>588</v>
      </c>
      <c r="AY5" s="192" t="s">
        <v>589</v>
      </c>
      <c r="AZ5" s="192" t="s">
        <v>588</v>
      </c>
      <c r="BA5" s="192" t="s">
        <v>589</v>
      </c>
      <c r="BB5" s="193"/>
    </row>
    <row r="6" spans="2:54" s="191" customFormat="1" ht="94.15" customHeight="1" x14ac:dyDescent="0.25">
      <c r="B6" s="171" t="s">
        <v>14</v>
      </c>
      <c r="C6" s="172" t="s">
        <v>41</v>
      </c>
      <c r="D6" s="194" t="s">
        <v>590</v>
      </c>
      <c r="E6" s="194" t="s">
        <v>591</v>
      </c>
      <c r="F6" s="172" t="s">
        <v>592</v>
      </c>
      <c r="G6" s="194" t="s">
        <v>590</v>
      </c>
      <c r="H6" s="194" t="s">
        <v>591</v>
      </c>
      <c r="I6" s="172" t="s">
        <v>592</v>
      </c>
      <c r="J6" s="473" t="s">
        <v>593</v>
      </c>
      <c r="K6" s="473"/>
      <c r="L6" s="473" t="s">
        <v>594</v>
      </c>
      <c r="M6" s="473"/>
      <c r="N6" s="473" t="s">
        <v>595</v>
      </c>
      <c r="O6" s="473"/>
      <c r="P6" s="473" t="s">
        <v>596</v>
      </c>
      <c r="Q6" s="473"/>
      <c r="R6" s="473" t="s">
        <v>597</v>
      </c>
      <c r="S6" s="473"/>
      <c r="T6" s="473" t="s">
        <v>598</v>
      </c>
      <c r="U6" s="473"/>
      <c r="V6" s="473" t="s">
        <v>599</v>
      </c>
      <c r="W6" s="473"/>
      <c r="X6" s="473" t="s">
        <v>600</v>
      </c>
      <c r="Y6" s="473"/>
      <c r="Z6" s="473" t="s">
        <v>601</v>
      </c>
      <c r="AA6" s="473"/>
      <c r="AB6" s="473" t="s">
        <v>602</v>
      </c>
      <c r="AC6" s="473"/>
      <c r="AD6" s="473" t="s">
        <v>603</v>
      </c>
      <c r="AE6" s="473"/>
      <c r="AF6" s="473" t="s">
        <v>604</v>
      </c>
      <c r="AG6" s="473"/>
      <c r="AH6" s="473" t="s">
        <v>605</v>
      </c>
      <c r="AI6" s="473"/>
      <c r="AJ6" s="473" t="s">
        <v>606</v>
      </c>
      <c r="AK6" s="473"/>
      <c r="AL6" s="473" t="s">
        <v>607</v>
      </c>
      <c r="AM6" s="473"/>
      <c r="AN6" s="473" t="s">
        <v>608</v>
      </c>
      <c r="AO6" s="473"/>
      <c r="AP6" s="473" t="s">
        <v>609</v>
      </c>
      <c r="AQ6" s="473"/>
      <c r="AR6" s="473" t="s">
        <v>610</v>
      </c>
      <c r="AS6" s="473"/>
      <c r="AT6" s="473" t="s">
        <v>611</v>
      </c>
      <c r="AU6" s="473"/>
      <c r="AV6" s="473" t="s">
        <v>612</v>
      </c>
      <c r="AW6" s="473"/>
      <c r="AX6" s="473" t="s">
        <v>613</v>
      </c>
      <c r="AY6" s="473"/>
      <c r="AZ6" s="473" t="s">
        <v>614</v>
      </c>
      <c r="BA6" s="473"/>
    </row>
    <row r="7" spans="2:54" x14ac:dyDescent="0.25">
      <c r="B7" s="195" t="s">
        <v>42</v>
      </c>
      <c r="C7" s="196" t="s">
        <v>43</v>
      </c>
      <c r="D7" s="197">
        <f>+J7+L7+N7+P7+R7+T7+V7+X7+Z7+AB7+AD7+AF7+AH7+AJ7</f>
        <v>0</v>
      </c>
      <c r="E7" s="198">
        <f>+AL7+AN7+AP7+AR7+AV7+AX7+AZ7+AT7</f>
        <v>386124000</v>
      </c>
      <c r="F7" s="199">
        <f>+D7+E7</f>
        <v>386124000</v>
      </c>
      <c r="G7" s="197">
        <f>+K7+M7+O7+Q7+S7+U7+W7+Y7+AA7+AC7+AE7+AG7+AI7+AK7</f>
        <v>0</v>
      </c>
      <c r="H7" s="198">
        <f>+BA7+AY7+AW7+AU7+AS7+AQ7+AO7+AM7</f>
        <v>0</v>
      </c>
      <c r="I7" s="199">
        <f>+G7+H7</f>
        <v>0</v>
      </c>
      <c r="J7" s="197"/>
      <c r="K7" s="197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197">
        <v>386124000</v>
      </c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</row>
    <row r="8" spans="2:54" x14ac:dyDescent="0.25">
      <c r="B8" s="201" t="s">
        <v>44</v>
      </c>
      <c r="C8" s="196" t="s">
        <v>45</v>
      </c>
      <c r="D8" s="197">
        <f>+J8+L8+N8+P8+R8+T8+V8+X8+Z8+AB8+AD8+AF8+AH8+AJ8</f>
        <v>27123000</v>
      </c>
      <c r="E8" s="198">
        <f>+AL8+AN8+AP8+AR8+AV8+AX8+AZ8+AT8</f>
        <v>20025000</v>
      </c>
      <c r="F8" s="199">
        <f>+D8+E8</f>
        <v>47148000</v>
      </c>
      <c r="G8" s="197">
        <f>+K8+M8+O8+Q8+S8+U8+W8+Y8+AA8+AC8+AE8+AG8+AI8+AK8</f>
        <v>0</v>
      </c>
      <c r="H8" s="198">
        <f>+BA8+AY8+AW8+AU8+AS8+AQ8+AO8+AM8</f>
        <v>0</v>
      </c>
      <c r="I8" s="199">
        <f>+G8+H8</f>
        <v>0</v>
      </c>
      <c r="J8" s="197">
        <f>23923000+3006000+194000</f>
        <v>27123000</v>
      </c>
      <c r="K8" s="197">
        <v>0</v>
      </c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197">
        <v>20025000</v>
      </c>
      <c r="AQ8" s="200">
        <v>0</v>
      </c>
      <c r="AR8" s="200"/>
      <c r="AS8" s="200"/>
      <c r="AT8" s="200"/>
      <c r="AU8" s="200"/>
      <c r="AV8" s="200"/>
      <c r="AW8" s="200"/>
      <c r="AX8" s="200"/>
      <c r="AY8" s="200"/>
      <c r="AZ8" s="200"/>
      <c r="BA8" s="200"/>
    </row>
    <row r="9" spans="2:54" s="202" customFormat="1" ht="12.75" x14ac:dyDescent="0.2">
      <c r="B9" s="203" t="s">
        <v>46</v>
      </c>
      <c r="C9" s="204" t="s">
        <v>47</v>
      </c>
      <c r="D9" s="205">
        <f t="shared" ref="D9:I9" si="0">SUM(D7:D8)</f>
        <v>27123000</v>
      </c>
      <c r="E9" s="205">
        <f t="shared" si="0"/>
        <v>406149000</v>
      </c>
      <c r="F9" s="205">
        <f t="shared" si="0"/>
        <v>433272000</v>
      </c>
      <c r="G9" s="205">
        <f t="shared" si="0"/>
        <v>0</v>
      </c>
      <c r="H9" s="205">
        <f t="shared" si="0"/>
        <v>0</v>
      </c>
      <c r="I9" s="205">
        <f t="shared" si="0"/>
        <v>0</v>
      </c>
      <c r="J9" s="205">
        <f t="shared" ref="J9:AZ9" si="1">SUM(J7:J8)</f>
        <v>27123000</v>
      </c>
      <c r="K9" s="205">
        <f t="shared" si="1"/>
        <v>0</v>
      </c>
      <c r="L9" s="205">
        <f t="shared" si="1"/>
        <v>0</v>
      </c>
      <c r="M9" s="205">
        <f t="shared" si="1"/>
        <v>0</v>
      </c>
      <c r="N9" s="205">
        <f t="shared" si="1"/>
        <v>0</v>
      </c>
      <c r="O9" s="205">
        <f t="shared" si="1"/>
        <v>0</v>
      </c>
      <c r="P9" s="205">
        <f t="shared" si="1"/>
        <v>0</v>
      </c>
      <c r="Q9" s="205">
        <f t="shared" si="1"/>
        <v>0</v>
      </c>
      <c r="R9" s="205">
        <f t="shared" si="1"/>
        <v>0</v>
      </c>
      <c r="S9" s="205">
        <f t="shared" si="1"/>
        <v>0</v>
      </c>
      <c r="T9" s="205">
        <f t="shared" si="1"/>
        <v>0</v>
      </c>
      <c r="U9" s="205">
        <f t="shared" si="1"/>
        <v>0</v>
      </c>
      <c r="V9" s="205">
        <f t="shared" si="1"/>
        <v>0</v>
      </c>
      <c r="W9" s="205">
        <f t="shared" si="1"/>
        <v>0</v>
      </c>
      <c r="X9" s="205">
        <f t="shared" si="1"/>
        <v>0</v>
      </c>
      <c r="Y9" s="205">
        <f t="shared" si="1"/>
        <v>0</v>
      </c>
      <c r="Z9" s="205">
        <f t="shared" si="1"/>
        <v>0</v>
      </c>
      <c r="AA9" s="205">
        <f t="shared" si="1"/>
        <v>0</v>
      </c>
      <c r="AB9" s="205">
        <f t="shared" si="1"/>
        <v>0</v>
      </c>
      <c r="AC9" s="205">
        <f t="shared" si="1"/>
        <v>0</v>
      </c>
      <c r="AD9" s="205">
        <f t="shared" si="1"/>
        <v>0</v>
      </c>
      <c r="AE9" s="205">
        <f t="shared" si="1"/>
        <v>0</v>
      </c>
      <c r="AF9" s="205">
        <f t="shared" si="1"/>
        <v>0</v>
      </c>
      <c r="AG9" s="205">
        <f t="shared" si="1"/>
        <v>0</v>
      </c>
      <c r="AH9" s="205">
        <f t="shared" si="1"/>
        <v>0</v>
      </c>
      <c r="AI9" s="205">
        <f t="shared" si="1"/>
        <v>0</v>
      </c>
      <c r="AJ9" s="205">
        <f t="shared" si="1"/>
        <v>0</v>
      </c>
      <c r="AK9" s="205">
        <f t="shared" si="1"/>
        <v>0</v>
      </c>
      <c r="AL9" s="205">
        <f t="shared" si="1"/>
        <v>0</v>
      </c>
      <c r="AM9" s="205">
        <f t="shared" si="1"/>
        <v>0</v>
      </c>
      <c r="AN9" s="205">
        <f t="shared" si="1"/>
        <v>0</v>
      </c>
      <c r="AO9" s="205">
        <f t="shared" si="1"/>
        <v>0</v>
      </c>
      <c r="AP9" s="205">
        <f t="shared" si="1"/>
        <v>406149000</v>
      </c>
      <c r="AQ9" s="205">
        <f t="shared" si="1"/>
        <v>0</v>
      </c>
      <c r="AR9" s="205">
        <f t="shared" si="1"/>
        <v>0</v>
      </c>
      <c r="AS9" s="205">
        <f t="shared" si="1"/>
        <v>0</v>
      </c>
      <c r="AT9" s="205">
        <f t="shared" si="1"/>
        <v>0</v>
      </c>
      <c r="AU9" s="205">
        <f t="shared" si="1"/>
        <v>0</v>
      </c>
      <c r="AV9" s="205">
        <f t="shared" si="1"/>
        <v>0</v>
      </c>
      <c r="AW9" s="205">
        <f t="shared" si="1"/>
        <v>0</v>
      </c>
      <c r="AX9" s="205">
        <f t="shared" si="1"/>
        <v>0</v>
      </c>
      <c r="AY9" s="205">
        <f t="shared" si="1"/>
        <v>0</v>
      </c>
      <c r="AZ9" s="205">
        <f t="shared" si="1"/>
        <v>0</v>
      </c>
      <c r="BA9" s="205">
        <f t="shared" ref="BA9" si="2">SUM(BA7:BA8)</f>
        <v>0</v>
      </c>
    </row>
    <row r="10" spans="2:54" s="202" customFormat="1" ht="12.75" x14ac:dyDescent="0.2">
      <c r="B10" s="206" t="s">
        <v>615</v>
      </c>
      <c r="C10" s="204" t="s">
        <v>49</v>
      </c>
      <c r="D10" s="207">
        <f t="shared" ref="D10:D15" si="3">+J10+L10+N10+P10+R10+T10+V10+X10+Z10+AB10+AD10+AF10+AH10+AJ10</f>
        <v>5317000</v>
      </c>
      <c r="E10" s="208">
        <f t="shared" ref="E10:E15" si="4">+AL10+AN10+AP10+AR10+AV10+AX10+AZ10+AT10</f>
        <v>87760000</v>
      </c>
      <c r="F10" s="205">
        <f t="shared" ref="F10:F15" si="5">+D10+E10</f>
        <v>93077000</v>
      </c>
      <c r="G10" s="209">
        <f t="shared" ref="G10:G15" si="6">+K10+M10+O10+Q10+S10+U10+W10+Y10+AA10+AC10+AE10+AG10+AI10+AK10</f>
        <v>0</v>
      </c>
      <c r="H10" s="210">
        <f t="shared" ref="H10:H15" si="7">+BA10+AY10+AW10+AU10+AS10+AQ10+AO10+AM10</f>
        <v>0</v>
      </c>
      <c r="I10" s="205">
        <f t="shared" ref="I10:I15" si="8">+G10+H10</f>
        <v>0</v>
      </c>
      <c r="J10" s="207">
        <f>5251000+66000</f>
        <v>5317000</v>
      </c>
      <c r="K10" s="207">
        <v>0</v>
      </c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>
        <v>87760000</v>
      </c>
      <c r="AQ10" s="207">
        <v>0</v>
      </c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</row>
    <row r="11" spans="2:54" x14ac:dyDescent="0.25">
      <c r="B11" s="201" t="s">
        <v>50</v>
      </c>
      <c r="C11" s="196" t="s">
        <v>51</v>
      </c>
      <c r="D11" s="197">
        <f t="shared" si="3"/>
        <v>600000</v>
      </c>
      <c r="E11" s="198">
        <f t="shared" si="4"/>
        <v>0</v>
      </c>
      <c r="F11" s="199">
        <f t="shared" si="5"/>
        <v>600000</v>
      </c>
      <c r="G11" s="197">
        <f t="shared" si="6"/>
        <v>0</v>
      </c>
      <c r="H11" s="198">
        <f t="shared" si="7"/>
        <v>0</v>
      </c>
      <c r="I11" s="199">
        <f t="shared" si="8"/>
        <v>0</v>
      </c>
      <c r="J11" s="197">
        <v>600000</v>
      </c>
      <c r="K11" s="197">
        <v>0</v>
      </c>
      <c r="L11" s="197"/>
      <c r="M11" s="197">
        <v>0</v>
      </c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>
        <v>0</v>
      </c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</row>
    <row r="12" spans="2:54" x14ac:dyDescent="0.25">
      <c r="B12" s="201" t="s">
        <v>52</v>
      </c>
      <c r="C12" s="196" t="s">
        <v>53</v>
      </c>
      <c r="D12" s="197">
        <f t="shared" si="3"/>
        <v>0</v>
      </c>
      <c r="E12" s="198">
        <f t="shared" si="4"/>
        <v>0</v>
      </c>
      <c r="F12" s="199">
        <f t="shared" si="5"/>
        <v>0</v>
      </c>
      <c r="G12" s="197">
        <f t="shared" si="6"/>
        <v>0</v>
      </c>
      <c r="H12" s="198">
        <f t="shared" si="7"/>
        <v>0</v>
      </c>
      <c r="I12" s="199">
        <f t="shared" si="8"/>
        <v>0</v>
      </c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</row>
    <row r="13" spans="2:54" x14ac:dyDescent="0.25">
      <c r="B13" s="201" t="s">
        <v>54</v>
      </c>
      <c r="C13" s="196" t="s">
        <v>55</v>
      </c>
      <c r="D13" s="197">
        <f t="shared" si="3"/>
        <v>92823000</v>
      </c>
      <c r="E13" s="198">
        <f t="shared" si="4"/>
        <v>272306000</v>
      </c>
      <c r="F13" s="199">
        <f t="shared" si="5"/>
        <v>365129000</v>
      </c>
      <c r="G13" s="197">
        <f t="shared" si="6"/>
        <v>0</v>
      </c>
      <c r="H13" s="198">
        <f t="shared" si="7"/>
        <v>0</v>
      </c>
      <c r="I13" s="199">
        <f t="shared" si="8"/>
        <v>0</v>
      </c>
      <c r="J13" s="197">
        <f>500000+620000+7754000</f>
        <v>8874000</v>
      </c>
      <c r="K13" s="197">
        <v>0</v>
      </c>
      <c r="L13" s="197">
        <f>2300000+2000000+2000000+1000000+1000000</f>
        <v>8300000</v>
      </c>
      <c r="M13" s="197">
        <v>0</v>
      </c>
      <c r="N13" s="197">
        <v>5549000</v>
      </c>
      <c r="O13" s="197">
        <v>0</v>
      </c>
      <c r="P13" s="197"/>
      <c r="Q13" s="197"/>
      <c r="R13" s="197">
        <v>17200000</v>
      </c>
      <c r="S13" s="197">
        <v>0</v>
      </c>
      <c r="T13" s="197">
        <v>8550000</v>
      </c>
      <c r="U13" s="197">
        <v>0</v>
      </c>
      <c r="V13" s="197">
        <v>6400000</v>
      </c>
      <c r="W13" s="197">
        <v>0</v>
      </c>
      <c r="X13" s="197">
        <f>570000+5000000</f>
        <v>5570000</v>
      </c>
      <c r="Y13" s="197">
        <v>0</v>
      </c>
      <c r="Z13" s="197"/>
      <c r="AA13" s="197"/>
      <c r="AB13" s="197">
        <f>28000000+3070000</f>
        <v>31070000</v>
      </c>
      <c r="AC13" s="197">
        <v>0</v>
      </c>
      <c r="AD13" s="197">
        <f>350000+960000</f>
        <v>1310000</v>
      </c>
      <c r="AE13" s="197">
        <v>0</v>
      </c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>
        <v>270374000</v>
      </c>
      <c r="AQ13" s="197">
        <v>0</v>
      </c>
      <c r="AR13" s="197"/>
      <c r="AS13" s="197"/>
      <c r="AT13" s="197">
        <f>1200000+276000+72000+384000</f>
        <v>1932000</v>
      </c>
      <c r="AU13" s="197">
        <v>0</v>
      </c>
      <c r="AV13" s="197"/>
      <c r="AW13" s="197"/>
      <c r="AX13" s="197"/>
      <c r="AY13" s="197"/>
      <c r="AZ13" s="197"/>
      <c r="BA13" s="197"/>
    </row>
    <row r="14" spans="2:54" x14ac:dyDescent="0.25">
      <c r="B14" s="201" t="s">
        <v>56</v>
      </c>
      <c r="C14" s="196" t="s">
        <v>57</v>
      </c>
      <c r="D14" s="197">
        <f t="shared" si="3"/>
        <v>4020000</v>
      </c>
      <c r="E14" s="198">
        <f t="shared" si="4"/>
        <v>43945000</v>
      </c>
      <c r="F14" s="199">
        <f t="shared" si="5"/>
        <v>47965000</v>
      </c>
      <c r="G14" s="197">
        <f t="shared" si="6"/>
        <v>0</v>
      </c>
      <c r="H14" s="198">
        <f t="shared" si="7"/>
        <v>0</v>
      </c>
      <c r="I14" s="199">
        <f t="shared" si="8"/>
        <v>0</v>
      </c>
      <c r="J14" s="197">
        <v>3620000</v>
      </c>
      <c r="K14" s="197">
        <v>0</v>
      </c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>
        <v>400000</v>
      </c>
      <c r="AA14" s="197">
        <v>0</v>
      </c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>
        <v>43945000</v>
      </c>
      <c r="AQ14" s="197">
        <v>0</v>
      </c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</row>
    <row r="15" spans="2:54" x14ac:dyDescent="0.25">
      <c r="B15" s="201" t="s">
        <v>58</v>
      </c>
      <c r="C15" s="196" t="s">
        <v>59</v>
      </c>
      <c r="D15" s="197">
        <f t="shared" si="3"/>
        <v>74326000</v>
      </c>
      <c r="E15" s="198">
        <f t="shared" si="4"/>
        <v>85393000</v>
      </c>
      <c r="F15" s="199">
        <f t="shared" si="5"/>
        <v>159719000</v>
      </c>
      <c r="G15" s="197">
        <f t="shared" si="6"/>
        <v>0</v>
      </c>
      <c r="H15" s="198">
        <f t="shared" si="7"/>
        <v>0</v>
      </c>
      <c r="I15" s="199">
        <f t="shared" si="8"/>
        <v>0</v>
      </c>
      <c r="J15" s="197">
        <f>3535000+7500000+1700000+410000+2781000+10000000</f>
        <v>25926000</v>
      </c>
      <c r="K15" s="197">
        <v>0</v>
      </c>
      <c r="L15" s="197">
        <v>2300000</v>
      </c>
      <c r="M15" s="197">
        <v>0</v>
      </c>
      <c r="N15" s="197">
        <v>1498000</v>
      </c>
      <c r="O15" s="197">
        <v>0</v>
      </c>
      <c r="P15" s="197"/>
      <c r="Q15" s="197"/>
      <c r="R15" s="197">
        <v>4644000</v>
      </c>
      <c r="S15" s="197">
        <v>0</v>
      </c>
      <c r="T15" s="197">
        <v>2309000</v>
      </c>
      <c r="U15" s="197">
        <v>0</v>
      </c>
      <c r="V15" s="197">
        <v>1728000</v>
      </c>
      <c r="W15" s="197">
        <v>0</v>
      </c>
      <c r="X15" s="197">
        <v>1504000</v>
      </c>
      <c r="Y15" s="197">
        <v>0</v>
      </c>
      <c r="Z15" s="197">
        <f>18750000+5171000</f>
        <v>23921000</v>
      </c>
      <c r="AA15" s="197">
        <v>0</v>
      </c>
      <c r="AB15" s="197">
        <v>8389000</v>
      </c>
      <c r="AC15" s="197">
        <v>0</v>
      </c>
      <c r="AD15" s="197">
        <f>695000+282000</f>
        <v>977000</v>
      </c>
      <c r="AE15" s="197">
        <v>0</v>
      </c>
      <c r="AF15" s="197">
        <v>635000</v>
      </c>
      <c r="AG15" s="197">
        <v>0</v>
      </c>
      <c r="AH15" s="197">
        <v>495000</v>
      </c>
      <c r="AI15" s="197">
        <v>0</v>
      </c>
      <c r="AJ15" s="197"/>
      <c r="AK15" s="197"/>
      <c r="AL15" s="197"/>
      <c r="AM15" s="197"/>
      <c r="AN15" s="197"/>
      <c r="AO15" s="197"/>
      <c r="AP15" s="197">
        <v>84871000</v>
      </c>
      <c r="AQ15" s="197">
        <v>0</v>
      </c>
      <c r="AR15" s="197"/>
      <c r="AS15" s="197"/>
      <c r="AT15" s="197">
        <v>522000</v>
      </c>
      <c r="AU15" s="197">
        <v>0</v>
      </c>
      <c r="AV15" s="197"/>
      <c r="AW15" s="197"/>
      <c r="AX15" s="197"/>
      <c r="AY15" s="197"/>
      <c r="AZ15" s="197"/>
      <c r="BA15" s="197"/>
    </row>
    <row r="16" spans="2:54" s="202" customFormat="1" ht="12.75" x14ac:dyDescent="0.2">
      <c r="B16" s="206" t="s">
        <v>60</v>
      </c>
      <c r="C16" s="204" t="s">
        <v>61</v>
      </c>
      <c r="D16" s="205">
        <f t="shared" ref="D16:I16" si="9">SUM(D11:D15)</f>
        <v>171769000</v>
      </c>
      <c r="E16" s="205">
        <f t="shared" si="9"/>
        <v>401644000</v>
      </c>
      <c r="F16" s="205">
        <f t="shared" si="9"/>
        <v>573413000</v>
      </c>
      <c r="G16" s="205">
        <f t="shared" si="9"/>
        <v>0</v>
      </c>
      <c r="H16" s="205">
        <f t="shared" si="9"/>
        <v>0</v>
      </c>
      <c r="I16" s="205">
        <f t="shared" si="9"/>
        <v>0</v>
      </c>
      <c r="J16" s="205">
        <f t="shared" ref="J16:AZ16" si="10">SUM(J11:J15)</f>
        <v>39020000</v>
      </c>
      <c r="K16" s="205">
        <f t="shared" si="10"/>
        <v>0</v>
      </c>
      <c r="L16" s="205">
        <f t="shared" si="10"/>
        <v>10600000</v>
      </c>
      <c r="M16" s="205">
        <f t="shared" si="10"/>
        <v>0</v>
      </c>
      <c r="N16" s="205">
        <f t="shared" si="10"/>
        <v>7047000</v>
      </c>
      <c r="O16" s="205">
        <f t="shared" si="10"/>
        <v>0</v>
      </c>
      <c r="P16" s="205">
        <f t="shared" si="10"/>
        <v>0</v>
      </c>
      <c r="Q16" s="205">
        <f t="shared" si="10"/>
        <v>0</v>
      </c>
      <c r="R16" s="205">
        <f t="shared" si="10"/>
        <v>21844000</v>
      </c>
      <c r="S16" s="205">
        <f t="shared" si="10"/>
        <v>0</v>
      </c>
      <c r="T16" s="205">
        <f t="shared" si="10"/>
        <v>10859000</v>
      </c>
      <c r="U16" s="205">
        <f t="shared" si="10"/>
        <v>0</v>
      </c>
      <c r="V16" s="205">
        <f t="shared" si="10"/>
        <v>8128000</v>
      </c>
      <c r="W16" s="205">
        <f t="shared" si="10"/>
        <v>0</v>
      </c>
      <c r="X16" s="205">
        <f t="shared" si="10"/>
        <v>7074000</v>
      </c>
      <c r="Y16" s="205">
        <f t="shared" si="10"/>
        <v>0</v>
      </c>
      <c r="Z16" s="205">
        <f t="shared" si="10"/>
        <v>24321000</v>
      </c>
      <c r="AA16" s="205">
        <f t="shared" si="10"/>
        <v>0</v>
      </c>
      <c r="AB16" s="205">
        <f t="shared" si="10"/>
        <v>39459000</v>
      </c>
      <c r="AC16" s="205">
        <f t="shared" si="10"/>
        <v>0</v>
      </c>
      <c r="AD16" s="205">
        <f t="shared" si="10"/>
        <v>2287000</v>
      </c>
      <c r="AE16" s="205">
        <f t="shared" si="10"/>
        <v>0</v>
      </c>
      <c r="AF16" s="205">
        <f t="shared" si="10"/>
        <v>635000</v>
      </c>
      <c r="AG16" s="205">
        <f t="shared" si="10"/>
        <v>0</v>
      </c>
      <c r="AH16" s="205">
        <f t="shared" si="10"/>
        <v>495000</v>
      </c>
      <c r="AI16" s="205">
        <f t="shared" si="10"/>
        <v>0</v>
      </c>
      <c r="AJ16" s="205">
        <f t="shared" si="10"/>
        <v>0</v>
      </c>
      <c r="AK16" s="205">
        <f t="shared" si="10"/>
        <v>0</v>
      </c>
      <c r="AL16" s="205">
        <f t="shared" si="10"/>
        <v>0</v>
      </c>
      <c r="AM16" s="205">
        <f t="shared" si="10"/>
        <v>0</v>
      </c>
      <c r="AN16" s="205">
        <f t="shared" si="10"/>
        <v>0</v>
      </c>
      <c r="AO16" s="205">
        <f t="shared" si="10"/>
        <v>0</v>
      </c>
      <c r="AP16" s="205">
        <f t="shared" si="10"/>
        <v>399190000</v>
      </c>
      <c r="AQ16" s="205">
        <f t="shared" si="10"/>
        <v>0</v>
      </c>
      <c r="AR16" s="205">
        <f t="shared" si="10"/>
        <v>0</v>
      </c>
      <c r="AS16" s="205">
        <f t="shared" si="10"/>
        <v>0</v>
      </c>
      <c r="AT16" s="205">
        <f t="shared" si="10"/>
        <v>2454000</v>
      </c>
      <c r="AU16" s="205">
        <f t="shared" si="10"/>
        <v>0</v>
      </c>
      <c r="AV16" s="205">
        <f t="shared" si="10"/>
        <v>0</v>
      </c>
      <c r="AW16" s="205">
        <f t="shared" si="10"/>
        <v>0</v>
      </c>
      <c r="AX16" s="205">
        <f t="shared" si="10"/>
        <v>0</v>
      </c>
      <c r="AY16" s="205">
        <f t="shared" si="10"/>
        <v>0</v>
      </c>
      <c r="AZ16" s="205">
        <f t="shared" si="10"/>
        <v>0</v>
      </c>
      <c r="BA16" s="205">
        <f t="shared" ref="BA16" si="11">SUM(BA11:BA15)</f>
        <v>0</v>
      </c>
    </row>
    <row r="17" spans="2:53" s="202" customFormat="1" ht="12.75" x14ac:dyDescent="0.2">
      <c r="B17" s="211" t="s">
        <v>62</v>
      </c>
      <c r="C17" s="204" t="s">
        <v>63</v>
      </c>
      <c r="D17" s="207">
        <f t="shared" ref="D17:D31" si="12">+J17+L17+N17+P17+R17+T17+V17+X17+Z17+AB17+AD17+AF17+AH17+AJ17</f>
        <v>0</v>
      </c>
      <c r="E17" s="208">
        <f t="shared" ref="E17:E31" si="13">+AL17+AN17+AP17+AR17+AV17+AX17+AZ17+AT17</f>
        <v>0</v>
      </c>
      <c r="F17" s="205">
        <f t="shared" ref="F17:F31" si="14">+D17+E17</f>
        <v>0</v>
      </c>
      <c r="G17" s="209">
        <f t="shared" ref="G17:G31" si="15">+K17+M17+O17+Q17+S17+U17+W17+Y17+AA17+AC17+AE17+AG17+AI17+AK17</f>
        <v>0</v>
      </c>
      <c r="H17" s="210">
        <f t="shared" ref="H17:H31" si="16">+BA17+AY17+AW17+AU17+AS17+AQ17+AO17+AM17</f>
        <v>0</v>
      </c>
      <c r="I17" s="205">
        <f t="shared" ref="I17:I31" si="17">+G17+H17</f>
        <v>0</v>
      </c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</row>
    <row r="18" spans="2:53" hidden="1" x14ac:dyDescent="0.25">
      <c r="B18" s="212" t="s">
        <v>64</v>
      </c>
      <c r="C18" s="196" t="s">
        <v>65</v>
      </c>
      <c r="D18" s="197">
        <f t="shared" si="12"/>
        <v>0</v>
      </c>
      <c r="E18" s="198">
        <f t="shared" si="13"/>
        <v>0</v>
      </c>
      <c r="F18" s="199">
        <f t="shared" si="14"/>
        <v>0</v>
      </c>
      <c r="G18" s="197">
        <f t="shared" si="15"/>
        <v>0</v>
      </c>
      <c r="H18" s="198">
        <f t="shared" si="16"/>
        <v>0</v>
      </c>
      <c r="I18" s="199">
        <f t="shared" si="17"/>
        <v>0</v>
      </c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</row>
    <row r="19" spans="2:53" x14ac:dyDescent="0.25">
      <c r="B19" s="212" t="s">
        <v>66</v>
      </c>
      <c r="C19" s="196" t="s">
        <v>67</v>
      </c>
      <c r="D19" s="197">
        <f t="shared" si="12"/>
        <v>2200000</v>
      </c>
      <c r="E19" s="198">
        <f t="shared" si="13"/>
        <v>0</v>
      </c>
      <c r="F19" s="199">
        <f t="shared" si="14"/>
        <v>2200000</v>
      </c>
      <c r="G19" s="197">
        <f t="shared" si="15"/>
        <v>0</v>
      </c>
      <c r="H19" s="198">
        <f t="shared" si="16"/>
        <v>0</v>
      </c>
      <c r="I19" s="199">
        <f t="shared" si="17"/>
        <v>0</v>
      </c>
      <c r="J19" s="197">
        <f>2000000+200000</f>
        <v>2200000</v>
      </c>
      <c r="K19" s="197">
        <v>0</v>
      </c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</row>
    <row r="20" spans="2:53" hidden="1" x14ac:dyDescent="0.25">
      <c r="B20" s="212" t="s">
        <v>616</v>
      </c>
      <c r="C20" s="196" t="s">
        <v>69</v>
      </c>
      <c r="D20" s="197">
        <f t="shared" si="12"/>
        <v>0</v>
      </c>
      <c r="E20" s="198">
        <f t="shared" si="13"/>
        <v>0</v>
      </c>
      <c r="F20" s="199">
        <f t="shared" si="14"/>
        <v>0</v>
      </c>
      <c r="G20" s="197">
        <f t="shared" si="15"/>
        <v>0</v>
      </c>
      <c r="H20" s="198">
        <f t="shared" si="16"/>
        <v>0</v>
      </c>
      <c r="I20" s="199">
        <f t="shared" si="17"/>
        <v>0</v>
      </c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</row>
    <row r="21" spans="2:53" hidden="1" x14ac:dyDescent="0.25">
      <c r="B21" s="212" t="s">
        <v>617</v>
      </c>
      <c r="C21" s="196" t="s">
        <v>71</v>
      </c>
      <c r="D21" s="197">
        <f t="shared" si="12"/>
        <v>0</v>
      </c>
      <c r="E21" s="198">
        <f t="shared" si="13"/>
        <v>0</v>
      </c>
      <c r="F21" s="199">
        <f t="shared" si="14"/>
        <v>0</v>
      </c>
      <c r="G21" s="197">
        <f t="shared" si="15"/>
        <v>0</v>
      </c>
      <c r="H21" s="198">
        <f t="shared" si="16"/>
        <v>0</v>
      </c>
      <c r="I21" s="199">
        <f t="shared" si="17"/>
        <v>0</v>
      </c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</row>
    <row r="22" spans="2:53" hidden="1" x14ac:dyDescent="0.25">
      <c r="B22" s="212" t="s">
        <v>618</v>
      </c>
      <c r="C22" s="196" t="s">
        <v>73</v>
      </c>
      <c r="D22" s="197">
        <f t="shared" si="12"/>
        <v>0</v>
      </c>
      <c r="E22" s="198">
        <f t="shared" si="13"/>
        <v>0</v>
      </c>
      <c r="F22" s="199">
        <f t="shared" si="14"/>
        <v>0</v>
      </c>
      <c r="G22" s="197">
        <f t="shared" si="15"/>
        <v>0</v>
      </c>
      <c r="H22" s="198">
        <f t="shared" si="16"/>
        <v>0</v>
      </c>
      <c r="I22" s="199">
        <f t="shared" si="17"/>
        <v>0</v>
      </c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</row>
    <row r="23" spans="2:53" x14ac:dyDescent="0.25">
      <c r="B23" s="212" t="s">
        <v>74</v>
      </c>
      <c r="C23" s="196" t="s">
        <v>75</v>
      </c>
      <c r="D23" s="197">
        <f t="shared" si="12"/>
        <v>7740600</v>
      </c>
      <c r="E23" s="198">
        <f t="shared" si="13"/>
        <v>2000000</v>
      </c>
      <c r="F23" s="199">
        <f t="shared" si="14"/>
        <v>9740600</v>
      </c>
      <c r="G23" s="197">
        <f t="shared" si="15"/>
        <v>0</v>
      </c>
      <c r="H23" s="198">
        <f t="shared" si="16"/>
        <v>0</v>
      </c>
      <c r="I23" s="199">
        <f t="shared" si="17"/>
        <v>0</v>
      </c>
      <c r="J23" s="197">
        <v>0</v>
      </c>
      <c r="K23" s="197">
        <v>0</v>
      </c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>
        <v>7740600</v>
      </c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>
        <v>2000000</v>
      </c>
      <c r="AW23" s="197">
        <v>0</v>
      </c>
      <c r="AX23" s="197"/>
      <c r="AY23" s="197"/>
      <c r="AZ23" s="197"/>
      <c r="BA23" s="197"/>
    </row>
    <row r="24" spans="2:53" hidden="1" x14ac:dyDescent="0.25">
      <c r="B24" s="212" t="s">
        <v>619</v>
      </c>
      <c r="C24" s="196" t="s">
        <v>77</v>
      </c>
      <c r="D24" s="197">
        <f t="shared" si="12"/>
        <v>0</v>
      </c>
      <c r="E24" s="198">
        <f t="shared" si="13"/>
        <v>0</v>
      </c>
      <c r="F24" s="199">
        <f t="shared" si="14"/>
        <v>0</v>
      </c>
      <c r="G24" s="197">
        <f t="shared" si="15"/>
        <v>0</v>
      </c>
      <c r="H24" s="198">
        <f t="shared" si="16"/>
        <v>0</v>
      </c>
      <c r="I24" s="199">
        <f t="shared" si="17"/>
        <v>0</v>
      </c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</row>
    <row r="25" spans="2:53" hidden="1" x14ac:dyDescent="0.25">
      <c r="B25" s="212" t="s">
        <v>620</v>
      </c>
      <c r="C25" s="196" t="s">
        <v>79</v>
      </c>
      <c r="D25" s="197">
        <f t="shared" si="12"/>
        <v>0</v>
      </c>
      <c r="E25" s="198">
        <f t="shared" si="13"/>
        <v>0</v>
      </c>
      <c r="F25" s="199">
        <f t="shared" si="14"/>
        <v>0</v>
      </c>
      <c r="G25" s="197">
        <f t="shared" si="15"/>
        <v>0</v>
      </c>
      <c r="H25" s="198">
        <f t="shared" si="16"/>
        <v>0</v>
      </c>
      <c r="I25" s="199">
        <f t="shared" si="17"/>
        <v>0</v>
      </c>
      <c r="J25" s="197"/>
      <c r="K25" s="197">
        <v>0</v>
      </c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</row>
    <row r="26" spans="2:53" hidden="1" x14ac:dyDescent="0.25">
      <c r="B26" s="212" t="s">
        <v>80</v>
      </c>
      <c r="C26" s="196" t="s">
        <v>81</v>
      </c>
      <c r="D26" s="197">
        <f t="shared" si="12"/>
        <v>0</v>
      </c>
      <c r="E26" s="198">
        <f t="shared" si="13"/>
        <v>0</v>
      </c>
      <c r="F26" s="199">
        <f t="shared" si="14"/>
        <v>0</v>
      </c>
      <c r="G26" s="197">
        <f t="shared" si="15"/>
        <v>0</v>
      </c>
      <c r="H26" s="198">
        <f t="shared" si="16"/>
        <v>0</v>
      </c>
      <c r="I26" s="199">
        <f t="shared" si="17"/>
        <v>0</v>
      </c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</row>
    <row r="27" spans="2:53" hidden="1" x14ac:dyDescent="0.25">
      <c r="B27" s="213" t="s">
        <v>82</v>
      </c>
      <c r="C27" s="196" t="s">
        <v>83</v>
      </c>
      <c r="D27" s="197">
        <f t="shared" si="12"/>
        <v>0</v>
      </c>
      <c r="E27" s="198">
        <f t="shared" si="13"/>
        <v>0</v>
      </c>
      <c r="F27" s="199">
        <f t="shared" si="14"/>
        <v>0</v>
      </c>
      <c r="G27" s="197">
        <f t="shared" si="15"/>
        <v>0</v>
      </c>
      <c r="H27" s="198">
        <f t="shared" si="16"/>
        <v>0</v>
      </c>
      <c r="I27" s="199">
        <f t="shared" si="17"/>
        <v>0</v>
      </c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</row>
    <row r="28" spans="2:53" hidden="1" x14ac:dyDescent="0.25">
      <c r="B28" s="212" t="s">
        <v>84</v>
      </c>
      <c r="C28" s="196" t="s">
        <v>85</v>
      </c>
      <c r="D28" s="197">
        <f t="shared" si="12"/>
        <v>0</v>
      </c>
      <c r="E28" s="198">
        <f t="shared" si="13"/>
        <v>0</v>
      </c>
      <c r="F28" s="199">
        <f t="shared" si="14"/>
        <v>0</v>
      </c>
      <c r="G28" s="197">
        <f t="shared" si="15"/>
        <v>0</v>
      </c>
      <c r="H28" s="198">
        <f t="shared" si="16"/>
        <v>0</v>
      </c>
      <c r="I28" s="199">
        <f t="shared" si="17"/>
        <v>0</v>
      </c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</row>
    <row r="29" spans="2:53" x14ac:dyDescent="0.25">
      <c r="B29" s="212" t="s">
        <v>86</v>
      </c>
      <c r="C29" s="196" t="s">
        <v>87</v>
      </c>
      <c r="D29" s="197">
        <f t="shared" si="12"/>
        <v>14930000</v>
      </c>
      <c r="E29" s="198">
        <f t="shared" si="13"/>
        <v>35950000</v>
      </c>
      <c r="F29" s="199">
        <f t="shared" si="14"/>
        <v>50880000</v>
      </c>
      <c r="G29" s="197">
        <f t="shared" si="15"/>
        <v>0</v>
      </c>
      <c r="H29" s="198">
        <f t="shared" si="16"/>
        <v>0</v>
      </c>
      <c r="I29" s="199">
        <f t="shared" si="17"/>
        <v>0</v>
      </c>
      <c r="J29" s="197">
        <v>12780000</v>
      </c>
      <c r="K29" s="197">
        <v>0</v>
      </c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>
        <f>2000000+150000</f>
        <v>2150000</v>
      </c>
      <c r="AK29" s="197">
        <v>0</v>
      </c>
      <c r="AL29" s="197">
        <v>12000000</v>
      </c>
      <c r="AM29" s="197">
        <v>0</v>
      </c>
      <c r="AN29" s="197">
        <v>0</v>
      </c>
      <c r="AO29" s="197">
        <v>0</v>
      </c>
      <c r="AP29" s="197"/>
      <c r="AQ29" s="197"/>
      <c r="AR29" s="197">
        <v>19200000</v>
      </c>
      <c r="AS29" s="197">
        <v>0</v>
      </c>
      <c r="AT29" s="197"/>
      <c r="AU29" s="197"/>
      <c r="AV29" s="197"/>
      <c r="AW29" s="197"/>
      <c r="AX29" s="197">
        <f>1500000+1000000+1800000</f>
        <v>4300000</v>
      </c>
      <c r="AY29" s="197">
        <v>0</v>
      </c>
      <c r="AZ29" s="197">
        <v>450000</v>
      </c>
      <c r="BA29" s="197">
        <v>0</v>
      </c>
    </row>
    <row r="30" spans="2:53" hidden="1" x14ac:dyDescent="0.25">
      <c r="B30" s="213" t="s">
        <v>88</v>
      </c>
      <c r="C30" s="196" t="s">
        <v>89</v>
      </c>
      <c r="D30" s="197">
        <f t="shared" si="12"/>
        <v>0</v>
      </c>
      <c r="E30" s="198">
        <f t="shared" si="13"/>
        <v>0</v>
      </c>
      <c r="F30" s="199">
        <f t="shared" si="14"/>
        <v>0</v>
      </c>
      <c r="G30" s="197">
        <f t="shared" si="15"/>
        <v>0</v>
      </c>
      <c r="H30" s="198">
        <f t="shared" si="16"/>
        <v>0</v>
      </c>
      <c r="I30" s="199">
        <f t="shared" si="17"/>
        <v>0</v>
      </c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</row>
    <row r="31" spans="2:53" hidden="1" x14ac:dyDescent="0.25">
      <c r="B31" s="213" t="s">
        <v>90</v>
      </c>
      <c r="C31" s="196" t="s">
        <v>89</v>
      </c>
      <c r="D31" s="197">
        <f t="shared" si="12"/>
        <v>0</v>
      </c>
      <c r="E31" s="198">
        <f t="shared" si="13"/>
        <v>0</v>
      </c>
      <c r="F31" s="199">
        <f t="shared" si="14"/>
        <v>0</v>
      </c>
      <c r="G31" s="197">
        <f t="shared" si="15"/>
        <v>0</v>
      </c>
      <c r="H31" s="198">
        <f t="shared" si="16"/>
        <v>0</v>
      </c>
      <c r="I31" s="199">
        <f t="shared" si="17"/>
        <v>0</v>
      </c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</row>
    <row r="32" spans="2:53" s="202" customFormat="1" ht="15" customHeight="1" x14ac:dyDescent="0.2">
      <c r="B32" s="211" t="s">
        <v>91</v>
      </c>
      <c r="C32" s="204" t="s">
        <v>92</v>
      </c>
      <c r="D32" s="205">
        <f t="shared" ref="D32:I32" si="18">SUM(D18:D31)</f>
        <v>24870600</v>
      </c>
      <c r="E32" s="205">
        <f t="shared" si="18"/>
        <v>37950000</v>
      </c>
      <c r="F32" s="205">
        <f t="shared" si="18"/>
        <v>62820600</v>
      </c>
      <c r="G32" s="205">
        <f t="shared" si="18"/>
        <v>0</v>
      </c>
      <c r="H32" s="205">
        <f t="shared" si="18"/>
        <v>0</v>
      </c>
      <c r="I32" s="205">
        <f t="shared" si="18"/>
        <v>0</v>
      </c>
      <c r="J32" s="205">
        <f t="shared" ref="J32:AZ32" si="19">SUM(J18:J31)</f>
        <v>14980000</v>
      </c>
      <c r="K32" s="205">
        <f t="shared" si="19"/>
        <v>0</v>
      </c>
      <c r="L32" s="205">
        <f t="shared" si="19"/>
        <v>0</v>
      </c>
      <c r="M32" s="205">
        <f t="shared" si="19"/>
        <v>0</v>
      </c>
      <c r="N32" s="205">
        <f t="shared" si="19"/>
        <v>0</v>
      </c>
      <c r="O32" s="205">
        <f t="shared" si="19"/>
        <v>0</v>
      </c>
      <c r="P32" s="205">
        <f t="shared" si="19"/>
        <v>0</v>
      </c>
      <c r="Q32" s="205">
        <f t="shared" si="19"/>
        <v>0</v>
      </c>
      <c r="R32" s="205">
        <f t="shared" si="19"/>
        <v>0</v>
      </c>
      <c r="S32" s="205">
        <f t="shared" si="19"/>
        <v>0</v>
      </c>
      <c r="T32" s="205">
        <f t="shared" si="19"/>
        <v>0</v>
      </c>
      <c r="U32" s="205">
        <f t="shared" si="19"/>
        <v>0</v>
      </c>
      <c r="V32" s="205">
        <f t="shared" si="19"/>
        <v>0</v>
      </c>
      <c r="W32" s="205">
        <f t="shared" si="19"/>
        <v>0</v>
      </c>
      <c r="X32" s="205">
        <f t="shared" si="19"/>
        <v>7740600</v>
      </c>
      <c r="Y32" s="205">
        <f t="shared" si="19"/>
        <v>0</v>
      </c>
      <c r="Z32" s="205">
        <f t="shared" si="19"/>
        <v>0</v>
      </c>
      <c r="AA32" s="205">
        <f t="shared" si="19"/>
        <v>0</v>
      </c>
      <c r="AB32" s="205">
        <f t="shared" si="19"/>
        <v>0</v>
      </c>
      <c r="AC32" s="205">
        <f t="shared" si="19"/>
        <v>0</v>
      </c>
      <c r="AD32" s="205">
        <f t="shared" si="19"/>
        <v>0</v>
      </c>
      <c r="AE32" s="205">
        <f t="shared" si="19"/>
        <v>0</v>
      </c>
      <c r="AF32" s="205">
        <f t="shared" si="19"/>
        <v>0</v>
      </c>
      <c r="AG32" s="205">
        <f t="shared" si="19"/>
        <v>0</v>
      </c>
      <c r="AH32" s="205">
        <f t="shared" si="19"/>
        <v>0</v>
      </c>
      <c r="AI32" s="205">
        <f t="shared" si="19"/>
        <v>0</v>
      </c>
      <c r="AJ32" s="205">
        <f t="shared" si="19"/>
        <v>2150000</v>
      </c>
      <c r="AK32" s="205">
        <f t="shared" si="19"/>
        <v>0</v>
      </c>
      <c r="AL32" s="205">
        <f t="shared" si="19"/>
        <v>12000000</v>
      </c>
      <c r="AM32" s="205">
        <f t="shared" si="19"/>
        <v>0</v>
      </c>
      <c r="AN32" s="205">
        <f t="shared" si="19"/>
        <v>0</v>
      </c>
      <c r="AO32" s="205">
        <f t="shared" si="19"/>
        <v>0</v>
      </c>
      <c r="AP32" s="205">
        <f t="shared" si="19"/>
        <v>0</v>
      </c>
      <c r="AQ32" s="205">
        <f t="shared" si="19"/>
        <v>0</v>
      </c>
      <c r="AR32" s="205">
        <f t="shared" si="19"/>
        <v>19200000</v>
      </c>
      <c r="AS32" s="205">
        <f t="shared" si="19"/>
        <v>0</v>
      </c>
      <c r="AT32" s="205">
        <f t="shared" si="19"/>
        <v>0</v>
      </c>
      <c r="AU32" s="205">
        <f t="shared" si="19"/>
        <v>0</v>
      </c>
      <c r="AV32" s="205">
        <f t="shared" si="19"/>
        <v>2000000</v>
      </c>
      <c r="AW32" s="205">
        <f t="shared" si="19"/>
        <v>0</v>
      </c>
      <c r="AX32" s="205">
        <f t="shared" si="19"/>
        <v>4300000</v>
      </c>
      <c r="AY32" s="205">
        <f t="shared" si="19"/>
        <v>0</v>
      </c>
      <c r="AZ32" s="205">
        <f t="shared" si="19"/>
        <v>450000</v>
      </c>
      <c r="BA32" s="205">
        <f t="shared" ref="BA32" si="20">SUM(BA18:BA31)</f>
        <v>0</v>
      </c>
    </row>
    <row r="33" spans="2:53" x14ac:dyDescent="0.25">
      <c r="B33" s="214" t="s">
        <v>93</v>
      </c>
      <c r="C33" s="215" t="s">
        <v>94</v>
      </c>
      <c r="D33" s="216">
        <f t="shared" ref="D33:AI33" si="21">+D32+D17+D16+D10+D9</f>
        <v>229079600</v>
      </c>
      <c r="E33" s="216">
        <f t="shared" si="21"/>
        <v>933503000</v>
      </c>
      <c r="F33" s="216">
        <f t="shared" si="21"/>
        <v>1162582600</v>
      </c>
      <c r="G33" s="216">
        <f t="shared" si="21"/>
        <v>0</v>
      </c>
      <c r="H33" s="216">
        <f t="shared" si="21"/>
        <v>0</v>
      </c>
      <c r="I33" s="216">
        <f t="shared" si="21"/>
        <v>0</v>
      </c>
      <c r="J33" s="216">
        <f t="shared" si="21"/>
        <v>86440000</v>
      </c>
      <c r="K33" s="216">
        <f t="shared" si="21"/>
        <v>0</v>
      </c>
      <c r="L33" s="216">
        <f t="shared" si="21"/>
        <v>10600000</v>
      </c>
      <c r="M33" s="216">
        <f t="shared" si="21"/>
        <v>0</v>
      </c>
      <c r="N33" s="216">
        <f t="shared" si="21"/>
        <v>7047000</v>
      </c>
      <c r="O33" s="216">
        <f t="shared" si="21"/>
        <v>0</v>
      </c>
      <c r="P33" s="216">
        <f t="shared" si="21"/>
        <v>0</v>
      </c>
      <c r="Q33" s="216">
        <f t="shared" si="21"/>
        <v>0</v>
      </c>
      <c r="R33" s="216">
        <f t="shared" si="21"/>
        <v>21844000</v>
      </c>
      <c r="S33" s="216">
        <f t="shared" si="21"/>
        <v>0</v>
      </c>
      <c r="T33" s="216">
        <f t="shared" si="21"/>
        <v>10859000</v>
      </c>
      <c r="U33" s="216">
        <f t="shared" si="21"/>
        <v>0</v>
      </c>
      <c r="V33" s="216">
        <f t="shared" si="21"/>
        <v>8128000</v>
      </c>
      <c r="W33" s="216">
        <f t="shared" si="21"/>
        <v>0</v>
      </c>
      <c r="X33" s="216">
        <f t="shared" si="21"/>
        <v>14814600</v>
      </c>
      <c r="Y33" s="216">
        <f t="shared" si="21"/>
        <v>0</v>
      </c>
      <c r="Z33" s="216">
        <f t="shared" si="21"/>
        <v>24321000</v>
      </c>
      <c r="AA33" s="216">
        <f t="shared" si="21"/>
        <v>0</v>
      </c>
      <c r="AB33" s="216">
        <f t="shared" si="21"/>
        <v>39459000</v>
      </c>
      <c r="AC33" s="216">
        <f t="shared" si="21"/>
        <v>0</v>
      </c>
      <c r="AD33" s="216">
        <f t="shared" si="21"/>
        <v>2287000</v>
      </c>
      <c r="AE33" s="216">
        <f t="shared" si="21"/>
        <v>0</v>
      </c>
      <c r="AF33" s="216">
        <f t="shared" si="21"/>
        <v>635000</v>
      </c>
      <c r="AG33" s="216">
        <f t="shared" si="21"/>
        <v>0</v>
      </c>
      <c r="AH33" s="216">
        <f t="shared" si="21"/>
        <v>495000</v>
      </c>
      <c r="AI33" s="216">
        <f t="shared" si="21"/>
        <v>0</v>
      </c>
      <c r="AJ33" s="216">
        <f t="shared" ref="AJ33:BA33" si="22">+AJ32+AJ17+AJ16+AJ10+AJ9</f>
        <v>2150000</v>
      </c>
      <c r="AK33" s="216">
        <f t="shared" si="22"/>
        <v>0</v>
      </c>
      <c r="AL33" s="216">
        <f t="shared" si="22"/>
        <v>12000000</v>
      </c>
      <c r="AM33" s="216">
        <f t="shared" si="22"/>
        <v>0</v>
      </c>
      <c r="AN33" s="216">
        <f t="shared" si="22"/>
        <v>0</v>
      </c>
      <c r="AO33" s="216">
        <f t="shared" si="22"/>
        <v>0</v>
      </c>
      <c r="AP33" s="216">
        <f t="shared" si="22"/>
        <v>893099000</v>
      </c>
      <c r="AQ33" s="216">
        <f t="shared" si="22"/>
        <v>0</v>
      </c>
      <c r="AR33" s="216">
        <f t="shared" si="22"/>
        <v>19200000</v>
      </c>
      <c r="AS33" s="216">
        <f t="shared" si="22"/>
        <v>0</v>
      </c>
      <c r="AT33" s="216">
        <f t="shared" si="22"/>
        <v>2454000</v>
      </c>
      <c r="AU33" s="216">
        <f t="shared" si="22"/>
        <v>0</v>
      </c>
      <c r="AV33" s="216">
        <f t="shared" si="22"/>
        <v>2000000</v>
      </c>
      <c r="AW33" s="216">
        <f t="shared" si="22"/>
        <v>0</v>
      </c>
      <c r="AX33" s="216">
        <f t="shared" si="22"/>
        <v>4300000</v>
      </c>
      <c r="AY33" s="216">
        <f t="shared" si="22"/>
        <v>0</v>
      </c>
      <c r="AZ33" s="216">
        <f t="shared" si="22"/>
        <v>450000</v>
      </c>
      <c r="BA33" s="216">
        <f t="shared" si="22"/>
        <v>0</v>
      </c>
    </row>
    <row r="34" spans="2:53" hidden="1" x14ac:dyDescent="0.25">
      <c r="B34" s="217" t="s">
        <v>95</v>
      </c>
      <c r="C34" s="196" t="s">
        <v>96</v>
      </c>
      <c r="D34" s="197">
        <f t="shared" ref="D34:D40" si="23">+J34+L34+N34+P34+R34+T34+V34+X34+Z34+AB34+AD34+AF34+AH34+AJ34</f>
        <v>0</v>
      </c>
      <c r="E34" s="198">
        <f t="shared" ref="E34:E40" si="24">+AL34+AN34+AP34+AR34+AV34+AX34+AZ34+AT34</f>
        <v>0</v>
      </c>
      <c r="F34" s="199">
        <f t="shared" ref="F34:F40" si="25">+D34+E34</f>
        <v>0</v>
      </c>
      <c r="G34" s="197">
        <f t="shared" ref="G34:G40" si="26">+K34+M34+O34+Q34+S34+U34+W34+Y34+AA34+AC34+AE34+AG34+AI34+AK34</f>
        <v>0</v>
      </c>
      <c r="H34" s="198">
        <f t="shared" ref="H34:H40" si="27">+BA34+AY34+AW34+AU34+AS34+AQ34+AO34+AM34</f>
        <v>0</v>
      </c>
      <c r="I34" s="199">
        <f t="shared" ref="I34:I40" si="28">+G34+H34</f>
        <v>0</v>
      </c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</row>
    <row r="35" spans="2:53" hidden="1" x14ac:dyDescent="0.25">
      <c r="B35" s="217" t="s">
        <v>97</v>
      </c>
      <c r="C35" s="196" t="s">
        <v>98</v>
      </c>
      <c r="D35" s="197">
        <f t="shared" si="23"/>
        <v>0</v>
      </c>
      <c r="E35" s="198">
        <f t="shared" si="24"/>
        <v>0</v>
      </c>
      <c r="F35" s="199">
        <f t="shared" si="25"/>
        <v>0</v>
      </c>
      <c r="G35" s="197">
        <f t="shared" si="26"/>
        <v>0</v>
      </c>
      <c r="H35" s="198">
        <f t="shared" si="27"/>
        <v>0</v>
      </c>
      <c r="I35" s="199">
        <f t="shared" si="28"/>
        <v>0</v>
      </c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>
        <v>0</v>
      </c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</row>
    <row r="36" spans="2:53" hidden="1" x14ac:dyDescent="0.25">
      <c r="B36" s="217" t="s">
        <v>99</v>
      </c>
      <c r="C36" s="196" t="s">
        <v>100</v>
      </c>
      <c r="D36" s="197">
        <f t="shared" si="23"/>
        <v>0</v>
      </c>
      <c r="E36" s="198">
        <f t="shared" si="24"/>
        <v>0</v>
      </c>
      <c r="F36" s="199">
        <f t="shared" si="25"/>
        <v>0</v>
      </c>
      <c r="G36" s="197">
        <f t="shared" si="26"/>
        <v>0</v>
      </c>
      <c r="H36" s="198">
        <f t="shared" si="27"/>
        <v>0</v>
      </c>
      <c r="I36" s="199">
        <f t="shared" si="28"/>
        <v>0</v>
      </c>
      <c r="J36" s="197"/>
      <c r="K36" s="197">
        <v>0</v>
      </c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</row>
    <row r="37" spans="2:53" hidden="1" x14ac:dyDescent="0.25">
      <c r="B37" s="217" t="s">
        <v>101</v>
      </c>
      <c r="C37" s="196" t="s">
        <v>102</v>
      </c>
      <c r="D37" s="197">
        <f t="shared" si="23"/>
        <v>0</v>
      </c>
      <c r="E37" s="198">
        <f t="shared" si="24"/>
        <v>0</v>
      </c>
      <c r="F37" s="199">
        <f t="shared" si="25"/>
        <v>0</v>
      </c>
      <c r="G37" s="197">
        <f t="shared" si="26"/>
        <v>0</v>
      </c>
      <c r="H37" s="198">
        <f t="shared" si="27"/>
        <v>0</v>
      </c>
      <c r="I37" s="199">
        <f t="shared" si="28"/>
        <v>0</v>
      </c>
      <c r="J37" s="197"/>
      <c r="K37" s="197">
        <v>0</v>
      </c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</row>
    <row r="38" spans="2:53" hidden="1" x14ac:dyDescent="0.25">
      <c r="B38" s="218" t="s">
        <v>103</v>
      </c>
      <c r="C38" s="196" t="s">
        <v>104</v>
      </c>
      <c r="D38" s="197">
        <f t="shared" si="23"/>
        <v>0</v>
      </c>
      <c r="E38" s="198">
        <f t="shared" si="24"/>
        <v>0</v>
      </c>
      <c r="F38" s="199">
        <f t="shared" si="25"/>
        <v>0</v>
      </c>
      <c r="G38" s="197">
        <f t="shared" si="26"/>
        <v>0</v>
      </c>
      <c r="H38" s="198">
        <f t="shared" si="27"/>
        <v>0</v>
      </c>
      <c r="I38" s="199">
        <f t="shared" si="28"/>
        <v>0</v>
      </c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</row>
    <row r="39" spans="2:53" hidden="1" x14ac:dyDescent="0.25">
      <c r="B39" s="218" t="s">
        <v>105</v>
      </c>
      <c r="C39" s="196" t="s">
        <v>106</v>
      </c>
      <c r="D39" s="197">
        <f t="shared" si="23"/>
        <v>0</v>
      </c>
      <c r="E39" s="198">
        <f t="shared" si="24"/>
        <v>0</v>
      </c>
      <c r="F39" s="199">
        <f t="shared" si="25"/>
        <v>0</v>
      </c>
      <c r="G39" s="197">
        <f t="shared" si="26"/>
        <v>0</v>
      </c>
      <c r="H39" s="198">
        <f t="shared" si="27"/>
        <v>0</v>
      </c>
      <c r="I39" s="199">
        <f t="shared" si="28"/>
        <v>0</v>
      </c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</row>
    <row r="40" spans="2:53" hidden="1" x14ac:dyDescent="0.25">
      <c r="B40" s="218" t="s">
        <v>107</v>
      </c>
      <c r="C40" s="196" t="s">
        <v>108</v>
      </c>
      <c r="D40" s="197">
        <f t="shared" si="23"/>
        <v>0</v>
      </c>
      <c r="E40" s="198">
        <f t="shared" si="24"/>
        <v>0</v>
      </c>
      <c r="F40" s="199">
        <f t="shared" si="25"/>
        <v>0</v>
      </c>
      <c r="G40" s="197">
        <f t="shared" si="26"/>
        <v>0</v>
      </c>
      <c r="H40" s="198">
        <f t="shared" si="27"/>
        <v>0</v>
      </c>
      <c r="I40" s="199">
        <f t="shared" si="28"/>
        <v>0</v>
      </c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</row>
    <row r="41" spans="2:53" s="202" customFormat="1" ht="12.75" x14ac:dyDescent="0.2">
      <c r="B41" s="219" t="s">
        <v>109</v>
      </c>
      <c r="C41" s="204" t="s">
        <v>110</v>
      </c>
      <c r="D41" s="205">
        <f t="shared" ref="D41:AI41" si="29">SUM(D34:D40)</f>
        <v>0</v>
      </c>
      <c r="E41" s="205">
        <f t="shared" si="29"/>
        <v>0</v>
      </c>
      <c r="F41" s="205">
        <f t="shared" si="29"/>
        <v>0</v>
      </c>
      <c r="G41" s="205">
        <f t="shared" si="29"/>
        <v>0</v>
      </c>
      <c r="H41" s="205">
        <f t="shared" si="29"/>
        <v>0</v>
      </c>
      <c r="I41" s="205">
        <f t="shared" si="29"/>
        <v>0</v>
      </c>
      <c r="J41" s="205">
        <f t="shared" si="29"/>
        <v>0</v>
      </c>
      <c r="K41" s="205">
        <f t="shared" si="29"/>
        <v>0</v>
      </c>
      <c r="L41" s="205">
        <f t="shared" si="29"/>
        <v>0</v>
      </c>
      <c r="M41" s="205">
        <f t="shared" si="29"/>
        <v>0</v>
      </c>
      <c r="N41" s="205">
        <f t="shared" si="29"/>
        <v>0</v>
      </c>
      <c r="O41" s="205">
        <f t="shared" si="29"/>
        <v>0</v>
      </c>
      <c r="P41" s="205">
        <f t="shared" si="29"/>
        <v>0</v>
      </c>
      <c r="Q41" s="205">
        <f t="shared" si="29"/>
        <v>0</v>
      </c>
      <c r="R41" s="205">
        <f t="shared" si="29"/>
        <v>0</v>
      </c>
      <c r="S41" s="205">
        <f t="shared" si="29"/>
        <v>0</v>
      </c>
      <c r="T41" s="205">
        <f t="shared" si="29"/>
        <v>0</v>
      </c>
      <c r="U41" s="205">
        <f t="shared" si="29"/>
        <v>0</v>
      </c>
      <c r="V41" s="205">
        <f t="shared" si="29"/>
        <v>0</v>
      </c>
      <c r="W41" s="205">
        <f t="shared" si="29"/>
        <v>0</v>
      </c>
      <c r="X41" s="205">
        <f t="shared" si="29"/>
        <v>0</v>
      </c>
      <c r="Y41" s="205">
        <f t="shared" si="29"/>
        <v>0</v>
      </c>
      <c r="Z41" s="205">
        <f t="shared" si="29"/>
        <v>0</v>
      </c>
      <c r="AA41" s="205">
        <f t="shared" si="29"/>
        <v>0</v>
      </c>
      <c r="AB41" s="205">
        <f t="shared" si="29"/>
        <v>0</v>
      </c>
      <c r="AC41" s="205">
        <f t="shared" si="29"/>
        <v>0</v>
      </c>
      <c r="AD41" s="205">
        <f t="shared" si="29"/>
        <v>0</v>
      </c>
      <c r="AE41" s="205">
        <f t="shared" si="29"/>
        <v>0</v>
      </c>
      <c r="AF41" s="205">
        <f t="shared" si="29"/>
        <v>0</v>
      </c>
      <c r="AG41" s="205">
        <f t="shared" si="29"/>
        <v>0</v>
      </c>
      <c r="AH41" s="205">
        <f t="shared" si="29"/>
        <v>0</v>
      </c>
      <c r="AI41" s="205">
        <f t="shared" si="29"/>
        <v>0</v>
      </c>
      <c r="AJ41" s="205">
        <f t="shared" ref="AJ41:BA41" si="30">SUM(AJ34:AJ40)</f>
        <v>0</v>
      </c>
      <c r="AK41" s="205">
        <f t="shared" si="30"/>
        <v>0</v>
      </c>
      <c r="AL41" s="205">
        <f t="shared" si="30"/>
        <v>0</v>
      </c>
      <c r="AM41" s="205">
        <f t="shared" si="30"/>
        <v>0</v>
      </c>
      <c r="AN41" s="205">
        <f t="shared" si="30"/>
        <v>0</v>
      </c>
      <c r="AO41" s="205">
        <f t="shared" si="30"/>
        <v>0</v>
      </c>
      <c r="AP41" s="205">
        <f t="shared" si="30"/>
        <v>0</v>
      </c>
      <c r="AQ41" s="205">
        <f t="shared" si="30"/>
        <v>0</v>
      </c>
      <c r="AR41" s="205">
        <f t="shared" si="30"/>
        <v>0</v>
      </c>
      <c r="AS41" s="205">
        <f t="shared" si="30"/>
        <v>0</v>
      </c>
      <c r="AT41" s="205">
        <f t="shared" si="30"/>
        <v>0</v>
      </c>
      <c r="AU41" s="205">
        <f t="shared" si="30"/>
        <v>0</v>
      </c>
      <c r="AV41" s="205">
        <f t="shared" si="30"/>
        <v>0</v>
      </c>
      <c r="AW41" s="205">
        <f t="shared" si="30"/>
        <v>0</v>
      </c>
      <c r="AX41" s="205">
        <f t="shared" si="30"/>
        <v>0</v>
      </c>
      <c r="AY41" s="205">
        <f t="shared" si="30"/>
        <v>0</v>
      </c>
      <c r="AZ41" s="205">
        <f t="shared" si="30"/>
        <v>0</v>
      </c>
      <c r="BA41" s="205">
        <f t="shared" si="30"/>
        <v>0</v>
      </c>
    </row>
    <row r="42" spans="2:53" x14ac:dyDescent="0.25">
      <c r="B42" s="220" t="s">
        <v>111</v>
      </c>
      <c r="C42" s="196" t="s">
        <v>112</v>
      </c>
      <c r="D42" s="197">
        <f>+J42+L42+N42+P42+R42+T42+V42+X42+Z42+AB42+AD42+AF42+AH42+AJ42</f>
        <v>0</v>
      </c>
      <c r="E42" s="198">
        <f>+AL42+AN42+AP42+AR42+AV42+AX42+AZ42+AT42</f>
        <v>0</v>
      </c>
      <c r="F42" s="199">
        <f>+D42+E42</f>
        <v>0</v>
      </c>
      <c r="G42" s="197">
        <f>+K42+M42+O42+Q42+S42+U42+W42+Y42+AA42+AC42+AE42+AG42+AI42+AK42</f>
        <v>0</v>
      </c>
      <c r="H42" s="198">
        <f>+BA42+AY42+AW42+AU42+AS42+AQ42+AO42+AM42</f>
        <v>0</v>
      </c>
      <c r="I42" s="199">
        <f>+G42+H42</f>
        <v>0</v>
      </c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</row>
    <row r="43" spans="2:53" x14ac:dyDescent="0.25">
      <c r="B43" s="220" t="s">
        <v>113</v>
      </c>
      <c r="C43" s="196" t="s">
        <v>114</v>
      </c>
      <c r="D43" s="197">
        <f>+J43+L43+N43+P43+R43+T43+V43+X43+Z43+AB43+AD43+AF43+AH43+AJ43</f>
        <v>0</v>
      </c>
      <c r="E43" s="198">
        <f>+AL43+AN43+AP43+AR43+AV43+AX43+AZ43+AT43</f>
        <v>0</v>
      </c>
      <c r="F43" s="199">
        <f>+D43+E43</f>
        <v>0</v>
      </c>
      <c r="G43" s="197">
        <f>+K43+M43+O43+Q43+S43+U43+W43+Y43+AA43+AC43+AE43+AG43+AI43+AK43</f>
        <v>0</v>
      </c>
      <c r="H43" s="198">
        <f>+BA43+AY43+AW43+AU43+AS43+AQ43+AO43+AM43</f>
        <v>0</v>
      </c>
      <c r="I43" s="199">
        <f>+G43+H43</f>
        <v>0</v>
      </c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</row>
    <row r="44" spans="2:53" x14ac:dyDescent="0.25">
      <c r="B44" s="220" t="s">
        <v>115</v>
      </c>
      <c r="C44" s="196" t="s">
        <v>116</v>
      </c>
      <c r="D44" s="197">
        <f>+J44+L44+N44+P44+R44+T44+V44+X44+Z44+AB44+AD44+AF44+AH44+AJ44</f>
        <v>20000000</v>
      </c>
      <c r="E44" s="198">
        <f>+AL44+AN44+AP44+AR44+AV44+AX44+AZ44+AT44</f>
        <v>0</v>
      </c>
      <c r="F44" s="199">
        <f>+D44+E44</f>
        <v>20000000</v>
      </c>
      <c r="G44" s="197">
        <f>+K44+M44+O44+Q44+S44+U44+W44+Y44+AA44+AC44+AE44+AG44+AI44+AK44</f>
        <v>0</v>
      </c>
      <c r="H44" s="198">
        <f>+BA44+AY44+AW44+AU44+AS44+AQ44+AO44+AM44</f>
        <v>0</v>
      </c>
      <c r="I44" s="199">
        <f>+G44+H44</f>
        <v>0</v>
      </c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>
        <v>20000000</v>
      </c>
      <c r="Y44" s="197">
        <v>0</v>
      </c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</row>
    <row r="45" spans="2:53" x14ac:dyDescent="0.25">
      <c r="B45" s="220" t="s">
        <v>117</v>
      </c>
      <c r="C45" s="196" t="s">
        <v>118</v>
      </c>
      <c r="D45" s="197">
        <f>+J45+L45+N45+P45+R45+T45+V45+X45+Z45+AB45+AD45+AF45+AH45+AJ45</f>
        <v>5400000</v>
      </c>
      <c r="E45" s="198">
        <f>+AL45+AN45+AP45+AR45+AV45+AX45+AZ45+AT45</f>
        <v>0</v>
      </c>
      <c r="F45" s="199">
        <f>+D45+E45</f>
        <v>5400000</v>
      </c>
      <c r="G45" s="197">
        <f>+K45+M45+O45+Q45+S45+U45+W45+Y45+AA45+AC45+AE45+AG45+AI45+AK45</f>
        <v>0</v>
      </c>
      <c r="H45" s="198">
        <f>+BA45+AY45+AW45+AU45+AS45+AQ45+AO45+AM45</f>
        <v>0</v>
      </c>
      <c r="I45" s="199">
        <f>+G45+H45</f>
        <v>0</v>
      </c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>
        <v>5400000</v>
      </c>
      <c r="Y45" s="197">
        <v>0</v>
      </c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</row>
    <row r="46" spans="2:53" s="202" customFormat="1" ht="12.75" x14ac:dyDescent="0.2">
      <c r="B46" s="206" t="s">
        <v>119</v>
      </c>
      <c r="C46" s="204" t="s">
        <v>120</v>
      </c>
      <c r="D46" s="205">
        <f t="shared" ref="D46:AI46" si="31">SUM(D42:D45)</f>
        <v>25400000</v>
      </c>
      <c r="E46" s="205">
        <f t="shared" si="31"/>
        <v>0</v>
      </c>
      <c r="F46" s="205">
        <f t="shared" si="31"/>
        <v>25400000</v>
      </c>
      <c r="G46" s="205">
        <f t="shared" si="31"/>
        <v>0</v>
      </c>
      <c r="H46" s="205">
        <f t="shared" si="31"/>
        <v>0</v>
      </c>
      <c r="I46" s="205">
        <f t="shared" si="31"/>
        <v>0</v>
      </c>
      <c r="J46" s="205">
        <f t="shared" si="31"/>
        <v>0</v>
      </c>
      <c r="K46" s="205">
        <f t="shared" si="31"/>
        <v>0</v>
      </c>
      <c r="L46" s="205">
        <f t="shared" si="31"/>
        <v>0</v>
      </c>
      <c r="M46" s="205">
        <f t="shared" si="31"/>
        <v>0</v>
      </c>
      <c r="N46" s="205">
        <f t="shared" si="31"/>
        <v>0</v>
      </c>
      <c r="O46" s="205">
        <f t="shared" si="31"/>
        <v>0</v>
      </c>
      <c r="P46" s="205">
        <f t="shared" si="31"/>
        <v>0</v>
      </c>
      <c r="Q46" s="205">
        <f t="shared" si="31"/>
        <v>0</v>
      </c>
      <c r="R46" s="205">
        <f t="shared" si="31"/>
        <v>0</v>
      </c>
      <c r="S46" s="205">
        <f t="shared" si="31"/>
        <v>0</v>
      </c>
      <c r="T46" s="205">
        <f t="shared" si="31"/>
        <v>0</v>
      </c>
      <c r="U46" s="205">
        <f t="shared" si="31"/>
        <v>0</v>
      </c>
      <c r="V46" s="205">
        <f t="shared" si="31"/>
        <v>0</v>
      </c>
      <c r="W46" s="205">
        <f t="shared" si="31"/>
        <v>0</v>
      </c>
      <c r="X46" s="205">
        <f t="shared" si="31"/>
        <v>25400000</v>
      </c>
      <c r="Y46" s="205">
        <f t="shared" si="31"/>
        <v>0</v>
      </c>
      <c r="Z46" s="205">
        <f t="shared" si="31"/>
        <v>0</v>
      </c>
      <c r="AA46" s="205">
        <f t="shared" si="31"/>
        <v>0</v>
      </c>
      <c r="AB46" s="205">
        <f t="shared" si="31"/>
        <v>0</v>
      </c>
      <c r="AC46" s="205">
        <f t="shared" si="31"/>
        <v>0</v>
      </c>
      <c r="AD46" s="205">
        <f t="shared" si="31"/>
        <v>0</v>
      </c>
      <c r="AE46" s="205">
        <f t="shared" si="31"/>
        <v>0</v>
      </c>
      <c r="AF46" s="205">
        <f t="shared" si="31"/>
        <v>0</v>
      </c>
      <c r="AG46" s="205">
        <f t="shared" si="31"/>
        <v>0</v>
      </c>
      <c r="AH46" s="205">
        <f t="shared" si="31"/>
        <v>0</v>
      </c>
      <c r="AI46" s="205">
        <f t="shared" si="31"/>
        <v>0</v>
      </c>
      <c r="AJ46" s="205">
        <f t="shared" ref="AJ46:BA46" si="32">SUM(AJ42:AJ45)</f>
        <v>0</v>
      </c>
      <c r="AK46" s="205">
        <f t="shared" si="32"/>
        <v>0</v>
      </c>
      <c r="AL46" s="205">
        <f t="shared" si="32"/>
        <v>0</v>
      </c>
      <c r="AM46" s="205">
        <f t="shared" si="32"/>
        <v>0</v>
      </c>
      <c r="AN46" s="205">
        <f t="shared" si="32"/>
        <v>0</v>
      </c>
      <c r="AO46" s="205">
        <f t="shared" si="32"/>
        <v>0</v>
      </c>
      <c r="AP46" s="205">
        <f t="shared" si="32"/>
        <v>0</v>
      </c>
      <c r="AQ46" s="205">
        <f t="shared" si="32"/>
        <v>0</v>
      </c>
      <c r="AR46" s="205">
        <f t="shared" si="32"/>
        <v>0</v>
      </c>
      <c r="AS46" s="205">
        <f t="shared" si="32"/>
        <v>0</v>
      </c>
      <c r="AT46" s="205">
        <f t="shared" si="32"/>
        <v>0</v>
      </c>
      <c r="AU46" s="205">
        <f t="shared" si="32"/>
        <v>0</v>
      </c>
      <c r="AV46" s="205">
        <f t="shared" si="32"/>
        <v>0</v>
      </c>
      <c r="AW46" s="205">
        <f t="shared" si="32"/>
        <v>0</v>
      </c>
      <c r="AX46" s="205">
        <f t="shared" si="32"/>
        <v>0</v>
      </c>
      <c r="AY46" s="205">
        <f t="shared" si="32"/>
        <v>0</v>
      </c>
      <c r="AZ46" s="205">
        <f t="shared" si="32"/>
        <v>0</v>
      </c>
      <c r="BA46" s="205">
        <f t="shared" si="32"/>
        <v>0</v>
      </c>
    </row>
    <row r="47" spans="2:53" hidden="1" x14ac:dyDescent="0.25">
      <c r="B47" s="220" t="s">
        <v>621</v>
      </c>
      <c r="C47" s="196" t="s">
        <v>122</v>
      </c>
      <c r="D47" s="197">
        <f t="shared" ref="D47:D55" si="33">+J47+L47+N47+P47+R47+T47+V47+X47+Z47+AB47+AD47+AF47+AH47+AJ47</f>
        <v>0</v>
      </c>
      <c r="E47" s="198">
        <f t="shared" ref="E47:E55" si="34">+AL47+AN47+AP47+AR47+AV47+AX47+AZ47+AT47</f>
        <v>0</v>
      </c>
      <c r="F47" s="199">
        <f t="shared" ref="F47:F55" si="35">+D47+E47</f>
        <v>0</v>
      </c>
      <c r="G47" s="197">
        <f t="shared" ref="G47:G55" si="36">+K47+M47+O47+Q47+S47+U47+W47+Y47+AA47+AC47+AE47+AG47+AI47+AK47</f>
        <v>0</v>
      </c>
      <c r="H47" s="198">
        <f t="shared" ref="H47:H55" si="37">+BA47+AY47+AW47+AU47+AS47+AQ47+AO47+AM47</f>
        <v>0</v>
      </c>
      <c r="I47" s="199">
        <f t="shared" ref="I47:I55" si="38">+G47+H47</f>
        <v>0</v>
      </c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</row>
    <row r="48" spans="2:53" hidden="1" x14ac:dyDescent="0.25">
      <c r="B48" s="220" t="s">
        <v>622</v>
      </c>
      <c r="C48" s="196" t="s">
        <v>124</v>
      </c>
      <c r="D48" s="197">
        <f t="shared" si="33"/>
        <v>0</v>
      </c>
      <c r="E48" s="198">
        <f t="shared" si="34"/>
        <v>0</v>
      </c>
      <c r="F48" s="199">
        <f t="shared" si="35"/>
        <v>0</v>
      </c>
      <c r="G48" s="197">
        <f t="shared" si="36"/>
        <v>0</v>
      </c>
      <c r="H48" s="198">
        <f t="shared" si="37"/>
        <v>0</v>
      </c>
      <c r="I48" s="199">
        <f t="shared" si="38"/>
        <v>0</v>
      </c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7"/>
      <c r="AT48" s="197"/>
      <c r="AU48" s="197"/>
      <c r="AV48" s="197"/>
      <c r="AW48" s="197"/>
      <c r="AX48" s="197"/>
      <c r="AY48" s="197"/>
      <c r="AZ48" s="197"/>
      <c r="BA48" s="197"/>
    </row>
    <row r="49" spans="2:53" ht="15.75" hidden="1" customHeight="1" x14ac:dyDescent="0.25">
      <c r="B49" s="220" t="s">
        <v>623</v>
      </c>
      <c r="C49" s="196" t="s">
        <v>126</v>
      </c>
      <c r="D49" s="197">
        <f t="shared" si="33"/>
        <v>0</v>
      </c>
      <c r="E49" s="198">
        <f t="shared" si="34"/>
        <v>0</v>
      </c>
      <c r="F49" s="199">
        <f t="shared" si="35"/>
        <v>0</v>
      </c>
      <c r="G49" s="197">
        <f t="shared" si="36"/>
        <v>0</v>
      </c>
      <c r="H49" s="198">
        <f t="shared" si="37"/>
        <v>0</v>
      </c>
      <c r="I49" s="199">
        <f t="shared" si="38"/>
        <v>0</v>
      </c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7"/>
      <c r="AY49" s="197"/>
      <c r="AZ49" s="197"/>
      <c r="BA49" s="197"/>
    </row>
    <row r="50" spans="2:53" hidden="1" x14ac:dyDescent="0.25">
      <c r="B50" s="220" t="s">
        <v>127</v>
      </c>
      <c r="C50" s="196" t="s">
        <v>128</v>
      </c>
      <c r="D50" s="197">
        <f t="shared" si="33"/>
        <v>0</v>
      </c>
      <c r="E50" s="198">
        <f t="shared" si="34"/>
        <v>0</v>
      </c>
      <c r="F50" s="199">
        <f t="shared" si="35"/>
        <v>0</v>
      </c>
      <c r="G50" s="197">
        <f t="shared" si="36"/>
        <v>0</v>
      </c>
      <c r="H50" s="198">
        <f t="shared" si="37"/>
        <v>0</v>
      </c>
      <c r="I50" s="199">
        <f t="shared" si="38"/>
        <v>0</v>
      </c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7"/>
      <c r="AY50" s="197"/>
      <c r="AZ50" s="197"/>
      <c r="BA50" s="197"/>
    </row>
    <row r="51" spans="2:53" ht="15" hidden="1" customHeight="1" x14ac:dyDescent="0.25">
      <c r="B51" s="220" t="s">
        <v>624</v>
      </c>
      <c r="C51" s="196" t="s">
        <v>130</v>
      </c>
      <c r="D51" s="197">
        <f t="shared" si="33"/>
        <v>0</v>
      </c>
      <c r="E51" s="198">
        <f t="shared" si="34"/>
        <v>0</v>
      </c>
      <c r="F51" s="199">
        <f t="shared" si="35"/>
        <v>0</v>
      </c>
      <c r="G51" s="197">
        <f t="shared" si="36"/>
        <v>0</v>
      </c>
      <c r="H51" s="198">
        <f t="shared" si="37"/>
        <v>0</v>
      </c>
      <c r="I51" s="199">
        <f t="shared" si="38"/>
        <v>0</v>
      </c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197"/>
      <c r="AT51" s="197"/>
      <c r="AU51" s="197"/>
      <c r="AV51" s="197"/>
      <c r="AW51" s="197"/>
      <c r="AX51" s="197"/>
      <c r="AY51" s="197"/>
      <c r="AZ51" s="197"/>
      <c r="BA51" s="197"/>
    </row>
    <row r="52" spans="2:53" hidden="1" x14ac:dyDescent="0.25">
      <c r="B52" s="220" t="s">
        <v>625</v>
      </c>
      <c r="C52" s="196" t="s">
        <v>132</v>
      </c>
      <c r="D52" s="197">
        <f t="shared" si="33"/>
        <v>0</v>
      </c>
      <c r="E52" s="198">
        <f t="shared" si="34"/>
        <v>0</v>
      </c>
      <c r="F52" s="199">
        <f t="shared" si="35"/>
        <v>0</v>
      </c>
      <c r="G52" s="197">
        <f t="shared" si="36"/>
        <v>0</v>
      </c>
      <c r="H52" s="198">
        <f t="shared" si="37"/>
        <v>0</v>
      </c>
      <c r="I52" s="199">
        <f t="shared" si="38"/>
        <v>0</v>
      </c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197"/>
      <c r="AW52" s="197"/>
      <c r="AX52" s="197"/>
      <c r="AY52" s="197"/>
      <c r="AZ52" s="197"/>
      <c r="BA52" s="197"/>
    </row>
    <row r="53" spans="2:53" hidden="1" x14ac:dyDescent="0.25">
      <c r="B53" s="220" t="s">
        <v>133</v>
      </c>
      <c r="C53" s="196" t="s">
        <v>134</v>
      </c>
      <c r="D53" s="197">
        <f t="shared" si="33"/>
        <v>0</v>
      </c>
      <c r="E53" s="198">
        <f t="shared" si="34"/>
        <v>0</v>
      </c>
      <c r="F53" s="199">
        <f t="shared" si="35"/>
        <v>0</v>
      </c>
      <c r="G53" s="197">
        <f t="shared" si="36"/>
        <v>0</v>
      </c>
      <c r="H53" s="198">
        <f t="shared" si="37"/>
        <v>0</v>
      </c>
      <c r="I53" s="199">
        <f t="shared" si="38"/>
        <v>0</v>
      </c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7"/>
    </row>
    <row r="54" spans="2:53" hidden="1" x14ac:dyDescent="0.25">
      <c r="B54" s="220" t="s">
        <v>135</v>
      </c>
      <c r="C54" s="196" t="s">
        <v>136</v>
      </c>
      <c r="D54" s="197">
        <f t="shared" si="33"/>
        <v>0</v>
      </c>
      <c r="E54" s="198">
        <f t="shared" si="34"/>
        <v>0</v>
      </c>
      <c r="F54" s="199">
        <f t="shared" si="35"/>
        <v>0</v>
      </c>
      <c r="G54" s="197">
        <f t="shared" si="36"/>
        <v>0</v>
      </c>
      <c r="H54" s="198">
        <f t="shared" si="37"/>
        <v>0</v>
      </c>
      <c r="I54" s="199">
        <f t="shared" si="38"/>
        <v>0</v>
      </c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</row>
    <row r="55" spans="2:53" x14ac:dyDescent="0.25">
      <c r="B55" s="220" t="s">
        <v>137</v>
      </c>
      <c r="C55" s="196" t="s">
        <v>138</v>
      </c>
      <c r="D55" s="197">
        <f t="shared" si="33"/>
        <v>0</v>
      </c>
      <c r="E55" s="198">
        <f t="shared" si="34"/>
        <v>0</v>
      </c>
      <c r="F55" s="199">
        <f t="shared" si="35"/>
        <v>0</v>
      </c>
      <c r="G55" s="197">
        <f t="shared" si="36"/>
        <v>0</v>
      </c>
      <c r="H55" s="198">
        <f t="shared" si="37"/>
        <v>0</v>
      </c>
      <c r="I55" s="199">
        <f t="shared" si="38"/>
        <v>0</v>
      </c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  <c r="AM55" s="197"/>
      <c r="AN55" s="197"/>
      <c r="AO55" s="197"/>
      <c r="AP55" s="197"/>
      <c r="AQ55" s="197"/>
      <c r="AR55" s="197"/>
      <c r="AS55" s="197">
        <v>0</v>
      </c>
      <c r="AT55" s="197"/>
      <c r="AU55" s="197"/>
      <c r="AV55" s="197"/>
      <c r="AW55" s="197"/>
      <c r="AX55" s="197"/>
      <c r="AY55" s="197"/>
      <c r="AZ55" s="197"/>
      <c r="BA55" s="197"/>
    </row>
    <row r="56" spans="2:53" s="202" customFormat="1" ht="12.75" x14ac:dyDescent="0.2">
      <c r="B56" s="211" t="s">
        <v>139</v>
      </c>
      <c r="C56" s="204" t="s">
        <v>140</v>
      </c>
      <c r="D56" s="205">
        <f t="shared" ref="D56:AI56" si="39">SUM(D47:D55)</f>
        <v>0</v>
      </c>
      <c r="E56" s="205">
        <f t="shared" si="39"/>
        <v>0</v>
      </c>
      <c r="F56" s="205">
        <f t="shared" si="39"/>
        <v>0</v>
      </c>
      <c r="G56" s="205">
        <f t="shared" si="39"/>
        <v>0</v>
      </c>
      <c r="H56" s="205">
        <f t="shared" si="39"/>
        <v>0</v>
      </c>
      <c r="I56" s="205">
        <f t="shared" si="39"/>
        <v>0</v>
      </c>
      <c r="J56" s="205">
        <f t="shared" si="39"/>
        <v>0</v>
      </c>
      <c r="K56" s="205">
        <f t="shared" si="39"/>
        <v>0</v>
      </c>
      <c r="L56" s="205">
        <f t="shared" si="39"/>
        <v>0</v>
      </c>
      <c r="M56" s="205">
        <f t="shared" si="39"/>
        <v>0</v>
      </c>
      <c r="N56" s="205">
        <f t="shared" si="39"/>
        <v>0</v>
      </c>
      <c r="O56" s="205">
        <f t="shared" si="39"/>
        <v>0</v>
      </c>
      <c r="P56" s="205">
        <f t="shared" si="39"/>
        <v>0</v>
      </c>
      <c r="Q56" s="205">
        <f t="shared" si="39"/>
        <v>0</v>
      </c>
      <c r="R56" s="205">
        <f t="shared" si="39"/>
        <v>0</v>
      </c>
      <c r="S56" s="205">
        <f t="shared" si="39"/>
        <v>0</v>
      </c>
      <c r="T56" s="205">
        <f t="shared" si="39"/>
        <v>0</v>
      </c>
      <c r="U56" s="205">
        <f t="shared" si="39"/>
        <v>0</v>
      </c>
      <c r="V56" s="205">
        <f t="shared" si="39"/>
        <v>0</v>
      </c>
      <c r="W56" s="205">
        <f t="shared" si="39"/>
        <v>0</v>
      </c>
      <c r="X56" s="205">
        <f t="shared" si="39"/>
        <v>0</v>
      </c>
      <c r="Y56" s="205">
        <f t="shared" si="39"/>
        <v>0</v>
      </c>
      <c r="Z56" s="205">
        <f t="shared" si="39"/>
        <v>0</v>
      </c>
      <c r="AA56" s="205">
        <f t="shared" si="39"/>
        <v>0</v>
      </c>
      <c r="AB56" s="205">
        <f t="shared" si="39"/>
        <v>0</v>
      </c>
      <c r="AC56" s="205">
        <f t="shared" si="39"/>
        <v>0</v>
      </c>
      <c r="AD56" s="205">
        <f t="shared" si="39"/>
        <v>0</v>
      </c>
      <c r="AE56" s="205">
        <f t="shared" si="39"/>
        <v>0</v>
      </c>
      <c r="AF56" s="205">
        <f t="shared" si="39"/>
        <v>0</v>
      </c>
      <c r="AG56" s="205">
        <f t="shared" si="39"/>
        <v>0</v>
      </c>
      <c r="AH56" s="205">
        <f t="shared" si="39"/>
        <v>0</v>
      </c>
      <c r="AI56" s="205">
        <f t="shared" si="39"/>
        <v>0</v>
      </c>
      <c r="AJ56" s="205">
        <f t="shared" ref="AJ56:BA56" si="40">SUM(AJ47:AJ55)</f>
        <v>0</v>
      </c>
      <c r="AK56" s="205">
        <f t="shared" si="40"/>
        <v>0</v>
      </c>
      <c r="AL56" s="205">
        <f t="shared" si="40"/>
        <v>0</v>
      </c>
      <c r="AM56" s="205">
        <f t="shared" si="40"/>
        <v>0</v>
      </c>
      <c r="AN56" s="205">
        <f t="shared" si="40"/>
        <v>0</v>
      </c>
      <c r="AO56" s="205">
        <f t="shared" si="40"/>
        <v>0</v>
      </c>
      <c r="AP56" s="205">
        <f t="shared" si="40"/>
        <v>0</v>
      </c>
      <c r="AQ56" s="205">
        <f t="shared" si="40"/>
        <v>0</v>
      </c>
      <c r="AR56" s="205">
        <f t="shared" si="40"/>
        <v>0</v>
      </c>
      <c r="AS56" s="205">
        <f t="shared" si="40"/>
        <v>0</v>
      </c>
      <c r="AT56" s="205">
        <f t="shared" si="40"/>
        <v>0</v>
      </c>
      <c r="AU56" s="205">
        <f t="shared" si="40"/>
        <v>0</v>
      </c>
      <c r="AV56" s="205">
        <f t="shared" si="40"/>
        <v>0</v>
      </c>
      <c r="AW56" s="205">
        <f t="shared" si="40"/>
        <v>0</v>
      </c>
      <c r="AX56" s="205">
        <f t="shared" si="40"/>
        <v>0</v>
      </c>
      <c r="AY56" s="205">
        <f t="shared" si="40"/>
        <v>0</v>
      </c>
      <c r="AZ56" s="205">
        <f t="shared" si="40"/>
        <v>0</v>
      </c>
      <c r="BA56" s="205">
        <f t="shared" si="40"/>
        <v>0</v>
      </c>
    </row>
    <row r="57" spans="2:53" x14ac:dyDescent="0.25">
      <c r="B57" s="214" t="s">
        <v>141</v>
      </c>
      <c r="C57" s="215" t="s">
        <v>142</v>
      </c>
      <c r="D57" s="216">
        <f t="shared" ref="D57:AI57" si="41">+D56+D46+D41</f>
        <v>25400000</v>
      </c>
      <c r="E57" s="216">
        <f t="shared" si="41"/>
        <v>0</v>
      </c>
      <c r="F57" s="216">
        <f t="shared" si="41"/>
        <v>25400000</v>
      </c>
      <c r="G57" s="216">
        <f t="shared" si="41"/>
        <v>0</v>
      </c>
      <c r="H57" s="216">
        <f t="shared" si="41"/>
        <v>0</v>
      </c>
      <c r="I57" s="216">
        <f t="shared" si="41"/>
        <v>0</v>
      </c>
      <c r="J57" s="216">
        <f t="shared" si="41"/>
        <v>0</v>
      </c>
      <c r="K57" s="216">
        <f t="shared" si="41"/>
        <v>0</v>
      </c>
      <c r="L57" s="216">
        <f t="shared" si="41"/>
        <v>0</v>
      </c>
      <c r="M57" s="216">
        <f t="shared" si="41"/>
        <v>0</v>
      </c>
      <c r="N57" s="216">
        <f t="shared" si="41"/>
        <v>0</v>
      </c>
      <c r="O57" s="216">
        <f t="shared" si="41"/>
        <v>0</v>
      </c>
      <c r="P57" s="216">
        <f t="shared" si="41"/>
        <v>0</v>
      </c>
      <c r="Q57" s="216">
        <f t="shared" si="41"/>
        <v>0</v>
      </c>
      <c r="R57" s="216">
        <f t="shared" si="41"/>
        <v>0</v>
      </c>
      <c r="S57" s="216">
        <f t="shared" si="41"/>
        <v>0</v>
      </c>
      <c r="T57" s="216">
        <f t="shared" si="41"/>
        <v>0</v>
      </c>
      <c r="U57" s="216">
        <f t="shared" si="41"/>
        <v>0</v>
      </c>
      <c r="V57" s="216">
        <f t="shared" si="41"/>
        <v>0</v>
      </c>
      <c r="W57" s="216">
        <f t="shared" si="41"/>
        <v>0</v>
      </c>
      <c r="X57" s="216">
        <f t="shared" si="41"/>
        <v>25400000</v>
      </c>
      <c r="Y57" s="216">
        <f t="shared" si="41"/>
        <v>0</v>
      </c>
      <c r="Z57" s="216">
        <f t="shared" si="41"/>
        <v>0</v>
      </c>
      <c r="AA57" s="216">
        <f t="shared" si="41"/>
        <v>0</v>
      </c>
      <c r="AB57" s="216">
        <f t="shared" si="41"/>
        <v>0</v>
      </c>
      <c r="AC57" s="216">
        <f t="shared" si="41"/>
        <v>0</v>
      </c>
      <c r="AD57" s="216">
        <f t="shared" si="41"/>
        <v>0</v>
      </c>
      <c r="AE57" s="216">
        <f t="shared" si="41"/>
        <v>0</v>
      </c>
      <c r="AF57" s="216">
        <f t="shared" si="41"/>
        <v>0</v>
      </c>
      <c r="AG57" s="216">
        <f t="shared" si="41"/>
        <v>0</v>
      </c>
      <c r="AH57" s="216">
        <f t="shared" si="41"/>
        <v>0</v>
      </c>
      <c r="AI57" s="216">
        <f t="shared" si="41"/>
        <v>0</v>
      </c>
      <c r="AJ57" s="216">
        <f t="shared" ref="AJ57:BA57" si="42">+AJ56+AJ46+AJ41</f>
        <v>0</v>
      </c>
      <c r="AK57" s="216">
        <f t="shared" si="42"/>
        <v>0</v>
      </c>
      <c r="AL57" s="216">
        <f t="shared" si="42"/>
        <v>0</v>
      </c>
      <c r="AM57" s="216">
        <f t="shared" si="42"/>
        <v>0</v>
      </c>
      <c r="AN57" s="216">
        <f t="shared" si="42"/>
        <v>0</v>
      </c>
      <c r="AO57" s="216">
        <f t="shared" si="42"/>
        <v>0</v>
      </c>
      <c r="AP57" s="216">
        <f t="shared" si="42"/>
        <v>0</v>
      </c>
      <c r="AQ57" s="216">
        <f t="shared" si="42"/>
        <v>0</v>
      </c>
      <c r="AR57" s="216">
        <f t="shared" si="42"/>
        <v>0</v>
      </c>
      <c r="AS57" s="216">
        <f t="shared" si="42"/>
        <v>0</v>
      </c>
      <c r="AT57" s="216">
        <f t="shared" si="42"/>
        <v>0</v>
      </c>
      <c r="AU57" s="216">
        <f t="shared" si="42"/>
        <v>0</v>
      </c>
      <c r="AV57" s="216">
        <f t="shared" si="42"/>
        <v>0</v>
      </c>
      <c r="AW57" s="216">
        <f t="shared" si="42"/>
        <v>0</v>
      </c>
      <c r="AX57" s="216">
        <f t="shared" si="42"/>
        <v>0</v>
      </c>
      <c r="AY57" s="216">
        <f t="shared" si="42"/>
        <v>0</v>
      </c>
      <c r="AZ57" s="216">
        <f t="shared" si="42"/>
        <v>0</v>
      </c>
      <c r="BA57" s="216">
        <f t="shared" si="42"/>
        <v>0</v>
      </c>
    </row>
    <row r="58" spans="2:53" x14ac:dyDescent="0.25">
      <c r="B58" s="221" t="s">
        <v>143</v>
      </c>
      <c r="C58" s="222" t="s">
        <v>144</v>
      </c>
      <c r="D58" s="223">
        <f t="shared" ref="D58:AI58" si="43">+D56+D46+D41+D32+D17+D16+D10+D9</f>
        <v>254479600</v>
      </c>
      <c r="E58" s="223">
        <f t="shared" si="43"/>
        <v>933503000</v>
      </c>
      <c r="F58" s="223">
        <f t="shared" si="43"/>
        <v>1187982600</v>
      </c>
      <c r="G58" s="223">
        <f t="shared" si="43"/>
        <v>0</v>
      </c>
      <c r="H58" s="223">
        <f t="shared" si="43"/>
        <v>0</v>
      </c>
      <c r="I58" s="223">
        <f t="shared" si="43"/>
        <v>0</v>
      </c>
      <c r="J58" s="223">
        <f t="shared" si="43"/>
        <v>86440000</v>
      </c>
      <c r="K58" s="223">
        <f t="shared" si="43"/>
        <v>0</v>
      </c>
      <c r="L58" s="223">
        <f t="shared" si="43"/>
        <v>10600000</v>
      </c>
      <c r="M58" s="223">
        <f t="shared" si="43"/>
        <v>0</v>
      </c>
      <c r="N58" s="223">
        <f t="shared" si="43"/>
        <v>7047000</v>
      </c>
      <c r="O58" s="223">
        <f t="shared" si="43"/>
        <v>0</v>
      </c>
      <c r="P58" s="223">
        <f t="shared" si="43"/>
        <v>0</v>
      </c>
      <c r="Q58" s="223">
        <f t="shared" si="43"/>
        <v>0</v>
      </c>
      <c r="R58" s="223">
        <f t="shared" si="43"/>
        <v>21844000</v>
      </c>
      <c r="S58" s="223">
        <f t="shared" si="43"/>
        <v>0</v>
      </c>
      <c r="T58" s="223">
        <f t="shared" si="43"/>
        <v>10859000</v>
      </c>
      <c r="U58" s="223">
        <f t="shared" si="43"/>
        <v>0</v>
      </c>
      <c r="V58" s="223">
        <f t="shared" si="43"/>
        <v>8128000</v>
      </c>
      <c r="W58" s="223">
        <f t="shared" si="43"/>
        <v>0</v>
      </c>
      <c r="X58" s="223">
        <f t="shared" si="43"/>
        <v>40214600</v>
      </c>
      <c r="Y58" s="223">
        <f t="shared" si="43"/>
        <v>0</v>
      </c>
      <c r="Z58" s="223">
        <f t="shared" si="43"/>
        <v>24321000</v>
      </c>
      <c r="AA58" s="223">
        <f t="shared" si="43"/>
        <v>0</v>
      </c>
      <c r="AB58" s="223">
        <f t="shared" si="43"/>
        <v>39459000</v>
      </c>
      <c r="AC58" s="223">
        <f t="shared" si="43"/>
        <v>0</v>
      </c>
      <c r="AD58" s="223">
        <f t="shared" si="43"/>
        <v>2287000</v>
      </c>
      <c r="AE58" s="223">
        <f t="shared" si="43"/>
        <v>0</v>
      </c>
      <c r="AF58" s="223">
        <f t="shared" si="43"/>
        <v>635000</v>
      </c>
      <c r="AG58" s="223">
        <f t="shared" si="43"/>
        <v>0</v>
      </c>
      <c r="AH58" s="223">
        <f t="shared" si="43"/>
        <v>495000</v>
      </c>
      <c r="AI58" s="223">
        <f t="shared" si="43"/>
        <v>0</v>
      </c>
      <c r="AJ58" s="223">
        <f t="shared" ref="AJ58:BA58" si="44">+AJ56+AJ46+AJ41+AJ32+AJ17+AJ16+AJ10+AJ9</f>
        <v>2150000</v>
      </c>
      <c r="AK58" s="223">
        <f t="shared" si="44"/>
        <v>0</v>
      </c>
      <c r="AL58" s="223">
        <f t="shared" si="44"/>
        <v>12000000</v>
      </c>
      <c r="AM58" s="223">
        <f t="shared" si="44"/>
        <v>0</v>
      </c>
      <c r="AN58" s="223">
        <f t="shared" si="44"/>
        <v>0</v>
      </c>
      <c r="AO58" s="223">
        <f t="shared" si="44"/>
        <v>0</v>
      </c>
      <c r="AP58" s="223">
        <f t="shared" si="44"/>
        <v>893099000</v>
      </c>
      <c r="AQ58" s="223">
        <f t="shared" si="44"/>
        <v>0</v>
      </c>
      <c r="AR58" s="223">
        <f t="shared" si="44"/>
        <v>19200000</v>
      </c>
      <c r="AS58" s="223">
        <f t="shared" si="44"/>
        <v>0</v>
      </c>
      <c r="AT58" s="223">
        <f t="shared" si="44"/>
        <v>2454000</v>
      </c>
      <c r="AU58" s="223">
        <f t="shared" si="44"/>
        <v>0</v>
      </c>
      <c r="AV58" s="223">
        <f t="shared" si="44"/>
        <v>2000000</v>
      </c>
      <c r="AW58" s="223">
        <f t="shared" si="44"/>
        <v>0</v>
      </c>
      <c r="AX58" s="223">
        <f t="shared" si="44"/>
        <v>4300000</v>
      </c>
      <c r="AY58" s="223">
        <f t="shared" si="44"/>
        <v>0</v>
      </c>
      <c r="AZ58" s="223">
        <f t="shared" si="44"/>
        <v>450000</v>
      </c>
      <c r="BA58" s="223">
        <f t="shared" si="44"/>
        <v>0</v>
      </c>
    </row>
    <row r="59" spans="2:53" hidden="1" x14ac:dyDescent="0.25">
      <c r="B59" s="224" t="s">
        <v>626</v>
      </c>
      <c r="C59" s="201" t="s">
        <v>170</v>
      </c>
      <c r="D59" s="197">
        <f>+J59+L59+N59+P59+R59+T59+V59+X59+Z59+AB59+AD59+AF59+AH59+AJ59</f>
        <v>0</v>
      </c>
      <c r="E59" s="198">
        <f>+AL59+AN59+AP59+AR59+AV59+AX59+AZ59+AT59</f>
        <v>0</v>
      </c>
      <c r="F59" s="199">
        <f>+D59+E59</f>
        <v>0</v>
      </c>
      <c r="G59" s="197">
        <f>+K59+M59+O59+Q59+S59+U59+W59+Y59+AA59+AC59+AE59+AG59+AI59+AK59</f>
        <v>0</v>
      </c>
      <c r="H59" s="198">
        <f>+BA59+AY59+AW59+AU59+AS59+AQ59+AO59+AM59</f>
        <v>0</v>
      </c>
      <c r="I59" s="199">
        <f>+G59+H59</f>
        <v>0</v>
      </c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5"/>
      <c r="AH59" s="225"/>
      <c r="AI59" s="225"/>
      <c r="AJ59" s="225"/>
      <c r="AK59" s="225"/>
      <c r="AL59" s="225"/>
      <c r="AM59" s="225"/>
      <c r="AN59" s="225"/>
      <c r="AO59" s="225"/>
      <c r="AP59" s="225"/>
      <c r="AQ59" s="225"/>
      <c r="AR59" s="225"/>
      <c r="AS59" s="225"/>
      <c r="AT59" s="225"/>
      <c r="AU59" s="225"/>
      <c r="AV59" s="225"/>
      <c r="AW59" s="225"/>
      <c r="AX59" s="225"/>
      <c r="AY59" s="225"/>
      <c r="AZ59" s="225"/>
      <c r="BA59" s="225"/>
    </row>
    <row r="60" spans="2:53" hidden="1" x14ac:dyDescent="0.25">
      <c r="B60" s="224" t="s">
        <v>171</v>
      </c>
      <c r="C60" s="201" t="s">
        <v>172</v>
      </c>
      <c r="D60" s="197">
        <f>+J60+L60+N60+P60+R60+T60+V60+X60+Z60+AB60+AD60+AF60+AH60+AJ60</f>
        <v>0</v>
      </c>
      <c r="E60" s="198">
        <f>+AL60+AN60+AP60+AR60+AV60+AX60+AZ60+AT60</f>
        <v>0</v>
      </c>
      <c r="F60" s="199">
        <f>+D60+E60</f>
        <v>0</v>
      </c>
      <c r="G60" s="197">
        <f>+K60+M60+O60+Q60+S60+U60+W60+Y60+AA60+AC60+AE60+AG60+AI60+AK60</f>
        <v>0</v>
      </c>
      <c r="H60" s="198">
        <f>+BA60+AY60+AW60+AU60+AS60+AQ60+AO60+AM60</f>
        <v>0</v>
      </c>
      <c r="I60" s="199">
        <f>+G60+H60</f>
        <v>0</v>
      </c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225"/>
      <c r="AJ60" s="225"/>
      <c r="AK60" s="225"/>
      <c r="AL60" s="225"/>
      <c r="AM60" s="225"/>
      <c r="AN60" s="225"/>
      <c r="AO60" s="225"/>
      <c r="AP60" s="225"/>
      <c r="AQ60" s="225"/>
      <c r="AR60" s="225"/>
      <c r="AS60" s="225"/>
      <c r="AT60" s="225"/>
      <c r="AU60" s="225"/>
      <c r="AV60" s="225"/>
      <c r="AW60" s="225"/>
      <c r="AX60" s="225"/>
      <c r="AY60" s="225"/>
      <c r="AZ60" s="225"/>
      <c r="BA60" s="225"/>
    </row>
    <row r="61" spans="2:53" hidden="1" x14ac:dyDescent="0.25">
      <c r="B61" s="220" t="s">
        <v>173</v>
      </c>
      <c r="C61" s="201" t="s">
        <v>174</v>
      </c>
      <c r="D61" s="197">
        <f>+J61+L61+N61+P61+R61+T61+V61+X61+Z61+AB61+AD61+AF61+AH61+AJ61</f>
        <v>0</v>
      </c>
      <c r="E61" s="198">
        <f>+AL61+AN61+AP61+AR61+AV61+AX61+AZ61+AT61</f>
        <v>0</v>
      </c>
      <c r="F61" s="199">
        <f>+D61+E61</f>
        <v>0</v>
      </c>
      <c r="G61" s="197">
        <f>+K61+M61+O61+Q61+S61+U61+W61+Y61+AA61+AC61+AE61+AG61+AI61+AK61</f>
        <v>0</v>
      </c>
      <c r="H61" s="198">
        <f>+BA61+AY61+AW61+AU61+AS61+AQ61+AO61+AM61</f>
        <v>0</v>
      </c>
      <c r="I61" s="199">
        <f>+G61+H61</f>
        <v>0</v>
      </c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  <c r="AA61" s="226"/>
      <c r="AB61" s="226"/>
      <c r="AC61" s="226"/>
      <c r="AD61" s="226"/>
      <c r="AE61" s="226"/>
      <c r="AF61" s="226"/>
      <c r="AG61" s="226"/>
      <c r="AH61" s="226"/>
      <c r="AI61" s="226"/>
      <c r="AJ61" s="226"/>
      <c r="AK61" s="226"/>
      <c r="AL61" s="226"/>
      <c r="AM61" s="226"/>
      <c r="AN61" s="226"/>
      <c r="AO61" s="226"/>
      <c r="AP61" s="226"/>
      <c r="AQ61" s="226"/>
      <c r="AR61" s="226"/>
      <c r="AS61" s="226"/>
      <c r="AT61" s="226"/>
      <c r="AU61" s="226"/>
      <c r="AV61" s="226"/>
      <c r="AW61" s="226"/>
      <c r="AX61" s="226"/>
      <c r="AY61" s="226"/>
      <c r="AZ61" s="226"/>
      <c r="BA61" s="226"/>
    </row>
    <row r="62" spans="2:53" hidden="1" x14ac:dyDescent="0.25">
      <c r="B62" s="220" t="s">
        <v>175</v>
      </c>
      <c r="C62" s="201" t="s">
        <v>176</v>
      </c>
      <c r="D62" s="197">
        <f>+J62+L62+N62+P62+R62+T62+V62+X62+Z62+AB62+AD62+AF62+AH62+AJ62</f>
        <v>0</v>
      </c>
      <c r="E62" s="198">
        <f>+AL62+AN62+AP62+AR62+AV62+AX62+AZ62+AT62</f>
        <v>0</v>
      </c>
      <c r="F62" s="199">
        <f>+D62+E62</f>
        <v>0</v>
      </c>
      <c r="G62" s="197">
        <f>+K62+M62+O62+Q62+S62+U62+W62+Y62+AA62+AC62+AE62+AG62+AI62+AK62</f>
        <v>0</v>
      </c>
      <c r="H62" s="198">
        <f>+BA62+AY62+AW62+AU62+AS62+AQ62+AO62+AM62</f>
        <v>0</v>
      </c>
      <c r="I62" s="199">
        <f>+G62+H62</f>
        <v>0</v>
      </c>
      <c r="J62" s="226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6"/>
      <c r="X62" s="226"/>
      <c r="Y62" s="226"/>
      <c r="Z62" s="226"/>
      <c r="AA62" s="226"/>
      <c r="AB62" s="226"/>
      <c r="AC62" s="226"/>
      <c r="AD62" s="226"/>
      <c r="AE62" s="226"/>
      <c r="AF62" s="226"/>
      <c r="AG62" s="226"/>
      <c r="AH62" s="226"/>
      <c r="AI62" s="226"/>
      <c r="AJ62" s="226"/>
      <c r="AK62" s="226"/>
      <c r="AL62" s="226"/>
      <c r="AM62" s="226"/>
      <c r="AN62" s="226"/>
      <c r="AO62" s="226"/>
      <c r="AP62" s="226"/>
      <c r="AQ62" s="226"/>
      <c r="AR62" s="226"/>
      <c r="AS62" s="226"/>
      <c r="AT62" s="226"/>
      <c r="AU62" s="226"/>
      <c r="AV62" s="226"/>
      <c r="AW62" s="226"/>
      <c r="AX62" s="226"/>
      <c r="AY62" s="226"/>
      <c r="AZ62" s="226"/>
      <c r="BA62" s="226"/>
    </row>
    <row r="63" spans="2:53" x14ac:dyDescent="0.25">
      <c r="B63" s="227" t="s">
        <v>177</v>
      </c>
      <c r="C63" s="228" t="s">
        <v>178</v>
      </c>
      <c r="D63" s="229">
        <f t="shared" ref="D63:I63" si="45">+D61+D60+D59+D62</f>
        <v>0</v>
      </c>
      <c r="E63" s="229">
        <f t="shared" si="45"/>
        <v>0</v>
      </c>
      <c r="F63" s="229">
        <f t="shared" si="45"/>
        <v>0</v>
      </c>
      <c r="G63" s="229">
        <f t="shared" si="45"/>
        <v>0</v>
      </c>
      <c r="H63" s="229">
        <f t="shared" si="45"/>
        <v>0</v>
      </c>
      <c r="I63" s="229">
        <f t="shared" si="45"/>
        <v>0</v>
      </c>
      <c r="J63" s="229">
        <f t="shared" ref="J63:BA63" si="46">+J61+J60+J59</f>
        <v>0</v>
      </c>
      <c r="K63" s="229">
        <f t="shared" si="46"/>
        <v>0</v>
      </c>
      <c r="L63" s="229">
        <f t="shared" si="46"/>
        <v>0</v>
      </c>
      <c r="M63" s="229">
        <f t="shared" si="46"/>
        <v>0</v>
      </c>
      <c r="N63" s="229">
        <f t="shared" si="46"/>
        <v>0</v>
      </c>
      <c r="O63" s="229">
        <f t="shared" si="46"/>
        <v>0</v>
      </c>
      <c r="P63" s="229">
        <f t="shared" si="46"/>
        <v>0</v>
      </c>
      <c r="Q63" s="229">
        <f t="shared" si="46"/>
        <v>0</v>
      </c>
      <c r="R63" s="229">
        <f t="shared" si="46"/>
        <v>0</v>
      </c>
      <c r="S63" s="229">
        <f t="shared" si="46"/>
        <v>0</v>
      </c>
      <c r="T63" s="229">
        <f t="shared" si="46"/>
        <v>0</v>
      </c>
      <c r="U63" s="229">
        <f t="shared" si="46"/>
        <v>0</v>
      </c>
      <c r="V63" s="229">
        <f t="shared" si="46"/>
        <v>0</v>
      </c>
      <c r="W63" s="229">
        <f t="shared" si="46"/>
        <v>0</v>
      </c>
      <c r="X63" s="229">
        <f t="shared" si="46"/>
        <v>0</v>
      </c>
      <c r="Y63" s="229">
        <f t="shared" si="46"/>
        <v>0</v>
      </c>
      <c r="Z63" s="229">
        <f t="shared" si="46"/>
        <v>0</v>
      </c>
      <c r="AA63" s="229">
        <f t="shared" si="46"/>
        <v>0</v>
      </c>
      <c r="AB63" s="229">
        <f t="shared" si="46"/>
        <v>0</v>
      </c>
      <c r="AC63" s="229">
        <f t="shared" si="46"/>
        <v>0</v>
      </c>
      <c r="AD63" s="229">
        <f t="shared" si="46"/>
        <v>0</v>
      </c>
      <c r="AE63" s="229">
        <f t="shared" si="46"/>
        <v>0</v>
      </c>
      <c r="AF63" s="229">
        <f t="shared" si="46"/>
        <v>0</v>
      </c>
      <c r="AG63" s="229">
        <f t="shared" si="46"/>
        <v>0</v>
      </c>
      <c r="AH63" s="229">
        <f t="shared" si="46"/>
        <v>0</v>
      </c>
      <c r="AI63" s="229">
        <f t="shared" si="46"/>
        <v>0</v>
      </c>
      <c r="AJ63" s="229">
        <f t="shared" si="46"/>
        <v>0</v>
      </c>
      <c r="AK63" s="229">
        <f t="shared" si="46"/>
        <v>0</v>
      </c>
      <c r="AL63" s="229">
        <f t="shared" si="46"/>
        <v>0</v>
      </c>
      <c r="AM63" s="229">
        <f t="shared" si="46"/>
        <v>0</v>
      </c>
      <c r="AN63" s="229">
        <f t="shared" si="46"/>
        <v>0</v>
      </c>
      <c r="AO63" s="229">
        <f t="shared" si="46"/>
        <v>0</v>
      </c>
      <c r="AP63" s="229">
        <f t="shared" si="46"/>
        <v>0</v>
      </c>
      <c r="AQ63" s="229">
        <f t="shared" si="46"/>
        <v>0</v>
      </c>
      <c r="AR63" s="229">
        <f t="shared" si="46"/>
        <v>0</v>
      </c>
      <c r="AS63" s="229">
        <f t="shared" si="46"/>
        <v>0</v>
      </c>
      <c r="AT63" s="229">
        <f t="shared" si="46"/>
        <v>0</v>
      </c>
      <c r="AU63" s="229">
        <f t="shared" si="46"/>
        <v>0</v>
      </c>
      <c r="AV63" s="229">
        <f t="shared" si="46"/>
        <v>0</v>
      </c>
      <c r="AW63" s="229">
        <f t="shared" si="46"/>
        <v>0</v>
      </c>
      <c r="AX63" s="229">
        <f t="shared" si="46"/>
        <v>0</v>
      </c>
      <c r="AY63" s="229">
        <f t="shared" si="46"/>
        <v>0</v>
      </c>
      <c r="AZ63" s="229">
        <f t="shared" si="46"/>
        <v>0</v>
      </c>
      <c r="BA63" s="229">
        <f t="shared" si="46"/>
        <v>0</v>
      </c>
    </row>
    <row r="64" spans="2:53" x14ac:dyDescent="0.25">
      <c r="B64" s="230" t="s">
        <v>179</v>
      </c>
      <c r="C64" s="230" t="s">
        <v>180</v>
      </c>
      <c r="D64" s="231">
        <f t="shared" ref="D64:AI64" si="47">+D58+D63</f>
        <v>254479600</v>
      </c>
      <c r="E64" s="231">
        <f t="shared" si="47"/>
        <v>933503000</v>
      </c>
      <c r="F64" s="231">
        <f t="shared" si="47"/>
        <v>1187982600</v>
      </c>
      <c r="G64" s="231">
        <f t="shared" si="47"/>
        <v>0</v>
      </c>
      <c r="H64" s="231">
        <f t="shared" si="47"/>
        <v>0</v>
      </c>
      <c r="I64" s="231">
        <f t="shared" si="47"/>
        <v>0</v>
      </c>
      <c r="J64" s="231">
        <f t="shared" si="47"/>
        <v>86440000</v>
      </c>
      <c r="K64" s="231">
        <f t="shared" si="47"/>
        <v>0</v>
      </c>
      <c r="L64" s="231">
        <f t="shared" si="47"/>
        <v>10600000</v>
      </c>
      <c r="M64" s="231">
        <f t="shared" si="47"/>
        <v>0</v>
      </c>
      <c r="N64" s="231">
        <f t="shared" si="47"/>
        <v>7047000</v>
      </c>
      <c r="O64" s="231">
        <f t="shared" si="47"/>
        <v>0</v>
      </c>
      <c r="P64" s="231">
        <f t="shared" si="47"/>
        <v>0</v>
      </c>
      <c r="Q64" s="231">
        <f t="shared" si="47"/>
        <v>0</v>
      </c>
      <c r="R64" s="231">
        <f t="shared" si="47"/>
        <v>21844000</v>
      </c>
      <c r="S64" s="231">
        <f t="shared" si="47"/>
        <v>0</v>
      </c>
      <c r="T64" s="231">
        <f t="shared" si="47"/>
        <v>10859000</v>
      </c>
      <c r="U64" s="231">
        <f t="shared" si="47"/>
        <v>0</v>
      </c>
      <c r="V64" s="231">
        <f t="shared" si="47"/>
        <v>8128000</v>
      </c>
      <c r="W64" s="231">
        <f t="shared" si="47"/>
        <v>0</v>
      </c>
      <c r="X64" s="231">
        <f t="shared" si="47"/>
        <v>40214600</v>
      </c>
      <c r="Y64" s="231">
        <f t="shared" si="47"/>
        <v>0</v>
      </c>
      <c r="Z64" s="231">
        <f t="shared" si="47"/>
        <v>24321000</v>
      </c>
      <c r="AA64" s="231">
        <f t="shared" si="47"/>
        <v>0</v>
      </c>
      <c r="AB64" s="231">
        <f t="shared" si="47"/>
        <v>39459000</v>
      </c>
      <c r="AC64" s="231">
        <f t="shared" si="47"/>
        <v>0</v>
      </c>
      <c r="AD64" s="231">
        <f t="shared" si="47"/>
        <v>2287000</v>
      </c>
      <c r="AE64" s="231">
        <f t="shared" si="47"/>
        <v>0</v>
      </c>
      <c r="AF64" s="231">
        <f t="shared" si="47"/>
        <v>635000</v>
      </c>
      <c r="AG64" s="231">
        <f t="shared" si="47"/>
        <v>0</v>
      </c>
      <c r="AH64" s="231">
        <f t="shared" si="47"/>
        <v>495000</v>
      </c>
      <c r="AI64" s="231">
        <f t="shared" si="47"/>
        <v>0</v>
      </c>
      <c r="AJ64" s="231">
        <f t="shared" ref="AJ64:BA64" si="48">+AJ58+AJ63</f>
        <v>2150000</v>
      </c>
      <c r="AK64" s="231">
        <f t="shared" si="48"/>
        <v>0</v>
      </c>
      <c r="AL64" s="231">
        <f t="shared" si="48"/>
        <v>12000000</v>
      </c>
      <c r="AM64" s="231">
        <f t="shared" si="48"/>
        <v>0</v>
      </c>
      <c r="AN64" s="231">
        <f t="shared" si="48"/>
        <v>0</v>
      </c>
      <c r="AO64" s="231">
        <f t="shared" si="48"/>
        <v>0</v>
      </c>
      <c r="AP64" s="231">
        <f t="shared" si="48"/>
        <v>893099000</v>
      </c>
      <c r="AQ64" s="231">
        <f t="shared" si="48"/>
        <v>0</v>
      </c>
      <c r="AR64" s="231">
        <f t="shared" si="48"/>
        <v>19200000</v>
      </c>
      <c r="AS64" s="231">
        <f t="shared" si="48"/>
        <v>0</v>
      </c>
      <c r="AT64" s="231">
        <f t="shared" si="48"/>
        <v>2454000</v>
      </c>
      <c r="AU64" s="231">
        <f t="shared" si="48"/>
        <v>0</v>
      </c>
      <c r="AV64" s="231">
        <f t="shared" si="48"/>
        <v>2000000</v>
      </c>
      <c r="AW64" s="231">
        <f t="shared" si="48"/>
        <v>0</v>
      </c>
      <c r="AX64" s="231">
        <f t="shared" si="48"/>
        <v>4300000</v>
      </c>
      <c r="AY64" s="231">
        <f t="shared" si="48"/>
        <v>0</v>
      </c>
      <c r="AZ64" s="231">
        <f t="shared" si="48"/>
        <v>450000</v>
      </c>
      <c r="BA64" s="231">
        <f t="shared" si="48"/>
        <v>0</v>
      </c>
    </row>
    <row r="65" spans="2:54" s="232" customFormat="1" ht="12.75" x14ac:dyDescent="0.2">
      <c r="B65" s="233"/>
      <c r="C65" s="233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  <c r="R65" s="234"/>
      <c r="S65" s="234"/>
      <c r="T65" s="234"/>
      <c r="U65" s="234"/>
      <c r="V65" s="234"/>
      <c r="W65" s="234"/>
      <c r="X65" s="234"/>
      <c r="Y65" s="234"/>
      <c r="Z65" s="234"/>
      <c r="AA65" s="234"/>
      <c r="AB65" s="234"/>
      <c r="AC65" s="234"/>
      <c r="AD65" s="234"/>
      <c r="AE65" s="234"/>
      <c r="AF65" s="234"/>
      <c r="AG65" s="234"/>
      <c r="AH65" s="234"/>
      <c r="AI65" s="234"/>
      <c r="AJ65" s="234"/>
      <c r="AK65" s="234"/>
      <c r="AL65" s="234"/>
      <c r="AM65" s="234"/>
      <c r="AN65" s="234"/>
      <c r="AO65" s="234"/>
      <c r="AP65" s="234"/>
      <c r="AQ65" s="234"/>
      <c r="AR65" s="234"/>
      <c r="AS65" s="234"/>
      <c r="AT65" s="234"/>
      <c r="AU65" s="234"/>
      <c r="AV65" s="234"/>
      <c r="AW65" s="234"/>
      <c r="AX65" s="234"/>
      <c r="AY65" s="234"/>
      <c r="AZ65" s="234"/>
      <c r="BA65" s="234"/>
    </row>
    <row r="66" spans="2:54" s="187" customFormat="1" ht="13.5" customHeight="1" x14ac:dyDescent="0.2">
      <c r="B66" s="235"/>
      <c r="J66" s="476"/>
      <c r="K66" s="476"/>
      <c r="L66" s="476"/>
      <c r="M66" s="476"/>
      <c r="N66" s="476"/>
      <c r="R66" s="236"/>
      <c r="S66" s="236"/>
      <c r="T66" s="236"/>
      <c r="U66" s="236"/>
      <c r="V66" s="236"/>
      <c r="W66" s="236"/>
      <c r="Z66" s="236"/>
      <c r="AA66" s="236"/>
      <c r="AB66" s="236"/>
      <c r="AC66" s="236"/>
      <c r="AD66" s="236"/>
      <c r="AE66" s="236"/>
      <c r="AH66" s="236"/>
      <c r="AI66" s="236"/>
      <c r="AJ66" s="236"/>
      <c r="AK66" s="236"/>
      <c r="AL66" s="476"/>
      <c r="AM66" s="476"/>
      <c r="AN66" s="476"/>
      <c r="AP66" s="476"/>
      <c r="AQ66" s="476"/>
      <c r="AR66" s="476"/>
      <c r="AS66" s="476"/>
      <c r="AT66" s="476"/>
      <c r="AU66" s="476"/>
      <c r="AV66" s="476"/>
      <c r="AW66" s="476"/>
      <c r="AX66" s="476"/>
      <c r="AY66" s="476"/>
      <c r="AZ66" s="476"/>
      <c r="BB66" s="237"/>
    </row>
    <row r="67" spans="2:54" s="191" customFormat="1" ht="94.15" customHeight="1" x14ac:dyDescent="0.25">
      <c r="B67" s="171" t="s">
        <v>14</v>
      </c>
      <c r="C67" s="172" t="s">
        <v>41</v>
      </c>
      <c r="D67" s="194" t="s">
        <v>590</v>
      </c>
      <c r="E67" s="194" t="s">
        <v>591</v>
      </c>
      <c r="F67" s="172" t="s">
        <v>592</v>
      </c>
      <c r="G67" s="194" t="s">
        <v>590</v>
      </c>
      <c r="H67" s="194" t="s">
        <v>591</v>
      </c>
      <c r="I67" s="172" t="s">
        <v>592</v>
      </c>
      <c r="J67" s="473" t="s">
        <v>593</v>
      </c>
      <c r="K67" s="473"/>
      <c r="L67" s="473" t="s">
        <v>594</v>
      </c>
      <c r="M67" s="473"/>
      <c r="N67" s="473" t="s">
        <v>595</v>
      </c>
      <c r="O67" s="473"/>
      <c r="P67" s="473" t="s">
        <v>596</v>
      </c>
      <c r="Q67" s="473"/>
      <c r="R67" s="473" t="s">
        <v>597</v>
      </c>
      <c r="S67" s="473"/>
      <c r="T67" s="473" t="s">
        <v>598</v>
      </c>
      <c r="U67" s="473"/>
      <c r="V67" s="473" t="s">
        <v>599</v>
      </c>
      <c r="W67" s="473"/>
      <c r="X67" s="473" t="s">
        <v>600</v>
      </c>
      <c r="Y67" s="473"/>
      <c r="Z67" s="473" t="s">
        <v>601</v>
      </c>
      <c r="AA67" s="473"/>
      <c r="AB67" s="473" t="s">
        <v>602</v>
      </c>
      <c r="AC67" s="473"/>
      <c r="AD67" s="473" t="s">
        <v>603</v>
      </c>
      <c r="AE67" s="473"/>
      <c r="AF67" s="473" t="s">
        <v>604</v>
      </c>
      <c r="AG67" s="473"/>
      <c r="AH67" s="473" t="s">
        <v>605</v>
      </c>
      <c r="AI67" s="473"/>
      <c r="AJ67" s="473" t="s">
        <v>606</v>
      </c>
      <c r="AK67" s="473"/>
      <c r="AL67" s="473" t="s">
        <v>607</v>
      </c>
      <c r="AM67" s="473"/>
      <c r="AN67" s="473" t="s">
        <v>608</v>
      </c>
      <c r="AO67" s="473"/>
      <c r="AP67" s="473" t="s">
        <v>609</v>
      </c>
      <c r="AQ67" s="473"/>
      <c r="AR67" s="473" t="s">
        <v>610</v>
      </c>
      <c r="AS67" s="473"/>
      <c r="AT67" s="473" t="s">
        <v>611</v>
      </c>
      <c r="AU67" s="473"/>
      <c r="AV67" s="473" t="s">
        <v>612</v>
      </c>
      <c r="AW67" s="473"/>
      <c r="AX67" s="473" t="s">
        <v>613</v>
      </c>
      <c r="AY67" s="473"/>
      <c r="AZ67" s="473" t="s">
        <v>614</v>
      </c>
      <c r="BA67" s="473"/>
    </row>
    <row r="68" spans="2:54" s="238" customFormat="1" ht="12.75" hidden="1" x14ac:dyDescent="0.2">
      <c r="B68" s="201" t="s">
        <v>627</v>
      </c>
      <c r="C68" s="218" t="s">
        <v>195</v>
      </c>
      <c r="D68" s="239">
        <f t="shared" ref="D68:D73" si="49">+J68+L68+N68+P68+R68+T68+V68+X68+Z68+AB68+AD68+AF68+AH68+AJ68</f>
        <v>0</v>
      </c>
      <c r="E68" s="198">
        <f t="shared" ref="E68:E75" si="50">+AL68+AN68+AP68+AR68+AV68+AX68+AZ68+AT68</f>
        <v>0</v>
      </c>
      <c r="F68" s="199">
        <f t="shared" ref="F68:F73" si="51">+E68+D68</f>
        <v>0</v>
      </c>
      <c r="G68" s="197">
        <f t="shared" ref="G68:G73" si="52">+K68+M68+O68+Q68+S68+U68+W68+Y68+AA68+AC68+AE68+AG68+AI68+AK68</f>
        <v>0</v>
      </c>
      <c r="H68" s="198">
        <f t="shared" ref="H68:H73" si="53">+BA68+AY68+AW68+AU68+AS68+AQ68+AO68+AM68</f>
        <v>0</v>
      </c>
      <c r="I68" s="199">
        <f t="shared" ref="I68:I73" si="54">+H68+G68</f>
        <v>0</v>
      </c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239"/>
      <c r="AN68" s="239"/>
      <c r="AO68" s="239"/>
      <c r="AP68" s="239"/>
      <c r="AQ68" s="239"/>
      <c r="AR68" s="239"/>
      <c r="AS68" s="239"/>
      <c r="AT68" s="239"/>
      <c r="AU68" s="239"/>
      <c r="AV68" s="239"/>
      <c r="AW68" s="239"/>
      <c r="AX68" s="239"/>
      <c r="AY68" s="239"/>
      <c r="AZ68" s="239"/>
      <c r="BA68" s="239"/>
    </row>
    <row r="69" spans="2:54" hidden="1" x14ac:dyDescent="0.25">
      <c r="B69" s="201" t="s">
        <v>196</v>
      </c>
      <c r="C69" s="218" t="s">
        <v>197</v>
      </c>
      <c r="D69" s="197">
        <f t="shared" si="49"/>
        <v>0</v>
      </c>
      <c r="E69" s="198">
        <f t="shared" si="50"/>
        <v>0</v>
      </c>
      <c r="F69" s="199">
        <f t="shared" si="51"/>
        <v>0</v>
      </c>
      <c r="G69" s="197">
        <f t="shared" si="52"/>
        <v>0</v>
      </c>
      <c r="H69" s="198">
        <f t="shared" si="53"/>
        <v>0</v>
      </c>
      <c r="I69" s="199">
        <f t="shared" si="54"/>
        <v>0</v>
      </c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99"/>
      <c r="AS69" s="199"/>
      <c r="AT69" s="199"/>
      <c r="AU69" s="199"/>
      <c r="AV69" s="199"/>
      <c r="AW69" s="199"/>
      <c r="AX69" s="199"/>
      <c r="AY69" s="199"/>
      <c r="AZ69" s="199"/>
      <c r="BA69" s="199"/>
    </row>
    <row r="70" spans="2:54" ht="27.75" hidden="1" customHeight="1" x14ac:dyDescent="0.25">
      <c r="B70" s="201" t="s">
        <v>628</v>
      </c>
      <c r="C70" s="218" t="s">
        <v>199</v>
      </c>
      <c r="D70" s="197">
        <f t="shared" si="49"/>
        <v>0</v>
      </c>
      <c r="E70" s="198">
        <f t="shared" si="50"/>
        <v>0</v>
      </c>
      <c r="F70" s="199">
        <f t="shared" si="51"/>
        <v>0</v>
      </c>
      <c r="G70" s="197">
        <f t="shared" si="52"/>
        <v>0</v>
      </c>
      <c r="H70" s="198">
        <f t="shared" si="53"/>
        <v>0</v>
      </c>
      <c r="I70" s="199">
        <f t="shared" si="54"/>
        <v>0</v>
      </c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</row>
    <row r="71" spans="2:54" ht="27.75" hidden="1" customHeight="1" x14ac:dyDescent="0.25">
      <c r="B71" s="201" t="s">
        <v>629</v>
      </c>
      <c r="C71" s="218" t="s">
        <v>201</v>
      </c>
      <c r="D71" s="197">
        <f t="shared" si="49"/>
        <v>0</v>
      </c>
      <c r="E71" s="198">
        <f t="shared" si="50"/>
        <v>0</v>
      </c>
      <c r="F71" s="199">
        <f t="shared" si="51"/>
        <v>0</v>
      </c>
      <c r="G71" s="197">
        <f t="shared" si="52"/>
        <v>0</v>
      </c>
      <c r="H71" s="198">
        <f t="shared" si="53"/>
        <v>0</v>
      </c>
      <c r="I71" s="199">
        <f t="shared" si="54"/>
        <v>0</v>
      </c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199"/>
      <c r="AT71" s="199"/>
      <c r="AU71" s="199"/>
      <c r="AV71" s="199"/>
      <c r="AW71" s="199"/>
      <c r="AX71" s="199"/>
      <c r="AY71" s="199"/>
      <c r="AZ71" s="199"/>
      <c r="BA71" s="199"/>
    </row>
    <row r="72" spans="2:54" ht="26.25" hidden="1" customHeight="1" x14ac:dyDescent="0.25">
      <c r="B72" s="201" t="s">
        <v>630</v>
      </c>
      <c r="C72" s="218" t="s">
        <v>203</v>
      </c>
      <c r="D72" s="197">
        <f t="shared" si="49"/>
        <v>0</v>
      </c>
      <c r="E72" s="198">
        <f t="shared" si="50"/>
        <v>0</v>
      </c>
      <c r="F72" s="199">
        <f t="shared" si="51"/>
        <v>0</v>
      </c>
      <c r="G72" s="197">
        <f t="shared" si="52"/>
        <v>0</v>
      </c>
      <c r="H72" s="198">
        <f t="shared" si="53"/>
        <v>0</v>
      </c>
      <c r="I72" s="199">
        <f t="shared" si="54"/>
        <v>0</v>
      </c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</row>
    <row r="73" spans="2:54" ht="25.5" x14ac:dyDescent="0.25">
      <c r="B73" s="201" t="s">
        <v>204</v>
      </c>
      <c r="C73" s="218" t="s">
        <v>205</v>
      </c>
      <c r="D73" s="197">
        <f t="shared" si="49"/>
        <v>0</v>
      </c>
      <c r="E73" s="198">
        <f t="shared" si="50"/>
        <v>0</v>
      </c>
      <c r="F73" s="199">
        <f t="shared" si="51"/>
        <v>0</v>
      </c>
      <c r="G73" s="197">
        <f t="shared" si="52"/>
        <v>0</v>
      </c>
      <c r="H73" s="198">
        <f t="shared" si="53"/>
        <v>0</v>
      </c>
      <c r="I73" s="199">
        <f t="shared" si="54"/>
        <v>0</v>
      </c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  <c r="AG73" s="197"/>
      <c r="AH73" s="197"/>
      <c r="AI73" s="197"/>
      <c r="AJ73" s="197"/>
      <c r="AK73" s="197"/>
      <c r="AL73" s="197"/>
      <c r="AM73" s="197"/>
      <c r="AN73" s="197"/>
      <c r="AO73" s="197"/>
      <c r="AP73" s="197"/>
      <c r="AQ73" s="197">
        <v>0</v>
      </c>
      <c r="AR73" s="197"/>
      <c r="AS73" s="197"/>
      <c r="AT73" s="197"/>
      <c r="AU73" s="197"/>
      <c r="AV73" s="197"/>
      <c r="AW73" s="197"/>
      <c r="AX73" s="197"/>
      <c r="AY73" s="197"/>
      <c r="AZ73" s="197"/>
      <c r="BA73" s="197"/>
    </row>
    <row r="74" spans="2:54" s="202" customFormat="1" ht="12.75" x14ac:dyDescent="0.2">
      <c r="B74" s="206" t="s">
        <v>206</v>
      </c>
      <c r="C74" s="219" t="s">
        <v>207</v>
      </c>
      <c r="D74" s="205">
        <f>+D73+D72+D71+D70+D69+D68</f>
        <v>0</v>
      </c>
      <c r="E74" s="240">
        <f t="shared" si="50"/>
        <v>0</v>
      </c>
      <c r="F74" s="205">
        <f t="shared" ref="F74:BA74" si="55">+F73+F72+F71+F70+F69+F68</f>
        <v>0</v>
      </c>
      <c r="G74" s="205">
        <f t="shared" si="55"/>
        <v>0</v>
      </c>
      <c r="H74" s="205">
        <f t="shared" si="55"/>
        <v>0</v>
      </c>
      <c r="I74" s="205">
        <f t="shared" si="55"/>
        <v>0</v>
      </c>
      <c r="J74" s="205">
        <f t="shared" si="55"/>
        <v>0</v>
      </c>
      <c r="K74" s="205">
        <f t="shared" si="55"/>
        <v>0</v>
      </c>
      <c r="L74" s="205">
        <f t="shared" si="55"/>
        <v>0</v>
      </c>
      <c r="M74" s="205">
        <f t="shared" si="55"/>
        <v>0</v>
      </c>
      <c r="N74" s="205">
        <f t="shared" si="55"/>
        <v>0</v>
      </c>
      <c r="O74" s="205">
        <f t="shared" si="55"/>
        <v>0</v>
      </c>
      <c r="P74" s="205">
        <f t="shared" si="55"/>
        <v>0</v>
      </c>
      <c r="Q74" s="205">
        <f t="shared" si="55"/>
        <v>0</v>
      </c>
      <c r="R74" s="205">
        <f t="shared" si="55"/>
        <v>0</v>
      </c>
      <c r="S74" s="205">
        <f t="shared" si="55"/>
        <v>0</v>
      </c>
      <c r="T74" s="205">
        <f t="shared" si="55"/>
        <v>0</v>
      </c>
      <c r="U74" s="205">
        <f t="shared" si="55"/>
        <v>0</v>
      </c>
      <c r="V74" s="205">
        <f t="shared" si="55"/>
        <v>0</v>
      </c>
      <c r="W74" s="205">
        <f t="shared" si="55"/>
        <v>0</v>
      </c>
      <c r="X74" s="205">
        <f t="shared" si="55"/>
        <v>0</v>
      </c>
      <c r="Y74" s="205">
        <f t="shared" si="55"/>
        <v>0</v>
      </c>
      <c r="Z74" s="205">
        <f t="shared" si="55"/>
        <v>0</v>
      </c>
      <c r="AA74" s="205">
        <f t="shared" si="55"/>
        <v>0</v>
      </c>
      <c r="AB74" s="205">
        <f t="shared" si="55"/>
        <v>0</v>
      </c>
      <c r="AC74" s="205">
        <f t="shared" si="55"/>
        <v>0</v>
      </c>
      <c r="AD74" s="205">
        <f t="shared" si="55"/>
        <v>0</v>
      </c>
      <c r="AE74" s="205">
        <f t="shared" si="55"/>
        <v>0</v>
      </c>
      <c r="AF74" s="205">
        <f t="shared" si="55"/>
        <v>0</v>
      </c>
      <c r="AG74" s="205">
        <f t="shared" si="55"/>
        <v>0</v>
      </c>
      <c r="AH74" s="205">
        <f t="shared" si="55"/>
        <v>0</v>
      </c>
      <c r="AI74" s="205">
        <f t="shared" si="55"/>
        <v>0</v>
      </c>
      <c r="AJ74" s="205">
        <f t="shared" si="55"/>
        <v>0</v>
      </c>
      <c r="AK74" s="205">
        <f t="shared" si="55"/>
        <v>0</v>
      </c>
      <c r="AL74" s="205">
        <f t="shared" si="55"/>
        <v>0</v>
      </c>
      <c r="AM74" s="205">
        <f t="shared" si="55"/>
        <v>0</v>
      </c>
      <c r="AN74" s="205">
        <f t="shared" si="55"/>
        <v>0</v>
      </c>
      <c r="AO74" s="205">
        <f t="shared" si="55"/>
        <v>0</v>
      </c>
      <c r="AP74" s="205">
        <f t="shared" si="55"/>
        <v>0</v>
      </c>
      <c r="AQ74" s="205">
        <f t="shared" si="55"/>
        <v>0</v>
      </c>
      <c r="AR74" s="205">
        <f t="shared" si="55"/>
        <v>0</v>
      </c>
      <c r="AS74" s="205">
        <f t="shared" si="55"/>
        <v>0</v>
      </c>
      <c r="AT74" s="205">
        <f t="shared" si="55"/>
        <v>0</v>
      </c>
      <c r="AU74" s="205">
        <f t="shared" si="55"/>
        <v>0</v>
      </c>
      <c r="AV74" s="205">
        <f t="shared" si="55"/>
        <v>0</v>
      </c>
      <c r="AW74" s="205">
        <f t="shared" si="55"/>
        <v>0</v>
      </c>
      <c r="AX74" s="205">
        <f t="shared" si="55"/>
        <v>0</v>
      </c>
      <c r="AY74" s="205">
        <f t="shared" si="55"/>
        <v>0</v>
      </c>
      <c r="AZ74" s="205">
        <f t="shared" si="55"/>
        <v>0</v>
      </c>
      <c r="BA74" s="205">
        <f t="shared" si="55"/>
        <v>0</v>
      </c>
    </row>
    <row r="75" spans="2:54" s="202" customFormat="1" ht="12.75" x14ac:dyDescent="0.2">
      <c r="B75" s="206" t="s">
        <v>208</v>
      </c>
      <c r="C75" s="219" t="s">
        <v>209</v>
      </c>
      <c r="D75" s="207">
        <f t="shared" ref="D75:D81" si="56">+J75+L75+N75+P75+R75+T75+V75+X75+Z75+AB75+AD75+AF75+AH75+AJ75</f>
        <v>0</v>
      </c>
      <c r="E75" s="208">
        <f t="shared" si="50"/>
        <v>0</v>
      </c>
      <c r="F75" s="205">
        <f t="shared" ref="F75:F81" si="57">+E75+D75</f>
        <v>0</v>
      </c>
      <c r="G75" s="209">
        <f>+K75+M75+O75+Q75+S75+U75+W75+Y75+AA75+AC75+AE75+AG75+AI75+AK75</f>
        <v>0</v>
      </c>
      <c r="H75" s="210">
        <f>+BA75+AY75+AW75+AU75+AS75+AQ75+AO75+AM75</f>
        <v>0</v>
      </c>
      <c r="I75" s="205">
        <f t="shared" ref="I75:I81" si="58">+H75+G75</f>
        <v>0</v>
      </c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07"/>
      <c r="AC75" s="207"/>
      <c r="AD75" s="207"/>
      <c r="AE75" s="207"/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07"/>
      <c r="AU75" s="207"/>
      <c r="AV75" s="207"/>
      <c r="AW75" s="207"/>
      <c r="AX75" s="207"/>
      <c r="AY75" s="207"/>
      <c r="AZ75" s="207"/>
      <c r="BA75" s="207"/>
    </row>
    <row r="76" spans="2:54" ht="15" hidden="1" customHeight="1" x14ac:dyDescent="0.25">
      <c r="B76" s="201" t="s">
        <v>210</v>
      </c>
      <c r="C76" s="218" t="s">
        <v>211</v>
      </c>
      <c r="D76" s="197">
        <f t="shared" si="56"/>
        <v>0</v>
      </c>
      <c r="E76" s="197">
        <f t="shared" ref="E76:E81" si="59">+AL76+AN76+AP76+AR76+AV76+AX76+AZ76</f>
        <v>0</v>
      </c>
      <c r="F76" s="199">
        <f t="shared" si="57"/>
        <v>0</v>
      </c>
      <c r="G76" s="197">
        <f t="shared" ref="G76:G81" si="60">+P76+R76+T76+V76+X76+Z76+AB76+AD76+AF76+AH76+AJ76+AL76+AN76+AP76</f>
        <v>0</v>
      </c>
      <c r="H76" s="197">
        <f t="shared" ref="H76:H81" si="61">+AR76+AT76+AV76+AX76+BB76+BC76+BD76</f>
        <v>0</v>
      </c>
      <c r="I76" s="199">
        <f t="shared" si="58"/>
        <v>0</v>
      </c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197"/>
      <c r="AR76" s="197"/>
      <c r="AS76" s="197"/>
      <c r="AT76" s="197"/>
      <c r="AU76" s="197"/>
      <c r="AV76" s="197"/>
      <c r="AW76" s="197"/>
      <c r="AX76" s="197"/>
      <c r="AY76" s="197"/>
      <c r="AZ76" s="197"/>
      <c r="BA76" s="197"/>
    </row>
    <row r="77" spans="2:54" ht="15" hidden="1" customHeight="1" x14ac:dyDescent="0.25">
      <c r="B77" s="201" t="s">
        <v>212</v>
      </c>
      <c r="C77" s="218" t="s">
        <v>213</v>
      </c>
      <c r="D77" s="197">
        <f t="shared" si="56"/>
        <v>0</v>
      </c>
      <c r="E77" s="197">
        <f t="shared" si="59"/>
        <v>0</v>
      </c>
      <c r="F77" s="199">
        <f t="shared" si="57"/>
        <v>0</v>
      </c>
      <c r="G77" s="197">
        <f t="shared" si="60"/>
        <v>0</v>
      </c>
      <c r="H77" s="197">
        <f t="shared" si="61"/>
        <v>0</v>
      </c>
      <c r="I77" s="199">
        <f t="shared" si="58"/>
        <v>0</v>
      </c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  <c r="AR77" s="197"/>
      <c r="AS77" s="197"/>
      <c r="AT77" s="197"/>
      <c r="AU77" s="197"/>
      <c r="AV77" s="197"/>
      <c r="AW77" s="197"/>
      <c r="AX77" s="197"/>
      <c r="AY77" s="197"/>
      <c r="AZ77" s="197"/>
      <c r="BA77" s="197"/>
    </row>
    <row r="78" spans="2:54" ht="15" hidden="1" customHeight="1" x14ac:dyDescent="0.25">
      <c r="B78" s="201" t="s">
        <v>214</v>
      </c>
      <c r="C78" s="218" t="s">
        <v>215</v>
      </c>
      <c r="D78" s="197">
        <f t="shared" si="56"/>
        <v>0</v>
      </c>
      <c r="E78" s="197">
        <f t="shared" si="59"/>
        <v>0</v>
      </c>
      <c r="F78" s="199">
        <f t="shared" si="57"/>
        <v>0</v>
      </c>
      <c r="G78" s="197">
        <f t="shared" si="60"/>
        <v>0</v>
      </c>
      <c r="H78" s="197">
        <f t="shared" si="61"/>
        <v>0</v>
      </c>
      <c r="I78" s="199">
        <f t="shared" si="58"/>
        <v>0</v>
      </c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7"/>
      <c r="AT78" s="197"/>
      <c r="AU78" s="197"/>
      <c r="AV78" s="197"/>
      <c r="AW78" s="197"/>
      <c r="AX78" s="197"/>
      <c r="AY78" s="197"/>
      <c r="AZ78" s="197"/>
      <c r="BA78" s="197"/>
    </row>
    <row r="79" spans="2:54" ht="15" hidden="1" customHeight="1" x14ac:dyDescent="0.25">
      <c r="B79" s="201" t="s">
        <v>216</v>
      </c>
      <c r="C79" s="218" t="s">
        <v>217</v>
      </c>
      <c r="D79" s="197">
        <f t="shared" si="56"/>
        <v>0</v>
      </c>
      <c r="E79" s="197">
        <f t="shared" si="59"/>
        <v>0</v>
      </c>
      <c r="F79" s="199">
        <f t="shared" si="57"/>
        <v>0</v>
      </c>
      <c r="G79" s="197">
        <f t="shared" si="60"/>
        <v>0</v>
      </c>
      <c r="H79" s="197">
        <f t="shared" si="61"/>
        <v>0</v>
      </c>
      <c r="I79" s="199">
        <f t="shared" si="58"/>
        <v>0</v>
      </c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7"/>
      <c r="AT79" s="197"/>
      <c r="AU79" s="197"/>
      <c r="AV79" s="197"/>
      <c r="AW79" s="197"/>
      <c r="AX79" s="197"/>
      <c r="AY79" s="197"/>
      <c r="AZ79" s="197"/>
      <c r="BA79" s="197"/>
    </row>
    <row r="80" spans="2:54" ht="15" hidden="1" customHeight="1" x14ac:dyDescent="0.25">
      <c r="B80" s="201" t="s">
        <v>218</v>
      </c>
      <c r="C80" s="218" t="s">
        <v>219</v>
      </c>
      <c r="D80" s="197">
        <f t="shared" si="56"/>
        <v>0</v>
      </c>
      <c r="E80" s="197">
        <f t="shared" si="59"/>
        <v>0</v>
      </c>
      <c r="F80" s="199">
        <f t="shared" si="57"/>
        <v>0</v>
      </c>
      <c r="G80" s="197">
        <f t="shared" si="60"/>
        <v>0</v>
      </c>
      <c r="H80" s="197">
        <f t="shared" si="61"/>
        <v>0</v>
      </c>
      <c r="I80" s="199">
        <f t="shared" si="58"/>
        <v>0</v>
      </c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7"/>
      <c r="AT80" s="197"/>
      <c r="AU80" s="197"/>
      <c r="AV80" s="197"/>
      <c r="AW80" s="197"/>
      <c r="AX80" s="197"/>
      <c r="AY80" s="197"/>
      <c r="AZ80" s="197"/>
      <c r="BA80" s="197"/>
    </row>
    <row r="81" spans="2:53" ht="15" hidden="1" customHeight="1" x14ac:dyDescent="0.25">
      <c r="B81" s="201" t="s">
        <v>220</v>
      </c>
      <c r="C81" s="218" t="s">
        <v>221</v>
      </c>
      <c r="D81" s="197">
        <f t="shared" si="56"/>
        <v>0</v>
      </c>
      <c r="E81" s="197">
        <f t="shared" si="59"/>
        <v>0</v>
      </c>
      <c r="F81" s="199">
        <f t="shared" si="57"/>
        <v>0</v>
      </c>
      <c r="G81" s="197">
        <f t="shared" si="60"/>
        <v>0</v>
      </c>
      <c r="H81" s="197">
        <f t="shared" si="61"/>
        <v>0</v>
      </c>
      <c r="I81" s="199">
        <f t="shared" si="58"/>
        <v>0</v>
      </c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</row>
    <row r="82" spans="2:53" s="202" customFormat="1" ht="12.75" x14ac:dyDescent="0.2">
      <c r="B82" s="206" t="s">
        <v>222</v>
      </c>
      <c r="C82" s="219" t="s">
        <v>223</v>
      </c>
      <c r="D82" s="205">
        <f>SUM(D76:D81)</f>
        <v>0</v>
      </c>
      <c r="E82" s="240">
        <f t="shared" ref="E82:E93" si="62">+AL82+AN82+AP82+AR82+AV82+AX82+AZ82+AT82</f>
        <v>0</v>
      </c>
      <c r="F82" s="205">
        <f>SUM(F76:F81)</f>
        <v>0</v>
      </c>
      <c r="G82" s="205">
        <f>SUM(G76:G81)</f>
        <v>0</v>
      </c>
      <c r="H82" s="240">
        <f>+AR82+AT82+AV82+AX82+BB82+BC82+BD82+AZ82</f>
        <v>0</v>
      </c>
      <c r="I82" s="205">
        <f>SUM(I76:I81)</f>
        <v>0</v>
      </c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I82" s="205"/>
      <c r="AJ82" s="205"/>
      <c r="AK82" s="205"/>
      <c r="AL82" s="205"/>
      <c r="AM82" s="205"/>
      <c r="AN82" s="205"/>
      <c r="AO82" s="205"/>
      <c r="AP82" s="205"/>
      <c r="AQ82" s="205"/>
      <c r="AR82" s="205"/>
      <c r="AS82" s="205"/>
      <c r="AT82" s="205"/>
      <c r="AU82" s="205"/>
      <c r="AV82" s="205"/>
      <c r="AW82" s="205"/>
      <c r="AX82" s="205"/>
      <c r="AY82" s="205"/>
      <c r="AZ82" s="205"/>
      <c r="BA82" s="205"/>
    </row>
    <row r="83" spans="2:53" x14ac:dyDescent="0.25">
      <c r="B83" s="220" t="s">
        <v>631</v>
      </c>
      <c r="C83" s="218" t="s">
        <v>225</v>
      </c>
      <c r="D83" s="197">
        <f t="shared" ref="D83:D93" si="63">+J83+L83+N83+P83+R83+T83+V83+X83+Z83+AB83+AD83+AF83+AH83+AJ83</f>
        <v>0</v>
      </c>
      <c r="E83" s="198">
        <f t="shared" si="62"/>
        <v>0</v>
      </c>
      <c r="F83" s="199">
        <f t="shared" ref="F83:F93" si="64">+E83+D83</f>
        <v>0</v>
      </c>
      <c r="G83" s="197">
        <f t="shared" ref="G83:G93" si="65">+K83+M83+O83+Q83+S83+U83+W83+Y83+AA83+AC83+AE83+AG83+AI83+AK83</f>
        <v>0</v>
      </c>
      <c r="H83" s="198">
        <f t="shared" ref="H83:H93" si="66">+BA83+AY83+AW83+AU83+AS83+AQ83+AO83+AM83</f>
        <v>0</v>
      </c>
      <c r="I83" s="199">
        <f t="shared" ref="I83:I93" si="67">+H83+G83</f>
        <v>0</v>
      </c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197"/>
      <c r="AT83" s="197"/>
      <c r="AU83" s="197"/>
      <c r="AV83" s="197"/>
      <c r="AW83" s="197"/>
      <c r="AX83" s="197"/>
      <c r="AY83" s="197"/>
      <c r="AZ83" s="197"/>
      <c r="BA83" s="197"/>
    </row>
    <row r="84" spans="2:53" x14ac:dyDescent="0.25">
      <c r="B84" s="220" t="s">
        <v>226</v>
      </c>
      <c r="C84" s="218" t="s">
        <v>227</v>
      </c>
      <c r="D84" s="197">
        <f t="shared" si="63"/>
        <v>2000000</v>
      </c>
      <c r="E84" s="198">
        <f t="shared" si="62"/>
        <v>0</v>
      </c>
      <c r="F84" s="199">
        <f t="shared" si="64"/>
        <v>2000000</v>
      </c>
      <c r="G84" s="197">
        <f t="shared" si="65"/>
        <v>0</v>
      </c>
      <c r="H84" s="198">
        <f t="shared" si="66"/>
        <v>0</v>
      </c>
      <c r="I84" s="199">
        <f t="shared" si="67"/>
        <v>0</v>
      </c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>
        <f>1900000</f>
        <v>1900000</v>
      </c>
      <c r="W84" s="197">
        <v>0</v>
      </c>
      <c r="X84" s="197"/>
      <c r="Y84" s="197"/>
      <c r="Z84" s="197"/>
      <c r="AA84" s="197"/>
      <c r="AB84" s="197"/>
      <c r="AC84" s="197"/>
      <c r="AD84" s="197">
        <v>100000</v>
      </c>
      <c r="AE84" s="197">
        <v>0</v>
      </c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197"/>
      <c r="AT84" s="197"/>
      <c r="AU84" s="197"/>
      <c r="AV84" s="197"/>
      <c r="AW84" s="197"/>
      <c r="AX84" s="197"/>
      <c r="AY84" s="197"/>
      <c r="AZ84" s="197"/>
      <c r="BA84" s="197"/>
    </row>
    <row r="85" spans="2:53" x14ac:dyDescent="0.25">
      <c r="B85" s="220" t="s">
        <v>228</v>
      </c>
      <c r="C85" s="218" t="s">
        <v>229</v>
      </c>
      <c r="D85" s="197">
        <f t="shared" si="63"/>
        <v>0</v>
      </c>
      <c r="E85" s="198">
        <f t="shared" si="62"/>
        <v>300000</v>
      </c>
      <c r="F85" s="199">
        <f t="shared" si="64"/>
        <v>300000</v>
      </c>
      <c r="G85" s="197">
        <f t="shared" si="65"/>
        <v>0</v>
      </c>
      <c r="H85" s="198">
        <f t="shared" si="66"/>
        <v>0</v>
      </c>
      <c r="I85" s="199">
        <f t="shared" si="67"/>
        <v>0</v>
      </c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7"/>
      <c r="AR85" s="197"/>
      <c r="AS85" s="197"/>
      <c r="AT85" s="197">
        <v>300000</v>
      </c>
      <c r="AU85" s="197">
        <v>0</v>
      </c>
      <c r="AV85" s="197"/>
      <c r="AW85" s="197"/>
      <c r="AX85" s="197"/>
      <c r="AY85" s="197"/>
      <c r="AZ85" s="197"/>
      <c r="BA85" s="197"/>
    </row>
    <row r="86" spans="2:53" ht="15" customHeight="1" x14ac:dyDescent="0.25">
      <c r="B86" s="220" t="s">
        <v>230</v>
      </c>
      <c r="C86" s="218" t="s">
        <v>231</v>
      </c>
      <c r="D86" s="197">
        <f t="shared" si="63"/>
        <v>7973000</v>
      </c>
      <c r="E86" s="198">
        <f t="shared" si="62"/>
        <v>0</v>
      </c>
      <c r="F86" s="199">
        <f t="shared" si="64"/>
        <v>7973000</v>
      </c>
      <c r="G86" s="197">
        <f t="shared" si="65"/>
        <v>0</v>
      </c>
      <c r="H86" s="198">
        <f t="shared" si="66"/>
        <v>0</v>
      </c>
      <c r="I86" s="199">
        <f t="shared" si="67"/>
        <v>0</v>
      </c>
      <c r="J86" s="197"/>
      <c r="K86" s="197"/>
      <c r="L86" s="197">
        <f>7029000+378000</f>
        <v>7407000</v>
      </c>
      <c r="M86" s="197">
        <v>0</v>
      </c>
      <c r="N86" s="197"/>
      <c r="O86" s="197"/>
      <c r="P86" s="197">
        <v>566000</v>
      </c>
      <c r="Q86" s="197">
        <v>0</v>
      </c>
      <c r="R86" s="197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  <c r="AK86" s="197"/>
      <c r="AL86" s="197"/>
      <c r="AM86" s="197"/>
      <c r="AN86" s="197"/>
      <c r="AO86" s="197"/>
      <c r="AP86" s="197"/>
      <c r="AQ86" s="197"/>
      <c r="AR86" s="197"/>
      <c r="AS86" s="197"/>
      <c r="AT86" s="197"/>
      <c r="AU86" s="197"/>
      <c r="AV86" s="197"/>
      <c r="AW86" s="197"/>
      <c r="AX86" s="197"/>
      <c r="AY86" s="197"/>
      <c r="AZ86" s="197"/>
      <c r="BA86" s="197"/>
    </row>
    <row r="87" spans="2:53" ht="15" customHeight="1" x14ac:dyDescent="0.25">
      <c r="B87" s="220" t="s">
        <v>232</v>
      </c>
      <c r="C87" s="218" t="s">
        <v>233</v>
      </c>
      <c r="D87" s="197">
        <f t="shared" si="63"/>
        <v>0</v>
      </c>
      <c r="E87" s="198">
        <f t="shared" si="62"/>
        <v>0</v>
      </c>
      <c r="F87" s="199">
        <f t="shared" si="64"/>
        <v>0</v>
      </c>
      <c r="G87" s="197">
        <f t="shared" si="65"/>
        <v>0</v>
      </c>
      <c r="H87" s="198">
        <f t="shared" si="66"/>
        <v>0</v>
      </c>
      <c r="I87" s="199">
        <f t="shared" si="67"/>
        <v>0</v>
      </c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  <c r="AE87" s="197"/>
      <c r="AF87" s="197"/>
      <c r="AG87" s="197"/>
      <c r="AH87" s="197"/>
      <c r="AI87" s="197"/>
      <c r="AJ87" s="197"/>
      <c r="AK87" s="197"/>
      <c r="AL87" s="197"/>
      <c r="AM87" s="197"/>
      <c r="AN87" s="197"/>
      <c r="AO87" s="197"/>
      <c r="AP87" s="197"/>
      <c r="AQ87" s="197"/>
      <c r="AR87" s="197"/>
      <c r="AS87" s="197"/>
      <c r="AT87" s="197"/>
      <c r="AU87" s="197"/>
      <c r="AV87" s="197"/>
      <c r="AW87" s="197"/>
      <c r="AX87" s="197"/>
      <c r="AY87" s="197"/>
      <c r="AZ87" s="197"/>
      <c r="BA87" s="197"/>
    </row>
    <row r="88" spans="2:53" x14ac:dyDescent="0.25">
      <c r="B88" s="220" t="s">
        <v>234</v>
      </c>
      <c r="C88" s="218" t="s">
        <v>235</v>
      </c>
      <c r="D88" s="197">
        <f t="shared" si="63"/>
        <v>2000000</v>
      </c>
      <c r="E88" s="198">
        <f t="shared" si="62"/>
        <v>81000</v>
      </c>
      <c r="F88" s="199">
        <f t="shared" si="64"/>
        <v>2081000</v>
      </c>
      <c r="G88" s="197">
        <f t="shared" si="65"/>
        <v>0</v>
      </c>
      <c r="H88" s="198">
        <f t="shared" si="66"/>
        <v>0</v>
      </c>
      <c r="I88" s="199">
        <f t="shared" si="67"/>
        <v>0</v>
      </c>
      <c r="J88" s="197"/>
      <c r="K88" s="197"/>
      <c r="L88" s="197">
        <v>2000000</v>
      </c>
      <c r="M88" s="197">
        <v>0</v>
      </c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  <c r="AA88" s="197"/>
      <c r="AB88" s="197"/>
      <c r="AC88" s="197"/>
      <c r="AD88" s="197"/>
      <c r="AE88" s="197"/>
      <c r="AF88" s="197"/>
      <c r="AG88" s="197"/>
      <c r="AH88" s="197"/>
      <c r="AI88" s="197"/>
      <c r="AJ88" s="197"/>
      <c r="AK88" s="197"/>
      <c r="AL88" s="197"/>
      <c r="AM88" s="197"/>
      <c r="AN88" s="197"/>
      <c r="AO88" s="197"/>
      <c r="AP88" s="197"/>
      <c r="AQ88" s="197"/>
      <c r="AR88" s="197"/>
      <c r="AS88" s="197"/>
      <c r="AT88" s="197">
        <v>81000</v>
      </c>
      <c r="AU88" s="197">
        <v>0</v>
      </c>
      <c r="AV88" s="197"/>
      <c r="AW88" s="197"/>
      <c r="AX88" s="197"/>
      <c r="AY88" s="197"/>
      <c r="AZ88" s="197"/>
      <c r="BA88" s="197"/>
    </row>
    <row r="89" spans="2:53" x14ac:dyDescent="0.25">
      <c r="B89" s="220" t="s">
        <v>236</v>
      </c>
      <c r="C89" s="218" t="s">
        <v>237</v>
      </c>
      <c r="D89" s="197">
        <f t="shared" si="63"/>
        <v>0</v>
      </c>
      <c r="E89" s="198">
        <f t="shared" si="62"/>
        <v>0</v>
      </c>
      <c r="F89" s="199">
        <f t="shared" si="64"/>
        <v>0</v>
      </c>
      <c r="G89" s="197">
        <f t="shared" si="65"/>
        <v>0</v>
      </c>
      <c r="H89" s="198">
        <f t="shared" si="66"/>
        <v>0</v>
      </c>
      <c r="I89" s="199">
        <f t="shared" si="67"/>
        <v>0</v>
      </c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7"/>
      <c r="AC89" s="197"/>
      <c r="AD89" s="197"/>
      <c r="AE89" s="197"/>
      <c r="AF89" s="197"/>
      <c r="AG89" s="197"/>
      <c r="AH89" s="197"/>
      <c r="AI89" s="197"/>
      <c r="AJ89" s="197"/>
      <c r="AK89" s="197"/>
      <c r="AL89" s="197"/>
      <c r="AM89" s="197"/>
      <c r="AN89" s="197"/>
      <c r="AO89" s="197"/>
      <c r="AP89" s="197"/>
      <c r="AQ89" s="197"/>
      <c r="AR89" s="197"/>
      <c r="AS89" s="197"/>
      <c r="AT89" s="197"/>
      <c r="AU89" s="197"/>
      <c r="AV89" s="197"/>
      <c r="AW89" s="197"/>
      <c r="AX89" s="197"/>
      <c r="AY89" s="197"/>
      <c r="AZ89" s="197"/>
      <c r="BA89" s="197"/>
    </row>
    <row r="90" spans="2:53" x14ac:dyDescent="0.25">
      <c r="B90" s="220" t="s">
        <v>238</v>
      </c>
      <c r="C90" s="218" t="s">
        <v>239</v>
      </c>
      <c r="D90" s="197">
        <f t="shared" si="63"/>
        <v>0</v>
      </c>
      <c r="E90" s="198">
        <f t="shared" si="62"/>
        <v>0</v>
      </c>
      <c r="F90" s="199">
        <f t="shared" si="64"/>
        <v>0</v>
      </c>
      <c r="G90" s="197">
        <f t="shared" si="65"/>
        <v>0</v>
      </c>
      <c r="H90" s="198">
        <f t="shared" si="66"/>
        <v>0</v>
      </c>
      <c r="I90" s="199">
        <f t="shared" si="67"/>
        <v>0</v>
      </c>
      <c r="J90" s="197">
        <v>0</v>
      </c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  <c r="AM90" s="197"/>
      <c r="AN90" s="197"/>
      <c r="AO90" s="197"/>
      <c r="AP90" s="197"/>
      <c r="AQ90" s="197"/>
      <c r="AR90" s="197"/>
      <c r="AS90" s="197"/>
      <c r="AT90" s="197"/>
      <c r="AU90" s="197"/>
      <c r="AV90" s="197"/>
      <c r="AW90" s="197"/>
      <c r="AX90" s="197"/>
      <c r="AY90" s="197"/>
      <c r="AZ90" s="197"/>
      <c r="BA90" s="197"/>
    </row>
    <row r="91" spans="2:53" x14ac:dyDescent="0.25">
      <c r="B91" s="220" t="s">
        <v>240</v>
      </c>
      <c r="C91" s="218" t="s">
        <v>241</v>
      </c>
      <c r="D91" s="197">
        <f t="shared" si="63"/>
        <v>0</v>
      </c>
      <c r="E91" s="198">
        <f t="shared" si="62"/>
        <v>0</v>
      </c>
      <c r="F91" s="199">
        <f t="shared" si="64"/>
        <v>0</v>
      </c>
      <c r="G91" s="197">
        <f t="shared" si="65"/>
        <v>0</v>
      </c>
      <c r="H91" s="198">
        <f t="shared" si="66"/>
        <v>0</v>
      </c>
      <c r="I91" s="199">
        <f t="shared" si="67"/>
        <v>0</v>
      </c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7"/>
      <c r="AR91" s="197"/>
      <c r="AS91" s="197"/>
      <c r="AT91" s="197"/>
      <c r="AU91" s="197"/>
      <c r="AV91" s="197"/>
      <c r="AW91" s="197"/>
      <c r="AX91" s="197"/>
      <c r="AY91" s="197"/>
      <c r="AZ91" s="197"/>
      <c r="BA91" s="197"/>
    </row>
    <row r="92" spans="2:53" x14ac:dyDescent="0.25">
      <c r="B92" s="220" t="s">
        <v>242</v>
      </c>
      <c r="C92" s="218" t="s">
        <v>243</v>
      </c>
      <c r="D92" s="197">
        <f t="shared" si="63"/>
        <v>0</v>
      </c>
      <c r="E92" s="198">
        <f t="shared" si="62"/>
        <v>0</v>
      </c>
      <c r="F92" s="199">
        <f t="shared" si="64"/>
        <v>0</v>
      </c>
      <c r="G92" s="197">
        <f t="shared" si="65"/>
        <v>0</v>
      </c>
      <c r="H92" s="198">
        <f t="shared" si="66"/>
        <v>0</v>
      </c>
      <c r="I92" s="199">
        <f t="shared" si="67"/>
        <v>0</v>
      </c>
      <c r="J92" s="197"/>
      <c r="K92" s="197"/>
      <c r="L92" s="197"/>
      <c r="M92" s="197">
        <v>0</v>
      </c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97"/>
      <c r="AI92" s="197"/>
      <c r="AJ92" s="197"/>
      <c r="AK92" s="197"/>
      <c r="AL92" s="197"/>
      <c r="AM92" s="197"/>
      <c r="AN92" s="197"/>
      <c r="AO92" s="197"/>
      <c r="AP92" s="197"/>
      <c r="AQ92" s="197"/>
      <c r="AR92" s="197"/>
      <c r="AS92" s="197"/>
      <c r="AT92" s="197"/>
      <c r="AU92" s="197"/>
      <c r="AV92" s="197"/>
      <c r="AW92" s="197"/>
      <c r="AX92" s="197"/>
      <c r="AY92" s="197"/>
      <c r="AZ92" s="197"/>
      <c r="BA92" s="197"/>
    </row>
    <row r="93" spans="2:53" x14ac:dyDescent="0.25">
      <c r="B93" s="220" t="s">
        <v>244</v>
      </c>
      <c r="C93" s="218" t="s">
        <v>245</v>
      </c>
      <c r="D93" s="197">
        <f t="shared" si="63"/>
        <v>0</v>
      </c>
      <c r="E93" s="198">
        <f t="shared" si="62"/>
        <v>0</v>
      </c>
      <c r="F93" s="199">
        <f t="shared" si="64"/>
        <v>0</v>
      </c>
      <c r="G93" s="197">
        <f t="shared" si="65"/>
        <v>0</v>
      </c>
      <c r="H93" s="198">
        <f t="shared" si="66"/>
        <v>0</v>
      </c>
      <c r="I93" s="199">
        <f t="shared" si="67"/>
        <v>0</v>
      </c>
      <c r="J93" s="197">
        <v>0</v>
      </c>
      <c r="K93" s="197"/>
      <c r="L93" s="197">
        <v>0</v>
      </c>
      <c r="M93" s="197">
        <v>0</v>
      </c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97"/>
      <c r="AE93" s="197"/>
      <c r="AF93" s="197"/>
      <c r="AG93" s="197"/>
      <c r="AH93" s="197"/>
      <c r="AI93" s="197"/>
      <c r="AJ93" s="197"/>
      <c r="AK93" s="197"/>
      <c r="AL93" s="197"/>
      <c r="AM93" s="197"/>
      <c r="AN93" s="197"/>
      <c r="AO93" s="197"/>
      <c r="AP93" s="197"/>
      <c r="AQ93" s="197"/>
      <c r="AR93" s="197"/>
      <c r="AS93" s="197"/>
      <c r="AT93" s="197"/>
      <c r="AU93" s="197"/>
      <c r="AV93" s="197"/>
      <c r="AW93" s="197"/>
      <c r="AX93" s="197"/>
      <c r="AY93" s="197"/>
      <c r="AZ93" s="197"/>
      <c r="BA93" s="197"/>
    </row>
    <row r="94" spans="2:53" s="202" customFormat="1" ht="12.75" x14ac:dyDescent="0.2">
      <c r="B94" s="211" t="s">
        <v>246</v>
      </c>
      <c r="C94" s="219" t="s">
        <v>247</v>
      </c>
      <c r="D94" s="205">
        <f t="shared" ref="D94:AI94" si="68">SUM(D83:D93)</f>
        <v>11973000</v>
      </c>
      <c r="E94" s="205">
        <f t="shared" si="68"/>
        <v>381000</v>
      </c>
      <c r="F94" s="205">
        <f t="shared" si="68"/>
        <v>12354000</v>
      </c>
      <c r="G94" s="205">
        <f t="shared" si="68"/>
        <v>0</v>
      </c>
      <c r="H94" s="205">
        <f t="shared" si="68"/>
        <v>0</v>
      </c>
      <c r="I94" s="205">
        <f t="shared" si="68"/>
        <v>0</v>
      </c>
      <c r="J94" s="205">
        <f t="shared" si="68"/>
        <v>0</v>
      </c>
      <c r="K94" s="205">
        <f t="shared" si="68"/>
        <v>0</v>
      </c>
      <c r="L94" s="205">
        <f t="shared" si="68"/>
        <v>9407000</v>
      </c>
      <c r="M94" s="205">
        <f t="shared" si="68"/>
        <v>0</v>
      </c>
      <c r="N94" s="205">
        <f t="shared" si="68"/>
        <v>0</v>
      </c>
      <c r="O94" s="205">
        <f t="shared" si="68"/>
        <v>0</v>
      </c>
      <c r="P94" s="205">
        <f t="shared" si="68"/>
        <v>566000</v>
      </c>
      <c r="Q94" s="205">
        <f t="shared" si="68"/>
        <v>0</v>
      </c>
      <c r="R94" s="205">
        <f t="shared" si="68"/>
        <v>0</v>
      </c>
      <c r="S94" s="205">
        <f t="shared" si="68"/>
        <v>0</v>
      </c>
      <c r="T94" s="205">
        <f t="shared" si="68"/>
        <v>0</v>
      </c>
      <c r="U94" s="205">
        <f t="shared" si="68"/>
        <v>0</v>
      </c>
      <c r="V94" s="205">
        <f t="shared" si="68"/>
        <v>1900000</v>
      </c>
      <c r="W94" s="205">
        <f t="shared" si="68"/>
        <v>0</v>
      </c>
      <c r="X94" s="205">
        <f t="shared" si="68"/>
        <v>0</v>
      </c>
      <c r="Y94" s="205">
        <f t="shared" si="68"/>
        <v>0</v>
      </c>
      <c r="Z94" s="205">
        <f t="shared" si="68"/>
        <v>0</v>
      </c>
      <c r="AA94" s="205">
        <f t="shared" si="68"/>
        <v>0</v>
      </c>
      <c r="AB94" s="205">
        <f t="shared" si="68"/>
        <v>0</v>
      </c>
      <c r="AC94" s="205">
        <f t="shared" si="68"/>
        <v>0</v>
      </c>
      <c r="AD94" s="205">
        <f t="shared" si="68"/>
        <v>100000</v>
      </c>
      <c r="AE94" s="205">
        <f t="shared" si="68"/>
        <v>0</v>
      </c>
      <c r="AF94" s="205">
        <f t="shared" si="68"/>
        <v>0</v>
      </c>
      <c r="AG94" s="205">
        <f t="shared" si="68"/>
        <v>0</v>
      </c>
      <c r="AH94" s="205">
        <f t="shared" si="68"/>
        <v>0</v>
      </c>
      <c r="AI94" s="205">
        <f t="shared" si="68"/>
        <v>0</v>
      </c>
      <c r="AJ94" s="205">
        <f t="shared" ref="AJ94:BA94" si="69">SUM(AJ83:AJ93)</f>
        <v>0</v>
      </c>
      <c r="AK94" s="205">
        <f t="shared" si="69"/>
        <v>0</v>
      </c>
      <c r="AL94" s="205">
        <f t="shared" si="69"/>
        <v>0</v>
      </c>
      <c r="AM94" s="205">
        <f t="shared" si="69"/>
        <v>0</v>
      </c>
      <c r="AN94" s="205">
        <f t="shared" si="69"/>
        <v>0</v>
      </c>
      <c r="AO94" s="205">
        <f t="shared" si="69"/>
        <v>0</v>
      </c>
      <c r="AP94" s="205">
        <f t="shared" si="69"/>
        <v>0</v>
      </c>
      <c r="AQ94" s="205">
        <f t="shared" si="69"/>
        <v>0</v>
      </c>
      <c r="AR94" s="205">
        <f t="shared" si="69"/>
        <v>0</v>
      </c>
      <c r="AS94" s="205">
        <f t="shared" si="69"/>
        <v>0</v>
      </c>
      <c r="AT94" s="205">
        <f t="shared" si="69"/>
        <v>381000</v>
      </c>
      <c r="AU94" s="205">
        <f t="shared" si="69"/>
        <v>0</v>
      </c>
      <c r="AV94" s="205">
        <f t="shared" si="69"/>
        <v>0</v>
      </c>
      <c r="AW94" s="205">
        <f t="shared" si="69"/>
        <v>0</v>
      </c>
      <c r="AX94" s="205">
        <f t="shared" si="69"/>
        <v>0</v>
      </c>
      <c r="AY94" s="205">
        <f t="shared" si="69"/>
        <v>0</v>
      </c>
      <c r="AZ94" s="205">
        <f t="shared" si="69"/>
        <v>0</v>
      </c>
      <c r="BA94" s="205">
        <f t="shared" si="69"/>
        <v>0</v>
      </c>
    </row>
    <row r="95" spans="2:53" x14ac:dyDescent="0.25">
      <c r="B95" s="220" t="s">
        <v>248</v>
      </c>
      <c r="C95" s="218" t="s">
        <v>249</v>
      </c>
      <c r="D95" s="197">
        <f>+J95+L95+N95+P95+R95+T95+V95+X95+Z95+AB95+AD95+AF95+AH95+AJ95</f>
        <v>0</v>
      </c>
      <c r="E95" s="198">
        <f>+AL95+AN95+AP95+AR95+AV95+AX95+AZ95+AT95</f>
        <v>0</v>
      </c>
      <c r="F95" s="199">
        <f>+E95+D95</f>
        <v>0</v>
      </c>
      <c r="G95" s="197">
        <f>+K95+M95+O95+Q95+S95+U95+W95+Y95+AA95+AC95+AE95+AG95+AI95+AK95</f>
        <v>0</v>
      </c>
      <c r="H95" s="198">
        <f>+BA95+AY95+AW95+AU95+AS95+AQ95+AO95+AM95</f>
        <v>0</v>
      </c>
      <c r="I95" s="199">
        <f>+H95+G95</f>
        <v>0</v>
      </c>
      <c r="J95" s="197"/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7"/>
      <c r="AH95" s="197"/>
      <c r="AI95" s="197"/>
      <c r="AJ95" s="197"/>
      <c r="AK95" s="197"/>
      <c r="AL95" s="197"/>
      <c r="AM95" s="197"/>
      <c r="AN95" s="197"/>
      <c r="AO95" s="197"/>
      <c r="AP95" s="197"/>
      <c r="AQ95" s="197"/>
      <c r="AR95" s="197"/>
      <c r="AS95" s="197"/>
      <c r="AT95" s="197"/>
      <c r="AU95" s="197"/>
      <c r="AV95" s="197"/>
      <c r="AW95" s="197"/>
      <c r="AX95" s="197"/>
      <c r="AY95" s="197"/>
      <c r="AZ95" s="197"/>
      <c r="BA95" s="197"/>
    </row>
    <row r="96" spans="2:53" x14ac:dyDescent="0.25">
      <c r="B96" s="220" t="s">
        <v>250</v>
      </c>
      <c r="C96" s="218" t="s">
        <v>251</v>
      </c>
      <c r="D96" s="197">
        <f>+J96+L96+N96+P96+R96+T96+V96+X96+Z96+AB96+AD96+AF96+AH96+AJ96</f>
        <v>0</v>
      </c>
      <c r="E96" s="198">
        <f>+AL96+AN96+AP96+AR96+AV96+AX96+AZ96+AT96</f>
        <v>0</v>
      </c>
      <c r="F96" s="199">
        <f>+E96+D96</f>
        <v>0</v>
      </c>
      <c r="G96" s="197">
        <f>+K96+M96+O96+Q96+S96+U96+W96+Y96+AA96+AC96+AE96+AG96+AI96+AK96</f>
        <v>0</v>
      </c>
      <c r="H96" s="198">
        <f>+BA96+AY96+AW96+AU96+AS96+AQ96+AO96+AM96</f>
        <v>0</v>
      </c>
      <c r="I96" s="199">
        <f>+H96+G96</f>
        <v>0</v>
      </c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7"/>
      <c r="AH96" s="197"/>
      <c r="AI96" s="197"/>
      <c r="AJ96" s="197"/>
      <c r="AK96" s="197"/>
      <c r="AL96" s="197"/>
      <c r="AM96" s="197"/>
      <c r="AN96" s="197"/>
      <c r="AO96" s="197"/>
      <c r="AP96" s="197"/>
      <c r="AQ96" s="197"/>
      <c r="AR96" s="197"/>
      <c r="AS96" s="197"/>
      <c r="AT96" s="197"/>
      <c r="AU96" s="197"/>
      <c r="AV96" s="197"/>
      <c r="AW96" s="197"/>
      <c r="AX96" s="197"/>
      <c r="AY96" s="197"/>
      <c r="AZ96" s="197"/>
      <c r="BA96" s="197"/>
    </row>
    <row r="97" spans="2:53" x14ac:dyDescent="0.25">
      <c r="B97" s="220" t="s">
        <v>252</v>
      </c>
      <c r="C97" s="218" t="s">
        <v>253</v>
      </c>
      <c r="D97" s="197">
        <f>+J97+L97+N97+P97+R97+T97+V97+X97+Z97+AB97+AD97+AF97+AH97+AJ97</f>
        <v>0</v>
      </c>
      <c r="E97" s="198">
        <f>+AL97+AN97+AP97+AR97+AV97+AX97+AZ97+AT97</f>
        <v>0</v>
      </c>
      <c r="F97" s="199">
        <f>+E97+D97</f>
        <v>0</v>
      </c>
      <c r="G97" s="197">
        <f>+K97+M97+O97+Q97+S97+U97+W97+Y97+AA97+AC97+AE97+AG97+AI97+AK97</f>
        <v>0</v>
      </c>
      <c r="H97" s="198">
        <f>+BA97+AY97+AW97+AU97+AS97+AQ97+AO97+AM97</f>
        <v>0</v>
      </c>
      <c r="I97" s="199">
        <f>+H97+G97</f>
        <v>0</v>
      </c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  <c r="AL97" s="197"/>
      <c r="AM97" s="197"/>
      <c r="AN97" s="197"/>
      <c r="AO97" s="197"/>
      <c r="AP97" s="197"/>
      <c r="AQ97" s="197"/>
      <c r="AR97" s="197"/>
      <c r="AS97" s="197"/>
      <c r="AT97" s="197"/>
      <c r="AU97" s="197"/>
      <c r="AV97" s="197"/>
      <c r="AW97" s="197"/>
      <c r="AX97" s="197"/>
      <c r="AY97" s="197"/>
      <c r="AZ97" s="197"/>
      <c r="BA97" s="197"/>
    </row>
    <row r="98" spans="2:53" x14ac:dyDescent="0.25">
      <c r="B98" s="220" t="s">
        <v>254</v>
      </c>
      <c r="C98" s="218" t="s">
        <v>255</v>
      </c>
      <c r="D98" s="197">
        <f>+J98+L98+N98+P98+R98+T98+V98+X98+Z98+AB98+AD98+AF98+AH98+AJ98</f>
        <v>0</v>
      </c>
      <c r="E98" s="198">
        <f>+AL98+AN98+AP98+AR98+AV98+AX98+AZ98+AT98</f>
        <v>0</v>
      </c>
      <c r="F98" s="199">
        <f>+E98+D98</f>
        <v>0</v>
      </c>
      <c r="G98" s="197">
        <f>+K98+M98+O98+Q98+S98+U98+W98+Y98+AA98+AC98+AE98+AG98+AI98+AK98</f>
        <v>0</v>
      </c>
      <c r="H98" s="198">
        <f>+BA98+AY98+AW98+AU98+AS98+AQ98+AO98+AM98</f>
        <v>0</v>
      </c>
      <c r="I98" s="199">
        <f>+H98+G98</f>
        <v>0</v>
      </c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7"/>
      <c r="AR98" s="197"/>
      <c r="AS98" s="197"/>
      <c r="AT98" s="197"/>
      <c r="AU98" s="197"/>
      <c r="AV98" s="197"/>
      <c r="AW98" s="197"/>
      <c r="AX98" s="197"/>
      <c r="AY98" s="197"/>
      <c r="AZ98" s="197"/>
      <c r="BA98" s="197"/>
    </row>
    <row r="99" spans="2:53" hidden="1" x14ac:dyDescent="0.25">
      <c r="B99" s="220" t="s">
        <v>256</v>
      </c>
      <c r="C99" s="218" t="s">
        <v>257</v>
      </c>
      <c r="D99" s="197">
        <f>+J99+L99+N99+P99+R99+T99+V99+X99+Z99+AB99+AD99+AF99+AH99+AJ99</f>
        <v>0</v>
      </c>
      <c r="E99" s="198">
        <f>+AL99+AN99+AP99+AR99+AV99+AX99+AZ99+AT99</f>
        <v>0</v>
      </c>
      <c r="F99" s="199">
        <f>+E99+D99</f>
        <v>0</v>
      </c>
      <c r="G99" s="197">
        <f>+K99+M99+O99+Q99+S99+U99+W99+Y99+AA99+AC99+AE99+AG99+AI99+AK99</f>
        <v>0</v>
      </c>
      <c r="H99" s="198">
        <f>+BA99+AY99+AW99+AU99+AS99+AQ99+AO99+AM99</f>
        <v>0</v>
      </c>
      <c r="I99" s="199">
        <f>+H99+G99</f>
        <v>0</v>
      </c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  <c r="AL99" s="197"/>
      <c r="AM99" s="197"/>
      <c r="AN99" s="197"/>
      <c r="AO99" s="197"/>
      <c r="AP99" s="197"/>
      <c r="AQ99" s="197"/>
      <c r="AR99" s="197"/>
      <c r="AS99" s="197"/>
      <c r="AT99" s="197"/>
      <c r="AU99" s="197"/>
      <c r="AV99" s="197"/>
      <c r="AW99" s="197"/>
      <c r="AX99" s="197"/>
      <c r="AY99" s="197"/>
      <c r="AZ99" s="197"/>
      <c r="BA99" s="197"/>
    </row>
    <row r="100" spans="2:53" s="202" customFormat="1" ht="12.75" x14ac:dyDescent="0.2">
      <c r="B100" s="206" t="s">
        <v>258</v>
      </c>
      <c r="C100" s="219" t="s">
        <v>259</v>
      </c>
      <c r="D100" s="205">
        <f t="shared" ref="D100:AI100" si="70">SUM(D95:D99)</f>
        <v>0</v>
      </c>
      <c r="E100" s="205">
        <f t="shared" si="70"/>
        <v>0</v>
      </c>
      <c r="F100" s="205">
        <f t="shared" si="70"/>
        <v>0</v>
      </c>
      <c r="G100" s="205">
        <f t="shared" si="70"/>
        <v>0</v>
      </c>
      <c r="H100" s="205">
        <f t="shared" si="70"/>
        <v>0</v>
      </c>
      <c r="I100" s="205">
        <f t="shared" si="70"/>
        <v>0</v>
      </c>
      <c r="J100" s="205">
        <f t="shared" si="70"/>
        <v>0</v>
      </c>
      <c r="K100" s="205">
        <f t="shared" si="70"/>
        <v>0</v>
      </c>
      <c r="L100" s="205">
        <f t="shared" si="70"/>
        <v>0</v>
      </c>
      <c r="M100" s="205">
        <f t="shared" si="70"/>
        <v>0</v>
      </c>
      <c r="N100" s="205">
        <f t="shared" si="70"/>
        <v>0</v>
      </c>
      <c r="O100" s="205">
        <f t="shared" si="70"/>
        <v>0</v>
      </c>
      <c r="P100" s="205">
        <f t="shared" si="70"/>
        <v>0</v>
      </c>
      <c r="Q100" s="205">
        <f t="shared" si="70"/>
        <v>0</v>
      </c>
      <c r="R100" s="205">
        <f t="shared" si="70"/>
        <v>0</v>
      </c>
      <c r="S100" s="205">
        <f t="shared" si="70"/>
        <v>0</v>
      </c>
      <c r="T100" s="205">
        <f t="shared" si="70"/>
        <v>0</v>
      </c>
      <c r="U100" s="205">
        <f t="shared" si="70"/>
        <v>0</v>
      </c>
      <c r="V100" s="205">
        <f t="shared" si="70"/>
        <v>0</v>
      </c>
      <c r="W100" s="205">
        <f t="shared" si="70"/>
        <v>0</v>
      </c>
      <c r="X100" s="205">
        <f t="shared" si="70"/>
        <v>0</v>
      </c>
      <c r="Y100" s="205">
        <f t="shared" si="70"/>
        <v>0</v>
      </c>
      <c r="Z100" s="205">
        <f t="shared" si="70"/>
        <v>0</v>
      </c>
      <c r="AA100" s="205">
        <f t="shared" si="70"/>
        <v>0</v>
      </c>
      <c r="AB100" s="205">
        <f t="shared" si="70"/>
        <v>0</v>
      </c>
      <c r="AC100" s="205">
        <f t="shared" si="70"/>
        <v>0</v>
      </c>
      <c r="AD100" s="205">
        <f t="shared" si="70"/>
        <v>0</v>
      </c>
      <c r="AE100" s="205">
        <f t="shared" si="70"/>
        <v>0</v>
      </c>
      <c r="AF100" s="205">
        <f t="shared" si="70"/>
        <v>0</v>
      </c>
      <c r="AG100" s="205">
        <f t="shared" si="70"/>
        <v>0</v>
      </c>
      <c r="AH100" s="205">
        <f t="shared" si="70"/>
        <v>0</v>
      </c>
      <c r="AI100" s="205">
        <f t="shared" si="70"/>
        <v>0</v>
      </c>
      <c r="AJ100" s="205">
        <f t="shared" ref="AJ100:BA100" si="71">SUM(AJ95:AJ99)</f>
        <v>0</v>
      </c>
      <c r="AK100" s="205">
        <f t="shared" si="71"/>
        <v>0</v>
      </c>
      <c r="AL100" s="205">
        <f t="shared" si="71"/>
        <v>0</v>
      </c>
      <c r="AM100" s="205">
        <f t="shared" si="71"/>
        <v>0</v>
      </c>
      <c r="AN100" s="205">
        <f t="shared" si="71"/>
        <v>0</v>
      </c>
      <c r="AO100" s="205">
        <f t="shared" si="71"/>
        <v>0</v>
      </c>
      <c r="AP100" s="205">
        <f t="shared" si="71"/>
        <v>0</v>
      </c>
      <c r="AQ100" s="205">
        <f t="shared" si="71"/>
        <v>0</v>
      </c>
      <c r="AR100" s="205">
        <f t="shared" si="71"/>
        <v>0</v>
      </c>
      <c r="AS100" s="205">
        <f t="shared" si="71"/>
        <v>0</v>
      </c>
      <c r="AT100" s="205">
        <f t="shared" si="71"/>
        <v>0</v>
      </c>
      <c r="AU100" s="205">
        <f t="shared" si="71"/>
        <v>0</v>
      </c>
      <c r="AV100" s="205">
        <f t="shared" si="71"/>
        <v>0</v>
      </c>
      <c r="AW100" s="205">
        <f t="shared" si="71"/>
        <v>0</v>
      </c>
      <c r="AX100" s="205">
        <f t="shared" si="71"/>
        <v>0</v>
      </c>
      <c r="AY100" s="205">
        <f t="shared" si="71"/>
        <v>0</v>
      </c>
      <c r="AZ100" s="205">
        <f t="shared" si="71"/>
        <v>0</v>
      </c>
      <c r="BA100" s="205">
        <f t="shared" si="71"/>
        <v>0</v>
      </c>
    </row>
    <row r="101" spans="2:53" s="202" customFormat="1" ht="12.75" x14ac:dyDescent="0.2">
      <c r="B101" s="206" t="s">
        <v>260</v>
      </c>
      <c r="C101" s="219" t="s">
        <v>261</v>
      </c>
      <c r="D101" s="207">
        <f t="shared" ref="D101:D106" si="72">+J101+L101+N101+P101+R101+T101+V101+X101+Z101+AB101+AD101+AF101+AH101+AJ101</f>
        <v>7740600</v>
      </c>
      <c r="E101" s="240">
        <f t="shared" ref="E101:E106" si="73">+AL101+AN101+AP101+AR101+AV101+AX101+AZ101+AT101</f>
        <v>0</v>
      </c>
      <c r="F101" s="205">
        <f t="shared" ref="F101:F106" si="74">+E101+D101</f>
        <v>7740600</v>
      </c>
      <c r="G101" s="209">
        <f t="shared" ref="G101:G106" si="75">+K101+M101+O101+Q101+S101+U101+W101+Y101+AA101+AC101+AE101+AG101+AI101+AK101</f>
        <v>0</v>
      </c>
      <c r="H101" s="210">
        <f t="shared" ref="H101:H106" si="76">+BA101+AY101+AW101+AU101+AS101+AQ101+AO101+AM101</f>
        <v>0</v>
      </c>
      <c r="I101" s="205">
        <f t="shared" ref="I101:I106" si="77">+H101+G101</f>
        <v>0</v>
      </c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197">
        <v>7740600</v>
      </c>
      <c r="Y101" s="207"/>
      <c r="Z101" s="207"/>
      <c r="AA101" s="207"/>
      <c r="AB101" s="207"/>
      <c r="AC101" s="207"/>
      <c r="AD101" s="207"/>
      <c r="AE101" s="207"/>
      <c r="AF101" s="207"/>
      <c r="AG101" s="207"/>
      <c r="AH101" s="207"/>
      <c r="AI101" s="207"/>
      <c r="AJ101" s="207"/>
      <c r="AK101" s="207"/>
      <c r="AL101" s="207"/>
      <c r="AM101" s="207"/>
      <c r="AN101" s="207"/>
      <c r="AO101" s="207"/>
      <c r="AP101" s="207"/>
      <c r="AQ101" s="207"/>
      <c r="AR101" s="207"/>
      <c r="AS101" s="207"/>
      <c r="AT101" s="207"/>
      <c r="AU101" s="207"/>
      <c r="AV101" s="207"/>
      <c r="AW101" s="207"/>
      <c r="AX101" s="207"/>
      <c r="AY101" s="207"/>
      <c r="AZ101" s="207"/>
      <c r="BA101" s="207"/>
    </row>
    <row r="102" spans="2:53" ht="27" hidden="1" customHeight="1" x14ac:dyDescent="0.25">
      <c r="B102" s="220" t="s">
        <v>632</v>
      </c>
      <c r="C102" s="218" t="s">
        <v>263</v>
      </c>
      <c r="D102" s="197">
        <f t="shared" si="72"/>
        <v>0</v>
      </c>
      <c r="E102" s="198">
        <f t="shared" si="73"/>
        <v>0</v>
      </c>
      <c r="F102" s="199">
        <f t="shared" si="74"/>
        <v>0</v>
      </c>
      <c r="G102" s="197">
        <f t="shared" si="75"/>
        <v>0</v>
      </c>
      <c r="H102" s="198">
        <f t="shared" si="76"/>
        <v>0</v>
      </c>
      <c r="I102" s="199">
        <f t="shared" si="77"/>
        <v>0</v>
      </c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7"/>
      <c r="AL102" s="197"/>
      <c r="AM102" s="197"/>
      <c r="AN102" s="197"/>
      <c r="AO102" s="197"/>
      <c r="AP102" s="197"/>
      <c r="AQ102" s="197"/>
      <c r="AR102" s="197"/>
      <c r="AS102" s="197"/>
      <c r="AT102" s="197"/>
      <c r="AU102" s="197"/>
      <c r="AV102" s="197"/>
      <c r="AW102" s="197"/>
      <c r="AX102" s="197"/>
      <c r="AY102" s="197"/>
      <c r="AZ102" s="197"/>
      <c r="BA102" s="197"/>
    </row>
    <row r="103" spans="2:53" hidden="1" x14ac:dyDescent="0.25">
      <c r="B103" s="201" t="s">
        <v>633</v>
      </c>
      <c r="C103" s="218" t="s">
        <v>265</v>
      </c>
      <c r="D103" s="197">
        <f t="shared" si="72"/>
        <v>0</v>
      </c>
      <c r="E103" s="198">
        <f t="shared" si="73"/>
        <v>0</v>
      </c>
      <c r="F103" s="199">
        <f t="shared" si="74"/>
        <v>0</v>
      </c>
      <c r="G103" s="197">
        <f t="shared" si="75"/>
        <v>0</v>
      </c>
      <c r="H103" s="198">
        <f t="shared" si="76"/>
        <v>0</v>
      </c>
      <c r="I103" s="199">
        <f t="shared" si="77"/>
        <v>0</v>
      </c>
      <c r="J103" s="197"/>
      <c r="K103" s="197"/>
      <c r="L103" s="197"/>
      <c r="M103" s="197"/>
      <c r="N103" s="197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  <c r="AG103" s="197"/>
      <c r="AH103" s="197"/>
      <c r="AI103" s="197"/>
      <c r="AJ103" s="197"/>
      <c r="AK103" s="197"/>
      <c r="AL103" s="197"/>
      <c r="AM103" s="197"/>
      <c r="AN103" s="197"/>
      <c r="AO103" s="197"/>
      <c r="AP103" s="197"/>
      <c r="AQ103" s="197"/>
      <c r="AR103" s="197"/>
      <c r="AS103" s="197"/>
      <c r="AT103" s="197"/>
      <c r="AU103" s="197"/>
      <c r="AV103" s="197"/>
      <c r="AW103" s="197"/>
      <c r="AX103" s="197"/>
      <c r="AY103" s="197"/>
      <c r="AZ103" s="197"/>
      <c r="BA103" s="197"/>
    </row>
    <row r="104" spans="2:53" ht="27" hidden="1" customHeight="1" x14ac:dyDescent="0.25">
      <c r="B104" s="220" t="s">
        <v>266</v>
      </c>
      <c r="C104" s="218" t="s">
        <v>267</v>
      </c>
      <c r="D104" s="197">
        <f t="shared" si="72"/>
        <v>0</v>
      </c>
      <c r="E104" s="198">
        <f t="shared" si="73"/>
        <v>0</v>
      </c>
      <c r="F104" s="199">
        <f t="shared" si="74"/>
        <v>0</v>
      </c>
      <c r="G104" s="197">
        <f t="shared" si="75"/>
        <v>0</v>
      </c>
      <c r="H104" s="198">
        <f t="shared" si="76"/>
        <v>0</v>
      </c>
      <c r="I104" s="199">
        <f t="shared" si="77"/>
        <v>0</v>
      </c>
      <c r="J104" s="197"/>
      <c r="K104" s="197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197"/>
      <c r="AM104" s="197"/>
      <c r="AN104" s="197"/>
      <c r="AO104" s="197"/>
      <c r="AP104" s="197"/>
      <c r="AQ104" s="197"/>
      <c r="AR104" s="197"/>
      <c r="AS104" s="197"/>
      <c r="AT104" s="197"/>
      <c r="AU104" s="197"/>
      <c r="AV104" s="197"/>
      <c r="AW104" s="197"/>
      <c r="AX104" s="197"/>
      <c r="AY104" s="197"/>
      <c r="AZ104" s="197"/>
      <c r="BA104" s="197"/>
    </row>
    <row r="105" spans="2:53" ht="27" hidden="1" customHeight="1" x14ac:dyDescent="0.25">
      <c r="B105" s="220" t="s">
        <v>634</v>
      </c>
      <c r="C105" s="218" t="s">
        <v>269</v>
      </c>
      <c r="D105" s="197">
        <f t="shared" si="72"/>
        <v>0</v>
      </c>
      <c r="E105" s="198">
        <f t="shared" si="73"/>
        <v>0</v>
      </c>
      <c r="F105" s="199">
        <f t="shared" si="74"/>
        <v>0</v>
      </c>
      <c r="G105" s="197">
        <f t="shared" si="75"/>
        <v>0</v>
      </c>
      <c r="H105" s="198">
        <f t="shared" si="76"/>
        <v>0</v>
      </c>
      <c r="I105" s="199">
        <f t="shared" si="77"/>
        <v>0</v>
      </c>
      <c r="J105" s="197"/>
      <c r="K105" s="197"/>
      <c r="L105" s="197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/>
      <c r="Z105" s="197"/>
      <c r="AA105" s="197"/>
      <c r="AB105" s="197"/>
      <c r="AC105" s="197"/>
      <c r="AD105" s="197"/>
      <c r="AE105" s="197"/>
      <c r="AF105" s="197"/>
      <c r="AG105" s="197"/>
      <c r="AH105" s="197"/>
      <c r="AI105" s="197"/>
      <c r="AJ105" s="197"/>
      <c r="AK105" s="197"/>
      <c r="AL105" s="197"/>
      <c r="AM105" s="197"/>
      <c r="AN105" s="197"/>
      <c r="AO105" s="197"/>
      <c r="AP105" s="197"/>
      <c r="AQ105" s="197"/>
      <c r="AR105" s="197"/>
      <c r="AS105" s="197"/>
      <c r="AT105" s="197"/>
      <c r="AU105" s="197"/>
      <c r="AV105" s="197"/>
      <c r="AW105" s="197"/>
      <c r="AX105" s="197"/>
      <c r="AY105" s="197"/>
      <c r="AZ105" s="197"/>
      <c r="BA105" s="197"/>
    </row>
    <row r="106" spans="2:53" ht="15" customHeight="1" x14ac:dyDescent="0.25">
      <c r="B106" s="220" t="s">
        <v>270</v>
      </c>
      <c r="C106" s="218" t="s">
        <v>271</v>
      </c>
      <c r="D106" s="197">
        <f t="shared" si="72"/>
        <v>25400000</v>
      </c>
      <c r="E106" s="198">
        <f t="shared" si="73"/>
        <v>0</v>
      </c>
      <c r="F106" s="199">
        <f t="shared" si="74"/>
        <v>25400000</v>
      </c>
      <c r="G106" s="197">
        <f t="shared" si="75"/>
        <v>0</v>
      </c>
      <c r="H106" s="198">
        <f t="shared" si="76"/>
        <v>0</v>
      </c>
      <c r="I106" s="199">
        <f t="shared" si="77"/>
        <v>0</v>
      </c>
      <c r="J106" s="197"/>
      <c r="K106" s="197"/>
      <c r="L106" s="197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>
        <v>25400000</v>
      </c>
      <c r="Y106" s="197">
        <v>0</v>
      </c>
      <c r="Z106" s="197"/>
      <c r="AA106" s="197"/>
      <c r="AB106" s="197"/>
      <c r="AC106" s="197"/>
      <c r="AD106" s="197"/>
      <c r="AE106" s="197"/>
      <c r="AF106" s="197"/>
      <c r="AG106" s="197"/>
      <c r="AH106" s="197"/>
      <c r="AI106" s="197"/>
      <c r="AJ106" s="197"/>
      <c r="AK106" s="197"/>
      <c r="AL106" s="197"/>
      <c r="AM106" s="197"/>
      <c r="AN106" s="197"/>
      <c r="AO106" s="197"/>
      <c r="AP106" s="197"/>
      <c r="AQ106" s="197"/>
      <c r="AR106" s="197"/>
      <c r="AS106" s="197"/>
      <c r="AT106" s="197"/>
      <c r="AU106" s="197"/>
      <c r="AV106" s="197"/>
      <c r="AW106" s="197"/>
      <c r="AX106" s="197"/>
      <c r="AY106" s="197"/>
      <c r="AZ106" s="197"/>
      <c r="BA106" s="197"/>
    </row>
    <row r="107" spans="2:53" s="202" customFormat="1" ht="12.75" x14ac:dyDescent="0.2">
      <c r="B107" s="206" t="s">
        <v>272</v>
      </c>
      <c r="C107" s="219" t="s">
        <v>273</v>
      </c>
      <c r="D107" s="205">
        <f t="shared" ref="D107:AI107" si="78">SUM(D102:D106)</f>
        <v>25400000</v>
      </c>
      <c r="E107" s="205">
        <f t="shared" si="78"/>
        <v>0</v>
      </c>
      <c r="F107" s="205">
        <f t="shared" si="78"/>
        <v>25400000</v>
      </c>
      <c r="G107" s="205">
        <f t="shared" si="78"/>
        <v>0</v>
      </c>
      <c r="H107" s="205">
        <f t="shared" si="78"/>
        <v>0</v>
      </c>
      <c r="I107" s="205">
        <f t="shared" si="78"/>
        <v>0</v>
      </c>
      <c r="J107" s="205">
        <f t="shared" si="78"/>
        <v>0</v>
      </c>
      <c r="K107" s="205">
        <f t="shared" si="78"/>
        <v>0</v>
      </c>
      <c r="L107" s="205">
        <f t="shared" si="78"/>
        <v>0</v>
      </c>
      <c r="M107" s="205">
        <f t="shared" si="78"/>
        <v>0</v>
      </c>
      <c r="N107" s="205">
        <f t="shared" si="78"/>
        <v>0</v>
      </c>
      <c r="O107" s="205">
        <f t="shared" si="78"/>
        <v>0</v>
      </c>
      <c r="P107" s="205">
        <f t="shared" si="78"/>
        <v>0</v>
      </c>
      <c r="Q107" s="205">
        <f t="shared" si="78"/>
        <v>0</v>
      </c>
      <c r="R107" s="205">
        <f t="shared" si="78"/>
        <v>0</v>
      </c>
      <c r="S107" s="205">
        <f t="shared" si="78"/>
        <v>0</v>
      </c>
      <c r="T107" s="205">
        <f t="shared" si="78"/>
        <v>0</v>
      </c>
      <c r="U107" s="205">
        <f t="shared" si="78"/>
        <v>0</v>
      </c>
      <c r="V107" s="205">
        <f t="shared" si="78"/>
        <v>0</v>
      </c>
      <c r="W107" s="205">
        <f t="shared" si="78"/>
        <v>0</v>
      </c>
      <c r="X107" s="205">
        <f t="shared" si="78"/>
        <v>25400000</v>
      </c>
      <c r="Y107" s="205">
        <f t="shared" si="78"/>
        <v>0</v>
      </c>
      <c r="Z107" s="205">
        <f t="shared" si="78"/>
        <v>0</v>
      </c>
      <c r="AA107" s="205">
        <f t="shared" si="78"/>
        <v>0</v>
      </c>
      <c r="AB107" s="205">
        <f t="shared" si="78"/>
        <v>0</v>
      </c>
      <c r="AC107" s="205">
        <f t="shared" si="78"/>
        <v>0</v>
      </c>
      <c r="AD107" s="205">
        <f t="shared" si="78"/>
        <v>0</v>
      </c>
      <c r="AE107" s="205">
        <f t="shared" si="78"/>
        <v>0</v>
      </c>
      <c r="AF107" s="205">
        <f t="shared" si="78"/>
        <v>0</v>
      </c>
      <c r="AG107" s="205">
        <f t="shared" si="78"/>
        <v>0</v>
      </c>
      <c r="AH107" s="205">
        <f t="shared" si="78"/>
        <v>0</v>
      </c>
      <c r="AI107" s="205">
        <f t="shared" si="78"/>
        <v>0</v>
      </c>
      <c r="AJ107" s="205">
        <f t="shared" ref="AJ107:BA107" si="79">SUM(AJ102:AJ106)</f>
        <v>0</v>
      </c>
      <c r="AK107" s="205">
        <f t="shared" si="79"/>
        <v>0</v>
      </c>
      <c r="AL107" s="205">
        <f t="shared" si="79"/>
        <v>0</v>
      </c>
      <c r="AM107" s="205">
        <f t="shared" si="79"/>
        <v>0</v>
      </c>
      <c r="AN107" s="205">
        <f t="shared" si="79"/>
        <v>0</v>
      </c>
      <c r="AO107" s="205">
        <f t="shared" si="79"/>
        <v>0</v>
      </c>
      <c r="AP107" s="205">
        <f t="shared" si="79"/>
        <v>0</v>
      </c>
      <c r="AQ107" s="205">
        <f t="shared" si="79"/>
        <v>0</v>
      </c>
      <c r="AR107" s="205">
        <f t="shared" si="79"/>
        <v>0</v>
      </c>
      <c r="AS107" s="205">
        <f t="shared" si="79"/>
        <v>0</v>
      </c>
      <c r="AT107" s="205">
        <f t="shared" si="79"/>
        <v>0</v>
      </c>
      <c r="AU107" s="205">
        <f t="shared" si="79"/>
        <v>0</v>
      </c>
      <c r="AV107" s="205">
        <f t="shared" si="79"/>
        <v>0</v>
      </c>
      <c r="AW107" s="205">
        <f t="shared" si="79"/>
        <v>0</v>
      </c>
      <c r="AX107" s="205">
        <f t="shared" si="79"/>
        <v>0</v>
      </c>
      <c r="AY107" s="205">
        <f t="shared" si="79"/>
        <v>0</v>
      </c>
      <c r="AZ107" s="205">
        <f t="shared" si="79"/>
        <v>0</v>
      </c>
      <c r="BA107" s="205">
        <f t="shared" si="79"/>
        <v>0</v>
      </c>
    </row>
    <row r="108" spans="2:53" x14ac:dyDescent="0.25">
      <c r="B108" s="241" t="s">
        <v>274</v>
      </c>
      <c r="C108" s="221" t="s">
        <v>275</v>
      </c>
      <c r="D108" s="223">
        <f t="shared" ref="D108:AI108" si="80">+D107+D101+D100+D94+D82+D75+D74</f>
        <v>45113600</v>
      </c>
      <c r="E108" s="223">
        <f t="shared" si="80"/>
        <v>381000</v>
      </c>
      <c r="F108" s="223">
        <f t="shared" si="80"/>
        <v>45494600</v>
      </c>
      <c r="G108" s="223">
        <f t="shared" si="80"/>
        <v>0</v>
      </c>
      <c r="H108" s="223">
        <f t="shared" si="80"/>
        <v>0</v>
      </c>
      <c r="I108" s="223">
        <f t="shared" si="80"/>
        <v>0</v>
      </c>
      <c r="J108" s="223">
        <f t="shared" si="80"/>
        <v>0</v>
      </c>
      <c r="K108" s="223">
        <f t="shared" si="80"/>
        <v>0</v>
      </c>
      <c r="L108" s="223">
        <f t="shared" si="80"/>
        <v>9407000</v>
      </c>
      <c r="M108" s="223">
        <f t="shared" si="80"/>
        <v>0</v>
      </c>
      <c r="N108" s="223">
        <f t="shared" si="80"/>
        <v>0</v>
      </c>
      <c r="O108" s="223">
        <f t="shared" si="80"/>
        <v>0</v>
      </c>
      <c r="P108" s="223">
        <f t="shared" si="80"/>
        <v>566000</v>
      </c>
      <c r="Q108" s="223">
        <f t="shared" si="80"/>
        <v>0</v>
      </c>
      <c r="R108" s="223">
        <f t="shared" si="80"/>
        <v>0</v>
      </c>
      <c r="S108" s="223">
        <f t="shared" si="80"/>
        <v>0</v>
      </c>
      <c r="T108" s="223">
        <f t="shared" si="80"/>
        <v>0</v>
      </c>
      <c r="U108" s="223">
        <f t="shared" si="80"/>
        <v>0</v>
      </c>
      <c r="V108" s="223">
        <f t="shared" si="80"/>
        <v>1900000</v>
      </c>
      <c r="W108" s="223">
        <f t="shared" si="80"/>
        <v>0</v>
      </c>
      <c r="X108" s="223">
        <f t="shared" si="80"/>
        <v>33140600</v>
      </c>
      <c r="Y108" s="223">
        <f t="shared" si="80"/>
        <v>0</v>
      </c>
      <c r="Z108" s="223">
        <f t="shared" si="80"/>
        <v>0</v>
      </c>
      <c r="AA108" s="223">
        <f t="shared" si="80"/>
        <v>0</v>
      </c>
      <c r="AB108" s="223">
        <f t="shared" si="80"/>
        <v>0</v>
      </c>
      <c r="AC108" s="223">
        <f t="shared" si="80"/>
        <v>0</v>
      </c>
      <c r="AD108" s="223">
        <f t="shared" si="80"/>
        <v>100000</v>
      </c>
      <c r="AE108" s="223">
        <f t="shared" si="80"/>
        <v>0</v>
      </c>
      <c r="AF108" s="223">
        <f t="shared" si="80"/>
        <v>0</v>
      </c>
      <c r="AG108" s="223">
        <f t="shared" si="80"/>
        <v>0</v>
      </c>
      <c r="AH108" s="223">
        <f t="shared" si="80"/>
        <v>0</v>
      </c>
      <c r="AI108" s="223">
        <f t="shared" si="80"/>
        <v>0</v>
      </c>
      <c r="AJ108" s="223">
        <f t="shared" ref="AJ108:BA108" si="81">+AJ107+AJ101+AJ100+AJ94+AJ82+AJ75+AJ74</f>
        <v>0</v>
      </c>
      <c r="AK108" s="223">
        <f t="shared" si="81"/>
        <v>0</v>
      </c>
      <c r="AL108" s="223">
        <f t="shared" si="81"/>
        <v>0</v>
      </c>
      <c r="AM108" s="223">
        <f t="shared" si="81"/>
        <v>0</v>
      </c>
      <c r="AN108" s="223">
        <f t="shared" si="81"/>
        <v>0</v>
      </c>
      <c r="AO108" s="223">
        <f t="shared" si="81"/>
        <v>0</v>
      </c>
      <c r="AP108" s="223">
        <f t="shared" si="81"/>
        <v>0</v>
      </c>
      <c r="AQ108" s="223">
        <f t="shared" si="81"/>
        <v>0</v>
      </c>
      <c r="AR108" s="223">
        <f t="shared" si="81"/>
        <v>0</v>
      </c>
      <c r="AS108" s="223">
        <f t="shared" si="81"/>
        <v>0</v>
      </c>
      <c r="AT108" s="223">
        <f t="shared" si="81"/>
        <v>381000</v>
      </c>
      <c r="AU108" s="223">
        <f t="shared" si="81"/>
        <v>0</v>
      </c>
      <c r="AV108" s="223">
        <f t="shared" si="81"/>
        <v>0</v>
      </c>
      <c r="AW108" s="223">
        <f t="shared" si="81"/>
        <v>0</v>
      </c>
      <c r="AX108" s="223">
        <f t="shared" si="81"/>
        <v>0</v>
      </c>
      <c r="AY108" s="223">
        <f t="shared" si="81"/>
        <v>0</v>
      </c>
      <c r="AZ108" s="223">
        <f t="shared" si="81"/>
        <v>0</v>
      </c>
      <c r="BA108" s="223">
        <f t="shared" si="81"/>
        <v>0</v>
      </c>
    </row>
    <row r="109" spans="2:53" x14ac:dyDescent="0.25">
      <c r="B109" s="242" t="s">
        <v>276</v>
      </c>
      <c r="C109" s="243"/>
      <c r="D109" s="244">
        <f>+D101+D94+D82+D74-D33</f>
        <v>-209366000</v>
      </c>
      <c r="E109" s="244">
        <f>+E101+E94+E82+E74-E33</f>
        <v>-933122000</v>
      </c>
      <c r="F109" s="244">
        <f t="shared" ref="F109:F116" si="82">+E109+D109</f>
        <v>-1142488000</v>
      </c>
      <c r="G109" s="244">
        <f>+G101+G94+G82+G74-G33</f>
        <v>0</v>
      </c>
      <c r="H109" s="244">
        <f>+H101+H94+H82+H74-H33</f>
        <v>0</v>
      </c>
      <c r="I109" s="244">
        <f t="shared" ref="I109:I116" si="83">+H109+G109</f>
        <v>0</v>
      </c>
      <c r="J109" s="244">
        <f t="shared" ref="J109:BA109" si="84">+J101+J94+J82+J74-J33</f>
        <v>-86440000</v>
      </c>
      <c r="K109" s="244">
        <f t="shared" si="84"/>
        <v>0</v>
      </c>
      <c r="L109" s="244">
        <f t="shared" si="84"/>
        <v>-1193000</v>
      </c>
      <c r="M109" s="244">
        <f t="shared" si="84"/>
        <v>0</v>
      </c>
      <c r="N109" s="244">
        <f t="shared" si="84"/>
        <v>-7047000</v>
      </c>
      <c r="O109" s="244">
        <f t="shared" si="84"/>
        <v>0</v>
      </c>
      <c r="P109" s="244">
        <f t="shared" si="84"/>
        <v>566000</v>
      </c>
      <c r="Q109" s="244">
        <f t="shared" si="84"/>
        <v>0</v>
      </c>
      <c r="R109" s="244">
        <f t="shared" si="84"/>
        <v>-21844000</v>
      </c>
      <c r="S109" s="244">
        <f t="shared" si="84"/>
        <v>0</v>
      </c>
      <c r="T109" s="244">
        <f t="shared" si="84"/>
        <v>-10859000</v>
      </c>
      <c r="U109" s="244">
        <f t="shared" si="84"/>
        <v>0</v>
      </c>
      <c r="V109" s="244">
        <f t="shared" si="84"/>
        <v>-6228000</v>
      </c>
      <c r="W109" s="244">
        <f t="shared" si="84"/>
        <v>0</v>
      </c>
      <c r="X109" s="244">
        <f t="shared" si="84"/>
        <v>-7074000</v>
      </c>
      <c r="Y109" s="244">
        <f t="shared" si="84"/>
        <v>0</v>
      </c>
      <c r="Z109" s="244">
        <f t="shared" si="84"/>
        <v>-24321000</v>
      </c>
      <c r="AA109" s="244">
        <f t="shared" si="84"/>
        <v>0</v>
      </c>
      <c r="AB109" s="244">
        <f t="shared" si="84"/>
        <v>-39459000</v>
      </c>
      <c r="AC109" s="244">
        <f t="shared" si="84"/>
        <v>0</v>
      </c>
      <c r="AD109" s="244">
        <f t="shared" si="84"/>
        <v>-2187000</v>
      </c>
      <c r="AE109" s="244">
        <f t="shared" si="84"/>
        <v>0</v>
      </c>
      <c r="AF109" s="244">
        <f t="shared" si="84"/>
        <v>-635000</v>
      </c>
      <c r="AG109" s="244">
        <f t="shared" si="84"/>
        <v>0</v>
      </c>
      <c r="AH109" s="244">
        <f t="shared" si="84"/>
        <v>-495000</v>
      </c>
      <c r="AI109" s="244">
        <f t="shared" si="84"/>
        <v>0</v>
      </c>
      <c r="AJ109" s="244">
        <f t="shared" si="84"/>
        <v>-2150000</v>
      </c>
      <c r="AK109" s="244">
        <f t="shared" si="84"/>
        <v>0</v>
      </c>
      <c r="AL109" s="244">
        <f t="shared" si="84"/>
        <v>-12000000</v>
      </c>
      <c r="AM109" s="244">
        <f t="shared" si="84"/>
        <v>0</v>
      </c>
      <c r="AN109" s="244">
        <f t="shared" si="84"/>
        <v>0</v>
      </c>
      <c r="AO109" s="244">
        <f t="shared" si="84"/>
        <v>0</v>
      </c>
      <c r="AP109" s="244">
        <f t="shared" si="84"/>
        <v>-893099000</v>
      </c>
      <c r="AQ109" s="244">
        <f t="shared" si="84"/>
        <v>0</v>
      </c>
      <c r="AR109" s="244">
        <f t="shared" si="84"/>
        <v>-19200000</v>
      </c>
      <c r="AS109" s="244">
        <f t="shared" si="84"/>
        <v>0</v>
      </c>
      <c r="AT109" s="244">
        <f t="shared" si="84"/>
        <v>-2073000</v>
      </c>
      <c r="AU109" s="244">
        <f t="shared" si="84"/>
        <v>0</v>
      </c>
      <c r="AV109" s="244">
        <f t="shared" si="84"/>
        <v>-2000000</v>
      </c>
      <c r="AW109" s="244">
        <f t="shared" si="84"/>
        <v>0</v>
      </c>
      <c r="AX109" s="244">
        <f t="shared" si="84"/>
        <v>-4300000</v>
      </c>
      <c r="AY109" s="244">
        <f t="shared" si="84"/>
        <v>0</v>
      </c>
      <c r="AZ109" s="244">
        <f t="shared" si="84"/>
        <v>-450000</v>
      </c>
      <c r="BA109" s="244">
        <f t="shared" si="84"/>
        <v>0</v>
      </c>
    </row>
    <row r="110" spans="2:53" x14ac:dyDescent="0.25">
      <c r="B110" s="242" t="s">
        <v>277</v>
      </c>
      <c r="C110" s="243"/>
      <c r="D110" s="244">
        <f>+D107+D100+D75-D57</f>
        <v>0</v>
      </c>
      <c r="E110" s="244">
        <f>+E107+E100+E75-E57</f>
        <v>0</v>
      </c>
      <c r="F110" s="244">
        <f t="shared" si="82"/>
        <v>0</v>
      </c>
      <c r="G110" s="244">
        <f>+G107+G100+G75-G57</f>
        <v>0</v>
      </c>
      <c r="H110" s="244">
        <f>+H107+H100+H75-H57</f>
        <v>0</v>
      </c>
      <c r="I110" s="244">
        <f t="shared" si="83"/>
        <v>0</v>
      </c>
      <c r="J110" s="244">
        <f t="shared" ref="J110:BA110" si="85">+J107+J100+J75-J57</f>
        <v>0</v>
      </c>
      <c r="K110" s="244">
        <f t="shared" si="85"/>
        <v>0</v>
      </c>
      <c r="L110" s="244">
        <f t="shared" si="85"/>
        <v>0</v>
      </c>
      <c r="M110" s="244">
        <f t="shared" si="85"/>
        <v>0</v>
      </c>
      <c r="N110" s="244">
        <f t="shared" si="85"/>
        <v>0</v>
      </c>
      <c r="O110" s="244">
        <f t="shared" si="85"/>
        <v>0</v>
      </c>
      <c r="P110" s="244">
        <f t="shared" si="85"/>
        <v>0</v>
      </c>
      <c r="Q110" s="244">
        <f t="shared" si="85"/>
        <v>0</v>
      </c>
      <c r="R110" s="244">
        <f t="shared" si="85"/>
        <v>0</v>
      </c>
      <c r="S110" s="244">
        <f t="shared" si="85"/>
        <v>0</v>
      </c>
      <c r="T110" s="244">
        <f t="shared" si="85"/>
        <v>0</v>
      </c>
      <c r="U110" s="244">
        <f t="shared" si="85"/>
        <v>0</v>
      </c>
      <c r="V110" s="244">
        <f t="shared" si="85"/>
        <v>0</v>
      </c>
      <c r="W110" s="244">
        <f t="shared" si="85"/>
        <v>0</v>
      </c>
      <c r="X110" s="244">
        <f t="shared" si="85"/>
        <v>0</v>
      </c>
      <c r="Y110" s="244">
        <f t="shared" si="85"/>
        <v>0</v>
      </c>
      <c r="Z110" s="244">
        <f t="shared" si="85"/>
        <v>0</v>
      </c>
      <c r="AA110" s="244">
        <f t="shared" si="85"/>
        <v>0</v>
      </c>
      <c r="AB110" s="244">
        <f t="shared" si="85"/>
        <v>0</v>
      </c>
      <c r="AC110" s="244">
        <f t="shared" si="85"/>
        <v>0</v>
      </c>
      <c r="AD110" s="244">
        <f t="shared" si="85"/>
        <v>0</v>
      </c>
      <c r="AE110" s="244">
        <f t="shared" si="85"/>
        <v>0</v>
      </c>
      <c r="AF110" s="244">
        <f t="shared" si="85"/>
        <v>0</v>
      </c>
      <c r="AG110" s="244">
        <f t="shared" si="85"/>
        <v>0</v>
      </c>
      <c r="AH110" s="244">
        <f t="shared" si="85"/>
        <v>0</v>
      </c>
      <c r="AI110" s="244">
        <f t="shared" si="85"/>
        <v>0</v>
      </c>
      <c r="AJ110" s="244">
        <f t="shared" si="85"/>
        <v>0</v>
      </c>
      <c r="AK110" s="244">
        <f t="shared" si="85"/>
        <v>0</v>
      </c>
      <c r="AL110" s="244">
        <f t="shared" si="85"/>
        <v>0</v>
      </c>
      <c r="AM110" s="244">
        <f t="shared" si="85"/>
        <v>0</v>
      </c>
      <c r="AN110" s="244">
        <f t="shared" si="85"/>
        <v>0</v>
      </c>
      <c r="AO110" s="244">
        <f t="shared" si="85"/>
        <v>0</v>
      </c>
      <c r="AP110" s="244">
        <f t="shared" si="85"/>
        <v>0</v>
      </c>
      <c r="AQ110" s="244">
        <f t="shared" si="85"/>
        <v>0</v>
      </c>
      <c r="AR110" s="244">
        <f t="shared" si="85"/>
        <v>0</v>
      </c>
      <c r="AS110" s="244">
        <f t="shared" si="85"/>
        <v>0</v>
      </c>
      <c r="AT110" s="244">
        <f t="shared" si="85"/>
        <v>0</v>
      </c>
      <c r="AU110" s="244">
        <f t="shared" si="85"/>
        <v>0</v>
      </c>
      <c r="AV110" s="244">
        <f t="shared" si="85"/>
        <v>0</v>
      </c>
      <c r="AW110" s="244">
        <f t="shared" si="85"/>
        <v>0</v>
      </c>
      <c r="AX110" s="244">
        <f t="shared" si="85"/>
        <v>0</v>
      </c>
      <c r="AY110" s="244">
        <f t="shared" si="85"/>
        <v>0</v>
      </c>
      <c r="AZ110" s="244">
        <f t="shared" si="85"/>
        <v>0</v>
      </c>
      <c r="BA110" s="244">
        <f t="shared" si="85"/>
        <v>0</v>
      </c>
    </row>
    <row r="111" spans="2:53" hidden="1" x14ac:dyDescent="0.25">
      <c r="B111" s="245" t="s">
        <v>635</v>
      </c>
      <c r="C111" s="246" t="s">
        <v>285</v>
      </c>
      <c r="D111" s="197">
        <f t="shared" ref="D111:D116" si="86">+J111+L111+N111+P111+R111+T111+V111+X111+Z111+AB111+AD111+AF111+AH111+AJ111</f>
        <v>0</v>
      </c>
      <c r="E111" s="198">
        <f t="shared" ref="E111:E116" si="87">+AL111+AN111+AP111+AR111+AV111+AX111+AZ111+AT111</f>
        <v>0</v>
      </c>
      <c r="F111" s="199">
        <f t="shared" si="82"/>
        <v>0</v>
      </c>
      <c r="G111" s="197">
        <f t="shared" ref="G111:G125" si="88">+K111+M111+O111+Q111+S111+U111+W111+Y111+AA111+AC111+AE111+AG111+AI111+AK111</f>
        <v>0</v>
      </c>
      <c r="H111" s="198">
        <f t="shared" ref="H111:H125" si="89">+BA111+AY111+AW111+AU111+AS111+AQ111+AO111+AM111</f>
        <v>0</v>
      </c>
      <c r="I111" s="199">
        <f t="shared" si="83"/>
        <v>0</v>
      </c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  <c r="W111" s="199"/>
      <c r="X111" s="199"/>
      <c r="Y111" s="199"/>
      <c r="Z111" s="199"/>
      <c r="AA111" s="199"/>
      <c r="AB111" s="199"/>
      <c r="AC111" s="199"/>
      <c r="AD111" s="199"/>
      <c r="AE111" s="199"/>
      <c r="AF111" s="199"/>
      <c r="AG111" s="199"/>
      <c r="AH111" s="199"/>
      <c r="AI111" s="199"/>
      <c r="AJ111" s="199"/>
      <c r="AK111" s="199"/>
      <c r="AL111" s="199"/>
      <c r="AM111" s="199"/>
      <c r="AN111" s="199"/>
      <c r="AO111" s="199"/>
      <c r="AP111" s="199"/>
      <c r="AQ111" s="199"/>
      <c r="AR111" s="199"/>
      <c r="AS111" s="199"/>
      <c r="AT111" s="199"/>
      <c r="AU111" s="199"/>
      <c r="AV111" s="199"/>
      <c r="AW111" s="199"/>
      <c r="AX111" s="199"/>
      <c r="AY111" s="199"/>
      <c r="AZ111" s="199"/>
      <c r="BA111" s="199"/>
    </row>
    <row r="112" spans="2:53" hidden="1" x14ac:dyDescent="0.25">
      <c r="B112" s="247" t="s">
        <v>636</v>
      </c>
      <c r="C112" s="246" t="s">
        <v>295</v>
      </c>
      <c r="D112" s="197">
        <f t="shared" si="86"/>
        <v>0</v>
      </c>
      <c r="E112" s="198">
        <f t="shared" si="87"/>
        <v>0</v>
      </c>
      <c r="F112" s="199">
        <f t="shared" si="82"/>
        <v>0</v>
      </c>
      <c r="G112" s="197">
        <f t="shared" si="88"/>
        <v>0</v>
      </c>
      <c r="H112" s="198">
        <f t="shared" si="89"/>
        <v>0</v>
      </c>
      <c r="I112" s="199">
        <f t="shared" si="83"/>
        <v>0</v>
      </c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199"/>
      <c r="AH112" s="199"/>
      <c r="AI112" s="199"/>
      <c r="AJ112" s="199"/>
      <c r="AK112" s="199"/>
      <c r="AL112" s="199"/>
      <c r="AM112" s="199"/>
      <c r="AN112" s="199"/>
      <c r="AO112" s="199"/>
      <c r="AP112" s="199"/>
      <c r="AQ112" s="199"/>
      <c r="AR112" s="199"/>
      <c r="AS112" s="199"/>
      <c r="AT112" s="199"/>
      <c r="AU112" s="199"/>
      <c r="AV112" s="199"/>
      <c r="AW112" s="199"/>
      <c r="AX112" s="199"/>
      <c r="AY112" s="199"/>
      <c r="AZ112" s="199"/>
      <c r="BA112" s="199"/>
    </row>
    <row r="113" spans="2:53" ht="25.5" x14ac:dyDescent="0.25">
      <c r="B113" s="201" t="s">
        <v>296</v>
      </c>
      <c r="C113" s="201" t="s">
        <v>297</v>
      </c>
      <c r="D113" s="197">
        <f t="shared" si="86"/>
        <v>66493678</v>
      </c>
      <c r="E113" s="198">
        <f t="shared" si="87"/>
        <v>62570717</v>
      </c>
      <c r="F113" s="199">
        <f t="shared" si="82"/>
        <v>129064395</v>
      </c>
      <c r="G113" s="197">
        <f t="shared" si="88"/>
        <v>0</v>
      </c>
      <c r="H113" s="198">
        <f t="shared" si="89"/>
        <v>0</v>
      </c>
      <c r="I113" s="199">
        <f t="shared" si="83"/>
        <v>0</v>
      </c>
      <c r="J113" s="197">
        <v>66493678</v>
      </c>
      <c r="K113" s="197">
        <v>0</v>
      </c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197"/>
      <c r="Z113" s="197"/>
      <c r="AA113" s="197"/>
      <c r="AB113" s="197"/>
      <c r="AC113" s="197"/>
      <c r="AD113" s="197"/>
      <c r="AE113" s="197"/>
      <c r="AF113" s="197"/>
      <c r="AG113" s="197"/>
      <c r="AH113" s="197"/>
      <c r="AI113" s="197"/>
      <c r="AJ113" s="197"/>
      <c r="AK113" s="197"/>
      <c r="AL113" s="197"/>
      <c r="AM113" s="197"/>
      <c r="AN113" s="197"/>
      <c r="AO113" s="197"/>
      <c r="AP113" s="197">
        <f>45056717+5457000+6287000+5770000</f>
        <v>62570717</v>
      </c>
      <c r="AQ113" s="197"/>
      <c r="AR113" s="197"/>
      <c r="AS113" s="197"/>
      <c r="AT113" s="197"/>
      <c r="AU113" s="197"/>
      <c r="AV113" s="197"/>
      <c r="AW113" s="197"/>
      <c r="AX113" s="197"/>
      <c r="AY113" s="197"/>
      <c r="AZ113" s="197"/>
      <c r="BA113" s="197"/>
    </row>
    <row r="114" spans="2:53" ht="21.75" customHeight="1" x14ac:dyDescent="0.25">
      <c r="B114" s="201" t="s">
        <v>637</v>
      </c>
      <c r="C114" s="201" t="s">
        <v>297</v>
      </c>
      <c r="D114" s="197">
        <f t="shared" si="86"/>
        <v>67184138</v>
      </c>
      <c r="E114" s="198">
        <f t="shared" si="87"/>
        <v>0</v>
      </c>
      <c r="F114" s="199">
        <f t="shared" si="82"/>
        <v>67184138</v>
      </c>
      <c r="G114" s="197">
        <f t="shared" si="88"/>
        <v>0</v>
      </c>
      <c r="H114" s="198">
        <f t="shared" si="89"/>
        <v>0</v>
      </c>
      <c r="I114" s="199">
        <f t="shared" si="83"/>
        <v>0</v>
      </c>
      <c r="J114" s="197">
        <f>60643162+6540976</f>
        <v>67184138</v>
      </c>
      <c r="K114" s="197"/>
      <c r="L114" s="197"/>
      <c r="M114" s="197"/>
      <c r="N114" s="197"/>
      <c r="O114" s="197"/>
      <c r="P114" s="197"/>
      <c r="Q114" s="197"/>
      <c r="R114" s="197"/>
      <c r="S114" s="197"/>
      <c r="T114" s="197"/>
      <c r="U114" s="197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/>
      <c r="AF114" s="197"/>
      <c r="AG114" s="197"/>
      <c r="AH114" s="197"/>
      <c r="AI114" s="197"/>
      <c r="AJ114" s="197"/>
      <c r="AK114" s="197"/>
      <c r="AL114" s="197"/>
      <c r="AM114" s="197"/>
      <c r="AN114" s="197"/>
      <c r="AO114" s="197"/>
      <c r="AP114" s="197"/>
      <c r="AQ114" s="197"/>
      <c r="AR114" s="197"/>
      <c r="AS114" s="197"/>
      <c r="AT114" s="197"/>
      <c r="AU114" s="197"/>
      <c r="AV114" s="197"/>
      <c r="AW114" s="197"/>
      <c r="AX114" s="197"/>
      <c r="AY114" s="197"/>
      <c r="AZ114" s="197"/>
      <c r="BA114" s="197"/>
    </row>
    <row r="115" spans="2:53" hidden="1" x14ac:dyDescent="0.25">
      <c r="B115" s="201" t="s">
        <v>299</v>
      </c>
      <c r="C115" s="201" t="s">
        <v>300</v>
      </c>
      <c r="D115" s="197">
        <f t="shared" si="86"/>
        <v>0</v>
      </c>
      <c r="E115" s="198">
        <f t="shared" si="87"/>
        <v>0</v>
      </c>
      <c r="F115" s="199">
        <f t="shared" si="82"/>
        <v>0</v>
      </c>
      <c r="G115" s="197">
        <f t="shared" si="88"/>
        <v>0</v>
      </c>
      <c r="H115" s="198">
        <f t="shared" si="89"/>
        <v>0</v>
      </c>
      <c r="I115" s="199">
        <f t="shared" si="83"/>
        <v>0</v>
      </c>
      <c r="J115" s="197"/>
      <c r="K115" s="197"/>
      <c r="L115" s="197"/>
      <c r="M115" s="197"/>
      <c r="N115" s="197"/>
      <c r="O115" s="197"/>
      <c r="P115" s="197"/>
      <c r="Q115" s="197"/>
      <c r="R115" s="197"/>
      <c r="S115" s="197"/>
      <c r="T115" s="197"/>
      <c r="U115" s="197"/>
      <c r="V115" s="197"/>
      <c r="W115" s="197"/>
      <c r="X115" s="197"/>
      <c r="Y115" s="197"/>
      <c r="Z115" s="197"/>
      <c r="AA115" s="197"/>
      <c r="AB115" s="197"/>
      <c r="AC115" s="197"/>
      <c r="AD115" s="197"/>
      <c r="AE115" s="197"/>
      <c r="AF115" s="197"/>
      <c r="AG115" s="197"/>
      <c r="AH115" s="197"/>
      <c r="AI115" s="197"/>
      <c r="AJ115" s="197"/>
      <c r="AK115" s="197"/>
      <c r="AL115" s="197"/>
      <c r="AM115" s="197"/>
      <c r="AN115" s="197"/>
      <c r="AO115" s="197"/>
      <c r="AP115" s="197"/>
      <c r="AQ115" s="197"/>
      <c r="AR115" s="197"/>
      <c r="AS115" s="197"/>
      <c r="AT115" s="197"/>
      <c r="AU115" s="197"/>
      <c r="AV115" s="197"/>
      <c r="AW115" s="197"/>
      <c r="AX115" s="197"/>
      <c r="AY115" s="197"/>
      <c r="AZ115" s="197"/>
      <c r="BA115" s="197"/>
    </row>
    <row r="116" spans="2:53" hidden="1" x14ac:dyDescent="0.25">
      <c r="B116" s="201" t="s">
        <v>638</v>
      </c>
      <c r="C116" s="201" t="s">
        <v>300</v>
      </c>
      <c r="D116" s="197">
        <f t="shared" si="86"/>
        <v>0</v>
      </c>
      <c r="E116" s="198">
        <f t="shared" si="87"/>
        <v>0</v>
      </c>
      <c r="F116" s="199">
        <f t="shared" si="82"/>
        <v>0</v>
      </c>
      <c r="G116" s="197">
        <f t="shared" si="88"/>
        <v>0</v>
      </c>
      <c r="H116" s="198">
        <f t="shared" si="89"/>
        <v>0</v>
      </c>
      <c r="I116" s="199">
        <f t="shared" si="83"/>
        <v>0</v>
      </c>
      <c r="J116" s="197"/>
      <c r="K116" s="197"/>
      <c r="L116" s="197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  <c r="AA116" s="197"/>
      <c r="AB116" s="197"/>
      <c r="AC116" s="197"/>
      <c r="AD116" s="197"/>
      <c r="AE116" s="197"/>
      <c r="AF116" s="197"/>
      <c r="AG116" s="197"/>
      <c r="AH116" s="197"/>
      <c r="AI116" s="197"/>
      <c r="AJ116" s="197"/>
      <c r="AK116" s="197"/>
      <c r="AL116" s="197"/>
      <c r="AM116" s="197"/>
      <c r="AN116" s="197"/>
      <c r="AO116" s="197"/>
      <c r="AP116" s="197"/>
      <c r="AQ116" s="197"/>
      <c r="AR116" s="197"/>
      <c r="AS116" s="197"/>
      <c r="AT116" s="197"/>
      <c r="AU116" s="197"/>
      <c r="AV116" s="197"/>
      <c r="AW116" s="197"/>
      <c r="AX116" s="197"/>
      <c r="AY116" s="197"/>
      <c r="AZ116" s="197"/>
      <c r="BA116" s="197"/>
    </row>
    <row r="117" spans="2:53" x14ac:dyDescent="0.25">
      <c r="B117" s="246" t="s">
        <v>302</v>
      </c>
      <c r="C117" s="246" t="s">
        <v>303</v>
      </c>
      <c r="D117" s="199">
        <f>SUM(D113:D116)</f>
        <v>133677816</v>
      </c>
      <c r="E117" s="199">
        <f>SUM(E113:E116)</f>
        <v>62570717</v>
      </c>
      <c r="F117" s="199">
        <f>SUM(F113:F116)</f>
        <v>196248533</v>
      </c>
      <c r="G117" s="197">
        <f t="shared" si="88"/>
        <v>0</v>
      </c>
      <c r="H117" s="198">
        <f t="shared" si="89"/>
        <v>0</v>
      </c>
      <c r="I117" s="199">
        <f t="shared" ref="I117:BA117" si="90">SUM(I113:I116)</f>
        <v>0</v>
      </c>
      <c r="J117" s="199">
        <f t="shared" si="90"/>
        <v>133677816</v>
      </c>
      <c r="K117" s="199">
        <f t="shared" si="90"/>
        <v>0</v>
      </c>
      <c r="L117" s="199">
        <f t="shared" si="90"/>
        <v>0</v>
      </c>
      <c r="M117" s="199">
        <f t="shared" si="90"/>
        <v>0</v>
      </c>
      <c r="N117" s="199">
        <f t="shared" si="90"/>
        <v>0</v>
      </c>
      <c r="O117" s="199">
        <f t="shared" si="90"/>
        <v>0</v>
      </c>
      <c r="P117" s="199">
        <f t="shared" si="90"/>
        <v>0</v>
      </c>
      <c r="Q117" s="199">
        <f t="shared" si="90"/>
        <v>0</v>
      </c>
      <c r="R117" s="199">
        <f t="shared" si="90"/>
        <v>0</v>
      </c>
      <c r="S117" s="199">
        <f t="shared" si="90"/>
        <v>0</v>
      </c>
      <c r="T117" s="199">
        <f t="shared" si="90"/>
        <v>0</v>
      </c>
      <c r="U117" s="199">
        <f t="shared" si="90"/>
        <v>0</v>
      </c>
      <c r="V117" s="199">
        <f t="shared" si="90"/>
        <v>0</v>
      </c>
      <c r="W117" s="199">
        <f t="shared" si="90"/>
        <v>0</v>
      </c>
      <c r="X117" s="199">
        <f t="shared" si="90"/>
        <v>0</v>
      </c>
      <c r="Y117" s="199">
        <f t="shared" si="90"/>
        <v>0</v>
      </c>
      <c r="Z117" s="199">
        <f t="shared" si="90"/>
        <v>0</v>
      </c>
      <c r="AA117" s="199">
        <f t="shared" si="90"/>
        <v>0</v>
      </c>
      <c r="AB117" s="199">
        <f t="shared" si="90"/>
        <v>0</v>
      </c>
      <c r="AC117" s="199">
        <f t="shared" si="90"/>
        <v>0</v>
      </c>
      <c r="AD117" s="199">
        <f t="shared" si="90"/>
        <v>0</v>
      </c>
      <c r="AE117" s="199">
        <f t="shared" si="90"/>
        <v>0</v>
      </c>
      <c r="AF117" s="199">
        <f t="shared" si="90"/>
        <v>0</v>
      </c>
      <c r="AG117" s="199">
        <f t="shared" si="90"/>
        <v>0</v>
      </c>
      <c r="AH117" s="199">
        <f t="shared" si="90"/>
        <v>0</v>
      </c>
      <c r="AI117" s="199">
        <f t="shared" si="90"/>
        <v>0</v>
      </c>
      <c r="AJ117" s="199">
        <f t="shared" si="90"/>
        <v>0</v>
      </c>
      <c r="AK117" s="199">
        <f t="shared" si="90"/>
        <v>0</v>
      </c>
      <c r="AL117" s="199">
        <f t="shared" si="90"/>
        <v>0</v>
      </c>
      <c r="AM117" s="199">
        <f t="shared" si="90"/>
        <v>0</v>
      </c>
      <c r="AN117" s="199">
        <f t="shared" si="90"/>
        <v>0</v>
      </c>
      <c r="AO117" s="199">
        <f t="shared" si="90"/>
        <v>0</v>
      </c>
      <c r="AP117" s="199">
        <f t="shared" si="90"/>
        <v>62570717</v>
      </c>
      <c r="AQ117" s="199">
        <f t="shared" si="90"/>
        <v>0</v>
      </c>
      <c r="AR117" s="199">
        <f t="shared" si="90"/>
        <v>0</v>
      </c>
      <c r="AS117" s="199">
        <f t="shared" si="90"/>
        <v>0</v>
      </c>
      <c r="AT117" s="199">
        <f t="shared" si="90"/>
        <v>0</v>
      </c>
      <c r="AU117" s="199">
        <f t="shared" si="90"/>
        <v>0</v>
      </c>
      <c r="AV117" s="199">
        <f t="shared" si="90"/>
        <v>0</v>
      </c>
      <c r="AW117" s="199">
        <f t="shared" si="90"/>
        <v>0</v>
      </c>
      <c r="AX117" s="199">
        <f t="shared" si="90"/>
        <v>0</v>
      </c>
      <c r="AY117" s="199">
        <f t="shared" si="90"/>
        <v>0</v>
      </c>
      <c r="AZ117" s="199">
        <f t="shared" si="90"/>
        <v>0</v>
      </c>
      <c r="BA117" s="199">
        <f t="shared" si="90"/>
        <v>0</v>
      </c>
    </row>
    <row r="118" spans="2:53" hidden="1" x14ac:dyDescent="0.25">
      <c r="B118" s="224" t="s">
        <v>304</v>
      </c>
      <c r="C118" s="201" t="s">
        <v>305</v>
      </c>
      <c r="D118" s="197">
        <f>+J118+L118+N118+P118+R118+T118+V118+X118+Z118+AB118+AD118+AF118+AH118+AJ118</f>
        <v>0</v>
      </c>
      <c r="E118" s="198">
        <f t="shared" ref="E118:E125" si="91">+AL118+AN118+AP118+AR118+AV118+AX118+AZ118+AT118</f>
        <v>0</v>
      </c>
      <c r="F118" s="199">
        <f t="shared" ref="F118:F125" si="92">+E118+D118</f>
        <v>0</v>
      </c>
      <c r="G118" s="197">
        <f t="shared" si="88"/>
        <v>0</v>
      </c>
      <c r="H118" s="198">
        <f t="shared" si="89"/>
        <v>0</v>
      </c>
      <c r="I118" s="199">
        <f t="shared" ref="I118:I125" si="93">+H118+G118</f>
        <v>0</v>
      </c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  <c r="AR118" s="197"/>
      <c r="AS118" s="197"/>
      <c r="AT118" s="197"/>
      <c r="AU118" s="197"/>
      <c r="AV118" s="197"/>
      <c r="AW118" s="197"/>
      <c r="AX118" s="197"/>
      <c r="AY118" s="197"/>
      <c r="AZ118" s="197"/>
      <c r="BA118" s="197"/>
    </row>
    <row r="119" spans="2:53" hidden="1" x14ac:dyDescent="0.25">
      <c r="B119" s="224" t="s">
        <v>306</v>
      </c>
      <c r="C119" s="201" t="s">
        <v>307</v>
      </c>
      <c r="D119" s="197">
        <f>+J119+L119+N119+P119+R119+T119+V119+X119+Z119+AB119+AD119+AF119+AH119+AJ119</f>
        <v>0</v>
      </c>
      <c r="E119" s="198">
        <f t="shared" si="91"/>
        <v>0</v>
      </c>
      <c r="F119" s="199">
        <f t="shared" si="92"/>
        <v>0</v>
      </c>
      <c r="G119" s="197">
        <f t="shared" si="88"/>
        <v>0</v>
      </c>
      <c r="H119" s="198">
        <f t="shared" si="89"/>
        <v>0</v>
      </c>
      <c r="I119" s="199">
        <f t="shared" si="93"/>
        <v>0</v>
      </c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  <c r="AR119" s="197"/>
      <c r="AS119" s="197"/>
      <c r="AT119" s="197"/>
      <c r="AU119" s="197"/>
      <c r="AV119" s="197"/>
      <c r="AW119" s="197"/>
      <c r="AX119" s="197"/>
      <c r="AY119" s="197"/>
      <c r="AZ119" s="197"/>
      <c r="BA119" s="197"/>
    </row>
    <row r="120" spans="2:53" hidden="1" x14ac:dyDescent="0.25">
      <c r="B120" s="224" t="s">
        <v>308</v>
      </c>
      <c r="C120" s="201" t="s">
        <v>309</v>
      </c>
      <c r="D120" s="197">
        <f>+J120+L120+N120+P120+R120+T120+V120+X120+Z120+AB120+AD120+AF120+AH120+AJ120</f>
        <v>0</v>
      </c>
      <c r="E120" s="198">
        <f t="shared" si="91"/>
        <v>0</v>
      </c>
      <c r="F120" s="199">
        <f t="shared" si="92"/>
        <v>0</v>
      </c>
      <c r="G120" s="197">
        <f t="shared" si="88"/>
        <v>0</v>
      </c>
      <c r="H120" s="198">
        <f t="shared" si="89"/>
        <v>0</v>
      </c>
      <c r="I120" s="199">
        <f t="shared" si="93"/>
        <v>0</v>
      </c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  <c r="AR120" s="197"/>
      <c r="AS120" s="197"/>
      <c r="AT120" s="197"/>
      <c r="AU120" s="197"/>
      <c r="AV120" s="197"/>
      <c r="AW120" s="197"/>
      <c r="AX120" s="197"/>
      <c r="AY120" s="197"/>
      <c r="AZ120" s="197"/>
      <c r="BA120" s="197"/>
    </row>
    <row r="121" spans="2:53" hidden="1" x14ac:dyDescent="0.25">
      <c r="B121" s="248" t="s">
        <v>639</v>
      </c>
      <c r="C121" s="201"/>
      <c r="D121" s="197"/>
      <c r="E121" s="198">
        <f t="shared" si="91"/>
        <v>0</v>
      </c>
      <c r="F121" s="199">
        <f t="shared" si="92"/>
        <v>0</v>
      </c>
      <c r="G121" s="197">
        <f t="shared" si="88"/>
        <v>0</v>
      </c>
      <c r="H121" s="198">
        <f t="shared" si="89"/>
        <v>0</v>
      </c>
      <c r="I121" s="199">
        <f t="shared" si="93"/>
        <v>0</v>
      </c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  <c r="AR121" s="197"/>
      <c r="AS121" s="197"/>
      <c r="AT121" s="197"/>
      <c r="AU121" s="197"/>
      <c r="AV121" s="197"/>
      <c r="AW121" s="197"/>
      <c r="AX121" s="197"/>
      <c r="AY121" s="197"/>
      <c r="AZ121" s="197"/>
      <c r="BA121" s="197"/>
    </row>
    <row r="122" spans="2:53" hidden="1" x14ac:dyDescent="0.25">
      <c r="B122" s="249" t="s">
        <v>640</v>
      </c>
      <c r="C122" s="201"/>
      <c r="D122" s="197">
        <f>+D120-D121</f>
        <v>0</v>
      </c>
      <c r="E122" s="198">
        <f t="shared" si="91"/>
        <v>0</v>
      </c>
      <c r="F122" s="199">
        <f t="shared" si="92"/>
        <v>0</v>
      </c>
      <c r="G122" s="197">
        <f t="shared" si="88"/>
        <v>0</v>
      </c>
      <c r="H122" s="198">
        <f t="shared" si="89"/>
        <v>0</v>
      </c>
      <c r="I122" s="199">
        <f t="shared" si="93"/>
        <v>0</v>
      </c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7"/>
      <c r="AH122" s="197"/>
      <c r="AI122" s="197"/>
      <c r="AJ122" s="197"/>
      <c r="AK122" s="197"/>
      <c r="AL122" s="197"/>
      <c r="AM122" s="197"/>
      <c r="AN122" s="197"/>
      <c r="AO122" s="197"/>
      <c r="AP122" s="197"/>
      <c r="AQ122" s="197"/>
      <c r="AR122" s="197"/>
      <c r="AS122" s="197"/>
      <c r="AT122" s="197"/>
      <c r="AU122" s="197"/>
      <c r="AV122" s="197"/>
      <c r="AW122" s="197"/>
      <c r="AX122" s="197"/>
      <c r="AY122" s="197"/>
      <c r="AZ122" s="197"/>
      <c r="BA122" s="197"/>
    </row>
    <row r="123" spans="2:53" hidden="1" x14ac:dyDescent="0.25">
      <c r="B123" s="224" t="s">
        <v>310</v>
      </c>
      <c r="C123" s="201" t="s">
        <v>311</v>
      </c>
      <c r="D123" s="197">
        <f>+J123+L123+N123+P123+R123+T123+V123+X123+Z123+AB123+AD123+AF123+AH123+AJ123</f>
        <v>0</v>
      </c>
      <c r="E123" s="198">
        <f t="shared" si="91"/>
        <v>0</v>
      </c>
      <c r="F123" s="199">
        <f t="shared" si="92"/>
        <v>0</v>
      </c>
      <c r="G123" s="197">
        <f t="shared" si="88"/>
        <v>0</v>
      </c>
      <c r="H123" s="198">
        <f t="shared" si="89"/>
        <v>0</v>
      </c>
      <c r="I123" s="199">
        <f t="shared" si="93"/>
        <v>0</v>
      </c>
      <c r="J123" s="197"/>
      <c r="K123" s="197"/>
      <c r="L123" s="197"/>
      <c r="M123" s="197"/>
      <c r="N123" s="197"/>
      <c r="O123" s="197"/>
      <c r="P123" s="197"/>
      <c r="Q123" s="197"/>
      <c r="R123" s="197"/>
      <c r="S123" s="197"/>
      <c r="T123" s="197"/>
      <c r="U123" s="197"/>
      <c r="V123" s="197"/>
      <c r="W123" s="197"/>
      <c r="X123" s="197"/>
      <c r="Y123" s="197"/>
      <c r="Z123" s="197"/>
      <c r="AA123" s="197"/>
      <c r="AB123" s="197"/>
      <c r="AC123" s="197"/>
      <c r="AD123" s="197"/>
      <c r="AE123" s="197"/>
      <c r="AF123" s="197"/>
      <c r="AG123" s="197"/>
      <c r="AH123" s="197"/>
      <c r="AI123" s="197"/>
      <c r="AJ123" s="197"/>
      <c r="AK123" s="197"/>
      <c r="AL123" s="197"/>
      <c r="AM123" s="197"/>
      <c r="AN123" s="197"/>
      <c r="AO123" s="197"/>
      <c r="AP123" s="197"/>
      <c r="AQ123" s="197"/>
      <c r="AR123" s="197"/>
      <c r="AS123" s="197"/>
      <c r="AT123" s="197"/>
      <c r="AU123" s="197"/>
      <c r="AV123" s="197"/>
      <c r="AW123" s="197"/>
      <c r="AX123" s="197"/>
      <c r="AY123" s="197"/>
      <c r="AZ123" s="197"/>
      <c r="BA123" s="197"/>
    </row>
    <row r="124" spans="2:53" hidden="1" x14ac:dyDescent="0.25">
      <c r="B124" s="220" t="s">
        <v>312</v>
      </c>
      <c r="C124" s="201" t="s">
        <v>313</v>
      </c>
      <c r="D124" s="197">
        <f>+J124+L124+N124+P124+R124+T124+V124+X124+Z124+AB124+AD124+AF124+AH124+AJ124</f>
        <v>0</v>
      </c>
      <c r="E124" s="198">
        <f t="shared" si="91"/>
        <v>0</v>
      </c>
      <c r="F124" s="199">
        <f t="shared" si="92"/>
        <v>0</v>
      </c>
      <c r="G124" s="197">
        <f t="shared" si="88"/>
        <v>0</v>
      </c>
      <c r="H124" s="198">
        <f t="shared" si="89"/>
        <v>0</v>
      </c>
      <c r="I124" s="199">
        <f t="shared" si="93"/>
        <v>0</v>
      </c>
      <c r="J124" s="197"/>
      <c r="K124" s="197"/>
      <c r="L124" s="197"/>
      <c r="M124" s="197"/>
      <c r="N124" s="197"/>
      <c r="O124" s="197"/>
      <c r="P124" s="197"/>
      <c r="Q124" s="197"/>
      <c r="R124" s="197"/>
      <c r="S124" s="197"/>
      <c r="T124" s="197"/>
      <c r="U124" s="197"/>
      <c r="V124" s="197"/>
      <c r="W124" s="197"/>
      <c r="X124" s="197"/>
      <c r="Y124" s="197"/>
      <c r="Z124" s="197"/>
      <c r="AA124" s="197"/>
      <c r="AB124" s="197"/>
      <c r="AC124" s="197"/>
      <c r="AD124" s="197"/>
      <c r="AE124" s="197"/>
      <c r="AF124" s="197"/>
      <c r="AG124" s="197"/>
      <c r="AH124" s="197"/>
      <c r="AI124" s="197"/>
      <c r="AJ124" s="197"/>
      <c r="AK124" s="197"/>
      <c r="AL124" s="197"/>
      <c r="AM124" s="197"/>
      <c r="AN124" s="197"/>
      <c r="AO124" s="197"/>
      <c r="AP124" s="197"/>
      <c r="AQ124" s="197"/>
      <c r="AR124" s="197"/>
      <c r="AS124" s="197"/>
      <c r="AT124" s="197"/>
      <c r="AU124" s="197"/>
      <c r="AV124" s="197"/>
      <c r="AW124" s="197"/>
      <c r="AX124" s="197"/>
      <c r="AY124" s="197"/>
      <c r="AZ124" s="197"/>
      <c r="BA124" s="197"/>
    </row>
    <row r="125" spans="2:53" hidden="1" x14ac:dyDescent="0.25">
      <c r="B125" s="220" t="s">
        <v>314</v>
      </c>
      <c r="C125" s="201" t="s">
        <v>315</v>
      </c>
      <c r="D125" s="197">
        <f>+J125+L125+N125+P125+R125+T125+V125+X125+Z125+AB125+AD125+AF125+AH125+AJ125</f>
        <v>0</v>
      </c>
      <c r="E125" s="198">
        <f t="shared" si="91"/>
        <v>0</v>
      </c>
      <c r="F125" s="199">
        <f t="shared" si="92"/>
        <v>0</v>
      </c>
      <c r="G125" s="197">
        <f t="shared" si="88"/>
        <v>0</v>
      </c>
      <c r="H125" s="198">
        <f t="shared" si="89"/>
        <v>0</v>
      </c>
      <c r="I125" s="199">
        <f t="shared" si="93"/>
        <v>0</v>
      </c>
      <c r="J125" s="197"/>
      <c r="K125" s="197"/>
      <c r="L125" s="197"/>
      <c r="M125" s="197"/>
      <c r="N125" s="197"/>
      <c r="O125" s="197"/>
      <c r="P125" s="197"/>
      <c r="Q125" s="197"/>
      <c r="R125" s="197"/>
      <c r="S125" s="197"/>
      <c r="T125" s="197"/>
      <c r="U125" s="197"/>
      <c r="V125" s="197"/>
      <c r="W125" s="197"/>
      <c r="X125" s="197"/>
      <c r="Y125" s="197"/>
      <c r="Z125" s="197"/>
      <c r="AA125" s="197"/>
      <c r="AB125" s="197"/>
      <c r="AC125" s="197"/>
      <c r="AD125" s="197"/>
      <c r="AE125" s="197"/>
      <c r="AF125" s="197"/>
      <c r="AG125" s="197"/>
      <c r="AH125" s="197"/>
      <c r="AI125" s="197"/>
      <c r="AJ125" s="197"/>
      <c r="AK125" s="197"/>
      <c r="AL125" s="197"/>
      <c r="AM125" s="197"/>
      <c r="AN125" s="197"/>
      <c r="AO125" s="197"/>
      <c r="AP125" s="197"/>
      <c r="AQ125" s="197"/>
      <c r="AR125" s="197"/>
      <c r="AS125" s="197"/>
      <c r="AT125" s="197"/>
      <c r="AU125" s="197"/>
      <c r="AV125" s="197"/>
      <c r="AW125" s="197"/>
      <c r="AX125" s="197"/>
      <c r="AY125" s="197"/>
      <c r="AZ125" s="197"/>
      <c r="BA125" s="197"/>
    </row>
    <row r="126" spans="2:53" s="202" customFormat="1" ht="12.75" x14ac:dyDescent="0.2">
      <c r="B126" s="211" t="s">
        <v>316</v>
      </c>
      <c r="C126" s="206" t="s">
        <v>317</v>
      </c>
      <c r="D126" s="205">
        <f t="shared" ref="D126:I126" si="94">SUM(D118:D125)+D117+D112+D111</f>
        <v>133677816</v>
      </c>
      <c r="E126" s="205">
        <f t="shared" si="94"/>
        <v>62570717</v>
      </c>
      <c r="F126" s="205">
        <f t="shared" si="94"/>
        <v>196248533</v>
      </c>
      <c r="G126" s="205">
        <f t="shared" si="94"/>
        <v>0</v>
      </c>
      <c r="H126" s="205">
        <f t="shared" si="94"/>
        <v>0</v>
      </c>
      <c r="I126" s="205">
        <f t="shared" si="94"/>
        <v>0</v>
      </c>
      <c r="J126" s="205">
        <f t="shared" ref="J126:BA126" si="95">SUM(J118:J124)+J117+J112+J111</f>
        <v>133677816</v>
      </c>
      <c r="K126" s="205">
        <f t="shared" si="95"/>
        <v>0</v>
      </c>
      <c r="L126" s="205">
        <f t="shared" si="95"/>
        <v>0</v>
      </c>
      <c r="M126" s="205">
        <f t="shared" si="95"/>
        <v>0</v>
      </c>
      <c r="N126" s="205">
        <f t="shared" si="95"/>
        <v>0</v>
      </c>
      <c r="O126" s="205">
        <f t="shared" si="95"/>
        <v>0</v>
      </c>
      <c r="P126" s="205">
        <f t="shared" si="95"/>
        <v>0</v>
      </c>
      <c r="Q126" s="205">
        <f t="shared" si="95"/>
        <v>0</v>
      </c>
      <c r="R126" s="205">
        <f t="shared" si="95"/>
        <v>0</v>
      </c>
      <c r="S126" s="205">
        <f t="shared" si="95"/>
        <v>0</v>
      </c>
      <c r="T126" s="205">
        <f t="shared" si="95"/>
        <v>0</v>
      </c>
      <c r="U126" s="205">
        <f t="shared" si="95"/>
        <v>0</v>
      </c>
      <c r="V126" s="205">
        <f t="shared" si="95"/>
        <v>0</v>
      </c>
      <c r="W126" s="205">
        <f t="shared" si="95"/>
        <v>0</v>
      </c>
      <c r="X126" s="205">
        <f t="shared" si="95"/>
        <v>0</v>
      </c>
      <c r="Y126" s="205">
        <f t="shared" si="95"/>
        <v>0</v>
      </c>
      <c r="Z126" s="205">
        <f t="shared" si="95"/>
        <v>0</v>
      </c>
      <c r="AA126" s="205">
        <f t="shared" si="95"/>
        <v>0</v>
      </c>
      <c r="AB126" s="205">
        <f t="shared" si="95"/>
        <v>0</v>
      </c>
      <c r="AC126" s="205">
        <f t="shared" si="95"/>
        <v>0</v>
      </c>
      <c r="AD126" s="205">
        <f t="shared" si="95"/>
        <v>0</v>
      </c>
      <c r="AE126" s="205">
        <f t="shared" si="95"/>
        <v>0</v>
      </c>
      <c r="AF126" s="205">
        <f t="shared" si="95"/>
        <v>0</v>
      </c>
      <c r="AG126" s="205">
        <f t="shared" si="95"/>
        <v>0</v>
      </c>
      <c r="AH126" s="205">
        <f t="shared" si="95"/>
        <v>0</v>
      </c>
      <c r="AI126" s="205">
        <f t="shared" si="95"/>
        <v>0</v>
      </c>
      <c r="AJ126" s="205">
        <f t="shared" si="95"/>
        <v>0</v>
      </c>
      <c r="AK126" s="205">
        <f t="shared" si="95"/>
        <v>0</v>
      </c>
      <c r="AL126" s="205">
        <f t="shared" si="95"/>
        <v>0</v>
      </c>
      <c r="AM126" s="205">
        <f t="shared" si="95"/>
        <v>0</v>
      </c>
      <c r="AN126" s="205">
        <f t="shared" si="95"/>
        <v>0</v>
      </c>
      <c r="AO126" s="205">
        <f t="shared" si="95"/>
        <v>0</v>
      </c>
      <c r="AP126" s="205">
        <f t="shared" si="95"/>
        <v>62570717</v>
      </c>
      <c r="AQ126" s="205">
        <f t="shared" si="95"/>
        <v>0</v>
      </c>
      <c r="AR126" s="205">
        <f t="shared" si="95"/>
        <v>0</v>
      </c>
      <c r="AS126" s="205">
        <f t="shared" si="95"/>
        <v>0</v>
      </c>
      <c r="AT126" s="205">
        <f t="shared" si="95"/>
        <v>0</v>
      </c>
      <c r="AU126" s="205">
        <f t="shared" si="95"/>
        <v>0</v>
      </c>
      <c r="AV126" s="205">
        <f t="shared" si="95"/>
        <v>0</v>
      </c>
      <c r="AW126" s="205">
        <f t="shared" si="95"/>
        <v>0</v>
      </c>
      <c r="AX126" s="205">
        <f t="shared" si="95"/>
        <v>0</v>
      </c>
      <c r="AY126" s="205">
        <f t="shared" si="95"/>
        <v>0</v>
      </c>
      <c r="AZ126" s="205">
        <f t="shared" si="95"/>
        <v>0</v>
      </c>
      <c r="BA126" s="205">
        <f t="shared" si="95"/>
        <v>0</v>
      </c>
    </row>
    <row r="127" spans="2:53" hidden="1" x14ac:dyDescent="0.25">
      <c r="B127" s="224" t="s">
        <v>318</v>
      </c>
      <c r="C127" s="201" t="s">
        <v>319</v>
      </c>
      <c r="D127" s="197">
        <f>+J127+L127+N127+P127+R127+T127+V127+X127+Z127+AB127+AD127+AF127+AH127+AJ127</f>
        <v>0</v>
      </c>
      <c r="E127" s="197">
        <f>+AL127+AN127+AP127+AR127+AV127+AX127+AZ127</f>
        <v>0</v>
      </c>
      <c r="F127" s="199">
        <f>+E127+D127</f>
        <v>0</v>
      </c>
      <c r="G127" s="197">
        <f>+P127+R127+T127+V127+X127+Z127+AB127+AD127+AF127+AH127+AJ127+AL127+AN127+AP127</f>
        <v>0</v>
      </c>
      <c r="H127" s="197">
        <f>+AR127+AT127+AV127+AX127+BB127+BC127+BD127</f>
        <v>0</v>
      </c>
      <c r="I127" s="199">
        <f>+H127+G127</f>
        <v>0</v>
      </c>
      <c r="J127" s="197"/>
      <c r="K127" s="197"/>
      <c r="L127" s="197"/>
      <c r="M127" s="197"/>
      <c r="N127" s="197"/>
      <c r="O127" s="197"/>
      <c r="P127" s="197"/>
      <c r="Q127" s="197"/>
      <c r="R127" s="197"/>
      <c r="S127" s="197"/>
      <c r="T127" s="197"/>
      <c r="U127" s="197"/>
      <c r="V127" s="197"/>
      <c r="W127" s="197"/>
      <c r="X127" s="197"/>
      <c r="Y127" s="197"/>
      <c r="Z127" s="197"/>
      <c r="AA127" s="197"/>
      <c r="AB127" s="197"/>
      <c r="AC127" s="197"/>
      <c r="AD127" s="197"/>
      <c r="AE127" s="197"/>
      <c r="AF127" s="197"/>
      <c r="AG127" s="197"/>
      <c r="AH127" s="197"/>
      <c r="AI127" s="197"/>
      <c r="AJ127" s="197"/>
      <c r="AK127" s="197"/>
      <c r="AL127" s="197"/>
      <c r="AM127" s="197"/>
      <c r="AN127" s="197"/>
      <c r="AO127" s="197"/>
      <c r="AP127" s="197"/>
      <c r="AQ127" s="197"/>
      <c r="AR127" s="197"/>
      <c r="AS127" s="197"/>
      <c r="AT127" s="197"/>
      <c r="AU127" s="197"/>
      <c r="AV127" s="197"/>
      <c r="AW127" s="197"/>
      <c r="AX127" s="197"/>
      <c r="AY127" s="197"/>
      <c r="AZ127" s="197"/>
      <c r="BA127" s="197"/>
    </row>
    <row r="128" spans="2:53" hidden="1" x14ac:dyDescent="0.25">
      <c r="B128" s="220" t="s">
        <v>320</v>
      </c>
      <c r="C128" s="201" t="s">
        <v>321</v>
      </c>
      <c r="D128" s="197">
        <f>+J128+L128+N128+P128+R128+T128+V128+X128+Z128+AB128+AD128+AF128+AH128+AJ128</f>
        <v>0</v>
      </c>
      <c r="E128" s="197">
        <f>+AL128+AN128+AP128+AR128+AV128+AX128+AZ128</f>
        <v>0</v>
      </c>
      <c r="F128" s="199">
        <f>+E128+D128</f>
        <v>0</v>
      </c>
      <c r="G128" s="197">
        <f>+P128+R128+T128+V128+X128+Z128+AB128+AD128+AF128+AH128+AJ128+AL128+AN128+AP128</f>
        <v>0</v>
      </c>
      <c r="H128" s="197">
        <f>+AR128+AT128+AV128+AX128+BB128+BC128+BD128</f>
        <v>0</v>
      </c>
      <c r="I128" s="199">
        <f>+H128+G128</f>
        <v>0</v>
      </c>
      <c r="J128" s="197"/>
      <c r="K128" s="197"/>
      <c r="L128" s="197"/>
      <c r="M128" s="197"/>
      <c r="N128" s="197"/>
      <c r="O128" s="197"/>
      <c r="P128" s="197"/>
      <c r="Q128" s="197"/>
      <c r="R128" s="197"/>
      <c r="S128" s="197"/>
      <c r="T128" s="197"/>
      <c r="U128" s="197"/>
      <c r="V128" s="197"/>
      <c r="W128" s="197"/>
      <c r="X128" s="197"/>
      <c r="Y128" s="197"/>
      <c r="Z128" s="197"/>
      <c r="AA128" s="197"/>
      <c r="AB128" s="197"/>
      <c r="AC128" s="197"/>
      <c r="AD128" s="197"/>
      <c r="AE128" s="197"/>
      <c r="AF128" s="197"/>
      <c r="AG128" s="197"/>
      <c r="AH128" s="197"/>
      <c r="AI128" s="197"/>
      <c r="AJ128" s="197"/>
      <c r="AK128" s="197"/>
      <c r="AL128" s="197"/>
      <c r="AM128" s="197"/>
      <c r="AN128" s="197"/>
      <c r="AO128" s="197"/>
      <c r="AP128" s="197"/>
      <c r="AQ128" s="197"/>
      <c r="AR128" s="197"/>
      <c r="AS128" s="197"/>
      <c r="AT128" s="197"/>
      <c r="AU128" s="197"/>
      <c r="AV128" s="197"/>
      <c r="AW128" s="197"/>
      <c r="AX128" s="197"/>
      <c r="AY128" s="197"/>
      <c r="AZ128" s="197"/>
      <c r="BA128" s="197"/>
    </row>
    <row r="129" spans="2:53" hidden="1" x14ac:dyDescent="0.25">
      <c r="B129" s="220" t="s">
        <v>322</v>
      </c>
      <c r="C129" s="201" t="s">
        <v>323</v>
      </c>
      <c r="D129" s="197">
        <f>+J129+L129+N129+P129+R129+T129+V129+X129+Z129+AB129+AD129+AF129+AH129+AJ129</f>
        <v>0</v>
      </c>
      <c r="E129" s="197">
        <f>+AL129+AN129+AP129+AR129+AV129+AX129+AZ129</f>
        <v>0</v>
      </c>
      <c r="F129" s="199">
        <f>+E129+D129</f>
        <v>0</v>
      </c>
      <c r="G129" s="197">
        <f>+P129+R129+T129+V129+X129+Z129+AB129+AD129+AF129+AH129+AJ129+AL129+AN129+AP129</f>
        <v>0</v>
      </c>
      <c r="H129" s="197">
        <f>+AR129+AT129+AV129+AX129+BB129+BC129+BD129</f>
        <v>0</v>
      </c>
      <c r="I129" s="199">
        <f>+H129+G129</f>
        <v>0</v>
      </c>
      <c r="J129" s="197"/>
      <c r="K129" s="197"/>
      <c r="L129" s="197"/>
      <c r="M129" s="197"/>
      <c r="N129" s="197"/>
      <c r="O129" s="197"/>
      <c r="P129" s="197"/>
      <c r="Q129" s="197"/>
      <c r="R129" s="197"/>
      <c r="S129" s="197"/>
      <c r="T129" s="197"/>
      <c r="U129" s="197"/>
      <c r="V129" s="197"/>
      <c r="W129" s="197"/>
      <c r="X129" s="197"/>
      <c r="Y129" s="197"/>
      <c r="Z129" s="197"/>
      <c r="AA129" s="197"/>
      <c r="AB129" s="197"/>
      <c r="AC129" s="197"/>
      <c r="AD129" s="197"/>
      <c r="AE129" s="197"/>
      <c r="AF129" s="197"/>
      <c r="AG129" s="197"/>
      <c r="AH129" s="197"/>
      <c r="AI129" s="197"/>
      <c r="AJ129" s="197"/>
      <c r="AK129" s="197"/>
      <c r="AL129" s="197"/>
      <c r="AM129" s="197"/>
      <c r="AN129" s="197"/>
      <c r="AO129" s="197"/>
      <c r="AP129" s="197"/>
      <c r="AQ129" s="197"/>
      <c r="AR129" s="197"/>
      <c r="AS129" s="197"/>
      <c r="AT129" s="197"/>
      <c r="AU129" s="197"/>
      <c r="AV129" s="197"/>
      <c r="AW129" s="197"/>
      <c r="AX129" s="197"/>
      <c r="AY129" s="197"/>
      <c r="AZ129" s="197"/>
      <c r="BA129" s="197"/>
    </row>
    <row r="130" spans="2:53" x14ac:dyDescent="0.25">
      <c r="B130" s="227" t="s">
        <v>324</v>
      </c>
      <c r="C130" s="228" t="s">
        <v>325</v>
      </c>
      <c r="D130" s="223">
        <f t="shared" ref="D130:I130" si="96">+D128+D127+D126+D129</f>
        <v>133677816</v>
      </c>
      <c r="E130" s="223">
        <f t="shared" si="96"/>
        <v>62570717</v>
      </c>
      <c r="F130" s="223">
        <f t="shared" si="96"/>
        <v>196248533</v>
      </c>
      <c r="G130" s="223">
        <f t="shared" si="96"/>
        <v>0</v>
      </c>
      <c r="H130" s="223">
        <f t="shared" si="96"/>
        <v>0</v>
      </c>
      <c r="I130" s="223">
        <f t="shared" si="96"/>
        <v>0</v>
      </c>
      <c r="J130" s="223">
        <f t="shared" ref="J130:BA130" si="97">+J128+J127+J126</f>
        <v>133677816</v>
      </c>
      <c r="K130" s="223">
        <f t="shared" si="97"/>
        <v>0</v>
      </c>
      <c r="L130" s="223">
        <f t="shared" si="97"/>
        <v>0</v>
      </c>
      <c r="M130" s="223">
        <f t="shared" si="97"/>
        <v>0</v>
      </c>
      <c r="N130" s="223">
        <f t="shared" si="97"/>
        <v>0</v>
      </c>
      <c r="O130" s="223">
        <f t="shared" si="97"/>
        <v>0</v>
      </c>
      <c r="P130" s="223">
        <f t="shared" si="97"/>
        <v>0</v>
      </c>
      <c r="Q130" s="223">
        <f t="shared" si="97"/>
        <v>0</v>
      </c>
      <c r="R130" s="223">
        <f t="shared" si="97"/>
        <v>0</v>
      </c>
      <c r="S130" s="223">
        <f t="shared" si="97"/>
        <v>0</v>
      </c>
      <c r="T130" s="223">
        <f t="shared" si="97"/>
        <v>0</v>
      </c>
      <c r="U130" s="223">
        <f t="shared" si="97"/>
        <v>0</v>
      </c>
      <c r="V130" s="223">
        <f t="shared" si="97"/>
        <v>0</v>
      </c>
      <c r="W130" s="223">
        <f t="shared" si="97"/>
        <v>0</v>
      </c>
      <c r="X130" s="223">
        <f t="shared" si="97"/>
        <v>0</v>
      </c>
      <c r="Y130" s="223">
        <f t="shared" si="97"/>
        <v>0</v>
      </c>
      <c r="Z130" s="223">
        <f t="shared" si="97"/>
        <v>0</v>
      </c>
      <c r="AA130" s="223">
        <f t="shared" si="97"/>
        <v>0</v>
      </c>
      <c r="AB130" s="223">
        <f t="shared" si="97"/>
        <v>0</v>
      </c>
      <c r="AC130" s="223">
        <f t="shared" si="97"/>
        <v>0</v>
      </c>
      <c r="AD130" s="223">
        <f t="shared" si="97"/>
        <v>0</v>
      </c>
      <c r="AE130" s="223">
        <f t="shared" si="97"/>
        <v>0</v>
      </c>
      <c r="AF130" s="223">
        <f t="shared" si="97"/>
        <v>0</v>
      </c>
      <c r="AG130" s="223">
        <f t="shared" si="97"/>
        <v>0</v>
      </c>
      <c r="AH130" s="223">
        <f t="shared" si="97"/>
        <v>0</v>
      </c>
      <c r="AI130" s="223">
        <f t="shared" si="97"/>
        <v>0</v>
      </c>
      <c r="AJ130" s="223">
        <f t="shared" si="97"/>
        <v>0</v>
      </c>
      <c r="AK130" s="223">
        <f t="shared" si="97"/>
        <v>0</v>
      </c>
      <c r="AL130" s="223">
        <f t="shared" si="97"/>
        <v>0</v>
      </c>
      <c r="AM130" s="223">
        <f t="shared" si="97"/>
        <v>0</v>
      </c>
      <c r="AN130" s="223">
        <f t="shared" si="97"/>
        <v>0</v>
      </c>
      <c r="AO130" s="223">
        <f t="shared" si="97"/>
        <v>0</v>
      </c>
      <c r="AP130" s="223">
        <f t="shared" si="97"/>
        <v>62570717</v>
      </c>
      <c r="AQ130" s="223">
        <f t="shared" si="97"/>
        <v>0</v>
      </c>
      <c r="AR130" s="223">
        <f t="shared" si="97"/>
        <v>0</v>
      </c>
      <c r="AS130" s="223">
        <f t="shared" si="97"/>
        <v>0</v>
      </c>
      <c r="AT130" s="223">
        <f t="shared" si="97"/>
        <v>0</v>
      </c>
      <c r="AU130" s="223">
        <f t="shared" si="97"/>
        <v>0</v>
      </c>
      <c r="AV130" s="223">
        <f t="shared" si="97"/>
        <v>0</v>
      </c>
      <c r="AW130" s="223">
        <f t="shared" si="97"/>
        <v>0</v>
      </c>
      <c r="AX130" s="223">
        <f t="shared" si="97"/>
        <v>0</v>
      </c>
      <c r="AY130" s="223">
        <f t="shared" si="97"/>
        <v>0</v>
      </c>
      <c r="AZ130" s="223">
        <f t="shared" si="97"/>
        <v>0</v>
      </c>
      <c r="BA130" s="223">
        <f t="shared" si="97"/>
        <v>0</v>
      </c>
    </row>
    <row r="131" spans="2:53" s="237" customFormat="1" ht="12.75" x14ac:dyDescent="0.2">
      <c r="B131" s="230" t="s">
        <v>326</v>
      </c>
      <c r="C131" s="230" t="s">
        <v>327</v>
      </c>
      <c r="D131" s="231">
        <f t="shared" ref="D131:AI131" si="98">+D108+D130</f>
        <v>178791416</v>
      </c>
      <c r="E131" s="231">
        <f t="shared" si="98"/>
        <v>62951717</v>
      </c>
      <c r="F131" s="231">
        <f t="shared" si="98"/>
        <v>241743133</v>
      </c>
      <c r="G131" s="231">
        <f t="shared" si="98"/>
        <v>0</v>
      </c>
      <c r="H131" s="231">
        <f t="shared" si="98"/>
        <v>0</v>
      </c>
      <c r="I131" s="231">
        <f t="shared" si="98"/>
        <v>0</v>
      </c>
      <c r="J131" s="231">
        <f t="shared" si="98"/>
        <v>133677816</v>
      </c>
      <c r="K131" s="231">
        <f t="shared" si="98"/>
        <v>0</v>
      </c>
      <c r="L131" s="231">
        <f t="shared" si="98"/>
        <v>9407000</v>
      </c>
      <c r="M131" s="231">
        <f t="shared" si="98"/>
        <v>0</v>
      </c>
      <c r="N131" s="231">
        <f t="shared" si="98"/>
        <v>0</v>
      </c>
      <c r="O131" s="231">
        <f t="shared" si="98"/>
        <v>0</v>
      </c>
      <c r="P131" s="231">
        <f t="shared" si="98"/>
        <v>566000</v>
      </c>
      <c r="Q131" s="231">
        <f t="shared" si="98"/>
        <v>0</v>
      </c>
      <c r="R131" s="231">
        <f t="shared" si="98"/>
        <v>0</v>
      </c>
      <c r="S131" s="231">
        <f t="shared" si="98"/>
        <v>0</v>
      </c>
      <c r="T131" s="231">
        <f t="shared" si="98"/>
        <v>0</v>
      </c>
      <c r="U131" s="231">
        <f t="shared" si="98"/>
        <v>0</v>
      </c>
      <c r="V131" s="231">
        <f t="shared" si="98"/>
        <v>1900000</v>
      </c>
      <c r="W131" s="231">
        <f t="shared" si="98"/>
        <v>0</v>
      </c>
      <c r="X131" s="231">
        <f t="shared" si="98"/>
        <v>33140600</v>
      </c>
      <c r="Y131" s="231">
        <f t="shared" si="98"/>
        <v>0</v>
      </c>
      <c r="Z131" s="231">
        <f t="shared" si="98"/>
        <v>0</v>
      </c>
      <c r="AA131" s="231">
        <f t="shared" si="98"/>
        <v>0</v>
      </c>
      <c r="AB131" s="231">
        <f t="shared" si="98"/>
        <v>0</v>
      </c>
      <c r="AC131" s="231">
        <f t="shared" si="98"/>
        <v>0</v>
      </c>
      <c r="AD131" s="231">
        <f t="shared" si="98"/>
        <v>100000</v>
      </c>
      <c r="AE131" s="231">
        <f t="shared" si="98"/>
        <v>0</v>
      </c>
      <c r="AF131" s="231">
        <f t="shared" si="98"/>
        <v>0</v>
      </c>
      <c r="AG131" s="231">
        <f t="shared" si="98"/>
        <v>0</v>
      </c>
      <c r="AH131" s="231">
        <f t="shared" si="98"/>
        <v>0</v>
      </c>
      <c r="AI131" s="231">
        <f t="shared" si="98"/>
        <v>0</v>
      </c>
      <c r="AJ131" s="231">
        <f t="shared" ref="AJ131:BA131" si="99">+AJ108+AJ130</f>
        <v>0</v>
      </c>
      <c r="AK131" s="231">
        <f t="shared" si="99"/>
        <v>0</v>
      </c>
      <c r="AL131" s="231">
        <f t="shared" si="99"/>
        <v>0</v>
      </c>
      <c r="AM131" s="231">
        <f t="shared" si="99"/>
        <v>0</v>
      </c>
      <c r="AN131" s="231">
        <f t="shared" si="99"/>
        <v>0</v>
      </c>
      <c r="AO131" s="231">
        <f t="shared" si="99"/>
        <v>0</v>
      </c>
      <c r="AP131" s="231">
        <f t="shared" si="99"/>
        <v>62570717</v>
      </c>
      <c r="AQ131" s="231">
        <f t="shared" si="99"/>
        <v>0</v>
      </c>
      <c r="AR131" s="231">
        <f t="shared" si="99"/>
        <v>0</v>
      </c>
      <c r="AS131" s="231">
        <f t="shared" si="99"/>
        <v>0</v>
      </c>
      <c r="AT131" s="231">
        <f t="shared" si="99"/>
        <v>381000</v>
      </c>
      <c r="AU131" s="231">
        <f t="shared" si="99"/>
        <v>0</v>
      </c>
      <c r="AV131" s="231">
        <f t="shared" si="99"/>
        <v>0</v>
      </c>
      <c r="AW131" s="231">
        <f t="shared" si="99"/>
        <v>0</v>
      </c>
      <c r="AX131" s="231">
        <f t="shared" si="99"/>
        <v>0</v>
      </c>
      <c r="AY131" s="231">
        <f t="shared" si="99"/>
        <v>0</v>
      </c>
      <c r="AZ131" s="231">
        <f t="shared" si="99"/>
        <v>0</v>
      </c>
      <c r="BA131" s="231">
        <f t="shared" si="99"/>
        <v>0</v>
      </c>
    </row>
    <row r="132" spans="2:53" s="237" customFormat="1" ht="12.75" x14ac:dyDescent="0.2">
      <c r="B132" s="181"/>
      <c r="C132" s="181"/>
      <c r="D132" s="181"/>
      <c r="E132" s="181"/>
      <c r="F132" s="181"/>
      <c r="G132" s="181"/>
      <c r="H132" s="181"/>
      <c r="I132" s="181"/>
    </row>
    <row r="133" spans="2:53" s="237" customFormat="1" ht="12.75" x14ac:dyDescent="0.2">
      <c r="B133" s="181"/>
      <c r="C133" s="181"/>
      <c r="D133" s="181"/>
      <c r="E133" s="181"/>
      <c r="F133" s="181"/>
      <c r="G133" s="181"/>
      <c r="H133" s="181"/>
      <c r="I133" s="181"/>
    </row>
    <row r="134" spans="2:53" s="237" customFormat="1" ht="12.75" x14ac:dyDescent="0.2">
      <c r="B134" s="181"/>
      <c r="C134" s="181"/>
      <c r="D134" s="181"/>
      <c r="E134" s="181"/>
      <c r="F134" s="181"/>
      <c r="G134" s="181"/>
      <c r="H134" s="181"/>
      <c r="I134" s="181"/>
    </row>
    <row r="135" spans="2:53" s="237" customFormat="1" ht="12.75" x14ac:dyDescent="0.2">
      <c r="B135" s="181"/>
      <c r="C135" s="181"/>
      <c r="D135" s="181"/>
      <c r="E135" s="181"/>
      <c r="F135" s="181"/>
      <c r="G135" s="181"/>
      <c r="H135" s="181"/>
      <c r="I135" s="181"/>
    </row>
    <row r="136" spans="2:53" s="237" customFormat="1" ht="12.75" x14ac:dyDescent="0.2">
      <c r="B136" s="181"/>
      <c r="C136" s="181"/>
      <c r="D136" s="181"/>
      <c r="E136" s="181"/>
      <c r="F136" s="181"/>
      <c r="G136" s="181"/>
      <c r="H136" s="181"/>
      <c r="I136" s="181"/>
    </row>
    <row r="137" spans="2:53" s="237" customFormat="1" ht="12.75" x14ac:dyDescent="0.2">
      <c r="B137" s="181"/>
      <c r="C137" s="181"/>
      <c r="D137" s="181"/>
      <c r="E137" s="181"/>
      <c r="F137" s="181"/>
      <c r="G137" s="181"/>
      <c r="H137" s="181"/>
      <c r="I137" s="181"/>
    </row>
    <row r="138" spans="2:53" s="237" customFormat="1" ht="12.75" x14ac:dyDescent="0.2">
      <c r="B138" s="181"/>
      <c r="C138" s="181"/>
      <c r="D138" s="181"/>
      <c r="E138" s="181"/>
      <c r="F138" s="181"/>
      <c r="G138" s="181"/>
      <c r="H138" s="181"/>
      <c r="I138" s="181"/>
    </row>
    <row r="139" spans="2:53" s="237" customFormat="1" ht="12.75" x14ac:dyDescent="0.2">
      <c r="B139" s="181"/>
      <c r="C139" s="181"/>
      <c r="D139" s="181"/>
      <c r="E139" s="181"/>
      <c r="F139" s="181"/>
      <c r="G139" s="181"/>
      <c r="H139" s="181"/>
      <c r="I139" s="181"/>
    </row>
    <row r="140" spans="2:53" s="237" customFormat="1" ht="12.75" x14ac:dyDescent="0.2">
      <c r="B140" s="181"/>
      <c r="C140" s="181"/>
      <c r="D140" s="181"/>
      <c r="E140" s="181"/>
      <c r="F140" s="181"/>
      <c r="G140" s="181"/>
      <c r="H140" s="181"/>
      <c r="I140" s="181"/>
    </row>
    <row r="141" spans="2:53" s="237" customFormat="1" ht="12.75" x14ac:dyDescent="0.2">
      <c r="B141" s="181"/>
      <c r="C141" s="181"/>
      <c r="D141" s="181"/>
      <c r="E141" s="181"/>
      <c r="F141" s="181"/>
      <c r="G141" s="181"/>
      <c r="H141" s="181"/>
      <c r="I141" s="181"/>
    </row>
    <row r="142" spans="2:53" s="237" customFormat="1" ht="12.75" x14ac:dyDescent="0.2">
      <c r="B142" s="181"/>
      <c r="C142" s="181"/>
      <c r="D142" s="181"/>
      <c r="E142" s="181"/>
      <c r="F142" s="181"/>
      <c r="G142" s="181"/>
      <c r="H142" s="181"/>
      <c r="I142" s="181"/>
    </row>
    <row r="143" spans="2:53" s="237" customFormat="1" ht="12.75" x14ac:dyDescent="0.2">
      <c r="B143" s="181"/>
      <c r="C143" s="181"/>
      <c r="D143" s="181"/>
      <c r="E143" s="181"/>
      <c r="F143" s="181"/>
      <c r="G143" s="181"/>
      <c r="H143" s="181"/>
      <c r="I143" s="181"/>
    </row>
    <row r="144" spans="2:53" s="237" customFormat="1" ht="12.75" x14ac:dyDescent="0.2">
      <c r="B144" s="181"/>
      <c r="C144" s="181"/>
      <c r="D144" s="181"/>
      <c r="E144" s="181"/>
      <c r="F144" s="181"/>
      <c r="G144" s="181"/>
      <c r="H144" s="181"/>
      <c r="I144" s="181"/>
    </row>
    <row r="145" spans="2:9" s="237" customFormat="1" ht="12.75" x14ac:dyDescent="0.2">
      <c r="B145" s="181"/>
      <c r="C145" s="181"/>
      <c r="D145" s="181"/>
      <c r="E145" s="181"/>
      <c r="F145" s="181"/>
      <c r="G145" s="181"/>
      <c r="H145" s="181"/>
      <c r="I145" s="181"/>
    </row>
    <row r="146" spans="2:9" s="237" customFormat="1" ht="12.75" x14ac:dyDescent="0.2">
      <c r="B146" s="181"/>
      <c r="C146" s="181"/>
      <c r="D146" s="181"/>
      <c r="E146" s="181"/>
      <c r="F146" s="181"/>
      <c r="G146" s="181"/>
      <c r="H146" s="181"/>
      <c r="I146" s="181"/>
    </row>
    <row r="147" spans="2:9" s="237" customFormat="1" ht="12.75" x14ac:dyDescent="0.2">
      <c r="B147" s="181"/>
      <c r="C147" s="181"/>
      <c r="D147" s="181"/>
      <c r="E147" s="181"/>
      <c r="F147" s="181"/>
      <c r="G147" s="181"/>
      <c r="H147" s="181"/>
      <c r="I147" s="181"/>
    </row>
    <row r="148" spans="2:9" s="237" customFormat="1" ht="12.75" x14ac:dyDescent="0.2">
      <c r="B148" s="181"/>
      <c r="C148" s="181"/>
      <c r="D148" s="181"/>
      <c r="E148" s="181"/>
      <c r="F148" s="181"/>
      <c r="G148" s="181"/>
      <c r="H148" s="181"/>
      <c r="I148" s="181"/>
    </row>
    <row r="149" spans="2:9" s="237" customFormat="1" ht="12.75" x14ac:dyDescent="0.2">
      <c r="B149" s="181"/>
      <c r="C149" s="181"/>
      <c r="D149" s="181"/>
      <c r="E149" s="181"/>
      <c r="F149" s="181"/>
      <c r="G149" s="181"/>
      <c r="H149" s="181"/>
      <c r="I149" s="181"/>
    </row>
    <row r="150" spans="2:9" s="237" customFormat="1" ht="12.75" x14ac:dyDescent="0.2">
      <c r="B150" s="181"/>
      <c r="C150" s="181"/>
      <c r="D150" s="181"/>
      <c r="E150" s="181"/>
      <c r="F150" s="181"/>
      <c r="G150" s="181"/>
      <c r="H150" s="181"/>
      <c r="I150" s="181"/>
    </row>
    <row r="151" spans="2:9" s="237" customFormat="1" ht="12.75" x14ac:dyDescent="0.2">
      <c r="B151" s="181"/>
      <c r="C151" s="181"/>
      <c r="D151" s="181"/>
      <c r="E151" s="181"/>
      <c r="F151" s="181"/>
      <c r="G151" s="181"/>
      <c r="H151" s="181"/>
      <c r="I151" s="181"/>
    </row>
    <row r="152" spans="2:9" s="237" customFormat="1" ht="12.75" x14ac:dyDescent="0.2">
      <c r="B152" s="181"/>
      <c r="C152" s="181"/>
      <c r="D152" s="181"/>
      <c r="E152" s="181"/>
      <c r="F152" s="181"/>
      <c r="G152" s="181"/>
      <c r="H152" s="181"/>
      <c r="I152" s="181"/>
    </row>
    <row r="153" spans="2:9" s="237" customFormat="1" ht="12.75" x14ac:dyDescent="0.2">
      <c r="B153" s="181"/>
      <c r="C153" s="181"/>
      <c r="D153" s="181"/>
      <c r="E153" s="181"/>
      <c r="F153" s="181"/>
      <c r="G153" s="181"/>
      <c r="H153" s="181"/>
      <c r="I153" s="181"/>
    </row>
    <row r="154" spans="2:9" s="237" customFormat="1" ht="12.75" x14ac:dyDescent="0.2">
      <c r="B154" s="181"/>
      <c r="C154" s="181"/>
      <c r="D154" s="181"/>
      <c r="E154" s="181"/>
      <c r="F154" s="181"/>
      <c r="G154" s="181"/>
      <c r="H154" s="181"/>
      <c r="I154" s="181"/>
    </row>
    <row r="155" spans="2:9" s="237" customFormat="1" ht="12.75" x14ac:dyDescent="0.2">
      <c r="B155" s="181"/>
      <c r="C155" s="181"/>
      <c r="D155" s="181"/>
      <c r="E155" s="181"/>
      <c r="F155" s="181"/>
      <c r="G155" s="181"/>
      <c r="H155" s="181"/>
      <c r="I155" s="181"/>
    </row>
    <row r="156" spans="2:9" s="237" customFormat="1" ht="12.75" x14ac:dyDescent="0.2">
      <c r="B156" s="181"/>
      <c r="C156" s="181"/>
      <c r="D156" s="181"/>
      <c r="E156" s="181"/>
      <c r="F156" s="181"/>
      <c r="G156" s="181"/>
      <c r="H156" s="181"/>
      <c r="I156" s="181"/>
    </row>
    <row r="157" spans="2:9" s="237" customFormat="1" ht="12.75" x14ac:dyDescent="0.2">
      <c r="B157" s="181"/>
      <c r="C157" s="181"/>
      <c r="D157" s="181"/>
      <c r="E157" s="181"/>
      <c r="F157" s="181"/>
      <c r="G157" s="181"/>
      <c r="H157" s="181"/>
      <c r="I157" s="181"/>
    </row>
    <row r="158" spans="2:9" s="237" customFormat="1" ht="12.75" x14ac:dyDescent="0.2">
      <c r="B158" s="181"/>
      <c r="C158" s="181"/>
      <c r="D158" s="181"/>
      <c r="E158" s="181"/>
      <c r="F158" s="181"/>
      <c r="G158" s="181"/>
      <c r="H158" s="181"/>
      <c r="I158" s="181"/>
    </row>
    <row r="159" spans="2:9" s="237" customFormat="1" ht="12.75" x14ac:dyDescent="0.2">
      <c r="B159" s="181"/>
      <c r="C159" s="181"/>
      <c r="D159" s="181"/>
      <c r="E159" s="181"/>
      <c r="F159" s="181"/>
      <c r="G159" s="181"/>
      <c r="H159" s="181"/>
      <c r="I159" s="181"/>
    </row>
    <row r="160" spans="2:9" s="237" customFormat="1" ht="12.75" x14ac:dyDescent="0.2">
      <c r="B160" s="181"/>
      <c r="C160" s="181"/>
      <c r="D160" s="181"/>
      <c r="E160" s="181"/>
      <c r="F160" s="181"/>
      <c r="G160" s="181"/>
      <c r="H160" s="181"/>
      <c r="I160" s="181"/>
    </row>
    <row r="161" spans="2:9" s="237" customFormat="1" ht="12.75" x14ac:dyDescent="0.2">
      <c r="B161" s="181"/>
      <c r="C161" s="181"/>
      <c r="D161" s="181"/>
      <c r="E161" s="181"/>
      <c r="F161" s="181"/>
      <c r="G161" s="181"/>
      <c r="H161" s="181"/>
      <c r="I161" s="181"/>
    </row>
    <row r="162" spans="2:9" s="237" customFormat="1" ht="12.75" x14ac:dyDescent="0.2">
      <c r="B162" s="181"/>
      <c r="C162" s="181"/>
      <c r="D162" s="181"/>
      <c r="E162" s="181"/>
      <c r="F162" s="181"/>
      <c r="G162" s="181"/>
      <c r="H162" s="181"/>
      <c r="I162" s="181"/>
    </row>
    <row r="163" spans="2:9" s="237" customFormat="1" ht="12.75" x14ac:dyDescent="0.2">
      <c r="B163" s="181"/>
      <c r="C163" s="181"/>
      <c r="D163" s="181"/>
      <c r="E163" s="181"/>
      <c r="F163" s="181"/>
      <c r="G163" s="181"/>
      <c r="H163" s="181"/>
      <c r="I163" s="181"/>
    </row>
    <row r="164" spans="2:9" s="237" customFormat="1" ht="12.75" x14ac:dyDescent="0.2">
      <c r="B164" s="181"/>
      <c r="C164" s="181"/>
      <c r="D164" s="181"/>
      <c r="E164" s="181"/>
      <c r="F164" s="181"/>
      <c r="G164" s="181"/>
      <c r="H164" s="181"/>
      <c r="I164" s="181"/>
    </row>
    <row r="165" spans="2:9" s="237" customFormat="1" ht="12.75" x14ac:dyDescent="0.2">
      <c r="B165" s="181"/>
      <c r="C165" s="181"/>
      <c r="D165" s="181"/>
      <c r="E165" s="181"/>
      <c r="F165" s="181"/>
      <c r="G165" s="181"/>
      <c r="H165" s="181"/>
      <c r="I165" s="181"/>
    </row>
    <row r="166" spans="2:9" s="237" customFormat="1" ht="12.75" x14ac:dyDescent="0.2">
      <c r="B166" s="181"/>
      <c r="C166" s="181"/>
      <c r="D166" s="181"/>
      <c r="E166" s="181"/>
      <c r="F166" s="181"/>
      <c r="G166" s="181"/>
      <c r="H166" s="181"/>
      <c r="I166" s="181"/>
    </row>
    <row r="167" spans="2:9" s="237" customFormat="1" ht="12.75" x14ac:dyDescent="0.2">
      <c r="B167" s="181"/>
      <c r="C167" s="181"/>
      <c r="D167" s="181"/>
      <c r="E167" s="181"/>
      <c r="F167" s="181"/>
      <c r="G167" s="181"/>
      <c r="H167" s="181"/>
      <c r="I167" s="181"/>
    </row>
    <row r="168" spans="2:9" s="237" customFormat="1" ht="12.75" x14ac:dyDescent="0.2">
      <c r="B168" s="181"/>
      <c r="C168" s="181"/>
      <c r="D168" s="181"/>
      <c r="E168" s="181"/>
      <c r="F168" s="181"/>
      <c r="G168" s="181"/>
      <c r="H168" s="181"/>
      <c r="I168" s="181"/>
    </row>
    <row r="169" spans="2:9" s="237" customFormat="1" ht="12.75" x14ac:dyDescent="0.2">
      <c r="B169" s="181"/>
      <c r="C169" s="181"/>
      <c r="D169" s="181"/>
      <c r="E169" s="181"/>
      <c r="F169" s="181"/>
      <c r="G169" s="181"/>
      <c r="H169" s="181"/>
      <c r="I169" s="181"/>
    </row>
    <row r="170" spans="2:9" s="237" customFormat="1" ht="12.75" x14ac:dyDescent="0.2">
      <c r="B170" s="181"/>
      <c r="C170" s="181"/>
      <c r="D170" s="181"/>
      <c r="E170" s="181"/>
      <c r="F170" s="181"/>
      <c r="G170" s="181"/>
      <c r="H170" s="181"/>
      <c r="I170" s="181"/>
    </row>
    <row r="171" spans="2:9" s="237" customFormat="1" ht="12.75" x14ac:dyDescent="0.2">
      <c r="B171" s="181"/>
      <c r="C171" s="181"/>
      <c r="D171" s="181"/>
      <c r="E171" s="181"/>
      <c r="F171" s="181"/>
      <c r="G171" s="181"/>
      <c r="H171" s="181"/>
      <c r="I171" s="181"/>
    </row>
    <row r="172" spans="2:9" s="237" customFormat="1" ht="12.75" x14ac:dyDescent="0.2">
      <c r="B172" s="181"/>
      <c r="C172" s="181"/>
      <c r="D172" s="181"/>
      <c r="E172" s="181"/>
      <c r="F172" s="181"/>
      <c r="G172" s="181"/>
      <c r="H172" s="181"/>
      <c r="I172" s="181"/>
    </row>
    <row r="173" spans="2:9" s="237" customFormat="1" ht="12.75" x14ac:dyDescent="0.2">
      <c r="B173" s="181"/>
      <c r="C173" s="181"/>
      <c r="D173" s="181"/>
      <c r="E173" s="181"/>
      <c r="F173" s="181"/>
      <c r="G173" s="181"/>
      <c r="H173" s="181"/>
      <c r="I173" s="181"/>
    </row>
    <row r="174" spans="2:9" s="237" customFormat="1" ht="12.75" x14ac:dyDescent="0.2">
      <c r="B174" s="181"/>
      <c r="C174" s="181"/>
      <c r="D174" s="181"/>
      <c r="E174" s="181"/>
      <c r="F174" s="181"/>
      <c r="G174" s="181"/>
      <c r="H174" s="181"/>
      <c r="I174" s="181"/>
    </row>
    <row r="175" spans="2:9" s="237" customFormat="1" ht="12.75" x14ac:dyDescent="0.2">
      <c r="B175" s="181"/>
      <c r="C175" s="181"/>
      <c r="D175" s="181"/>
      <c r="E175" s="181"/>
      <c r="F175" s="181"/>
      <c r="G175" s="181"/>
      <c r="H175" s="181"/>
      <c r="I175" s="181"/>
    </row>
    <row r="176" spans="2:9" s="237" customFormat="1" ht="12.75" x14ac:dyDescent="0.2">
      <c r="B176" s="181"/>
      <c r="C176" s="181"/>
      <c r="D176" s="181"/>
      <c r="E176" s="181"/>
      <c r="F176" s="181"/>
      <c r="G176" s="181"/>
      <c r="H176" s="181"/>
      <c r="I176" s="181"/>
    </row>
    <row r="177" spans="2:9" s="237" customFormat="1" ht="12.75" x14ac:dyDescent="0.2">
      <c r="B177" s="181"/>
      <c r="C177" s="181"/>
      <c r="D177" s="181"/>
      <c r="E177" s="181"/>
      <c r="F177" s="181"/>
      <c r="G177" s="181"/>
      <c r="H177" s="181"/>
      <c r="I177" s="181"/>
    </row>
    <row r="178" spans="2:9" s="237" customFormat="1" ht="12.75" x14ac:dyDescent="0.2">
      <c r="B178" s="181"/>
      <c r="C178" s="181"/>
      <c r="D178" s="181"/>
      <c r="E178" s="181"/>
      <c r="F178" s="181"/>
      <c r="G178" s="181"/>
      <c r="H178" s="181"/>
      <c r="I178" s="181"/>
    </row>
    <row r="179" spans="2:9" s="237" customFormat="1" ht="12.75" x14ac:dyDescent="0.2">
      <c r="B179" s="181"/>
      <c r="C179" s="181"/>
      <c r="D179" s="181"/>
      <c r="E179" s="181"/>
      <c r="F179" s="181"/>
      <c r="G179" s="181"/>
      <c r="H179" s="181"/>
      <c r="I179" s="181"/>
    </row>
    <row r="180" spans="2:9" s="237" customFormat="1" ht="12.75" x14ac:dyDescent="0.2">
      <c r="B180" s="181"/>
      <c r="C180" s="181"/>
      <c r="D180" s="181"/>
      <c r="E180" s="181"/>
      <c r="F180" s="181"/>
      <c r="G180" s="181"/>
      <c r="H180" s="181"/>
      <c r="I180" s="181"/>
    </row>
    <row r="181" spans="2:9" s="237" customFormat="1" ht="12.75" x14ac:dyDescent="0.2">
      <c r="B181" s="181"/>
      <c r="C181" s="181"/>
      <c r="D181" s="181"/>
      <c r="E181" s="181"/>
      <c r="F181" s="181"/>
      <c r="G181" s="181"/>
      <c r="H181" s="181"/>
      <c r="I181" s="181"/>
    </row>
    <row r="182" spans="2:9" s="237" customFormat="1" ht="12.75" x14ac:dyDescent="0.2">
      <c r="B182" s="181"/>
      <c r="C182" s="181"/>
      <c r="D182" s="181"/>
      <c r="E182" s="181"/>
      <c r="F182" s="181"/>
      <c r="G182" s="181"/>
      <c r="H182" s="181"/>
      <c r="I182" s="181"/>
    </row>
    <row r="183" spans="2:9" s="237" customFormat="1" ht="12.75" x14ac:dyDescent="0.2">
      <c r="B183" s="181"/>
      <c r="C183" s="181"/>
      <c r="D183" s="181"/>
      <c r="E183" s="181"/>
      <c r="F183" s="181"/>
      <c r="G183" s="181"/>
      <c r="H183" s="181"/>
      <c r="I183" s="181"/>
    </row>
    <row r="184" spans="2:9" s="237" customFormat="1" ht="12.75" x14ac:dyDescent="0.2">
      <c r="B184" s="181"/>
      <c r="C184" s="181"/>
      <c r="D184" s="181"/>
      <c r="E184" s="181"/>
      <c r="F184" s="181"/>
      <c r="G184" s="181"/>
      <c r="H184" s="181"/>
      <c r="I184" s="181"/>
    </row>
    <row r="185" spans="2:9" s="237" customFormat="1" ht="12.75" x14ac:dyDescent="0.2">
      <c r="B185" s="181"/>
      <c r="C185" s="181"/>
      <c r="D185" s="181"/>
      <c r="E185" s="181"/>
      <c r="F185" s="181"/>
      <c r="G185" s="181"/>
      <c r="H185" s="181"/>
      <c r="I185" s="181"/>
    </row>
    <row r="186" spans="2:9" s="237" customFormat="1" ht="12.75" x14ac:dyDescent="0.2">
      <c r="B186" s="181"/>
      <c r="C186" s="181"/>
      <c r="D186" s="181"/>
      <c r="E186" s="181"/>
      <c r="F186" s="181"/>
      <c r="G186" s="181"/>
      <c r="H186" s="181"/>
      <c r="I186" s="181"/>
    </row>
    <row r="187" spans="2:9" s="237" customFormat="1" ht="12.75" x14ac:dyDescent="0.2">
      <c r="B187" s="181"/>
      <c r="C187" s="181"/>
      <c r="D187" s="181"/>
      <c r="E187" s="181"/>
      <c r="F187" s="181"/>
      <c r="G187" s="181"/>
      <c r="H187" s="181"/>
      <c r="I187" s="181"/>
    </row>
    <row r="188" spans="2:9" s="237" customFormat="1" ht="12.75" x14ac:dyDescent="0.2">
      <c r="B188" s="181"/>
      <c r="C188" s="181"/>
      <c r="D188" s="181"/>
      <c r="E188" s="181"/>
      <c r="F188" s="181"/>
      <c r="G188" s="181"/>
      <c r="H188" s="181"/>
      <c r="I188" s="181"/>
    </row>
    <row r="189" spans="2:9" s="237" customFormat="1" ht="12.75" x14ac:dyDescent="0.2">
      <c r="B189" s="181"/>
      <c r="C189" s="181"/>
      <c r="D189" s="181"/>
      <c r="E189" s="181"/>
      <c r="F189" s="181"/>
      <c r="G189" s="181"/>
      <c r="H189" s="181"/>
      <c r="I189" s="181"/>
    </row>
    <row r="190" spans="2:9" s="237" customFormat="1" ht="12.75" x14ac:dyDescent="0.2">
      <c r="B190" s="181"/>
      <c r="C190" s="181"/>
      <c r="D190" s="181"/>
      <c r="E190" s="181"/>
      <c r="F190" s="181"/>
      <c r="G190" s="181"/>
      <c r="H190" s="181"/>
      <c r="I190" s="181"/>
    </row>
    <row r="191" spans="2:9" s="237" customFormat="1" ht="12.75" x14ac:dyDescent="0.2">
      <c r="B191" s="181"/>
      <c r="C191" s="181"/>
      <c r="D191" s="181"/>
      <c r="E191" s="181"/>
      <c r="F191" s="181"/>
      <c r="G191" s="181"/>
      <c r="H191" s="181"/>
      <c r="I191" s="181"/>
    </row>
    <row r="192" spans="2:9" s="237" customFormat="1" ht="12.75" x14ac:dyDescent="0.2">
      <c r="B192" s="181"/>
      <c r="C192" s="181"/>
      <c r="D192" s="181"/>
      <c r="E192" s="181"/>
      <c r="F192" s="181"/>
      <c r="G192" s="181"/>
      <c r="H192" s="181"/>
      <c r="I192" s="181"/>
    </row>
    <row r="193" spans="2:9" s="237" customFormat="1" ht="12.75" x14ac:dyDescent="0.2">
      <c r="B193" s="181"/>
      <c r="C193" s="181"/>
      <c r="D193" s="181"/>
      <c r="E193" s="181"/>
      <c r="F193" s="181"/>
      <c r="G193" s="181"/>
      <c r="H193" s="181"/>
      <c r="I193" s="181"/>
    </row>
    <row r="194" spans="2:9" s="237" customFormat="1" ht="12.75" x14ac:dyDescent="0.2">
      <c r="B194" s="181"/>
      <c r="C194" s="181"/>
      <c r="D194" s="181"/>
      <c r="E194" s="181"/>
      <c r="F194" s="181"/>
      <c r="G194" s="181"/>
      <c r="H194" s="181"/>
      <c r="I194" s="181"/>
    </row>
    <row r="195" spans="2:9" s="237" customFormat="1" ht="12.75" x14ac:dyDescent="0.2">
      <c r="B195" s="181"/>
      <c r="C195" s="181"/>
      <c r="D195" s="181"/>
      <c r="E195" s="181"/>
      <c r="F195" s="181"/>
      <c r="G195" s="181"/>
      <c r="H195" s="181"/>
      <c r="I195" s="181"/>
    </row>
    <row r="196" spans="2:9" s="237" customFormat="1" ht="12.75" x14ac:dyDescent="0.2">
      <c r="B196" s="181"/>
      <c r="C196" s="181"/>
      <c r="D196" s="181"/>
      <c r="E196" s="181"/>
      <c r="F196" s="181"/>
      <c r="G196" s="181"/>
      <c r="H196" s="181"/>
      <c r="I196" s="181"/>
    </row>
    <row r="197" spans="2:9" s="237" customFormat="1" ht="12.75" x14ac:dyDescent="0.2">
      <c r="B197" s="181"/>
      <c r="C197" s="181"/>
      <c r="D197" s="181"/>
      <c r="E197" s="181"/>
      <c r="F197" s="181"/>
      <c r="G197" s="181"/>
      <c r="H197" s="181"/>
      <c r="I197" s="181"/>
    </row>
    <row r="198" spans="2:9" s="237" customFormat="1" ht="12.75" x14ac:dyDescent="0.2">
      <c r="B198" s="181"/>
      <c r="C198" s="181"/>
      <c r="D198" s="181"/>
      <c r="E198" s="181"/>
      <c r="F198" s="181"/>
      <c r="G198" s="181"/>
      <c r="H198" s="181"/>
      <c r="I198" s="181"/>
    </row>
    <row r="199" spans="2:9" s="237" customFormat="1" ht="12.75" x14ac:dyDescent="0.2">
      <c r="B199" s="181"/>
      <c r="C199" s="181"/>
      <c r="D199" s="181"/>
      <c r="E199" s="181"/>
      <c r="F199" s="181"/>
      <c r="G199" s="181"/>
      <c r="H199" s="181"/>
      <c r="I199" s="181"/>
    </row>
    <row r="200" spans="2:9" s="237" customFormat="1" ht="12.75" x14ac:dyDescent="0.2">
      <c r="B200" s="181"/>
      <c r="C200" s="181"/>
      <c r="D200" s="181"/>
      <c r="E200" s="181"/>
      <c r="F200" s="181"/>
      <c r="G200" s="181"/>
      <c r="H200" s="181"/>
      <c r="I200" s="181"/>
    </row>
    <row r="201" spans="2:9" s="237" customFormat="1" ht="12.75" x14ac:dyDescent="0.2">
      <c r="B201" s="181"/>
      <c r="C201" s="181"/>
      <c r="D201" s="181"/>
      <c r="E201" s="181"/>
      <c r="F201" s="181"/>
      <c r="G201" s="181"/>
      <c r="H201" s="181"/>
      <c r="I201" s="181"/>
    </row>
    <row r="202" spans="2:9" s="237" customFormat="1" ht="12.75" x14ac:dyDescent="0.2">
      <c r="B202" s="181"/>
      <c r="C202" s="181"/>
      <c r="D202" s="181"/>
      <c r="E202" s="181"/>
      <c r="F202" s="181"/>
      <c r="G202" s="181"/>
      <c r="H202" s="181"/>
      <c r="I202" s="181"/>
    </row>
    <row r="203" spans="2:9" s="237" customFormat="1" ht="12.75" x14ac:dyDescent="0.2">
      <c r="B203" s="181"/>
      <c r="C203" s="181"/>
      <c r="D203" s="181"/>
      <c r="E203" s="181"/>
      <c r="F203" s="181"/>
      <c r="G203" s="181"/>
      <c r="H203" s="181"/>
      <c r="I203" s="181"/>
    </row>
    <row r="204" spans="2:9" s="237" customFormat="1" ht="12.75" x14ac:dyDescent="0.2">
      <c r="B204" s="181"/>
      <c r="C204" s="181"/>
      <c r="D204" s="181"/>
      <c r="E204" s="181"/>
      <c r="F204" s="181"/>
      <c r="G204" s="181"/>
      <c r="H204" s="181"/>
      <c r="I204" s="181"/>
    </row>
    <row r="205" spans="2:9" s="237" customFormat="1" ht="12.75" x14ac:dyDescent="0.2">
      <c r="B205" s="181"/>
      <c r="C205" s="181"/>
      <c r="D205" s="181"/>
      <c r="E205" s="181"/>
      <c r="F205" s="181"/>
      <c r="G205" s="181"/>
      <c r="H205" s="181"/>
      <c r="I205" s="181"/>
    </row>
    <row r="206" spans="2:9" s="237" customFormat="1" ht="12.75" x14ac:dyDescent="0.2">
      <c r="B206" s="181"/>
      <c r="C206" s="181"/>
      <c r="D206" s="181"/>
      <c r="E206" s="181"/>
      <c r="F206" s="181"/>
      <c r="G206" s="181"/>
      <c r="H206" s="181"/>
      <c r="I206" s="181"/>
    </row>
    <row r="207" spans="2:9" s="237" customFormat="1" ht="12.75" x14ac:dyDescent="0.2">
      <c r="B207" s="181"/>
      <c r="C207" s="181"/>
      <c r="D207" s="181"/>
      <c r="E207" s="181"/>
      <c r="F207" s="181"/>
      <c r="G207" s="181"/>
      <c r="H207" s="181"/>
      <c r="I207" s="181"/>
    </row>
    <row r="208" spans="2:9" s="237" customFormat="1" ht="12.75" x14ac:dyDescent="0.2">
      <c r="B208" s="181"/>
      <c r="C208" s="181"/>
      <c r="D208" s="181"/>
      <c r="E208" s="181"/>
      <c r="F208" s="181"/>
      <c r="G208" s="181"/>
      <c r="H208" s="181"/>
      <c r="I208" s="181"/>
    </row>
    <row r="209" spans="2:9" s="237" customFormat="1" ht="12.75" x14ac:dyDescent="0.2">
      <c r="B209" s="181"/>
      <c r="C209" s="181"/>
      <c r="D209" s="181"/>
      <c r="E209" s="181"/>
      <c r="F209" s="181"/>
      <c r="G209" s="181"/>
      <c r="H209" s="181"/>
      <c r="I209" s="181"/>
    </row>
    <row r="210" spans="2:9" s="237" customFormat="1" ht="12.75" x14ac:dyDescent="0.2">
      <c r="B210" s="181"/>
      <c r="C210" s="181"/>
      <c r="D210" s="181"/>
      <c r="E210" s="181"/>
      <c r="F210" s="181"/>
      <c r="G210" s="181"/>
      <c r="H210" s="181"/>
      <c r="I210" s="181"/>
    </row>
    <row r="211" spans="2:9" s="237" customFormat="1" ht="12.75" x14ac:dyDescent="0.2">
      <c r="B211" s="181"/>
      <c r="C211" s="181"/>
      <c r="D211" s="181"/>
      <c r="E211" s="181"/>
      <c r="F211" s="181"/>
      <c r="G211" s="181"/>
      <c r="H211" s="181"/>
      <c r="I211" s="181"/>
    </row>
    <row r="212" spans="2:9" s="237" customFormat="1" ht="12.75" x14ac:dyDescent="0.2">
      <c r="B212" s="181"/>
      <c r="C212" s="181"/>
      <c r="D212" s="181"/>
      <c r="E212" s="181"/>
      <c r="F212" s="181"/>
      <c r="G212" s="181"/>
      <c r="H212" s="181"/>
      <c r="I212" s="181"/>
    </row>
    <row r="213" spans="2:9" s="237" customFormat="1" ht="12.75" x14ac:dyDescent="0.2">
      <c r="B213" s="181"/>
      <c r="C213" s="181"/>
      <c r="D213" s="181"/>
      <c r="E213" s="181"/>
      <c r="F213" s="181"/>
      <c r="G213" s="181"/>
      <c r="H213" s="181"/>
      <c r="I213" s="181"/>
    </row>
    <row r="214" spans="2:9" s="237" customFormat="1" ht="12.75" x14ac:dyDescent="0.2">
      <c r="B214" s="181"/>
      <c r="C214" s="181"/>
      <c r="D214" s="181"/>
      <c r="E214" s="181"/>
      <c r="F214" s="181"/>
      <c r="G214" s="181"/>
      <c r="H214" s="181"/>
      <c r="I214" s="181"/>
    </row>
    <row r="215" spans="2:9" s="237" customFormat="1" ht="12.75" x14ac:dyDescent="0.2">
      <c r="B215" s="181"/>
      <c r="C215" s="181"/>
      <c r="D215" s="181"/>
      <c r="E215" s="181"/>
      <c r="F215" s="181"/>
      <c r="G215" s="181"/>
      <c r="H215" s="181"/>
      <c r="I215" s="181"/>
    </row>
    <row r="216" spans="2:9" s="237" customFormat="1" ht="12.75" x14ac:dyDescent="0.2">
      <c r="B216" s="181"/>
      <c r="C216" s="181"/>
      <c r="D216" s="181"/>
      <c r="E216" s="181"/>
      <c r="F216" s="181"/>
      <c r="G216" s="181"/>
      <c r="H216" s="181"/>
      <c r="I216" s="181"/>
    </row>
    <row r="217" spans="2:9" s="237" customFormat="1" ht="12.75" x14ac:dyDescent="0.2">
      <c r="B217" s="181"/>
      <c r="C217" s="181"/>
      <c r="D217" s="181"/>
      <c r="E217" s="181"/>
      <c r="F217" s="181"/>
      <c r="G217" s="181"/>
      <c r="H217" s="181"/>
      <c r="I217" s="181"/>
    </row>
    <row r="218" spans="2:9" s="237" customFormat="1" ht="12.75" x14ac:dyDescent="0.2">
      <c r="B218" s="181"/>
      <c r="C218" s="181"/>
      <c r="D218" s="181"/>
      <c r="E218" s="181"/>
      <c r="F218" s="181"/>
      <c r="G218" s="181"/>
      <c r="H218" s="181"/>
      <c r="I218" s="181"/>
    </row>
    <row r="219" spans="2:9" s="237" customFormat="1" ht="12.75" x14ac:dyDescent="0.2">
      <c r="B219" s="181"/>
      <c r="C219" s="181"/>
      <c r="D219" s="181"/>
      <c r="E219" s="181"/>
      <c r="F219" s="181"/>
      <c r="G219" s="181"/>
      <c r="H219" s="181"/>
      <c r="I219" s="181"/>
    </row>
    <row r="220" spans="2:9" s="237" customFormat="1" ht="12.75" x14ac:dyDescent="0.2">
      <c r="B220" s="181"/>
      <c r="C220" s="181"/>
      <c r="D220" s="181"/>
      <c r="E220" s="181"/>
      <c r="F220" s="181"/>
      <c r="G220" s="181"/>
      <c r="H220" s="181"/>
      <c r="I220" s="181"/>
    </row>
    <row r="221" spans="2:9" s="237" customFormat="1" ht="12.75" x14ac:dyDescent="0.2">
      <c r="B221" s="181"/>
      <c r="C221" s="181"/>
      <c r="D221" s="181"/>
      <c r="E221" s="181"/>
      <c r="F221" s="181"/>
      <c r="G221" s="181"/>
      <c r="H221" s="181"/>
      <c r="I221" s="181"/>
    </row>
    <row r="222" spans="2:9" s="237" customFormat="1" ht="12.75" x14ac:dyDescent="0.2">
      <c r="B222" s="181"/>
      <c r="C222" s="181"/>
      <c r="D222" s="181"/>
      <c r="E222" s="181"/>
      <c r="F222" s="181"/>
      <c r="G222" s="181"/>
      <c r="H222" s="181"/>
      <c r="I222" s="181"/>
    </row>
    <row r="223" spans="2:9" s="237" customFormat="1" ht="12.75" x14ac:dyDescent="0.2">
      <c r="B223" s="181"/>
      <c r="C223" s="181"/>
      <c r="D223" s="181"/>
      <c r="E223" s="181"/>
      <c r="F223" s="181"/>
      <c r="G223" s="181"/>
      <c r="H223" s="181"/>
      <c r="I223" s="181"/>
    </row>
    <row r="224" spans="2:9" s="237" customFormat="1" ht="12.75" x14ac:dyDescent="0.2">
      <c r="B224" s="181"/>
      <c r="C224" s="181"/>
      <c r="D224" s="181"/>
      <c r="E224" s="181"/>
      <c r="F224" s="181"/>
      <c r="G224" s="181"/>
      <c r="H224" s="181"/>
      <c r="I224" s="181"/>
    </row>
    <row r="225" spans="2:9" s="237" customFormat="1" ht="12.75" x14ac:dyDescent="0.2">
      <c r="B225" s="181"/>
      <c r="C225" s="181"/>
      <c r="D225" s="181"/>
      <c r="E225" s="181"/>
      <c r="F225" s="181"/>
      <c r="G225" s="181"/>
      <c r="H225" s="181"/>
      <c r="I225" s="181"/>
    </row>
    <row r="226" spans="2:9" s="237" customFormat="1" ht="12.75" x14ac:dyDescent="0.2">
      <c r="B226" s="181"/>
      <c r="C226" s="181"/>
      <c r="D226" s="181"/>
      <c r="E226" s="181"/>
      <c r="F226" s="181"/>
      <c r="G226" s="181"/>
      <c r="H226" s="181"/>
      <c r="I226" s="181"/>
    </row>
    <row r="227" spans="2:9" s="237" customFormat="1" ht="12.75" x14ac:dyDescent="0.2">
      <c r="B227" s="181"/>
      <c r="C227" s="181"/>
      <c r="D227" s="181"/>
      <c r="E227" s="181"/>
      <c r="F227" s="181"/>
      <c r="G227" s="181"/>
      <c r="H227" s="181"/>
      <c r="I227" s="181"/>
    </row>
    <row r="228" spans="2:9" s="237" customFormat="1" ht="12.75" x14ac:dyDescent="0.2">
      <c r="B228" s="181"/>
      <c r="C228" s="181"/>
      <c r="D228" s="181"/>
      <c r="E228" s="181"/>
      <c r="F228" s="181"/>
      <c r="G228" s="181"/>
      <c r="H228" s="181"/>
      <c r="I228" s="181"/>
    </row>
    <row r="229" spans="2:9" s="237" customFormat="1" ht="12.75" x14ac:dyDescent="0.2">
      <c r="B229" s="181"/>
      <c r="C229" s="181"/>
      <c r="D229" s="181"/>
      <c r="E229" s="181"/>
      <c r="F229" s="181"/>
      <c r="G229" s="181"/>
      <c r="H229" s="181"/>
      <c r="I229" s="181"/>
    </row>
    <row r="230" spans="2:9" s="237" customFormat="1" ht="12.75" x14ac:dyDescent="0.2">
      <c r="B230" s="181"/>
      <c r="C230" s="181"/>
      <c r="D230" s="181"/>
      <c r="E230" s="181"/>
      <c r="F230" s="181"/>
      <c r="G230" s="181"/>
      <c r="H230" s="181"/>
      <c r="I230" s="181"/>
    </row>
    <row r="231" spans="2:9" s="237" customFormat="1" ht="12.75" x14ac:dyDescent="0.2">
      <c r="B231" s="181"/>
      <c r="C231" s="181"/>
      <c r="D231" s="181"/>
      <c r="E231" s="181"/>
      <c r="F231" s="181"/>
      <c r="G231" s="181"/>
      <c r="H231" s="181"/>
      <c r="I231" s="181"/>
    </row>
    <row r="232" spans="2:9" s="237" customFormat="1" ht="12.75" x14ac:dyDescent="0.2">
      <c r="B232" s="181"/>
      <c r="C232" s="181"/>
      <c r="D232" s="181"/>
      <c r="E232" s="181"/>
      <c r="F232" s="181"/>
      <c r="G232" s="181"/>
      <c r="H232" s="181"/>
      <c r="I232" s="181"/>
    </row>
    <row r="233" spans="2:9" s="237" customFormat="1" ht="12.75" x14ac:dyDescent="0.2">
      <c r="B233" s="181"/>
      <c r="C233" s="181"/>
      <c r="D233" s="181"/>
      <c r="E233" s="181"/>
      <c r="F233" s="181"/>
      <c r="G233" s="181"/>
      <c r="H233" s="181"/>
      <c r="I233" s="181"/>
    </row>
    <row r="234" spans="2:9" s="237" customFormat="1" ht="12.75" x14ac:dyDescent="0.2">
      <c r="B234" s="181"/>
      <c r="C234" s="181"/>
      <c r="D234" s="181"/>
      <c r="E234" s="181"/>
      <c r="F234" s="181"/>
      <c r="G234" s="181"/>
      <c r="H234" s="181"/>
      <c r="I234" s="181"/>
    </row>
    <row r="235" spans="2:9" s="237" customFormat="1" ht="12.75" x14ac:dyDescent="0.2">
      <c r="B235" s="181"/>
      <c r="C235" s="181"/>
      <c r="D235" s="181"/>
      <c r="E235" s="181"/>
      <c r="F235" s="181"/>
      <c r="G235" s="181"/>
      <c r="H235" s="181"/>
      <c r="I235" s="181"/>
    </row>
    <row r="236" spans="2:9" s="237" customFormat="1" ht="12.75" x14ac:dyDescent="0.2">
      <c r="B236" s="181"/>
      <c r="C236" s="181"/>
      <c r="D236" s="181"/>
      <c r="E236" s="181"/>
      <c r="F236" s="181"/>
      <c r="G236" s="181"/>
      <c r="H236" s="181"/>
      <c r="I236" s="181"/>
    </row>
    <row r="237" spans="2:9" s="237" customFormat="1" ht="12.75" x14ac:dyDescent="0.2">
      <c r="B237" s="181"/>
      <c r="C237" s="181"/>
      <c r="D237" s="181"/>
      <c r="E237" s="181"/>
      <c r="F237" s="181"/>
      <c r="G237" s="181"/>
      <c r="H237" s="181"/>
      <c r="I237" s="181"/>
    </row>
    <row r="238" spans="2:9" s="237" customFormat="1" ht="12.75" x14ac:dyDescent="0.2">
      <c r="B238" s="181"/>
      <c r="C238" s="181"/>
      <c r="D238" s="181"/>
      <c r="E238" s="181"/>
      <c r="F238" s="181"/>
      <c r="G238" s="181"/>
      <c r="H238" s="181"/>
      <c r="I238" s="181"/>
    </row>
    <row r="239" spans="2:9" s="237" customFormat="1" ht="12.75" x14ac:dyDescent="0.2">
      <c r="B239" s="181"/>
      <c r="C239" s="181"/>
      <c r="D239" s="181"/>
      <c r="E239" s="181"/>
      <c r="F239" s="181"/>
      <c r="G239" s="181"/>
      <c r="H239" s="181"/>
      <c r="I239" s="181"/>
    </row>
    <row r="240" spans="2:9" s="237" customFormat="1" ht="12.75" x14ac:dyDescent="0.2">
      <c r="B240" s="181"/>
      <c r="C240" s="181"/>
      <c r="D240" s="181"/>
      <c r="E240" s="181"/>
      <c r="F240" s="181"/>
      <c r="G240" s="181"/>
      <c r="H240" s="181"/>
      <c r="I240" s="181"/>
    </row>
    <row r="241" spans="2:9" s="237" customFormat="1" ht="12.75" x14ac:dyDescent="0.2">
      <c r="B241" s="181"/>
      <c r="C241" s="181"/>
      <c r="D241" s="181"/>
      <c r="E241" s="181"/>
      <c r="F241" s="181"/>
      <c r="G241" s="181"/>
      <c r="H241" s="181"/>
      <c r="I241" s="181"/>
    </row>
    <row r="242" spans="2:9" s="237" customFormat="1" ht="12.75" x14ac:dyDescent="0.2">
      <c r="B242" s="181"/>
      <c r="C242" s="181"/>
      <c r="D242" s="181"/>
      <c r="E242" s="181"/>
      <c r="F242" s="181"/>
      <c r="G242" s="181"/>
      <c r="H242" s="181"/>
      <c r="I242" s="181"/>
    </row>
    <row r="243" spans="2:9" s="237" customFormat="1" ht="12.75" x14ac:dyDescent="0.2">
      <c r="B243" s="181"/>
      <c r="C243" s="181"/>
      <c r="D243" s="181"/>
      <c r="E243" s="181"/>
      <c r="F243" s="181"/>
      <c r="G243" s="181"/>
      <c r="H243" s="181"/>
      <c r="I243" s="181"/>
    </row>
    <row r="244" spans="2:9" s="237" customFormat="1" ht="12.75" x14ac:dyDescent="0.2">
      <c r="B244" s="181"/>
      <c r="C244" s="181"/>
      <c r="D244" s="181"/>
      <c r="E244" s="181"/>
      <c r="F244" s="181"/>
      <c r="G244" s="181"/>
      <c r="H244" s="181"/>
      <c r="I244" s="181"/>
    </row>
    <row r="245" spans="2:9" s="237" customFormat="1" ht="12.75" x14ac:dyDescent="0.2">
      <c r="B245" s="181"/>
      <c r="C245" s="181"/>
      <c r="D245" s="181"/>
      <c r="E245" s="181"/>
      <c r="F245" s="181"/>
      <c r="G245" s="181"/>
      <c r="H245" s="181"/>
      <c r="I245" s="181"/>
    </row>
    <row r="246" spans="2:9" s="237" customFormat="1" ht="12.75" x14ac:dyDescent="0.2">
      <c r="B246" s="181"/>
      <c r="C246" s="181"/>
      <c r="D246" s="181"/>
      <c r="E246" s="181"/>
      <c r="F246" s="181"/>
      <c r="G246" s="181"/>
      <c r="H246" s="181"/>
      <c r="I246" s="181"/>
    </row>
    <row r="247" spans="2:9" s="237" customFormat="1" ht="12.75" x14ac:dyDescent="0.2">
      <c r="B247" s="181"/>
      <c r="C247" s="181"/>
      <c r="D247" s="181"/>
      <c r="E247" s="181"/>
      <c r="F247" s="181"/>
      <c r="G247" s="181"/>
      <c r="H247" s="181"/>
      <c r="I247" s="181"/>
    </row>
    <row r="248" spans="2:9" s="237" customFormat="1" ht="12.75" x14ac:dyDescent="0.2">
      <c r="B248" s="181"/>
      <c r="C248" s="181"/>
      <c r="D248" s="181"/>
      <c r="E248" s="181"/>
      <c r="F248" s="181"/>
      <c r="G248" s="181"/>
      <c r="H248" s="181"/>
      <c r="I248" s="181"/>
    </row>
    <row r="249" spans="2:9" s="237" customFormat="1" ht="12.75" x14ac:dyDescent="0.2">
      <c r="B249" s="181"/>
      <c r="C249" s="181"/>
      <c r="D249" s="181"/>
      <c r="E249" s="181"/>
      <c r="F249" s="181"/>
      <c r="G249" s="181"/>
      <c r="H249" s="181"/>
      <c r="I249" s="181"/>
    </row>
    <row r="250" spans="2:9" s="237" customFormat="1" ht="12.75" x14ac:dyDescent="0.2">
      <c r="B250" s="181"/>
      <c r="C250" s="181"/>
      <c r="D250" s="181"/>
      <c r="E250" s="181"/>
      <c r="F250" s="181"/>
      <c r="G250" s="181"/>
      <c r="H250" s="181"/>
      <c r="I250" s="181"/>
    </row>
    <row r="251" spans="2:9" s="237" customFormat="1" ht="12.75" x14ac:dyDescent="0.2">
      <c r="B251" s="181"/>
      <c r="C251" s="181"/>
      <c r="D251" s="181"/>
      <c r="E251" s="181"/>
      <c r="F251" s="181"/>
      <c r="G251" s="181"/>
      <c r="H251" s="181"/>
      <c r="I251" s="181"/>
    </row>
    <row r="252" spans="2:9" s="237" customFormat="1" ht="12.75" x14ac:dyDescent="0.2">
      <c r="B252" s="181"/>
      <c r="C252" s="181"/>
      <c r="D252" s="181"/>
      <c r="E252" s="181"/>
      <c r="F252" s="181"/>
      <c r="G252" s="181"/>
      <c r="H252" s="181"/>
      <c r="I252" s="181"/>
    </row>
    <row r="253" spans="2:9" s="237" customFormat="1" ht="12.75" x14ac:dyDescent="0.2">
      <c r="B253" s="181"/>
      <c r="C253" s="181"/>
      <c r="D253" s="181"/>
      <c r="E253" s="181"/>
      <c r="F253" s="181"/>
      <c r="G253" s="181"/>
      <c r="H253" s="181"/>
      <c r="I253" s="181"/>
    </row>
    <row r="254" spans="2:9" s="237" customFormat="1" ht="12.75" x14ac:dyDescent="0.2">
      <c r="B254" s="181"/>
      <c r="C254" s="181"/>
      <c r="D254" s="181"/>
      <c r="E254" s="181"/>
      <c r="F254" s="181"/>
      <c r="G254" s="181"/>
      <c r="H254" s="181"/>
      <c r="I254" s="181"/>
    </row>
    <row r="255" spans="2:9" s="237" customFormat="1" ht="12.75" x14ac:dyDescent="0.2">
      <c r="B255" s="181"/>
      <c r="C255" s="181"/>
      <c r="D255" s="181"/>
      <c r="E255" s="181"/>
      <c r="F255" s="181"/>
      <c r="G255" s="181"/>
      <c r="H255" s="181"/>
      <c r="I255" s="181"/>
    </row>
    <row r="256" spans="2:9" s="237" customFormat="1" ht="12.75" x14ac:dyDescent="0.2">
      <c r="B256" s="181"/>
      <c r="C256" s="181"/>
      <c r="D256" s="181"/>
      <c r="E256" s="181"/>
      <c r="F256" s="181"/>
      <c r="G256" s="181"/>
      <c r="H256" s="181"/>
      <c r="I256" s="181"/>
    </row>
    <row r="257" spans="2:9" s="237" customFormat="1" ht="12.75" x14ac:dyDescent="0.2">
      <c r="B257" s="181"/>
      <c r="C257" s="181"/>
      <c r="D257" s="181"/>
      <c r="E257" s="181"/>
      <c r="F257" s="181"/>
      <c r="G257" s="181"/>
      <c r="H257" s="181"/>
      <c r="I257" s="181"/>
    </row>
    <row r="258" spans="2:9" s="237" customFormat="1" x14ac:dyDescent="0.25">
      <c r="B258"/>
      <c r="C258"/>
      <c r="D258"/>
      <c r="E258"/>
      <c r="F258"/>
      <c r="G258"/>
      <c r="H258"/>
      <c r="I258"/>
    </row>
    <row r="259" spans="2:9" s="237" customFormat="1" x14ac:dyDescent="0.25">
      <c r="B259"/>
      <c r="C259"/>
      <c r="D259"/>
      <c r="E259"/>
      <c r="F259"/>
      <c r="G259"/>
      <c r="H259"/>
      <c r="I259"/>
    </row>
  </sheetData>
  <sheetProtection selectLockedCells="1" selectUnlockedCells="1"/>
  <mergeCells count="57">
    <mergeCell ref="AT67:AU67"/>
    <mergeCell ref="AV67:AW67"/>
    <mergeCell ref="AX67:AY67"/>
    <mergeCell ref="AZ67:BA67"/>
    <mergeCell ref="AH67:AI67"/>
    <mergeCell ref="AJ67:AK67"/>
    <mergeCell ref="AL67:AM67"/>
    <mergeCell ref="AN67:AO67"/>
    <mergeCell ref="AP67:AQ67"/>
    <mergeCell ref="AR67:AS67"/>
    <mergeCell ref="AF67:AG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J66:N66"/>
    <mergeCell ref="AL66:AN66"/>
    <mergeCell ref="AP66:AZ66"/>
    <mergeCell ref="AH6:AI6"/>
    <mergeCell ref="AJ6:AK6"/>
    <mergeCell ref="AL6:AM6"/>
    <mergeCell ref="AN6:AO6"/>
    <mergeCell ref="AP6:AQ6"/>
    <mergeCell ref="AR6:AS6"/>
    <mergeCell ref="V6:W6"/>
    <mergeCell ref="X6:Y6"/>
    <mergeCell ref="Z6:AA6"/>
    <mergeCell ref="AN4:AS4"/>
    <mergeCell ref="AT4:BA4"/>
    <mergeCell ref="AT6:AU6"/>
    <mergeCell ref="AV6:AW6"/>
    <mergeCell ref="AX6:AY6"/>
    <mergeCell ref="AZ6:BA6"/>
    <mergeCell ref="J4:O4"/>
    <mergeCell ref="P4:U4"/>
    <mergeCell ref="D5:F5"/>
    <mergeCell ref="G5:I5"/>
    <mergeCell ref="J6:K6"/>
    <mergeCell ref="L6:M6"/>
    <mergeCell ref="N6:O6"/>
    <mergeCell ref="V4:AA4"/>
    <mergeCell ref="AB4:AG4"/>
    <mergeCell ref="AH4:AK4"/>
    <mergeCell ref="AL4:AM4"/>
    <mergeCell ref="P6:Q6"/>
    <mergeCell ref="R6:S6"/>
    <mergeCell ref="T6:U6"/>
    <mergeCell ref="AB6:AC6"/>
    <mergeCell ref="AD6:AE6"/>
    <mergeCell ref="AF6:AG6"/>
  </mergeCells>
  <printOptions horizontalCentered="1"/>
  <pageMargins left="0.27916666666666667" right="0.12638888888888888" top="0.35416666666666669" bottom="0.35416666666666663" header="0.51180555555555551" footer="0.19652777777777777"/>
  <pageSetup paperSize="9" scale="67" firstPageNumber="0" orientation="portrait" horizontalDpi="300" verticalDpi="300" r:id="rId1"/>
  <headerFooter alignWithMargins="0">
    <oddFooter>&amp;R&amp;P</oddFooter>
  </headerFooter>
  <colBreaks count="7" manualBreakCount="7">
    <brk id="9" max="1048575" man="1"/>
    <brk id="15" max="1048575" man="1"/>
    <brk id="21" max="1048575" man="1"/>
    <brk id="27" max="1048575" man="1"/>
    <brk id="33" max="1048575" man="1"/>
    <brk id="39" max="1048575" man="1"/>
    <brk id="45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topLeftCell="B1" zoomScale="80" zoomScaleSheetLayoutView="80" workbookViewId="0">
      <selection activeCell="F2" sqref="F2"/>
    </sheetView>
  </sheetViews>
  <sheetFormatPr defaultColWidth="11.5703125" defaultRowHeight="15.75" x14ac:dyDescent="0.25"/>
  <cols>
    <col min="1" max="1" width="13" style="30" customWidth="1"/>
    <col min="2" max="2" width="72" style="30" customWidth="1"/>
    <col min="3" max="3" width="11.28515625" style="30" customWidth="1"/>
    <col min="4" max="4" width="14.5703125" style="30" customWidth="1"/>
    <col min="5" max="5" width="14" style="30" customWidth="1"/>
    <col min="6" max="6" width="15.85546875" style="31" customWidth="1"/>
    <col min="7" max="8" width="0" style="30" hidden="1" customWidth="1"/>
    <col min="9" max="9" width="0" style="31" hidden="1" customWidth="1"/>
    <col min="10" max="252" width="9.140625" style="30" customWidth="1"/>
  </cols>
  <sheetData>
    <row r="1" spans="2:9" s="13" customFormat="1" ht="18.75" x14ac:dyDescent="0.25">
      <c r="F1" s="15" t="s">
        <v>641</v>
      </c>
      <c r="I1" s="15" t="s">
        <v>642</v>
      </c>
    </row>
    <row r="2" spans="2:9" s="13" customFormat="1" ht="20.25" x14ac:dyDescent="0.3">
      <c r="B2" s="250" t="s">
        <v>2</v>
      </c>
      <c r="F2" s="16" t="s">
        <v>937</v>
      </c>
      <c r="I2" s="16" t="s">
        <v>11</v>
      </c>
    </row>
    <row r="3" spans="2:9" s="13" customFormat="1" x14ac:dyDescent="0.25">
      <c r="B3" s="44" t="s">
        <v>880</v>
      </c>
      <c r="C3" s="37"/>
      <c r="D3" s="37"/>
      <c r="E3" s="37"/>
      <c r="F3" s="38"/>
      <c r="G3" s="37"/>
      <c r="H3" s="37"/>
      <c r="I3" s="38"/>
    </row>
    <row r="4" spans="2:9" s="13" customFormat="1" x14ac:dyDescent="0.25">
      <c r="B4" s="42" t="s">
        <v>874</v>
      </c>
      <c r="C4" s="43"/>
      <c r="D4" s="43"/>
      <c r="E4" s="43"/>
      <c r="F4" s="44"/>
      <c r="G4" s="43"/>
      <c r="H4" s="43"/>
      <c r="I4" s="44"/>
    </row>
    <row r="5" spans="2:9" ht="15.75" customHeight="1" x14ac:dyDescent="0.25">
      <c r="B5" s="47"/>
      <c r="D5" s="469" t="s">
        <v>12</v>
      </c>
      <c r="E5" s="469"/>
      <c r="F5" s="469"/>
      <c r="G5" s="469" t="s">
        <v>13</v>
      </c>
      <c r="H5" s="469"/>
      <c r="I5" s="469"/>
    </row>
    <row r="6" spans="2:9" ht="47.25" x14ac:dyDescent="0.25">
      <c r="B6" s="19" t="s">
        <v>14</v>
      </c>
      <c r="C6" s="48" t="s">
        <v>41</v>
      </c>
      <c r="D6" s="49" t="s">
        <v>15</v>
      </c>
      <c r="E6" s="49" t="s">
        <v>16</v>
      </c>
      <c r="F6" s="170" t="s">
        <v>566</v>
      </c>
      <c r="G6" s="49" t="s">
        <v>15</v>
      </c>
      <c r="H6" s="49" t="s">
        <v>16</v>
      </c>
      <c r="I6" s="170" t="s">
        <v>566</v>
      </c>
    </row>
    <row r="7" spans="2:9" x14ac:dyDescent="0.25">
      <c r="B7" s="52" t="s">
        <v>42</v>
      </c>
      <c r="C7" s="53" t="s">
        <v>43</v>
      </c>
      <c r="D7" s="24">
        <f>121961029+19312728+4213740+1500000+361000+7957000+50000+50000+600000+100000+3700000</f>
        <v>159805497</v>
      </c>
      <c r="E7" s="24"/>
      <c r="F7" s="25">
        <f>+D7+E7</f>
        <v>159805497</v>
      </c>
      <c r="G7" s="24">
        <v>0</v>
      </c>
      <c r="H7" s="24"/>
      <c r="I7" s="25">
        <f>+G7+H7</f>
        <v>0</v>
      </c>
    </row>
    <row r="8" spans="2:9" x14ac:dyDescent="0.25">
      <c r="B8" s="54" t="s">
        <v>44</v>
      </c>
      <c r="C8" s="53" t="s">
        <v>45</v>
      </c>
      <c r="D8" s="24">
        <v>2400000</v>
      </c>
      <c r="E8" s="24"/>
      <c r="F8" s="25">
        <f>+D8+E8</f>
        <v>2400000</v>
      </c>
      <c r="G8" s="24">
        <v>0</v>
      </c>
      <c r="H8" s="24"/>
      <c r="I8" s="25">
        <f>+G8+H8</f>
        <v>0</v>
      </c>
    </row>
    <row r="9" spans="2:9" x14ac:dyDescent="0.25">
      <c r="B9" s="55" t="s">
        <v>46</v>
      </c>
      <c r="C9" s="56" t="s">
        <v>47</v>
      </c>
      <c r="D9" s="25">
        <f t="shared" ref="D9:I9" si="0">SUM(D7:D8)</f>
        <v>162205497</v>
      </c>
      <c r="E9" s="25">
        <f t="shared" si="0"/>
        <v>0</v>
      </c>
      <c r="F9" s="25">
        <f t="shared" si="0"/>
        <v>162205497</v>
      </c>
      <c r="G9" s="25">
        <f t="shared" si="0"/>
        <v>0</v>
      </c>
      <c r="H9" s="25">
        <f t="shared" si="0"/>
        <v>0</v>
      </c>
      <c r="I9" s="25">
        <f t="shared" si="0"/>
        <v>0</v>
      </c>
    </row>
    <row r="10" spans="2:9" x14ac:dyDescent="0.25">
      <c r="B10" s="57" t="s">
        <v>48</v>
      </c>
      <c r="C10" s="56" t="s">
        <v>49</v>
      </c>
      <c r="D10" s="24">
        <f>31458000+411000+3100000</f>
        <v>34969000</v>
      </c>
      <c r="E10" s="24"/>
      <c r="F10" s="25">
        <f t="shared" ref="F10:F15" si="1">+D10+E10</f>
        <v>34969000</v>
      </c>
      <c r="G10" s="24">
        <v>0</v>
      </c>
      <c r="H10" s="24"/>
      <c r="I10" s="25">
        <f t="shared" ref="I10:I15" si="2">+G10+H10</f>
        <v>0</v>
      </c>
    </row>
    <row r="11" spans="2:9" x14ac:dyDescent="0.25">
      <c r="B11" s="54" t="s">
        <v>50</v>
      </c>
      <c r="C11" s="53" t="s">
        <v>51</v>
      </c>
      <c r="D11" s="24">
        <f>20000+400000+400000+1500000+1200000+300000</f>
        <v>3820000</v>
      </c>
      <c r="E11" s="24"/>
      <c r="F11" s="25">
        <f t="shared" si="1"/>
        <v>3820000</v>
      </c>
      <c r="G11" s="24">
        <v>0</v>
      </c>
      <c r="H11" s="24"/>
      <c r="I11" s="25">
        <f t="shared" si="2"/>
        <v>0</v>
      </c>
    </row>
    <row r="12" spans="2:9" x14ac:dyDescent="0.25">
      <c r="B12" s="54" t="s">
        <v>52</v>
      </c>
      <c r="C12" s="53" t="s">
        <v>53</v>
      </c>
      <c r="D12" s="24">
        <f>400000+300000+100000+1500000+750000</f>
        <v>3050000</v>
      </c>
      <c r="E12" s="24"/>
      <c r="F12" s="25">
        <f t="shared" si="1"/>
        <v>3050000</v>
      </c>
      <c r="G12" s="24">
        <v>0</v>
      </c>
      <c r="H12" s="24"/>
      <c r="I12" s="25">
        <f t="shared" si="2"/>
        <v>0</v>
      </c>
    </row>
    <row r="13" spans="2:9" x14ac:dyDescent="0.25">
      <c r="B13" s="54" t="s">
        <v>54</v>
      </c>
      <c r="C13" s="53" t="s">
        <v>55</v>
      </c>
      <c r="D13" s="24">
        <f>3000000+600000+4500000+3866000+2400000+1500000+2290000+100000+5660000</f>
        <v>23916000</v>
      </c>
      <c r="E13" s="24"/>
      <c r="F13" s="25">
        <f t="shared" si="1"/>
        <v>23916000</v>
      </c>
      <c r="G13" s="24">
        <v>0</v>
      </c>
      <c r="H13" s="24"/>
      <c r="I13" s="25">
        <f t="shared" si="2"/>
        <v>0</v>
      </c>
    </row>
    <row r="14" spans="2:9" x14ac:dyDescent="0.25">
      <c r="B14" s="54" t="s">
        <v>56</v>
      </c>
      <c r="C14" s="53" t="s">
        <v>57</v>
      </c>
      <c r="D14" s="24">
        <v>350000</v>
      </c>
      <c r="E14" s="24"/>
      <c r="F14" s="25">
        <f t="shared" si="1"/>
        <v>350000</v>
      </c>
      <c r="G14" s="24">
        <v>0</v>
      </c>
      <c r="H14" s="24"/>
      <c r="I14" s="25">
        <f t="shared" si="2"/>
        <v>0</v>
      </c>
    </row>
    <row r="15" spans="2:9" x14ac:dyDescent="0.25">
      <c r="B15" s="54" t="s">
        <v>58</v>
      </c>
      <c r="C15" s="53" t="s">
        <v>59</v>
      </c>
      <c r="D15" s="24">
        <v>8750000</v>
      </c>
      <c r="E15" s="24"/>
      <c r="F15" s="25">
        <f t="shared" si="1"/>
        <v>8750000</v>
      </c>
      <c r="G15" s="24">
        <v>0</v>
      </c>
      <c r="H15" s="24"/>
      <c r="I15" s="25">
        <f t="shared" si="2"/>
        <v>0</v>
      </c>
    </row>
    <row r="16" spans="2:9" x14ac:dyDescent="0.25">
      <c r="B16" s="57" t="s">
        <v>60</v>
      </c>
      <c r="C16" s="56" t="s">
        <v>61</v>
      </c>
      <c r="D16" s="25">
        <f t="shared" ref="D16:I16" si="3">SUM(D11:D15)</f>
        <v>39886000</v>
      </c>
      <c r="E16" s="25">
        <f t="shared" si="3"/>
        <v>0</v>
      </c>
      <c r="F16" s="25">
        <f t="shared" si="3"/>
        <v>39886000</v>
      </c>
      <c r="G16" s="25">
        <f t="shared" si="3"/>
        <v>0</v>
      </c>
      <c r="H16" s="25">
        <f t="shared" si="3"/>
        <v>0</v>
      </c>
      <c r="I16" s="25">
        <f t="shared" si="3"/>
        <v>0</v>
      </c>
    </row>
    <row r="17" spans="2:9" x14ac:dyDescent="0.25">
      <c r="B17" s="58" t="s">
        <v>62</v>
      </c>
      <c r="C17" s="56" t="s">
        <v>63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9" t="s">
        <v>64</v>
      </c>
      <c r="C18" s="53" t="s">
        <v>65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9" t="s">
        <v>66</v>
      </c>
      <c r="C19" s="53" t="s">
        <v>67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9" t="s">
        <v>68</v>
      </c>
      <c r="C20" s="53" t="s">
        <v>69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9" t="s">
        <v>70</v>
      </c>
      <c r="C21" s="53" t="s">
        <v>71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9" t="s">
        <v>643</v>
      </c>
      <c r="C22" s="53" t="s">
        <v>73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9" t="s">
        <v>74</v>
      </c>
      <c r="C23" s="53" t="s">
        <v>75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9" t="s">
        <v>76</v>
      </c>
      <c r="C24" s="53" t="s">
        <v>77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9" t="s">
        <v>78</v>
      </c>
      <c r="C25" s="53" t="s">
        <v>79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9" t="s">
        <v>80</v>
      </c>
      <c r="C26" s="53" t="s">
        <v>81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60" t="s">
        <v>82</v>
      </c>
      <c r="C27" s="53" t="s">
        <v>83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60" t="s">
        <v>644</v>
      </c>
      <c r="C28" s="53" t="s">
        <v>85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9" t="s">
        <v>86</v>
      </c>
      <c r="C29" s="53" t="s">
        <v>87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60" t="s">
        <v>88</v>
      </c>
      <c r="C30" s="53" t="s">
        <v>89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60" t="s">
        <v>90</v>
      </c>
      <c r="C31" s="53" t="s">
        <v>89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8" t="s">
        <v>91</v>
      </c>
      <c r="C32" s="56" t="s">
        <v>92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 t="shared" si="6"/>
        <v>0</v>
      </c>
      <c r="H32" s="25">
        <f t="shared" si="6"/>
        <v>0</v>
      </c>
      <c r="I32" s="25">
        <f t="shared" si="6"/>
        <v>0</v>
      </c>
    </row>
    <row r="33" spans="2:9" x14ac:dyDescent="0.25">
      <c r="B33" s="61" t="s">
        <v>93</v>
      </c>
      <c r="C33" s="62" t="s">
        <v>94</v>
      </c>
      <c r="D33" s="63">
        <f t="shared" ref="D33:I33" si="7">+D32+D17+D16+D10+D9</f>
        <v>237060497</v>
      </c>
      <c r="E33" s="63">
        <f t="shared" si="7"/>
        <v>0</v>
      </c>
      <c r="F33" s="63">
        <f t="shared" si="7"/>
        <v>237060497</v>
      </c>
      <c r="G33" s="63">
        <f t="shared" si="7"/>
        <v>0</v>
      </c>
      <c r="H33" s="63">
        <f t="shared" si="7"/>
        <v>0</v>
      </c>
      <c r="I33" s="63">
        <f t="shared" si="7"/>
        <v>0</v>
      </c>
    </row>
    <row r="34" spans="2:9" x14ac:dyDescent="0.25">
      <c r="B34" s="64" t="s">
        <v>95</v>
      </c>
      <c r="C34" s="53" t="s">
        <v>96</v>
      </c>
      <c r="D34" s="24"/>
      <c r="E34" s="24"/>
      <c r="F34" s="25">
        <f t="shared" ref="F34:F40" si="8">+D34+E34</f>
        <v>0</v>
      </c>
      <c r="G34" s="24"/>
      <c r="H34" s="24"/>
      <c r="I34" s="25">
        <f t="shared" ref="I34:I40" si="9">+G34+H34</f>
        <v>0</v>
      </c>
    </row>
    <row r="35" spans="2:9" x14ac:dyDescent="0.25">
      <c r="B35" s="64" t="s">
        <v>97</v>
      </c>
      <c r="C35" s="53" t="s">
        <v>98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4" t="s">
        <v>99</v>
      </c>
      <c r="C36" s="53" t="s">
        <v>100</v>
      </c>
      <c r="D36" s="24"/>
      <c r="E36" s="24"/>
      <c r="F36" s="25">
        <f t="shared" si="8"/>
        <v>0</v>
      </c>
      <c r="G36" s="24"/>
      <c r="H36" s="24"/>
      <c r="I36" s="25">
        <f t="shared" si="9"/>
        <v>0</v>
      </c>
    </row>
    <row r="37" spans="2:9" x14ac:dyDescent="0.25">
      <c r="B37" s="64" t="s">
        <v>101</v>
      </c>
      <c r="C37" s="53" t="s">
        <v>102</v>
      </c>
      <c r="D37" s="24">
        <v>1174000</v>
      </c>
      <c r="E37" s="24"/>
      <c r="F37" s="25">
        <f t="shared" si="8"/>
        <v>1174000</v>
      </c>
      <c r="G37" s="24">
        <v>0</v>
      </c>
      <c r="H37" s="24"/>
      <c r="I37" s="25">
        <f t="shared" si="9"/>
        <v>0</v>
      </c>
    </row>
    <row r="38" spans="2:9" x14ac:dyDescent="0.25">
      <c r="B38" s="65" t="s">
        <v>103</v>
      </c>
      <c r="C38" s="53" t="s">
        <v>104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x14ac:dyDescent="0.25">
      <c r="B39" s="65" t="s">
        <v>105</v>
      </c>
      <c r="C39" s="53" t="s">
        <v>106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5" t="s">
        <v>107</v>
      </c>
      <c r="C40" s="53" t="s">
        <v>108</v>
      </c>
      <c r="D40" s="24">
        <v>317000</v>
      </c>
      <c r="E40" s="24"/>
      <c r="F40" s="25">
        <f t="shared" si="8"/>
        <v>317000</v>
      </c>
      <c r="G40" s="24">
        <v>0</v>
      </c>
      <c r="H40" s="24"/>
      <c r="I40" s="25">
        <f t="shared" si="9"/>
        <v>0</v>
      </c>
    </row>
    <row r="41" spans="2:9" s="31" customFormat="1" x14ac:dyDescent="0.25">
      <c r="B41" s="66" t="s">
        <v>109</v>
      </c>
      <c r="C41" s="56" t="s">
        <v>110</v>
      </c>
      <c r="D41" s="25">
        <f t="shared" ref="D41:I41" si="10">SUM(D34:D40)</f>
        <v>1491000</v>
      </c>
      <c r="E41" s="25">
        <f t="shared" si="10"/>
        <v>0</v>
      </c>
      <c r="F41" s="25">
        <f t="shared" si="10"/>
        <v>1491000</v>
      </c>
      <c r="G41" s="25">
        <f t="shared" si="10"/>
        <v>0</v>
      </c>
      <c r="H41" s="25">
        <f t="shared" si="10"/>
        <v>0</v>
      </c>
      <c r="I41" s="25">
        <f t="shared" si="10"/>
        <v>0</v>
      </c>
    </row>
    <row r="42" spans="2:9" x14ac:dyDescent="0.25">
      <c r="B42" s="67" t="s">
        <v>111</v>
      </c>
      <c r="C42" s="53" t="s">
        <v>112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7" t="s">
        <v>113</v>
      </c>
      <c r="C43" s="53" t="s">
        <v>114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7" t="s">
        <v>115</v>
      </c>
      <c r="C44" s="53" t="s">
        <v>116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7" t="s">
        <v>117</v>
      </c>
      <c r="C45" s="53" t="s">
        <v>118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7" t="s">
        <v>119</v>
      </c>
      <c r="C46" s="56" t="s">
        <v>120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idden="1" x14ac:dyDescent="0.25">
      <c r="B47" s="67" t="s">
        <v>645</v>
      </c>
      <c r="C47" s="53" t="s">
        <v>122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t="31.5" hidden="1" x14ac:dyDescent="0.25">
      <c r="B48" s="67" t="s">
        <v>646</v>
      </c>
      <c r="C48" s="53" t="s">
        <v>124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8" hidden="1" x14ac:dyDescent="0.25">
      <c r="B49" s="67" t="s">
        <v>125</v>
      </c>
      <c r="C49" s="53" t="s">
        <v>126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8" hidden="1" x14ac:dyDescent="0.25">
      <c r="B50" s="67" t="s">
        <v>127</v>
      </c>
      <c r="C50" s="53" t="s">
        <v>128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8" hidden="1" x14ac:dyDescent="0.25">
      <c r="B51" s="67" t="s">
        <v>129</v>
      </c>
      <c r="C51" s="53" t="s">
        <v>130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8" hidden="1" x14ac:dyDescent="0.25">
      <c r="B52" s="67" t="s">
        <v>131</v>
      </c>
      <c r="C52" s="53" t="s">
        <v>132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8" hidden="1" x14ac:dyDescent="0.25">
      <c r="B53" s="67" t="s">
        <v>133</v>
      </c>
      <c r="C53" s="53" t="s">
        <v>134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8" hidden="1" x14ac:dyDescent="0.25">
      <c r="B54" s="60" t="s">
        <v>647</v>
      </c>
      <c r="C54" s="53" t="s">
        <v>136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8" hidden="1" x14ac:dyDescent="0.25">
      <c r="B55" s="67" t="s">
        <v>137</v>
      </c>
      <c r="C55" s="53" t="s">
        <v>138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8" s="31" customFormat="1" x14ac:dyDescent="0.25">
      <c r="B56" s="58" t="s">
        <v>139</v>
      </c>
      <c r="C56" s="56" t="s">
        <v>140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8" x14ac:dyDescent="0.25">
      <c r="B57" s="61" t="s">
        <v>141</v>
      </c>
      <c r="C57" s="62" t="s">
        <v>142</v>
      </c>
      <c r="D57" s="63">
        <f t="shared" ref="D57:I57" si="15">+D56+D46+D41</f>
        <v>1491000</v>
      </c>
      <c r="E57" s="63">
        <f t="shared" si="15"/>
        <v>0</v>
      </c>
      <c r="F57" s="63">
        <f t="shared" si="15"/>
        <v>1491000</v>
      </c>
      <c r="G57" s="63">
        <f t="shared" si="15"/>
        <v>0</v>
      </c>
      <c r="H57" s="63">
        <f t="shared" si="15"/>
        <v>0</v>
      </c>
      <c r="I57" s="63">
        <f t="shared" si="15"/>
        <v>0</v>
      </c>
    </row>
    <row r="58" spans="2:18" x14ac:dyDescent="0.25">
      <c r="B58" s="68" t="s">
        <v>143</v>
      </c>
      <c r="C58" s="69" t="s">
        <v>144</v>
      </c>
      <c r="D58" s="70">
        <f t="shared" ref="D58:I58" si="16">+D56+D46+D41+D32+D17+D16+D10+D9</f>
        <v>238551497</v>
      </c>
      <c r="E58" s="70">
        <f t="shared" si="16"/>
        <v>0</v>
      </c>
      <c r="F58" s="70">
        <f t="shared" si="16"/>
        <v>238551497</v>
      </c>
      <c r="G58" s="70">
        <f t="shared" si="16"/>
        <v>0</v>
      </c>
      <c r="H58" s="70">
        <f t="shared" si="16"/>
        <v>0</v>
      </c>
      <c r="I58" s="70">
        <f t="shared" si="16"/>
        <v>0</v>
      </c>
    </row>
    <row r="59" spans="2:18" hidden="1" x14ac:dyDescent="0.25">
      <c r="B59" s="73" t="s">
        <v>626</v>
      </c>
      <c r="C59" s="54" t="s">
        <v>170</v>
      </c>
      <c r="D59" s="251"/>
      <c r="E59" s="251"/>
      <c r="F59" s="24">
        <f>+D59+E59</f>
        <v>0</v>
      </c>
      <c r="G59" s="251"/>
      <c r="H59" s="251"/>
      <c r="I59" s="24">
        <f>+G59+H59</f>
        <v>0</v>
      </c>
      <c r="J59" s="252"/>
      <c r="K59" s="252"/>
      <c r="L59" s="252"/>
      <c r="M59" s="252"/>
      <c r="N59" s="252"/>
      <c r="O59" s="252"/>
      <c r="P59" s="252"/>
      <c r="Q59" s="71"/>
      <c r="R59" s="71"/>
    </row>
    <row r="60" spans="2:18" hidden="1" x14ac:dyDescent="0.25">
      <c r="B60" s="73" t="s">
        <v>171</v>
      </c>
      <c r="C60" s="54" t="s">
        <v>172</v>
      </c>
      <c r="D60" s="251"/>
      <c r="E60" s="251"/>
      <c r="F60" s="24">
        <f>+D60+E60</f>
        <v>0</v>
      </c>
      <c r="G60" s="251"/>
      <c r="H60" s="251"/>
      <c r="I60" s="24">
        <f>+G60+H60</f>
        <v>0</v>
      </c>
      <c r="J60" s="252"/>
      <c r="K60" s="252"/>
      <c r="L60" s="252"/>
      <c r="M60" s="252"/>
      <c r="N60" s="252"/>
      <c r="O60" s="252"/>
      <c r="P60" s="252"/>
      <c r="Q60" s="71"/>
      <c r="R60" s="71"/>
    </row>
    <row r="61" spans="2:18" hidden="1" x14ac:dyDescent="0.25">
      <c r="B61" s="67" t="s">
        <v>173</v>
      </c>
      <c r="C61" s="54" t="s">
        <v>174</v>
      </c>
      <c r="D61" s="251"/>
      <c r="E61" s="251"/>
      <c r="F61" s="24">
        <f>+D61+E61</f>
        <v>0</v>
      </c>
      <c r="G61" s="251"/>
      <c r="H61" s="251"/>
      <c r="I61" s="24">
        <f>+G61+H61</f>
        <v>0</v>
      </c>
      <c r="J61" s="253"/>
      <c r="K61" s="253"/>
      <c r="L61" s="253"/>
      <c r="M61" s="253"/>
      <c r="N61" s="253"/>
      <c r="O61" s="253"/>
      <c r="P61" s="253"/>
      <c r="Q61" s="71"/>
      <c r="R61" s="71"/>
    </row>
    <row r="62" spans="2:18" hidden="1" x14ac:dyDescent="0.25">
      <c r="B62" s="67" t="s">
        <v>175</v>
      </c>
      <c r="C62" s="54" t="s">
        <v>176</v>
      </c>
      <c r="D62" s="251"/>
      <c r="E62" s="251"/>
      <c r="F62" s="24">
        <f>+D62+E62</f>
        <v>0</v>
      </c>
      <c r="G62" s="251"/>
      <c r="H62" s="251"/>
      <c r="I62" s="24">
        <f>+G62+H62</f>
        <v>0</v>
      </c>
      <c r="J62" s="253"/>
      <c r="K62" s="253"/>
      <c r="L62" s="253"/>
      <c r="M62" s="253"/>
      <c r="N62" s="253"/>
      <c r="O62" s="253"/>
      <c r="P62" s="253"/>
      <c r="Q62" s="71"/>
      <c r="R62" s="71"/>
    </row>
    <row r="63" spans="2:18" x14ac:dyDescent="0.25">
      <c r="B63" s="76" t="s">
        <v>177</v>
      </c>
      <c r="C63" s="77" t="s">
        <v>178</v>
      </c>
      <c r="D63" s="78">
        <f t="shared" ref="D63:I63" si="17">+D61+D60+D59+D62</f>
        <v>0</v>
      </c>
      <c r="E63" s="78">
        <f t="shared" si="17"/>
        <v>0</v>
      </c>
      <c r="F63" s="78">
        <f t="shared" si="17"/>
        <v>0</v>
      </c>
      <c r="G63" s="78">
        <f t="shared" si="17"/>
        <v>0</v>
      </c>
      <c r="H63" s="78">
        <f t="shared" si="17"/>
        <v>0</v>
      </c>
      <c r="I63" s="78">
        <f t="shared" si="17"/>
        <v>0</v>
      </c>
      <c r="J63" s="254"/>
      <c r="K63" s="254"/>
      <c r="L63" s="254"/>
      <c r="M63" s="254"/>
      <c r="N63" s="254"/>
      <c r="O63" s="254"/>
      <c r="P63" s="254"/>
      <c r="Q63" s="71"/>
      <c r="R63" s="71"/>
    </row>
    <row r="64" spans="2:18" x14ac:dyDescent="0.25">
      <c r="B64" s="28" t="s">
        <v>179</v>
      </c>
      <c r="C64" s="28" t="s">
        <v>180</v>
      </c>
      <c r="D64" s="29">
        <f t="shared" ref="D64:I64" si="18">+D58+D63</f>
        <v>238551497</v>
      </c>
      <c r="E64" s="29">
        <f t="shared" si="18"/>
        <v>0</v>
      </c>
      <c r="F64" s="29">
        <f t="shared" si="18"/>
        <v>238551497</v>
      </c>
      <c r="G64" s="29">
        <f t="shared" si="18"/>
        <v>0</v>
      </c>
      <c r="H64" s="29">
        <f t="shared" si="18"/>
        <v>0</v>
      </c>
      <c r="I64" s="29">
        <f t="shared" si="18"/>
        <v>0</v>
      </c>
      <c r="J64" s="71"/>
      <c r="K64" s="71"/>
      <c r="L64" s="71"/>
      <c r="M64" s="71"/>
      <c r="N64" s="71"/>
      <c r="O64" s="71"/>
      <c r="P64" s="71"/>
      <c r="Q64" s="71"/>
      <c r="R64" s="71"/>
    </row>
    <row r="65" spans="2:18" x14ac:dyDescent="0.25">
      <c r="B65" s="13"/>
      <c r="C65" s="79"/>
      <c r="D65" s="80"/>
      <c r="E65" s="80"/>
      <c r="F65" s="81"/>
      <c r="G65" s="80"/>
      <c r="H65" s="80"/>
      <c r="I65" s="81"/>
      <c r="J65" s="81"/>
      <c r="K65" s="71"/>
      <c r="L65" s="71"/>
      <c r="M65" s="71"/>
      <c r="N65" s="71"/>
      <c r="O65" s="71"/>
      <c r="P65" s="71"/>
      <c r="Q65" s="71"/>
      <c r="R65" s="71"/>
    </row>
    <row r="66" spans="2:18" ht="15.75" hidden="1" customHeight="1" x14ac:dyDescent="0.25">
      <c r="B66" s="13"/>
      <c r="C66" s="79"/>
      <c r="D66" s="469" t="s">
        <v>13</v>
      </c>
      <c r="E66" s="469"/>
      <c r="F66" s="469"/>
      <c r="G66" s="469" t="s">
        <v>13</v>
      </c>
      <c r="H66" s="469"/>
      <c r="I66" s="469"/>
      <c r="J66" s="71"/>
      <c r="K66" s="71"/>
      <c r="L66" s="71"/>
      <c r="M66" s="71"/>
      <c r="N66" s="71"/>
      <c r="O66" s="71"/>
      <c r="P66" s="71"/>
      <c r="Q66" s="71"/>
      <c r="R66" s="71"/>
    </row>
    <row r="67" spans="2:18" ht="47.25" x14ac:dyDescent="0.25">
      <c r="B67" s="19" t="s">
        <v>14</v>
      </c>
      <c r="C67" s="48" t="s">
        <v>181</v>
      </c>
      <c r="D67" s="49" t="s">
        <v>15</v>
      </c>
      <c r="E67" s="49" t="s">
        <v>16</v>
      </c>
      <c r="F67" s="170" t="s">
        <v>566</v>
      </c>
      <c r="G67" s="49" t="s">
        <v>15</v>
      </c>
      <c r="H67" s="49" t="s">
        <v>16</v>
      </c>
      <c r="I67" s="170" t="s">
        <v>566</v>
      </c>
      <c r="J67" s="71"/>
      <c r="K67" s="71"/>
      <c r="L67" s="71"/>
      <c r="M67" s="71"/>
      <c r="N67" s="71"/>
      <c r="O67" s="71"/>
      <c r="P67" s="71"/>
      <c r="Q67" s="71"/>
      <c r="R67" s="71"/>
    </row>
    <row r="68" spans="2:18" hidden="1" x14ac:dyDescent="0.25">
      <c r="B68" s="57" t="s">
        <v>627</v>
      </c>
      <c r="C68" s="66" t="s">
        <v>195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  <c r="J68" s="71"/>
      <c r="K68" s="71"/>
      <c r="L68" s="71"/>
      <c r="M68" s="71"/>
      <c r="N68" s="71"/>
      <c r="O68" s="71"/>
      <c r="P68" s="71"/>
      <c r="Q68" s="71"/>
      <c r="R68" s="71"/>
    </row>
    <row r="69" spans="2:18" hidden="1" x14ac:dyDescent="0.25">
      <c r="B69" s="54" t="s">
        <v>196</v>
      </c>
      <c r="C69" s="65" t="s">
        <v>197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  <c r="J69" s="71"/>
      <c r="K69" s="71"/>
      <c r="L69" s="71"/>
      <c r="M69" s="71"/>
      <c r="N69" s="71"/>
      <c r="O69" s="71"/>
      <c r="P69" s="71"/>
      <c r="Q69" s="71"/>
      <c r="R69" s="71"/>
    </row>
    <row r="70" spans="2:18" ht="31.5" hidden="1" x14ac:dyDescent="0.25">
      <c r="B70" s="54" t="s">
        <v>628</v>
      </c>
      <c r="C70" s="65" t="s">
        <v>199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  <c r="J70" s="71"/>
      <c r="K70" s="71"/>
      <c r="L70" s="71"/>
      <c r="M70" s="71"/>
      <c r="N70" s="71"/>
      <c r="O70" s="71"/>
      <c r="P70" s="71"/>
      <c r="Q70" s="71"/>
      <c r="R70" s="71"/>
    </row>
    <row r="71" spans="2:18" hidden="1" x14ac:dyDescent="0.25">
      <c r="B71" s="54" t="s">
        <v>200</v>
      </c>
      <c r="C71" s="65" t="s">
        <v>201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  <c r="J71" s="71"/>
      <c r="K71" s="71"/>
      <c r="L71" s="71"/>
      <c r="M71" s="71"/>
      <c r="N71" s="71"/>
      <c r="O71" s="71"/>
      <c r="P71" s="71"/>
      <c r="Q71" s="71"/>
      <c r="R71" s="71"/>
    </row>
    <row r="72" spans="2:18" hidden="1" x14ac:dyDescent="0.25">
      <c r="B72" s="54" t="s">
        <v>202</v>
      </c>
      <c r="C72" s="65" t="s">
        <v>203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  <c r="J72" s="71"/>
      <c r="K72" s="71"/>
      <c r="L72" s="71"/>
      <c r="M72" s="71"/>
      <c r="N72" s="71"/>
      <c r="O72" s="71"/>
      <c r="P72" s="71"/>
      <c r="Q72" s="71"/>
      <c r="R72" s="71"/>
    </row>
    <row r="73" spans="2:18" x14ac:dyDescent="0.25">
      <c r="B73" s="54" t="s">
        <v>204</v>
      </c>
      <c r="C73" s="65" t="s">
        <v>205</v>
      </c>
      <c r="D73" s="24">
        <v>5624740</v>
      </c>
      <c r="E73" s="24"/>
      <c r="F73" s="25">
        <f t="shared" si="19"/>
        <v>5624740</v>
      </c>
      <c r="G73" s="24">
        <v>0</v>
      </c>
      <c r="H73" s="24"/>
      <c r="I73" s="25">
        <f t="shared" si="20"/>
        <v>0</v>
      </c>
      <c r="J73" s="71"/>
      <c r="K73" s="71"/>
      <c r="L73" s="71"/>
      <c r="M73" s="71"/>
      <c r="N73" s="71"/>
      <c r="O73" s="71"/>
      <c r="P73" s="71"/>
      <c r="Q73" s="71"/>
      <c r="R73" s="71"/>
    </row>
    <row r="74" spans="2:18" x14ac:dyDescent="0.25">
      <c r="B74" s="57" t="s">
        <v>206</v>
      </c>
      <c r="C74" s="66" t="s">
        <v>207</v>
      </c>
      <c r="D74" s="25">
        <f t="shared" ref="D74:I74" si="21">+D73+D72+D71+D70+D69+D68</f>
        <v>5624740</v>
      </c>
      <c r="E74" s="25">
        <f t="shared" si="21"/>
        <v>0</v>
      </c>
      <c r="F74" s="25">
        <f t="shared" si="21"/>
        <v>5624740</v>
      </c>
      <c r="G74" s="25">
        <f t="shared" si="21"/>
        <v>0</v>
      </c>
      <c r="H74" s="25">
        <f t="shared" si="21"/>
        <v>0</v>
      </c>
      <c r="I74" s="25">
        <f t="shared" si="21"/>
        <v>0</v>
      </c>
      <c r="J74" s="71"/>
      <c r="K74" s="71"/>
      <c r="L74" s="71"/>
      <c r="M74" s="71"/>
      <c r="N74" s="71"/>
      <c r="O74" s="71"/>
      <c r="P74" s="71"/>
      <c r="Q74" s="71"/>
      <c r="R74" s="71"/>
    </row>
    <row r="75" spans="2:18" x14ac:dyDescent="0.25">
      <c r="B75" s="57" t="s">
        <v>208</v>
      </c>
      <c r="C75" s="66" t="s">
        <v>209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  <c r="J75" s="71"/>
      <c r="K75" s="71"/>
      <c r="L75" s="71"/>
      <c r="M75" s="71"/>
      <c r="N75" s="71"/>
      <c r="O75" s="71"/>
      <c r="P75" s="71"/>
      <c r="Q75" s="71"/>
      <c r="R75" s="71"/>
    </row>
    <row r="76" spans="2:18" hidden="1" x14ac:dyDescent="0.25">
      <c r="B76" s="54" t="s">
        <v>210</v>
      </c>
      <c r="C76" s="65" t="s">
        <v>211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  <c r="J76" s="71"/>
      <c r="K76" s="71"/>
      <c r="L76" s="71"/>
      <c r="M76" s="71"/>
      <c r="N76" s="71"/>
      <c r="O76" s="71"/>
      <c r="P76" s="71"/>
      <c r="Q76" s="71"/>
      <c r="R76" s="71"/>
    </row>
    <row r="77" spans="2:18" hidden="1" x14ac:dyDescent="0.25">
      <c r="B77" s="54" t="s">
        <v>212</v>
      </c>
      <c r="C77" s="65" t="s">
        <v>213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  <c r="J77" s="71"/>
      <c r="K77" s="71"/>
      <c r="L77" s="71"/>
      <c r="M77" s="71"/>
      <c r="N77" s="71"/>
      <c r="O77" s="71"/>
      <c r="P77" s="71"/>
      <c r="Q77" s="71"/>
      <c r="R77" s="71"/>
    </row>
    <row r="78" spans="2:18" hidden="1" x14ac:dyDescent="0.25">
      <c r="B78" s="54" t="s">
        <v>214</v>
      </c>
      <c r="C78" s="65" t="s">
        <v>215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  <c r="J78" s="71"/>
      <c r="K78" s="71"/>
      <c r="L78" s="71"/>
      <c r="M78" s="71"/>
      <c r="N78" s="71"/>
      <c r="O78" s="71"/>
      <c r="P78" s="71"/>
      <c r="Q78" s="71"/>
      <c r="R78" s="71"/>
    </row>
    <row r="79" spans="2:18" hidden="1" x14ac:dyDescent="0.25">
      <c r="B79" s="54" t="s">
        <v>216</v>
      </c>
      <c r="C79" s="65" t="s">
        <v>217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  <c r="J79" s="71"/>
      <c r="K79" s="71"/>
      <c r="L79" s="71"/>
      <c r="M79" s="71"/>
      <c r="N79" s="71"/>
      <c r="O79" s="71"/>
      <c r="P79" s="71"/>
      <c r="Q79" s="71"/>
      <c r="R79" s="71"/>
    </row>
    <row r="80" spans="2:18" hidden="1" x14ac:dyDescent="0.25">
      <c r="B80" s="54" t="s">
        <v>218</v>
      </c>
      <c r="C80" s="65" t="s">
        <v>219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  <c r="J80" s="71"/>
      <c r="K80" s="71"/>
      <c r="L80" s="71"/>
      <c r="M80" s="71"/>
      <c r="N80" s="71"/>
      <c r="O80" s="71"/>
      <c r="P80" s="71"/>
      <c r="Q80" s="71"/>
      <c r="R80" s="71"/>
    </row>
    <row r="81" spans="2:18" hidden="1" x14ac:dyDescent="0.25">
      <c r="B81" s="54" t="s">
        <v>220</v>
      </c>
      <c r="C81" s="65" t="s">
        <v>221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  <c r="J81" s="71"/>
      <c r="K81" s="71"/>
      <c r="L81" s="71"/>
      <c r="M81" s="71"/>
      <c r="N81" s="71"/>
      <c r="O81" s="71"/>
      <c r="P81" s="71"/>
      <c r="Q81" s="71"/>
      <c r="R81" s="71"/>
    </row>
    <row r="82" spans="2:18" x14ac:dyDescent="0.25">
      <c r="B82" s="57" t="s">
        <v>222</v>
      </c>
      <c r="C82" s="66" t="s">
        <v>223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 t="shared" si="24"/>
        <v>0</v>
      </c>
      <c r="H82" s="25">
        <f t="shared" si="24"/>
        <v>0</v>
      </c>
      <c r="I82" s="25">
        <f t="shared" si="24"/>
        <v>0</v>
      </c>
      <c r="J82" s="71"/>
      <c r="K82" s="71"/>
      <c r="L82" s="71"/>
      <c r="M82" s="71"/>
      <c r="N82" s="71"/>
      <c r="O82" s="71"/>
      <c r="P82" s="71"/>
      <c r="Q82" s="71"/>
      <c r="R82" s="71"/>
    </row>
    <row r="83" spans="2:18" x14ac:dyDescent="0.25">
      <c r="B83" s="67" t="s">
        <v>631</v>
      </c>
      <c r="C83" s="65" t="s">
        <v>225</v>
      </c>
      <c r="D83" s="24"/>
      <c r="E83" s="24"/>
      <c r="F83" s="25">
        <f t="shared" ref="F83:F93" si="25">+E83+D83</f>
        <v>0</v>
      </c>
      <c r="G83" s="24"/>
      <c r="H83" s="24"/>
      <c r="I83" s="25">
        <f t="shared" ref="I83:I93" si="26">+H83+G83</f>
        <v>0</v>
      </c>
      <c r="J83" s="71"/>
      <c r="K83" s="71"/>
      <c r="L83" s="71"/>
      <c r="M83" s="71"/>
      <c r="N83" s="71"/>
      <c r="O83" s="71"/>
      <c r="P83" s="71"/>
      <c r="Q83" s="71"/>
      <c r="R83" s="71"/>
    </row>
    <row r="84" spans="2:18" x14ac:dyDescent="0.25">
      <c r="B84" s="67" t="s">
        <v>226</v>
      </c>
      <c r="C84" s="65" t="s">
        <v>227</v>
      </c>
      <c r="D84" s="24">
        <v>3773000</v>
      </c>
      <c r="E84" s="24"/>
      <c r="F84" s="25">
        <f t="shared" si="25"/>
        <v>3773000</v>
      </c>
      <c r="G84" s="24">
        <v>0</v>
      </c>
      <c r="H84" s="24"/>
      <c r="I84" s="25">
        <f t="shared" si="26"/>
        <v>0</v>
      </c>
      <c r="J84" s="71"/>
      <c r="K84" s="71"/>
      <c r="L84" s="71"/>
      <c r="M84" s="71"/>
      <c r="N84" s="71"/>
      <c r="O84" s="71"/>
      <c r="P84" s="71"/>
      <c r="Q84" s="71"/>
      <c r="R84" s="71"/>
    </row>
    <row r="85" spans="2:18" x14ac:dyDescent="0.25">
      <c r="B85" s="67" t="s">
        <v>228</v>
      </c>
      <c r="C85" s="65" t="s">
        <v>229</v>
      </c>
      <c r="D85" s="24"/>
      <c r="E85" s="24"/>
      <c r="F85" s="25">
        <f t="shared" si="25"/>
        <v>0</v>
      </c>
      <c r="G85" s="24"/>
      <c r="H85" s="24"/>
      <c r="I85" s="25">
        <f t="shared" si="26"/>
        <v>0</v>
      </c>
      <c r="J85" s="71"/>
      <c r="K85" s="71"/>
      <c r="L85" s="71"/>
      <c r="M85" s="71"/>
      <c r="N85" s="71"/>
      <c r="O85" s="71"/>
      <c r="P85" s="71"/>
      <c r="Q85" s="71"/>
      <c r="R85" s="71"/>
    </row>
    <row r="86" spans="2:18" x14ac:dyDescent="0.25">
      <c r="B86" s="67" t="s">
        <v>230</v>
      </c>
      <c r="C86" s="65" t="s">
        <v>231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  <c r="J86" s="71"/>
      <c r="K86" s="71"/>
      <c r="L86" s="71"/>
      <c r="M86" s="71"/>
      <c r="N86" s="71"/>
      <c r="O86" s="71"/>
      <c r="P86" s="71"/>
      <c r="Q86" s="71"/>
      <c r="R86" s="71"/>
    </row>
    <row r="87" spans="2:18" x14ac:dyDescent="0.25">
      <c r="B87" s="67" t="s">
        <v>232</v>
      </c>
      <c r="C87" s="65" t="s">
        <v>233</v>
      </c>
      <c r="D87" s="24"/>
      <c r="E87" s="24"/>
      <c r="F87" s="25">
        <f t="shared" si="25"/>
        <v>0</v>
      </c>
      <c r="G87" s="24"/>
      <c r="H87" s="24"/>
      <c r="I87" s="25">
        <f t="shared" si="26"/>
        <v>0</v>
      </c>
      <c r="J87" s="71"/>
      <c r="K87" s="71"/>
      <c r="L87" s="71"/>
      <c r="M87" s="71"/>
      <c r="N87" s="71"/>
      <c r="O87" s="71"/>
      <c r="P87" s="71"/>
      <c r="Q87" s="71"/>
      <c r="R87" s="71"/>
    </row>
    <row r="88" spans="2:18" x14ac:dyDescent="0.25">
      <c r="B88" s="67" t="s">
        <v>234</v>
      </c>
      <c r="C88" s="65" t="s">
        <v>235</v>
      </c>
      <c r="D88" s="24">
        <v>951000</v>
      </c>
      <c r="E88" s="24"/>
      <c r="F88" s="25">
        <f t="shared" si="25"/>
        <v>951000</v>
      </c>
      <c r="G88" s="24">
        <v>0</v>
      </c>
      <c r="H88" s="24"/>
      <c r="I88" s="25">
        <f t="shared" si="26"/>
        <v>0</v>
      </c>
      <c r="J88" s="71"/>
      <c r="K88" s="71"/>
      <c r="L88" s="71"/>
      <c r="M88" s="71"/>
      <c r="N88" s="71"/>
      <c r="O88" s="71"/>
      <c r="P88" s="71"/>
      <c r="Q88" s="71"/>
      <c r="R88" s="71"/>
    </row>
    <row r="89" spans="2:18" x14ac:dyDescent="0.25">
      <c r="B89" s="67" t="s">
        <v>236</v>
      </c>
      <c r="C89" s="65" t="s">
        <v>237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  <c r="J89" s="71"/>
      <c r="K89" s="71"/>
      <c r="L89" s="71"/>
      <c r="M89" s="71"/>
      <c r="N89" s="71"/>
      <c r="O89" s="71"/>
      <c r="P89" s="71"/>
      <c r="Q89" s="71"/>
      <c r="R89" s="71"/>
    </row>
    <row r="90" spans="2:18" x14ac:dyDescent="0.25">
      <c r="B90" s="67" t="s">
        <v>238</v>
      </c>
      <c r="C90" s="65" t="s">
        <v>239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  <c r="J90" s="71"/>
      <c r="K90" s="71"/>
      <c r="L90" s="71"/>
      <c r="M90" s="71"/>
      <c r="N90" s="71"/>
      <c r="O90" s="71"/>
      <c r="P90" s="71"/>
      <c r="Q90" s="71"/>
      <c r="R90" s="71"/>
    </row>
    <row r="91" spans="2:18" x14ac:dyDescent="0.25">
      <c r="B91" s="67" t="s">
        <v>240</v>
      </c>
      <c r="C91" s="65" t="s">
        <v>241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  <c r="J91" s="71"/>
      <c r="K91" s="71"/>
      <c r="L91" s="71"/>
      <c r="M91" s="71"/>
      <c r="N91" s="71"/>
      <c r="O91" s="71"/>
      <c r="P91" s="71"/>
      <c r="Q91" s="71"/>
      <c r="R91" s="71"/>
    </row>
    <row r="92" spans="2:18" x14ac:dyDescent="0.25">
      <c r="B92" s="67" t="s">
        <v>242</v>
      </c>
      <c r="C92" s="65" t="s">
        <v>243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  <c r="J92" s="71"/>
      <c r="K92" s="71"/>
      <c r="L92" s="71"/>
      <c r="M92" s="71"/>
      <c r="N92" s="71"/>
      <c r="O92" s="71"/>
      <c r="P92" s="71"/>
      <c r="Q92" s="71"/>
      <c r="R92" s="71"/>
    </row>
    <row r="93" spans="2:18" x14ac:dyDescent="0.25">
      <c r="B93" s="67" t="s">
        <v>244</v>
      </c>
      <c r="C93" s="65" t="s">
        <v>245</v>
      </c>
      <c r="D93" s="24"/>
      <c r="E93" s="24"/>
      <c r="F93" s="25">
        <f t="shared" si="25"/>
        <v>0</v>
      </c>
      <c r="G93" s="24"/>
      <c r="H93" s="24"/>
      <c r="I93" s="25">
        <f t="shared" si="26"/>
        <v>0</v>
      </c>
      <c r="J93" s="71"/>
      <c r="K93" s="71"/>
      <c r="L93" s="71"/>
      <c r="M93" s="71"/>
      <c r="N93" s="71"/>
      <c r="O93" s="71"/>
      <c r="P93" s="71"/>
      <c r="Q93" s="71"/>
      <c r="R93" s="71"/>
    </row>
    <row r="94" spans="2:18" x14ac:dyDescent="0.25">
      <c r="B94" s="58" t="s">
        <v>246</v>
      </c>
      <c r="C94" s="66" t="s">
        <v>247</v>
      </c>
      <c r="D94" s="25">
        <f t="shared" ref="D94:I94" si="27">SUM(D83:D93)</f>
        <v>4724000</v>
      </c>
      <c r="E94" s="25">
        <f t="shared" si="27"/>
        <v>0</v>
      </c>
      <c r="F94" s="25">
        <f t="shared" si="27"/>
        <v>4724000</v>
      </c>
      <c r="G94" s="25">
        <f t="shared" si="27"/>
        <v>0</v>
      </c>
      <c r="H94" s="25">
        <f t="shared" si="27"/>
        <v>0</v>
      </c>
      <c r="I94" s="25">
        <f t="shared" si="27"/>
        <v>0</v>
      </c>
      <c r="J94" s="71"/>
      <c r="K94" s="71"/>
      <c r="L94" s="71"/>
      <c r="M94" s="71"/>
      <c r="N94" s="71"/>
      <c r="O94" s="71"/>
      <c r="P94" s="71"/>
      <c r="Q94" s="71"/>
      <c r="R94" s="71"/>
    </row>
    <row r="95" spans="2:18" x14ac:dyDescent="0.25">
      <c r="B95" s="67" t="s">
        <v>248</v>
      </c>
      <c r="C95" s="65" t="s">
        <v>249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71"/>
      <c r="K95" s="71"/>
      <c r="L95" s="71"/>
      <c r="M95" s="71"/>
      <c r="N95" s="71"/>
      <c r="O95" s="71"/>
      <c r="P95" s="71"/>
      <c r="Q95" s="71"/>
      <c r="R95" s="71"/>
    </row>
    <row r="96" spans="2:18" x14ac:dyDescent="0.25">
      <c r="B96" s="67" t="s">
        <v>250</v>
      </c>
      <c r="C96" s="65" t="s">
        <v>251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71"/>
      <c r="K96" s="71"/>
      <c r="L96" s="71"/>
      <c r="M96" s="71"/>
      <c r="N96" s="71"/>
      <c r="O96" s="71"/>
      <c r="P96" s="71"/>
      <c r="Q96" s="71"/>
      <c r="R96" s="71"/>
    </row>
    <row r="97" spans="2:18" x14ac:dyDescent="0.25">
      <c r="B97" s="67" t="s">
        <v>252</v>
      </c>
      <c r="C97" s="65" t="s">
        <v>253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71"/>
      <c r="K97" s="71"/>
      <c r="L97" s="71"/>
      <c r="M97" s="71"/>
      <c r="N97" s="71"/>
      <c r="O97" s="71"/>
      <c r="P97" s="71"/>
      <c r="Q97" s="71"/>
      <c r="R97" s="71"/>
    </row>
    <row r="98" spans="2:18" hidden="1" x14ac:dyDescent="0.25">
      <c r="B98" s="67" t="s">
        <v>254</v>
      </c>
      <c r="C98" s="65" t="s">
        <v>255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71"/>
      <c r="K98" s="71"/>
      <c r="L98" s="71"/>
      <c r="M98" s="71"/>
      <c r="N98" s="71"/>
      <c r="O98" s="71"/>
      <c r="P98" s="71"/>
      <c r="Q98" s="71"/>
      <c r="R98" s="71"/>
    </row>
    <row r="99" spans="2:18" hidden="1" x14ac:dyDescent="0.25">
      <c r="B99" s="67" t="s">
        <v>256</v>
      </c>
      <c r="C99" s="65" t="s">
        <v>257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71"/>
      <c r="K99" s="71"/>
      <c r="L99" s="71"/>
      <c r="M99" s="71"/>
      <c r="N99" s="71"/>
      <c r="O99" s="71"/>
      <c r="P99" s="71"/>
      <c r="Q99" s="71"/>
      <c r="R99" s="71"/>
    </row>
    <row r="100" spans="2:18" x14ac:dyDescent="0.25">
      <c r="B100" s="57" t="s">
        <v>258</v>
      </c>
      <c r="C100" s="66" t="s">
        <v>259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0</v>
      </c>
      <c r="I100" s="25">
        <f t="shared" si="28"/>
        <v>0</v>
      </c>
      <c r="J100" s="71"/>
      <c r="K100" s="71"/>
      <c r="L100" s="71"/>
      <c r="M100" s="71"/>
      <c r="N100" s="71"/>
      <c r="O100" s="71"/>
      <c r="P100" s="71"/>
      <c r="Q100" s="71"/>
      <c r="R100" s="71"/>
    </row>
    <row r="101" spans="2:18" x14ac:dyDescent="0.25">
      <c r="B101" s="57" t="s">
        <v>260</v>
      </c>
      <c r="C101" s="66" t="s">
        <v>261</v>
      </c>
      <c r="D101" s="24"/>
      <c r="E101" s="24"/>
      <c r="F101" s="25">
        <f t="shared" ref="F101:F106" si="29">+E101+D101</f>
        <v>0</v>
      </c>
      <c r="G101" s="24"/>
      <c r="H101" s="24"/>
      <c r="I101" s="25">
        <f t="shared" ref="I101:I106" si="30">+H101+G101</f>
        <v>0</v>
      </c>
      <c r="J101" s="71"/>
      <c r="K101" s="71"/>
      <c r="L101" s="71"/>
      <c r="M101" s="71"/>
      <c r="N101" s="71"/>
      <c r="O101" s="71"/>
      <c r="P101" s="71"/>
      <c r="Q101" s="71"/>
      <c r="R101" s="71"/>
    </row>
    <row r="102" spans="2:18" hidden="1" x14ac:dyDescent="0.25">
      <c r="B102" s="67" t="s">
        <v>262</v>
      </c>
      <c r="C102" s="65" t="s">
        <v>263</v>
      </c>
      <c r="D102" s="24"/>
      <c r="E102" s="24"/>
      <c r="F102" s="25">
        <f t="shared" si="29"/>
        <v>0</v>
      </c>
      <c r="G102" s="24"/>
      <c r="H102" s="24"/>
      <c r="I102" s="25">
        <f t="shared" si="30"/>
        <v>0</v>
      </c>
      <c r="J102" s="71"/>
      <c r="K102" s="71"/>
      <c r="L102" s="71"/>
      <c r="M102" s="71"/>
      <c r="N102" s="71"/>
      <c r="O102" s="71"/>
      <c r="P102" s="71"/>
      <c r="Q102" s="71"/>
      <c r="R102" s="71"/>
    </row>
    <row r="103" spans="2:18" hidden="1" x14ac:dyDescent="0.25">
      <c r="B103" s="54" t="s">
        <v>264</v>
      </c>
      <c r="C103" s="65" t="s">
        <v>265</v>
      </c>
      <c r="D103" s="24"/>
      <c r="E103" s="24"/>
      <c r="F103" s="25">
        <f t="shared" si="29"/>
        <v>0</v>
      </c>
      <c r="G103" s="24"/>
      <c r="H103" s="24"/>
      <c r="I103" s="25">
        <f t="shared" si="30"/>
        <v>0</v>
      </c>
      <c r="J103" s="71"/>
      <c r="K103" s="71"/>
      <c r="L103" s="71"/>
      <c r="M103" s="71"/>
      <c r="N103" s="71"/>
      <c r="O103" s="71"/>
      <c r="P103" s="71"/>
      <c r="Q103" s="71"/>
      <c r="R103" s="71"/>
    </row>
    <row r="104" spans="2:18" ht="31.5" hidden="1" x14ac:dyDescent="0.25">
      <c r="B104" s="67" t="s">
        <v>266</v>
      </c>
      <c r="C104" s="65" t="s">
        <v>267</v>
      </c>
      <c r="D104" s="24"/>
      <c r="E104" s="24"/>
      <c r="F104" s="25">
        <f t="shared" si="29"/>
        <v>0</v>
      </c>
      <c r="G104" s="24"/>
      <c r="H104" s="24"/>
      <c r="I104" s="25">
        <f t="shared" si="30"/>
        <v>0</v>
      </c>
      <c r="J104" s="71"/>
      <c r="K104" s="71"/>
      <c r="L104" s="71"/>
      <c r="M104" s="71"/>
      <c r="N104" s="71"/>
      <c r="O104" s="71"/>
      <c r="P104" s="71"/>
      <c r="Q104" s="71"/>
      <c r="R104" s="71"/>
    </row>
    <row r="105" spans="2:18" hidden="1" x14ac:dyDescent="0.25">
      <c r="B105" s="67" t="s">
        <v>268</v>
      </c>
      <c r="C105" s="65" t="s">
        <v>269</v>
      </c>
      <c r="D105" s="24"/>
      <c r="E105" s="24"/>
      <c r="F105" s="25">
        <f t="shared" si="29"/>
        <v>0</v>
      </c>
      <c r="G105" s="24"/>
      <c r="H105" s="24"/>
      <c r="I105" s="25">
        <f t="shared" si="30"/>
        <v>0</v>
      </c>
      <c r="J105" s="71"/>
      <c r="K105" s="71"/>
      <c r="L105" s="71"/>
      <c r="M105" s="71"/>
      <c r="N105" s="71"/>
      <c r="O105" s="71"/>
      <c r="P105" s="71"/>
      <c r="Q105" s="71"/>
      <c r="R105" s="71"/>
    </row>
    <row r="106" spans="2:18" hidden="1" x14ac:dyDescent="0.25">
      <c r="B106" s="67" t="s">
        <v>270</v>
      </c>
      <c r="C106" s="65" t="s">
        <v>271</v>
      </c>
      <c r="D106" s="24"/>
      <c r="E106" s="24"/>
      <c r="F106" s="25">
        <f t="shared" si="29"/>
        <v>0</v>
      </c>
      <c r="G106" s="24"/>
      <c r="H106" s="24"/>
      <c r="I106" s="25">
        <f t="shared" si="30"/>
        <v>0</v>
      </c>
      <c r="J106" s="71"/>
      <c r="K106" s="71"/>
      <c r="L106" s="71"/>
      <c r="M106" s="71"/>
      <c r="N106" s="71"/>
      <c r="O106" s="71"/>
      <c r="P106" s="71"/>
      <c r="Q106" s="71"/>
      <c r="R106" s="71"/>
    </row>
    <row r="107" spans="2:18" x14ac:dyDescent="0.25">
      <c r="B107" s="57" t="s">
        <v>272</v>
      </c>
      <c r="C107" s="66" t="s">
        <v>273</v>
      </c>
      <c r="D107" s="25">
        <f t="shared" ref="D107:I107" si="31">SUM(D102:D106)</f>
        <v>0</v>
      </c>
      <c r="E107" s="25">
        <f t="shared" si="31"/>
        <v>0</v>
      </c>
      <c r="F107" s="25">
        <f t="shared" si="31"/>
        <v>0</v>
      </c>
      <c r="G107" s="25">
        <f t="shared" si="31"/>
        <v>0</v>
      </c>
      <c r="H107" s="25">
        <f t="shared" si="31"/>
        <v>0</v>
      </c>
      <c r="I107" s="25">
        <f t="shared" si="31"/>
        <v>0</v>
      </c>
      <c r="J107" s="71"/>
      <c r="K107" s="71"/>
      <c r="L107" s="71"/>
      <c r="M107" s="71"/>
      <c r="N107" s="71"/>
      <c r="O107" s="71"/>
      <c r="P107" s="71"/>
      <c r="Q107" s="71"/>
      <c r="R107" s="71"/>
    </row>
    <row r="108" spans="2:18" x14ac:dyDescent="0.25">
      <c r="B108" s="82" t="s">
        <v>274</v>
      </c>
      <c r="C108" s="68" t="s">
        <v>275</v>
      </c>
      <c r="D108" s="70">
        <f t="shared" ref="D108:I108" si="32">+D107+D101+D100+D94+D82+D75+D74</f>
        <v>10348740</v>
      </c>
      <c r="E108" s="70">
        <f t="shared" si="32"/>
        <v>0</v>
      </c>
      <c r="F108" s="70">
        <f t="shared" si="32"/>
        <v>10348740</v>
      </c>
      <c r="G108" s="70">
        <f t="shared" si="32"/>
        <v>0</v>
      </c>
      <c r="H108" s="70">
        <f t="shared" si="32"/>
        <v>0</v>
      </c>
      <c r="I108" s="70">
        <f t="shared" si="32"/>
        <v>0</v>
      </c>
      <c r="J108" s="71"/>
      <c r="K108" s="71"/>
      <c r="L108" s="71"/>
      <c r="M108" s="71"/>
      <c r="N108" s="71"/>
      <c r="O108" s="71"/>
      <c r="P108" s="71"/>
      <c r="Q108" s="71"/>
      <c r="R108" s="71"/>
    </row>
    <row r="109" spans="2:18" x14ac:dyDescent="0.25">
      <c r="B109" s="83" t="s">
        <v>276</v>
      </c>
      <c r="C109" s="84"/>
      <c r="D109" s="85">
        <f>+D101+D94+D82+D74-D33</f>
        <v>-226711757</v>
      </c>
      <c r="E109" s="85">
        <f>+E101+E94+E82+E74-E33</f>
        <v>0</v>
      </c>
      <c r="F109" s="85">
        <f t="shared" ref="F109:F116" si="33">+E109+D109</f>
        <v>-226711757</v>
      </c>
      <c r="G109" s="85">
        <f>+G101+G94+G82+G74-G33</f>
        <v>0</v>
      </c>
      <c r="H109" s="85">
        <f>+H101+H94+H82+H74-H33</f>
        <v>0</v>
      </c>
      <c r="I109" s="85">
        <f t="shared" ref="I109:I116" si="34">+H109+G109</f>
        <v>0</v>
      </c>
      <c r="J109" s="71"/>
      <c r="K109" s="71"/>
      <c r="L109" s="71"/>
      <c r="M109" s="71"/>
      <c r="N109" s="71"/>
      <c r="O109" s="71"/>
      <c r="P109" s="71"/>
      <c r="Q109" s="71"/>
      <c r="R109" s="71"/>
    </row>
    <row r="110" spans="2:18" x14ac:dyDescent="0.25">
      <c r="B110" s="83" t="s">
        <v>277</v>
      </c>
      <c r="C110" s="84"/>
      <c r="D110" s="85">
        <f>+D107+D100+D75-D57</f>
        <v>-1491000</v>
      </c>
      <c r="E110" s="85">
        <f>+E107+E100+E75-E57</f>
        <v>0</v>
      </c>
      <c r="F110" s="85">
        <f t="shared" si="33"/>
        <v>-1491000</v>
      </c>
      <c r="G110" s="85">
        <f>+G107+G100+G75-G57</f>
        <v>0</v>
      </c>
      <c r="H110" s="85">
        <f>+H107+H100+H75-H57</f>
        <v>0</v>
      </c>
      <c r="I110" s="85">
        <f t="shared" si="34"/>
        <v>0</v>
      </c>
      <c r="J110" s="71"/>
      <c r="K110" s="71"/>
      <c r="L110" s="71"/>
      <c r="M110" s="71"/>
      <c r="N110" s="71"/>
      <c r="O110" s="71"/>
      <c r="P110" s="71"/>
      <c r="Q110" s="71"/>
      <c r="R110" s="71"/>
    </row>
    <row r="111" spans="2:18" hidden="1" x14ac:dyDescent="0.25">
      <c r="B111" s="58" t="s">
        <v>635</v>
      </c>
      <c r="C111" s="57" t="s">
        <v>285</v>
      </c>
      <c r="D111" s="24"/>
      <c r="E111" s="24"/>
      <c r="F111" s="25">
        <f t="shared" si="33"/>
        <v>0</v>
      </c>
      <c r="G111" s="24"/>
      <c r="H111" s="24"/>
      <c r="I111" s="25">
        <f t="shared" si="34"/>
        <v>0</v>
      </c>
    </row>
    <row r="112" spans="2:18" hidden="1" x14ac:dyDescent="0.25">
      <c r="B112" s="75" t="s">
        <v>636</v>
      </c>
      <c r="C112" s="57" t="s">
        <v>295</v>
      </c>
      <c r="D112" s="24"/>
      <c r="E112" s="24"/>
      <c r="F112" s="25">
        <f t="shared" si="33"/>
        <v>0</v>
      </c>
      <c r="G112" s="24"/>
      <c r="H112" s="24"/>
      <c r="I112" s="25">
        <f t="shared" si="34"/>
        <v>0</v>
      </c>
    </row>
    <row r="113" spans="1:9" x14ac:dyDescent="0.25">
      <c r="A113" s="89" t="s">
        <v>335</v>
      </c>
      <c r="B113" s="54" t="s">
        <v>296</v>
      </c>
      <c r="C113" s="54" t="s">
        <v>297</v>
      </c>
      <c r="D113" s="24"/>
      <c r="E113" s="24"/>
      <c r="F113" s="25">
        <f t="shared" si="33"/>
        <v>0</v>
      </c>
      <c r="G113" s="24">
        <v>0</v>
      </c>
      <c r="H113" s="24"/>
      <c r="I113" s="25">
        <f t="shared" si="34"/>
        <v>0</v>
      </c>
    </row>
    <row r="114" spans="1:9" x14ac:dyDescent="0.25">
      <c r="A114" s="89" t="s">
        <v>648</v>
      </c>
      <c r="B114" s="54" t="s">
        <v>298</v>
      </c>
      <c r="C114" s="54" t="s">
        <v>297</v>
      </c>
      <c r="D114" s="24"/>
      <c r="E114" s="24"/>
      <c r="F114" s="25">
        <f t="shared" si="33"/>
        <v>0</v>
      </c>
      <c r="G114" s="24"/>
      <c r="H114" s="24"/>
      <c r="I114" s="25">
        <f t="shared" si="34"/>
        <v>0</v>
      </c>
    </row>
    <row r="115" spans="1:9" hidden="1" x14ac:dyDescent="0.25">
      <c r="B115" s="54" t="s">
        <v>299</v>
      </c>
      <c r="C115" s="54" t="s">
        <v>300</v>
      </c>
      <c r="D115" s="24"/>
      <c r="E115" s="24"/>
      <c r="F115" s="25">
        <f t="shared" si="33"/>
        <v>0</v>
      </c>
      <c r="G115" s="24"/>
      <c r="H115" s="24"/>
      <c r="I115" s="25">
        <f t="shared" si="34"/>
        <v>0</v>
      </c>
    </row>
    <row r="116" spans="1:9" hidden="1" x14ac:dyDescent="0.25">
      <c r="B116" s="54" t="s">
        <v>301</v>
      </c>
      <c r="C116" s="54" t="s">
        <v>300</v>
      </c>
      <c r="D116" s="24"/>
      <c r="E116" s="24"/>
      <c r="F116" s="25">
        <f t="shared" si="33"/>
        <v>0</v>
      </c>
      <c r="G116" s="24"/>
      <c r="H116" s="24"/>
      <c r="I116" s="25">
        <f t="shared" si="34"/>
        <v>0</v>
      </c>
    </row>
    <row r="117" spans="1:9" x14ac:dyDescent="0.25">
      <c r="A117"/>
      <c r="B117" s="57" t="s">
        <v>302</v>
      </c>
      <c r="C117" s="57" t="s">
        <v>303</v>
      </c>
      <c r="D117" s="25">
        <f t="shared" ref="D117:I117" si="35">SUM(D113:D116)</f>
        <v>0</v>
      </c>
      <c r="E117" s="25">
        <f t="shared" si="35"/>
        <v>0</v>
      </c>
      <c r="F117" s="25">
        <f t="shared" si="35"/>
        <v>0</v>
      </c>
      <c r="G117" s="25">
        <f t="shared" si="35"/>
        <v>0</v>
      </c>
      <c r="H117" s="25">
        <f t="shared" si="35"/>
        <v>0</v>
      </c>
      <c r="I117" s="25">
        <f t="shared" si="35"/>
        <v>0</v>
      </c>
    </row>
    <row r="118" spans="1:9" hidden="1" x14ac:dyDescent="0.25">
      <c r="A118"/>
      <c r="B118" s="73" t="s">
        <v>304</v>
      </c>
      <c r="C118" s="54" t="s">
        <v>305</v>
      </c>
      <c r="D118" s="24"/>
      <c r="E118" s="24"/>
      <c r="F118" s="25">
        <f t="shared" ref="F118:F125" si="36">+E118+D118</f>
        <v>0</v>
      </c>
      <c r="G118" s="24"/>
      <c r="H118" s="24"/>
      <c r="I118" s="25">
        <f t="shared" ref="I118:I125" si="37">+H118+G118</f>
        <v>0</v>
      </c>
    </row>
    <row r="119" spans="1:9" hidden="1" x14ac:dyDescent="0.25">
      <c r="B119" s="73" t="s">
        <v>306</v>
      </c>
      <c r="C119" s="54" t="s">
        <v>307</v>
      </c>
      <c r="D119" s="24"/>
      <c r="E119" s="24"/>
      <c r="F119" s="25">
        <f t="shared" si="36"/>
        <v>0</v>
      </c>
      <c r="G119" s="24"/>
      <c r="H119" s="24"/>
      <c r="I119" s="25">
        <f t="shared" si="37"/>
        <v>0</v>
      </c>
    </row>
    <row r="120" spans="1:9" x14ac:dyDescent="0.25">
      <c r="A120" s="30" t="s">
        <v>649</v>
      </c>
      <c r="B120" s="73" t="s">
        <v>308</v>
      </c>
      <c r="C120" s="54" t="s">
        <v>309</v>
      </c>
      <c r="D120" s="24">
        <v>228202757</v>
      </c>
      <c r="E120" s="24"/>
      <c r="F120" s="25">
        <f t="shared" si="36"/>
        <v>228202757</v>
      </c>
      <c r="G120" s="24">
        <v>0</v>
      </c>
      <c r="H120" s="24"/>
      <c r="I120" s="25">
        <f t="shared" si="37"/>
        <v>0</v>
      </c>
    </row>
    <row r="121" spans="1:9" s="255" customFormat="1" x14ac:dyDescent="0.25">
      <c r="B121" s="256" t="s">
        <v>650</v>
      </c>
      <c r="C121" s="151"/>
      <c r="D121" s="104">
        <v>135705400</v>
      </c>
      <c r="E121" s="104"/>
      <c r="F121" s="137">
        <f t="shared" si="36"/>
        <v>135705400</v>
      </c>
      <c r="G121" s="24">
        <v>0</v>
      </c>
      <c r="H121" s="104"/>
      <c r="I121" s="137">
        <f t="shared" si="37"/>
        <v>0</v>
      </c>
    </row>
    <row r="122" spans="1:9" s="255" customFormat="1" x14ac:dyDescent="0.25">
      <c r="B122" s="257" t="s">
        <v>640</v>
      </c>
      <c r="C122" s="151"/>
      <c r="D122" s="104">
        <f>+D120-D121</f>
        <v>92497357</v>
      </c>
      <c r="E122" s="104">
        <f>+E120-E121</f>
        <v>0</v>
      </c>
      <c r="F122" s="137">
        <f t="shared" si="36"/>
        <v>92497357</v>
      </c>
      <c r="G122" s="104">
        <f>+G120-G121</f>
        <v>0</v>
      </c>
      <c r="H122" s="104">
        <f>+H120-H121</f>
        <v>0</v>
      </c>
      <c r="I122" s="137">
        <f t="shared" si="37"/>
        <v>0</v>
      </c>
    </row>
    <row r="123" spans="1:9" hidden="1" x14ac:dyDescent="0.25">
      <c r="B123" s="73" t="s">
        <v>310</v>
      </c>
      <c r="C123" s="54" t="s">
        <v>311</v>
      </c>
      <c r="D123" s="24"/>
      <c r="E123" s="24"/>
      <c r="F123" s="25">
        <f t="shared" si="36"/>
        <v>0</v>
      </c>
      <c r="G123" s="24"/>
      <c r="H123" s="24"/>
      <c r="I123" s="25">
        <f t="shared" si="37"/>
        <v>0</v>
      </c>
    </row>
    <row r="124" spans="1:9" hidden="1" x14ac:dyDescent="0.25">
      <c r="B124" s="67" t="s">
        <v>312</v>
      </c>
      <c r="C124" s="54" t="s">
        <v>313</v>
      </c>
      <c r="D124" s="24"/>
      <c r="E124" s="24"/>
      <c r="F124" s="25">
        <f t="shared" si="36"/>
        <v>0</v>
      </c>
      <c r="G124" s="24"/>
      <c r="H124" s="24"/>
      <c r="I124" s="25">
        <f t="shared" si="37"/>
        <v>0</v>
      </c>
    </row>
    <row r="125" spans="1:9" hidden="1" x14ac:dyDescent="0.25">
      <c r="B125" s="67" t="s">
        <v>314</v>
      </c>
      <c r="C125" s="54" t="s">
        <v>315</v>
      </c>
      <c r="D125" s="24"/>
      <c r="E125" s="24"/>
      <c r="F125" s="25">
        <f t="shared" si="36"/>
        <v>0</v>
      </c>
      <c r="G125" s="24"/>
      <c r="H125" s="24"/>
      <c r="I125" s="25">
        <f t="shared" si="37"/>
        <v>0</v>
      </c>
    </row>
    <row r="126" spans="1:9" x14ac:dyDescent="0.25">
      <c r="B126" s="58" t="s">
        <v>316</v>
      </c>
      <c r="C126" s="57" t="s">
        <v>317</v>
      </c>
      <c r="D126" s="25">
        <f>SUM(D118:D125)+D117+D112+D111-D121-D122</f>
        <v>228202757</v>
      </c>
      <c r="E126" s="25">
        <f>SUM(E118:E125)+E117+E112+E111-E121-E122</f>
        <v>0</v>
      </c>
      <c r="F126" s="25">
        <f>SUM(F118:F124)+F117+F112+F111-F121-F122</f>
        <v>228202757</v>
      </c>
      <c r="G126" s="25">
        <f>SUM(G118:G125)+G117+G112+G111-G121-G122</f>
        <v>0</v>
      </c>
      <c r="H126" s="25">
        <f>SUM(H118:H125)+H117+H112+H111-H121-H122</f>
        <v>0</v>
      </c>
      <c r="I126" s="25">
        <f>SUM(I118:I124)+I117+I112+I111-I121-I122</f>
        <v>0</v>
      </c>
    </row>
    <row r="127" spans="1:9" hidden="1" x14ac:dyDescent="0.25">
      <c r="B127" s="73" t="s">
        <v>318</v>
      </c>
      <c r="C127" s="54" t="s">
        <v>319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7" t="s">
        <v>320</v>
      </c>
      <c r="C128" s="54" t="s">
        <v>321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7" t="s">
        <v>322</v>
      </c>
      <c r="C129" s="54" t="s">
        <v>323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6" t="s">
        <v>324</v>
      </c>
      <c r="C130" s="77" t="s">
        <v>325</v>
      </c>
      <c r="D130" s="70">
        <f>+D128+D127+D126+D129</f>
        <v>228202757</v>
      </c>
      <c r="E130" s="70">
        <f>+E128+E127+E126+E129</f>
        <v>0</v>
      </c>
      <c r="F130" s="70">
        <f>+F128+F127+F126</f>
        <v>228202757</v>
      </c>
      <c r="G130" s="70">
        <f>+G128+G127+G126+G129</f>
        <v>0</v>
      </c>
      <c r="H130" s="70">
        <f>+H128+H127+H126+H129</f>
        <v>0</v>
      </c>
      <c r="I130" s="70">
        <f>+I128+I127+I126</f>
        <v>0</v>
      </c>
    </row>
    <row r="131" spans="2:9" x14ac:dyDescent="0.25">
      <c r="B131" s="28" t="s">
        <v>326</v>
      </c>
      <c r="C131" s="28" t="s">
        <v>327</v>
      </c>
      <c r="D131" s="29">
        <f t="shared" ref="D131:I131" si="38">+D108+D130</f>
        <v>238551497</v>
      </c>
      <c r="E131" s="29">
        <f t="shared" si="38"/>
        <v>0</v>
      </c>
      <c r="F131" s="29">
        <f t="shared" si="38"/>
        <v>238551497</v>
      </c>
      <c r="G131" s="29">
        <f t="shared" si="38"/>
        <v>0</v>
      </c>
      <c r="H131" s="29">
        <f t="shared" si="38"/>
        <v>0</v>
      </c>
      <c r="I131" s="29">
        <f t="shared" si="38"/>
        <v>0</v>
      </c>
    </row>
    <row r="132" spans="2:9" x14ac:dyDescent="0.25">
      <c r="B132" s="13"/>
      <c r="C132" s="13"/>
      <c r="D132" s="14"/>
      <c r="E132" s="14"/>
      <c r="F132" s="86"/>
      <c r="G132" s="14"/>
      <c r="H132" s="14"/>
      <c r="I132" s="86"/>
    </row>
    <row r="133" spans="2:9" x14ac:dyDescent="0.25">
      <c r="B133" s="26" t="s">
        <v>328</v>
      </c>
      <c r="C133" s="26"/>
      <c r="D133" s="25">
        <f t="shared" ref="D133:I133" si="39">+D108-D58</f>
        <v>-228202757</v>
      </c>
      <c r="E133" s="25">
        <f t="shared" si="39"/>
        <v>0</v>
      </c>
      <c r="F133" s="25">
        <f t="shared" si="39"/>
        <v>-228202757</v>
      </c>
      <c r="G133" s="25">
        <f t="shared" si="39"/>
        <v>0</v>
      </c>
      <c r="H133" s="25">
        <f t="shared" si="39"/>
        <v>0</v>
      </c>
      <c r="I133" s="25">
        <f t="shared" si="39"/>
        <v>0</v>
      </c>
    </row>
    <row r="134" spans="2:9" x14ac:dyDescent="0.25">
      <c r="B134" s="26" t="s">
        <v>329</v>
      </c>
      <c r="C134" s="26"/>
      <c r="D134" s="25">
        <f t="shared" ref="D134:I134" si="40">+D130-D63</f>
        <v>228202757</v>
      </c>
      <c r="E134" s="25">
        <f t="shared" si="40"/>
        <v>0</v>
      </c>
      <c r="F134" s="25">
        <f t="shared" si="40"/>
        <v>228202757</v>
      </c>
      <c r="G134" s="25">
        <f t="shared" si="40"/>
        <v>0</v>
      </c>
      <c r="H134" s="25">
        <f t="shared" si="40"/>
        <v>0</v>
      </c>
      <c r="I134" s="25">
        <f t="shared" si="40"/>
        <v>0</v>
      </c>
    </row>
    <row r="135" spans="2:9" x14ac:dyDescent="0.25">
      <c r="B135" s="13"/>
      <c r="C135" s="13"/>
      <c r="D135" s="14"/>
      <c r="E135" s="14"/>
      <c r="F135" s="86"/>
      <c r="G135" s="14"/>
      <c r="H135" s="14"/>
      <c r="I135" s="86"/>
    </row>
    <row r="136" spans="2:9" x14ac:dyDescent="0.25">
      <c r="B136" s="88" t="s">
        <v>332</v>
      </c>
      <c r="C136" s="13"/>
      <c r="D136" s="14">
        <f t="shared" ref="D136:I136" si="41">+D131-D64</f>
        <v>0</v>
      </c>
      <c r="E136" s="14">
        <f t="shared" si="41"/>
        <v>0</v>
      </c>
      <c r="F136" s="14">
        <f t="shared" si="41"/>
        <v>0</v>
      </c>
      <c r="G136" s="14">
        <f t="shared" si="41"/>
        <v>0</v>
      </c>
      <c r="H136" s="14">
        <f t="shared" si="41"/>
        <v>0</v>
      </c>
      <c r="I136" s="14">
        <f t="shared" si="41"/>
        <v>0</v>
      </c>
    </row>
    <row r="137" spans="2:9" x14ac:dyDescent="0.25">
      <c r="B137" s="13"/>
      <c r="C137" s="13"/>
      <c r="D137" s="14"/>
      <c r="E137" s="14"/>
      <c r="F137" s="86"/>
      <c r="G137" s="14"/>
      <c r="H137" s="14"/>
      <c r="I137" s="86"/>
    </row>
    <row r="138" spans="2:9" x14ac:dyDescent="0.25">
      <c r="B138" s="13"/>
      <c r="C138" s="13"/>
      <c r="D138" s="14"/>
      <c r="E138" s="14"/>
      <c r="F138" s="86"/>
      <c r="G138" s="14"/>
      <c r="H138" s="14"/>
      <c r="I138" s="86"/>
    </row>
    <row r="139" spans="2:9" x14ac:dyDescent="0.25">
      <c r="B139" s="13"/>
      <c r="C139" s="13"/>
      <c r="D139" s="14"/>
      <c r="E139" s="14"/>
      <c r="F139" s="86"/>
      <c r="G139" s="14"/>
      <c r="H139" s="14"/>
      <c r="I139" s="86"/>
    </row>
    <row r="140" spans="2:9" x14ac:dyDescent="0.25">
      <c r="B140" s="13"/>
      <c r="C140" s="13"/>
      <c r="D140" s="14"/>
      <c r="E140" s="14"/>
      <c r="F140" s="86"/>
      <c r="G140" s="14"/>
      <c r="H140" s="14"/>
      <c r="I140" s="86"/>
    </row>
    <row r="141" spans="2:9" x14ac:dyDescent="0.25">
      <c r="B141" s="13"/>
      <c r="C141" s="13"/>
      <c r="D141" s="14"/>
      <c r="E141" s="14"/>
      <c r="F141" s="86"/>
      <c r="G141" s="14"/>
      <c r="H141" s="14"/>
      <c r="I141" s="86"/>
    </row>
    <row r="142" spans="2:9" x14ac:dyDescent="0.25">
      <c r="B142" s="13"/>
      <c r="C142" s="13"/>
      <c r="D142" s="14"/>
      <c r="E142" s="14"/>
      <c r="F142" s="86"/>
      <c r="G142" s="14"/>
      <c r="H142" s="14"/>
      <c r="I142" s="86"/>
    </row>
    <row r="143" spans="2:9" x14ac:dyDescent="0.25">
      <c r="B143" s="13"/>
      <c r="C143" s="13"/>
      <c r="D143" s="14"/>
      <c r="E143" s="14"/>
      <c r="F143" s="86"/>
      <c r="G143" s="14"/>
      <c r="H143" s="14"/>
      <c r="I143" s="86"/>
    </row>
    <row r="144" spans="2:9" x14ac:dyDescent="0.25">
      <c r="B144" s="13"/>
      <c r="C144" s="13"/>
      <c r="D144" s="14"/>
      <c r="E144" s="14"/>
      <c r="F144" s="86"/>
      <c r="G144" s="14"/>
      <c r="H144" s="14"/>
      <c r="I144" s="86"/>
    </row>
    <row r="145" spans="2:9" x14ac:dyDescent="0.25">
      <c r="B145" s="13"/>
      <c r="C145" s="13"/>
      <c r="D145" s="14"/>
      <c r="E145" s="14"/>
      <c r="F145" s="86"/>
      <c r="G145" s="14"/>
      <c r="H145" s="14"/>
      <c r="I145" s="86"/>
    </row>
    <row r="146" spans="2:9" x14ac:dyDescent="0.25">
      <c r="B146" s="13"/>
      <c r="C146" s="13"/>
      <c r="D146" s="14"/>
      <c r="E146" s="14"/>
      <c r="F146" s="86"/>
      <c r="G146" s="14"/>
      <c r="H146" s="14"/>
      <c r="I146" s="86"/>
    </row>
    <row r="147" spans="2:9" x14ac:dyDescent="0.25">
      <c r="B147" s="13"/>
      <c r="C147" s="13"/>
      <c r="D147" s="14"/>
      <c r="E147" s="14"/>
      <c r="F147" s="86"/>
      <c r="G147" s="14"/>
      <c r="H147" s="14"/>
      <c r="I147" s="86"/>
    </row>
    <row r="148" spans="2:9" x14ac:dyDescent="0.25">
      <c r="B148" s="13"/>
      <c r="C148" s="13"/>
      <c r="D148" s="14"/>
      <c r="E148" s="14"/>
      <c r="F148" s="86"/>
      <c r="G148" s="14"/>
      <c r="H148" s="14"/>
      <c r="I148" s="86"/>
    </row>
    <row r="149" spans="2:9" x14ac:dyDescent="0.25">
      <c r="B149" s="13"/>
      <c r="C149" s="13"/>
      <c r="D149" s="14"/>
      <c r="E149" s="14"/>
      <c r="F149" s="86"/>
      <c r="G149" s="14"/>
      <c r="H149" s="14"/>
      <c r="I149" s="86"/>
    </row>
    <row r="150" spans="2:9" x14ac:dyDescent="0.25">
      <c r="B150" s="13"/>
      <c r="C150" s="13"/>
      <c r="D150" s="14"/>
      <c r="E150" s="14"/>
      <c r="F150" s="86"/>
      <c r="G150" s="14"/>
      <c r="H150" s="14"/>
      <c r="I150" s="86"/>
    </row>
    <row r="151" spans="2:9" x14ac:dyDescent="0.25">
      <c r="B151" s="13"/>
      <c r="C151" s="13"/>
      <c r="D151" s="14"/>
      <c r="E151" s="14"/>
      <c r="F151" s="86"/>
      <c r="G151" s="14"/>
      <c r="H151" s="14"/>
      <c r="I151" s="86"/>
    </row>
    <row r="152" spans="2:9" x14ac:dyDescent="0.25">
      <c r="B152" s="13"/>
      <c r="C152" s="13"/>
      <c r="D152" s="14"/>
      <c r="E152" s="14"/>
      <c r="F152" s="86"/>
      <c r="G152" s="14"/>
      <c r="H152" s="14"/>
      <c r="I152" s="86"/>
    </row>
    <row r="153" spans="2:9" x14ac:dyDescent="0.25">
      <c r="B153" s="13"/>
      <c r="C153" s="13"/>
      <c r="D153" s="14"/>
      <c r="E153" s="14"/>
      <c r="F153" s="86"/>
      <c r="G153" s="14"/>
      <c r="H153" s="14"/>
      <c r="I153" s="86"/>
    </row>
    <row r="154" spans="2:9" x14ac:dyDescent="0.25">
      <c r="B154" s="13"/>
      <c r="C154" s="13"/>
      <c r="D154" s="14"/>
      <c r="E154" s="14"/>
      <c r="F154" s="86"/>
      <c r="G154" s="14"/>
      <c r="H154" s="14"/>
      <c r="I154" s="86"/>
    </row>
    <row r="155" spans="2:9" x14ac:dyDescent="0.25">
      <c r="B155" s="13"/>
      <c r="C155" s="13"/>
      <c r="D155" s="14"/>
      <c r="E155" s="14"/>
      <c r="F155" s="86"/>
      <c r="G155" s="14"/>
      <c r="H155" s="14"/>
      <c r="I155" s="86"/>
    </row>
    <row r="156" spans="2:9" x14ac:dyDescent="0.25">
      <c r="B156" s="13"/>
      <c r="C156" s="13"/>
      <c r="D156" s="14"/>
      <c r="E156" s="14"/>
      <c r="F156" s="86"/>
      <c r="G156" s="14"/>
      <c r="H156" s="14"/>
      <c r="I156" s="86"/>
    </row>
    <row r="157" spans="2:9" x14ac:dyDescent="0.25">
      <c r="B157" s="13"/>
      <c r="C157" s="13"/>
      <c r="D157" s="14"/>
      <c r="E157" s="14"/>
      <c r="F157" s="86"/>
      <c r="G157" s="14"/>
      <c r="H157" s="14"/>
      <c r="I157" s="86"/>
    </row>
    <row r="158" spans="2:9" x14ac:dyDescent="0.25">
      <c r="B158" s="13"/>
      <c r="C158" s="13"/>
      <c r="D158" s="14"/>
      <c r="E158" s="14"/>
      <c r="F158" s="86"/>
      <c r="G158" s="14"/>
      <c r="H158" s="14"/>
      <c r="I158" s="86"/>
    </row>
    <row r="159" spans="2:9" x14ac:dyDescent="0.25">
      <c r="B159" s="13"/>
      <c r="C159" s="13"/>
      <c r="D159" s="14"/>
      <c r="E159" s="14"/>
      <c r="F159" s="86"/>
      <c r="G159" s="14"/>
      <c r="H159" s="14"/>
      <c r="I159" s="86"/>
    </row>
    <row r="160" spans="2:9" x14ac:dyDescent="0.25">
      <c r="B160" s="13"/>
      <c r="C160" s="13"/>
      <c r="D160" s="14"/>
      <c r="E160" s="14"/>
      <c r="F160" s="86"/>
      <c r="G160" s="14"/>
      <c r="H160" s="14"/>
      <c r="I160" s="86"/>
    </row>
    <row r="161" spans="2:9" x14ac:dyDescent="0.25">
      <c r="B161" s="13"/>
      <c r="C161" s="13"/>
      <c r="D161" s="14"/>
      <c r="E161" s="14"/>
      <c r="F161" s="86"/>
      <c r="G161" s="14"/>
      <c r="H161" s="14"/>
      <c r="I161" s="86"/>
    </row>
    <row r="162" spans="2:9" x14ac:dyDescent="0.25">
      <c r="B162" s="13"/>
      <c r="C162" s="13"/>
      <c r="D162" s="14"/>
      <c r="E162" s="14"/>
      <c r="F162" s="86"/>
      <c r="G162" s="14"/>
      <c r="H162" s="14"/>
      <c r="I162" s="86"/>
    </row>
    <row r="163" spans="2:9" x14ac:dyDescent="0.25">
      <c r="B163" s="13"/>
      <c r="C163" s="13"/>
      <c r="D163" s="14"/>
      <c r="E163" s="14"/>
      <c r="F163" s="86"/>
      <c r="G163" s="14"/>
      <c r="H163" s="14"/>
      <c r="I163" s="86"/>
    </row>
    <row r="164" spans="2:9" x14ac:dyDescent="0.25">
      <c r="B164" s="13"/>
      <c r="C164" s="13"/>
      <c r="D164" s="14"/>
      <c r="E164" s="14"/>
      <c r="F164" s="86"/>
      <c r="G164" s="14"/>
      <c r="H164" s="14"/>
      <c r="I164" s="86"/>
    </row>
    <row r="165" spans="2:9" x14ac:dyDescent="0.25">
      <c r="B165" s="13"/>
      <c r="C165" s="13"/>
      <c r="D165" s="14"/>
      <c r="E165" s="14"/>
      <c r="F165" s="86"/>
      <c r="G165" s="14"/>
      <c r="H165" s="14"/>
      <c r="I165" s="86"/>
    </row>
    <row r="166" spans="2:9" x14ac:dyDescent="0.25">
      <c r="B166" s="13"/>
      <c r="C166" s="13"/>
      <c r="D166" s="14"/>
      <c r="E166" s="14"/>
      <c r="F166" s="86"/>
      <c r="G166" s="14"/>
      <c r="H166" s="14"/>
      <c r="I166" s="86"/>
    </row>
    <row r="167" spans="2:9" x14ac:dyDescent="0.25">
      <c r="B167" s="13"/>
      <c r="C167" s="13"/>
      <c r="D167" s="14"/>
      <c r="E167" s="14"/>
      <c r="F167" s="86"/>
      <c r="G167" s="14"/>
      <c r="H167" s="14"/>
      <c r="I167" s="86"/>
    </row>
    <row r="168" spans="2:9" x14ac:dyDescent="0.25">
      <c r="B168" s="13"/>
      <c r="C168" s="13"/>
      <c r="D168" s="14"/>
      <c r="E168" s="14"/>
      <c r="F168" s="86"/>
      <c r="G168" s="14"/>
      <c r="H168" s="14"/>
      <c r="I168" s="86"/>
    </row>
    <row r="169" spans="2:9" x14ac:dyDescent="0.25">
      <c r="B169" s="13"/>
      <c r="C169" s="13"/>
      <c r="D169" s="14"/>
      <c r="E169" s="14"/>
      <c r="F169" s="86"/>
      <c r="G169" s="14"/>
      <c r="H169" s="14"/>
      <c r="I169" s="86"/>
    </row>
    <row r="170" spans="2:9" x14ac:dyDescent="0.25">
      <c r="B170" s="13"/>
      <c r="C170" s="13"/>
      <c r="D170" s="14"/>
      <c r="E170" s="14"/>
      <c r="F170" s="86"/>
      <c r="G170" s="14"/>
      <c r="H170" s="14"/>
      <c r="I170" s="86"/>
    </row>
    <row r="171" spans="2:9" x14ac:dyDescent="0.25">
      <c r="B171" s="13"/>
      <c r="C171" s="13"/>
      <c r="D171" s="14"/>
      <c r="E171" s="14"/>
      <c r="F171" s="86"/>
      <c r="G171" s="14"/>
      <c r="H171" s="14"/>
      <c r="I171" s="86"/>
    </row>
    <row r="172" spans="2:9" x14ac:dyDescent="0.25">
      <c r="B172" s="13"/>
      <c r="C172" s="13"/>
      <c r="D172" s="14"/>
      <c r="E172" s="14"/>
      <c r="F172" s="86"/>
      <c r="G172" s="14"/>
      <c r="H172" s="14"/>
      <c r="I172" s="86"/>
    </row>
    <row r="173" spans="2:9" x14ac:dyDescent="0.25">
      <c r="B173" s="13"/>
      <c r="C173" s="13"/>
      <c r="D173" s="14"/>
      <c r="E173" s="14"/>
      <c r="F173" s="86"/>
      <c r="G173" s="14"/>
      <c r="H173" s="14"/>
      <c r="I173" s="86"/>
    </row>
    <row r="174" spans="2:9" x14ac:dyDescent="0.25">
      <c r="B174" s="13"/>
      <c r="C174" s="13"/>
      <c r="D174" s="14"/>
      <c r="E174" s="14"/>
      <c r="F174" s="86"/>
      <c r="G174" s="14"/>
      <c r="H174" s="14"/>
      <c r="I174" s="86"/>
    </row>
    <row r="175" spans="2:9" x14ac:dyDescent="0.25">
      <c r="B175" s="13"/>
      <c r="C175" s="13"/>
      <c r="D175" s="14"/>
      <c r="E175" s="14"/>
      <c r="F175" s="86"/>
      <c r="G175" s="14"/>
      <c r="H175" s="14"/>
      <c r="I175" s="86"/>
    </row>
    <row r="176" spans="2:9" x14ac:dyDescent="0.25">
      <c r="B176" s="13"/>
      <c r="C176" s="13"/>
      <c r="D176" s="14"/>
      <c r="E176" s="14"/>
      <c r="F176" s="86"/>
      <c r="G176" s="14"/>
      <c r="H176" s="14"/>
      <c r="I176" s="86"/>
    </row>
    <row r="177" spans="2:9" x14ac:dyDescent="0.25">
      <c r="B177" s="13"/>
      <c r="C177" s="13"/>
      <c r="D177" s="14"/>
      <c r="E177" s="14"/>
      <c r="F177" s="86"/>
      <c r="G177" s="14"/>
      <c r="H177" s="14"/>
      <c r="I177" s="86"/>
    </row>
    <row r="178" spans="2:9" x14ac:dyDescent="0.25">
      <c r="B178" s="13"/>
      <c r="C178" s="13"/>
      <c r="D178" s="14"/>
      <c r="E178" s="14"/>
      <c r="F178" s="86"/>
      <c r="G178" s="14"/>
      <c r="H178" s="14"/>
      <c r="I178" s="86"/>
    </row>
    <row r="179" spans="2:9" x14ac:dyDescent="0.25">
      <c r="B179" s="13"/>
      <c r="C179" s="13"/>
      <c r="D179" s="14"/>
      <c r="E179" s="14"/>
      <c r="F179" s="86"/>
      <c r="G179" s="14"/>
      <c r="H179" s="14"/>
      <c r="I179" s="86"/>
    </row>
    <row r="180" spans="2:9" x14ac:dyDescent="0.25">
      <c r="B180" s="13"/>
      <c r="C180" s="13"/>
      <c r="D180" s="14"/>
      <c r="E180" s="14"/>
      <c r="F180" s="86"/>
      <c r="G180" s="14"/>
      <c r="H180" s="14"/>
      <c r="I180" s="86"/>
    </row>
    <row r="181" spans="2:9" x14ac:dyDescent="0.25">
      <c r="B181" s="13"/>
      <c r="C181" s="13"/>
      <c r="D181" s="14"/>
      <c r="E181" s="14"/>
      <c r="F181" s="86"/>
      <c r="G181" s="14"/>
      <c r="H181" s="14"/>
      <c r="I181" s="86"/>
    </row>
    <row r="182" spans="2:9" x14ac:dyDescent="0.25">
      <c r="B182" s="13"/>
      <c r="C182" s="13"/>
      <c r="D182" s="14"/>
      <c r="E182" s="14"/>
      <c r="F182" s="86"/>
      <c r="G182" s="14"/>
      <c r="H182" s="14"/>
      <c r="I182" s="86"/>
    </row>
    <row r="183" spans="2:9" x14ac:dyDescent="0.25">
      <c r="B183" s="13"/>
      <c r="C183" s="13"/>
      <c r="D183" s="14"/>
      <c r="E183" s="14"/>
      <c r="F183" s="86"/>
      <c r="G183" s="14"/>
      <c r="H183" s="14"/>
      <c r="I183" s="86"/>
    </row>
    <row r="184" spans="2:9" x14ac:dyDescent="0.25">
      <c r="B184" s="13"/>
      <c r="C184" s="13"/>
      <c r="D184" s="14"/>
      <c r="E184" s="14"/>
      <c r="F184" s="86"/>
      <c r="G184" s="14"/>
      <c r="H184" s="14"/>
      <c r="I184" s="86"/>
    </row>
    <row r="185" spans="2:9" x14ac:dyDescent="0.25">
      <c r="B185" s="13"/>
      <c r="C185" s="13"/>
      <c r="D185" s="14"/>
      <c r="E185" s="14"/>
      <c r="F185" s="86"/>
      <c r="G185" s="14"/>
      <c r="H185" s="14"/>
      <c r="I185" s="86"/>
    </row>
    <row r="186" spans="2:9" x14ac:dyDescent="0.25">
      <c r="B186" s="13"/>
      <c r="C186" s="13"/>
      <c r="D186" s="14"/>
      <c r="E186" s="14"/>
      <c r="F186" s="86"/>
      <c r="G186" s="14"/>
      <c r="H186" s="14"/>
      <c r="I186" s="86"/>
    </row>
    <row r="187" spans="2:9" x14ac:dyDescent="0.25">
      <c r="B187" s="13"/>
      <c r="C187" s="13"/>
      <c r="D187" s="14"/>
      <c r="E187" s="14"/>
      <c r="F187" s="86"/>
      <c r="G187" s="14"/>
      <c r="H187" s="14"/>
      <c r="I187" s="86"/>
    </row>
    <row r="188" spans="2:9" x14ac:dyDescent="0.25">
      <c r="B188" s="13"/>
      <c r="C188" s="13"/>
      <c r="D188" s="14"/>
      <c r="E188" s="14"/>
      <c r="F188" s="86"/>
      <c r="G188" s="14"/>
      <c r="H188" s="14"/>
      <c r="I188" s="86"/>
    </row>
    <row r="189" spans="2:9" x14ac:dyDescent="0.25">
      <c r="B189" s="13"/>
      <c r="C189" s="13"/>
      <c r="D189" s="14"/>
      <c r="E189" s="14"/>
      <c r="F189" s="86"/>
      <c r="G189" s="14"/>
      <c r="H189" s="14"/>
      <c r="I189" s="86"/>
    </row>
    <row r="190" spans="2:9" x14ac:dyDescent="0.25">
      <c r="B190" s="13"/>
      <c r="C190" s="13"/>
      <c r="D190" s="14"/>
      <c r="E190" s="14"/>
      <c r="F190" s="86"/>
      <c r="G190" s="14"/>
      <c r="H190" s="14"/>
      <c r="I190" s="86"/>
    </row>
    <row r="191" spans="2:9" x14ac:dyDescent="0.25">
      <c r="B191" s="13"/>
      <c r="C191" s="13"/>
      <c r="D191" s="14"/>
      <c r="E191" s="14"/>
      <c r="F191" s="86"/>
      <c r="G191" s="14"/>
      <c r="H191" s="14"/>
      <c r="I191" s="86"/>
    </row>
    <row r="192" spans="2:9" x14ac:dyDescent="0.25">
      <c r="B192" s="13"/>
      <c r="C192" s="13"/>
      <c r="D192" s="14"/>
      <c r="E192" s="14"/>
      <c r="F192" s="86"/>
      <c r="G192" s="14"/>
      <c r="H192" s="14"/>
      <c r="I192" s="86"/>
    </row>
    <row r="193" spans="2:9" x14ac:dyDescent="0.25">
      <c r="B193" s="13"/>
      <c r="C193" s="13"/>
      <c r="D193" s="14"/>
      <c r="E193" s="14"/>
      <c r="F193" s="86"/>
      <c r="G193" s="14"/>
      <c r="H193" s="14"/>
      <c r="I193" s="86"/>
    </row>
    <row r="194" spans="2:9" x14ac:dyDescent="0.25">
      <c r="B194" s="13"/>
      <c r="C194" s="13"/>
      <c r="D194" s="14"/>
      <c r="E194" s="14"/>
      <c r="F194" s="86"/>
      <c r="G194" s="14"/>
      <c r="H194" s="14"/>
      <c r="I194" s="86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8194444444444445" right="0.24513888888888888" top="0.59027777777777779" bottom="0.51180555555555551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100</vt:i4>
      </vt:variant>
    </vt:vector>
  </HeadingPairs>
  <TitlesOfParts>
    <vt:vector size="124" baseType="lpstr">
      <vt:lpstr>Címrend</vt:lpstr>
      <vt:lpstr>1 kiem</vt:lpstr>
      <vt:lpstr>2 Össz</vt:lpstr>
      <vt:lpstr>3 Adók és tám</vt:lpstr>
      <vt:lpstr>4 Átvett és Felh bev</vt:lpstr>
      <vt:lpstr>5 Beruh kiad</vt:lpstr>
      <vt:lpstr>6 Tart</vt:lpstr>
      <vt:lpstr>7 Önk</vt:lpstr>
      <vt:lpstr>8 PH</vt:lpstr>
      <vt:lpstr>9 VGIG</vt:lpstr>
      <vt:lpstr>10 Járób</vt:lpstr>
      <vt:lpstr>11 Szoci</vt:lpstr>
      <vt:lpstr>12 Ovi</vt:lpstr>
      <vt:lpstr>13 Művház</vt:lpstr>
      <vt:lpstr>14 Könyvt</vt:lpstr>
      <vt:lpstr>15 létszám</vt:lpstr>
      <vt:lpstr>16 szociális kiad</vt:lpstr>
      <vt:lpstr>17 hitelek</vt:lpstr>
      <vt:lpstr>18 TÖBB ÉVES</vt:lpstr>
      <vt:lpstr>19 EU proj</vt:lpstr>
      <vt:lpstr>20 közvetett</vt:lpstr>
      <vt:lpstr>21 MÉRLEG</vt:lpstr>
      <vt:lpstr>22 FELH TERV</vt:lpstr>
      <vt:lpstr>23 GÖRDÜLŐ</vt:lpstr>
      <vt:lpstr>'18 TÖBB ÉVES'!_pr232</vt:lpstr>
      <vt:lpstr>'18 TÖBB ÉVES'!_pr234</vt:lpstr>
      <vt:lpstr>'18 TÖBB ÉVES'!_pr235</vt:lpstr>
      <vt:lpstr>'18 TÖBB ÉVES'!_pr236</vt:lpstr>
      <vt:lpstr>'18 TÖBB ÉVES'!_pr313</vt:lpstr>
      <vt:lpstr>'18 TÖBB ÉVES'!_pr315</vt:lpstr>
      <vt:lpstr>'23 GÖRDÜLŐ'!_pr315</vt:lpstr>
      <vt:lpstr>'23 GÖRDÜLŐ'!_pr347</vt:lpstr>
      <vt:lpstr>'23 GÖRDÜLŐ'!_pr348</vt:lpstr>
      <vt:lpstr>'23 GÖRDÜLŐ'!_pr349</vt:lpstr>
      <vt:lpstr>Címrend!_pr54</vt:lpstr>
      <vt:lpstr>Címrend!_pr55</vt:lpstr>
      <vt:lpstr>Címrend!_pr56</vt:lpstr>
      <vt:lpstr>Címrend!_pr57</vt:lpstr>
      <vt:lpstr>Címrend!_pr58</vt:lpstr>
      <vt:lpstr>Címrend!_pr59</vt:lpstr>
      <vt:lpstr>Címrend!_pr61</vt:lpstr>
      <vt:lpstr>Címrend!_pr62</vt:lpstr>
      <vt:lpstr>Címrend!_pr63</vt:lpstr>
      <vt:lpstr>Címrend!_pr64</vt:lpstr>
      <vt:lpstr>Címrend!_pr65</vt:lpstr>
      <vt:lpstr>Címrend!_pr66</vt:lpstr>
      <vt:lpstr>Címrend!_pr67</vt:lpstr>
      <vt:lpstr>Címrend!_pr68</vt:lpstr>
      <vt:lpstr>Címrend!_pr69</vt:lpstr>
      <vt:lpstr>Címrend!_pr70</vt:lpstr>
      <vt:lpstr>Címrend!_pr71</vt:lpstr>
      <vt:lpstr>Címrend!_pr72</vt:lpstr>
      <vt:lpstr>Címrend!_pr73</vt:lpstr>
      <vt:lpstr>'1 kiem'!Excel_BuiltIn_Print_Area</vt:lpstr>
      <vt:lpstr>'10 Járób'!Excel_BuiltIn_Print_Area</vt:lpstr>
      <vt:lpstr>'11 Szoci'!Excel_BuiltIn_Print_Area</vt:lpstr>
      <vt:lpstr>'12 Ovi'!Excel_BuiltIn_Print_Area</vt:lpstr>
      <vt:lpstr>'13 Művház'!Excel_BuiltIn_Print_Area</vt:lpstr>
      <vt:lpstr>'14 Könyvt'!Excel_BuiltIn_Print_Area</vt:lpstr>
      <vt:lpstr>'15 létszám'!Excel_BuiltIn_Print_Area</vt:lpstr>
      <vt:lpstr>'16 szociális kiad'!Excel_BuiltIn_Print_Area</vt:lpstr>
      <vt:lpstr>'17 hitelek'!Excel_BuiltIn_Print_Area</vt:lpstr>
      <vt:lpstr>'19 EU proj'!Excel_BuiltIn_Print_Area</vt:lpstr>
      <vt:lpstr>'2 Össz'!Excel_BuiltIn_Print_Area</vt:lpstr>
      <vt:lpstr>'23 GÖRDÜLŐ'!Excel_BuiltIn_Print_Area</vt:lpstr>
      <vt:lpstr>'3 Adók és tám'!Excel_BuiltIn_Print_Area</vt:lpstr>
      <vt:lpstr>'4 Átvett és Felh bev'!Excel_BuiltIn_Print_Area</vt:lpstr>
      <vt:lpstr>'5 Beruh kiad'!Excel_BuiltIn_Print_Area</vt:lpstr>
      <vt:lpstr>'6 Tart'!Excel_BuiltIn_Print_Area</vt:lpstr>
      <vt:lpstr>'7 Önk'!Excel_BuiltIn_Print_Area</vt:lpstr>
      <vt:lpstr>'8 PH'!Excel_BuiltIn_Print_Area</vt:lpstr>
      <vt:lpstr>'9 VGIG'!Excel_BuiltIn_Print_Area</vt:lpstr>
      <vt:lpstr>'10 Járób'!Excel_BuiltIn_Print_Titles</vt:lpstr>
      <vt:lpstr>'11 Szoci'!Excel_BuiltIn_Print_Titles</vt:lpstr>
      <vt:lpstr>'12 Ovi'!Excel_BuiltIn_Print_Titles</vt:lpstr>
      <vt:lpstr>'13 Művház'!Excel_BuiltIn_Print_Titles</vt:lpstr>
      <vt:lpstr>'14 Könyvt'!Excel_BuiltIn_Print_Titles</vt:lpstr>
      <vt:lpstr>'2 Össz'!Excel_BuiltIn_Print_Titles</vt:lpstr>
      <vt:lpstr>'3 Adók és tám'!Excel_BuiltIn_Print_Titles</vt:lpstr>
      <vt:lpstr>'4 Átvett és Felh bev'!Excel_BuiltIn_Print_Titles</vt:lpstr>
      <vt:lpstr>'5 Beruh kiad'!Excel_BuiltIn_Print_Titles</vt:lpstr>
      <vt:lpstr>'7 Önk'!Excel_BuiltIn_Print_Titles</vt:lpstr>
      <vt:lpstr>'8 PH'!Excel_BuiltIn_Print_Titles</vt:lpstr>
      <vt:lpstr>'9 VGIG'!Excel_BuiltIn_Print_Titles</vt:lpstr>
      <vt:lpstr>'10 Járób'!Nyomtatási_cím</vt:lpstr>
      <vt:lpstr>'11 Szoci'!Nyomtatási_cím</vt:lpstr>
      <vt:lpstr>'12 Ovi'!Nyomtatási_cím</vt:lpstr>
      <vt:lpstr>'13 Művház'!Nyomtatási_cím</vt:lpstr>
      <vt:lpstr>'14 Könyvt'!Nyomtatási_cím</vt:lpstr>
      <vt:lpstr>'19 EU proj'!Nyomtatási_cím</vt:lpstr>
      <vt:lpstr>'2 Össz'!Nyomtatási_cím</vt:lpstr>
      <vt:lpstr>'21 MÉRLEG'!Nyomtatási_cím</vt:lpstr>
      <vt:lpstr>'22 FELH TERV'!Nyomtatási_cím</vt:lpstr>
      <vt:lpstr>'23 GÖRDÜLŐ'!Nyomtatási_cím</vt:lpstr>
      <vt:lpstr>'3 Adók és tám'!Nyomtatási_cím</vt:lpstr>
      <vt:lpstr>'4 Átvett és Felh bev'!Nyomtatási_cím</vt:lpstr>
      <vt:lpstr>'5 Beruh kiad'!Nyomtatási_cím</vt:lpstr>
      <vt:lpstr>'7 Önk'!Nyomtatási_cím</vt:lpstr>
      <vt:lpstr>'8 PH'!Nyomtatási_cím</vt:lpstr>
      <vt:lpstr>'9 VGIG'!Nyomtatási_cím</vt:lpstr>
      <vt:lpstr>'1 kiem'!Nyomtatási_terület</vt:lpstr>
      <vt:lpstr>'10 Járób'!Nyomtatási_terület</vt:lpstr>
      <vt:lpstr>'11 Szoci'!Nyomtatási_terület</vt:lpstr>
      <vt:lpstr>'12 Ovi'!Nyomtatási_terület</vt:lpstr>
      <vt:lpstr>'13 Művház'!Nyomtatási_terület</vt:lpstr>
      <vt:lpstr>'14 Könyvt'!Nyomtatási_terület</vt:lpstr>
      <vt:lpstr>'15 létszám'!Nyomtatási_terület</vt:lpstr>
      <vt:lpstr>'16 szociális kiad'!Nyomtatási_terület</vt:lpstr>
      <vt:lpstr>'17 hitelek'!Nyomtatási_terület</vt:lpstr>
      <vt:lpstr>'18 TÖBB ÉVES'!Nyomtatási_terület</vt:lpstr>
      <vt:lpstr>'19 EU proj'!Nyomtatási_terület</vt:lpstr>
      <vt:lpstr>'2 Össz'!Nyomtatási_terület</vt:lpstr>
      <vt:lpstr>'20 közvetett'!Nyomtatási_terület</vt:lpstr>
      <vt:lpstr>'21 MÉRLEG'!Nyomtatási_terület</vt:lpstr>
      <vt:lpstr>'22 FELH TERV'!Nyomtatási_terület</vt:lpstr>
      <vt:lpstr>'23 GÖRDÜLŐ'!Nyomtatási_terület</vt:lpstr>
      <vt:lpstr>'3 Adók és tám'!Nyomtatási_terület</vt:lpstr>
      <vt:lpstr>'4 Átvett és Felh bev'!Nyomtatási_terület</vt:lpstr>
      <vt:lpstr>'5 Beruh kiad'!Nyomtatási_terület</vt:lpstr>
      <vt:lpstr>'6 Tart'!Nyomtatási_terület</vt:lpstr>
      <vt:lpstr>'7 Önk'!Nyomtatási_terület</vt:lpstr>
      <vt:lpstr>'8 PH'!Nyomtatási_terület</vt:lpstr>
      <vt:lpstr>'9 VGIG'!Nyomtatási_terület</vt:lpstr>
      <vt:lpstr>Címrend!Nyomtatási_terület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Gallaci</dc:creator>
  <cp:lastModifiedBy>Jogizsuzsi</cp:lastModifiedBy>
  <cp:lastPrinted>2018-03-01T09:10:07Z</cp:lastPrinted>
  <dcterms:created xsi:type="dcterms:W3CDTF">2018-01-18T11:48:48Z</dcterms:created>
  <dcterms:modified xsi:type="dcterms:W3CDTF">2018-03-13T12:21:41Z</dcterms:modified>
</cp:coreProperties>
</file>