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6" activeTab="19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.m.- mérleg" sheetId="11" r:id="rId11"/>
    <sheet name="7.a.sz.melléklet eredménykim." sheetId="12" r:id="rId12"/>
    <sheet name="8.számú melléklet " sheetId="13" r:id="rId13"/>
    <sheet name="9.sz.m.-maradványkimutatás" sheetId="14" r:id="rId14"/>
    <sheet name="10.sz.m.-maradványelszámolás" sheetId="15" r:id="rId15"/>
    <sheet name="11.sz.m.-vagyonkimutatás" sheetId="16" r:id="rId16"/>
    <sheet name="12.számú melléklet " sheetId="17" r:id="rId17"/>
    <sheet name="13.számú melléklet " sheetId="18" r:id="rId18"/>
    <sheet name="14.számú melléklet " sheetId="19" r:id="rId19"/>
    <sheet name="Munka1" sheetId="20" r:id="rId20"/>
  </sheets>
  <definedNames>
    <definedName name="_xlnm.Print_Titles" localSheetId="14">'10.sz.m.-maradványelszámolás'!$1:$2</definedName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Titles" localSheetId="11">'7.a.sz.melléklet eredménykim.'!$3:$4</definedName>
    <definedName name="_xlnm.Print_Titles" localSheetId="10">'7.sz.m.- mérleg'!$3:$4</definedName>
    <definedName name="_xlnm.Print_Titles" localSheetId="13">'9.sz.m.-maradványkimutatás'!$1:$2</definedName>
    <definedName name="_xlnm.Print_Area" localSheetId="14">'10.sz.m.-maradványelszámolás'!$A$1:$E$22</definedName>
    <definedName name="_xlnm.Print_Area" localSheetId="17">'13.számú melléklet '!$A$1:$Q$10</definedName>
    <definedName name="_xlnm.Print_Area" localSheetId="5">'4. számú melléklet   '!$A$1:$CH$3</definedName>
    <definedName name="_xlnm.Print_Area" localSheetId="11">'7.a.sz.melléklet eredménykim.'!$A$1:$L$41</definedName>
    <definedName name="_xlnm.Print_Area" localSheetId="10">'7.sz.m.- mérleg'!$A$1:$K$119</definedName>
    <definedName name="_xlnm.Print_Area" localSheetId="13">'9.sz.m.-maradványkimutatás'!$A$1:$E$27</definedName>
  </definedNames>
  <calcPr fullCalcOnLoad="1"/>
</workbook>
</file>

<file path=xl/sharedStrings.xml><?xml version="1.0" encoding="utf-8"?>
<sst xmlns="http://schemas.openxmlformats.org/spreadsheetml/2006/main" count="1609" uniqueCount="1052">
  <si>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</si>
  <si>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</si>
  <si>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</si>
  <si>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</si>
  <si>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</si>
  <si>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</si>
  <si>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</si>
  <si>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</si>
  <si>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</si>
  <si>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</si>
  <si>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</si>
  <si>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</si>
  <si>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</si>
  <si>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</si>
  <si>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</si>
  <si>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</si>
  <si>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</si>
  <si>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</si>
  <si>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</si>
  <si>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</si>
  <si>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8.</t>
  </si>
  <si>
    <t>Sor- sz.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</si>
  <si>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</si>
  <si>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</si>
  <si>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</si>
  <si>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</si>
  <si>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</si>
  <si>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</si>
  <si>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</si>
  <si>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</si>
  <si>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</si>
  <si>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</si>
  <si>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</si>
  <si>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</si>
  <si>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</si>
  <si>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</si>
  <si>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</si>
  <si>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</si>
  <si>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</si>
  <si>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</si>
  <si>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</si>
  <si>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</si>
  <si>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</si>
  <si>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</si>
  <si>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</si>
  <si>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</si>
  <si>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</si>
  <si>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</si>
  <si>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</si>
  <si>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</si>
  <si>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</si>
  <si>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</si>
  <si>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</si>
  <si>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</si>
  <si>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</si>
  <si>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</si>
  <si>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</si>
  <si>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</si>
  <si>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</si>
  <si>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</si>
  <si>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</si>
  <si>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</si>
  <si>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</si>
  <si>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</si>
  <si>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</si>
  <si>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</si>
  <si>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</si>
  <si>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</si>
  <si>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</si>
  <si>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</si>
  <si>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</si>
  <si>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</si>
  <si>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</si>
  <si>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</si>
  <si>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</si>
  <si>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</si>
  <si>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</si>
  <si>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</si>
  <si>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</si>
  <si>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</si>
  <si>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</si>
  <si>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</si>
  <si>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</si>
  <si>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</si>
  <si>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</si>
  <si>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</si>
  <si>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</si>
  <si>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</si>
  <si>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</si>
  <si>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</si>
  <si>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</si>
  <si>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</si>
  <si>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</si>
  <si>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</si>
  <si>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</si>
  <si>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</si>
  <si>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</si>
  <si>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</si>
  <si>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</si>
  <si>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</si>
  <si>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</si>
  <si>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</si>
  <si>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</si>
  <si>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</si>
  <si>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</si>
  <si>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</si>
  <si>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</si>
  <si>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</si>
  <si>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</si>
  <si>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</si>
  <si>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</si>
  <si>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</si>
  <si>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</si>
  <si>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</si>
  <si>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</si>
  <si>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</si>
  <si>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</si>
  <si>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</si>
  <si>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</si>
  <si>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</si>
  <si>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</si>
  <si>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</si>
  <si>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</si>
  <si>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</si>
  <si>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</si>
  <si>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</si>
  <si>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</si>
  <si>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</si>
  <si>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</si>
  <si>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</si>
  <si>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</si>
  <si>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</si>
  <si>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</si>
  <si>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</si>
  <si>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</si>
  <si>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</si>
  <si>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</si>
  <si>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</si>
  <si>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</si>
  <si>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</si>
  <si>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</si>
  <si>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</si>
  <si>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</si>
  <si>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</si>
  <si>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</si>
  <si>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</si>
  <si>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</si>
  <si>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</si>
  <si>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</si>
  <si>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</si>
  <si>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</si>
  <si>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</si>
  <si>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</si>
  <si>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</si>
  <si>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</si>
  <si>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</si>
  <si>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</si>
  <si>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</si>
  <si>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</si>
  <si>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</si>
  <si>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</si>
  <si>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</si>
  <si>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</si>
  <si>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</si>
  <si>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</si>
  <si>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07. Összesen</t>
  </si>
  <si>
    <t>08.</t>
  </si>
  <si>
    <t>SZABADIDŐ, KULTÚRA ÉS VALLÁS</t>
  </si>
  <si>
    <t>08. Összesen</t>
  </si>
  <si>
    <t>SZOCIÁLIS BIZTONSÁG</t>
  </si>
  <si>
    <t>10. Összesen</t>
  </si>
  <si>
    <t>018030</t>
  </si>
  <si>
    <t>091110</t>
  </si>
  <si>
    <t>091140</t>
  </si>
  <si>
    <t>Óvodai nevelés, ellátás  működtetési felad.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</si>
  <si>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</si>
  <si>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</si>
  <si>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</si>
  <si>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</si>
  <si>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</si>
  <si>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</si>
  <si>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</si>
  <si>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</si>
  <si>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</si>
  <si>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</si>
  <si>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</si>
  <si>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</si>
  <si>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</si>
  <si>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</si>
  <si>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</si>
  <si>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</si>
  <si>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</si>
  <si>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</si>
  <si>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</si>
  <si>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</si>
  <si>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</si>
  <si>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</si>
  <si>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</si>
  <si>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</si>
  <si>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</si>
  <si>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</si>
  <si>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</si>
  <si>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</si>
  <si>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</si>
  <si>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</si>
  <si>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</si>
  <si>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</si>
  <si>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</si>
  <si>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</si>
  <si>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</si>
  <si>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</si>
  <si>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</si>
  <si>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</si>
  <si>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</si>
  <si>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</si>
  <si>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</si>
  <si>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</si>
  <si>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</si>
  <si>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</si>
  <si>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</si>
  <si>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</si>
  <si>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</si>
  <si>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</si>
  <si>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</si>
  <si>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</si>
  <si>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</si>
  <si>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</si>
  <si>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</si>
  <si>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</si>
  <si>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</si>
  <si>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</si>
  <si>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</si>
  <si>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</si>
  <si>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</si>
  <si>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</si>
  <si>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</si>
  <si>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</si>
  <si>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</si>
  <si>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</si>
  <si>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</si>
  <si>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</si>
  <si>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</si>
  <si>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</si>
  <si>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Egyéb felhalmozási célú támogatások bevételei államháztartáson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</si>
  <si>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</si>
  <si>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</si>
  <si>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</si>
  <si>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</si>
  <si>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</si>
  <si>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</si>
  <si>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</si>
  <si>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</si>
  <si>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</si>
  <si>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</si>
  <si>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</si>
  <si>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</si>
  <si>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</si>
  <si>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</si>
  <si>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</si>
  <si>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</si>
  <si>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</si>
  <si>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</si>
  <si>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</si>
  <si>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</si>
  <si>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</si>
  <si>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</si>
  <si>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</si>
  <si>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</si>
  <si>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</si>
  <si>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</si>
  <si>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</si>
  <si>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</si>
  <si>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</si>
  <si>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</si>
  <si>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</si>
  <si>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</si>
  <si>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</si>
  <si>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</si>
  <si>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</si>
  <si>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</si>
  <si>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</si>
  <si>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</si>
  <si>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</si>
  <si>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</si>
  <si>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</si>
  <si>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</si>
  <si>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</si>
  <si>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</si>
  <si>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</si>
  <si>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</si>
  <si>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</si>
  <si>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</si>
  <si>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</si>
  <si>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</si>
  <si>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</si>
  <si>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</si>
  <si>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</si>
  <si>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</si>
  <si>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</si>
  <si>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</si>
  <si>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</si>
  <si>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</si>
  <si>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</si>
  <si>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</si>
  <si>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</si>
  <si>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</si>
  <si>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</si>
  <si>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</si>
  <si>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Kedvezmények mindösszesen </t>
  </si>
  <si>
    <t>Várható hatások</t>
  </si>
  <si>
    <t>S</t>
  </si>
  <si>
    <t xml:space="preserve">Egyéb felhalmozási célú kiadások összesen  </t>
  </si>
  <si>
    <t>b) település-üzemeltetéshez kapcsolódó feladataellátás t.beszámítás után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</si>
  <si>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</si>
  <si>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</si>
  <si>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</si>
  <si>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</si>
  <si>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</si>
  <si>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</si>
  <si>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</si>
  <si>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</si>
  <si>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</si>
  <si>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</si>
  <si>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</si>
  <si>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</si>
  <si>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</si>
  <si>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B65</t>
  </si>
  <si>
    <t>Egyéb működési célú átvett pénzeszközök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</si>
  <si>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</si>
  <si>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</si>
  <si>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</si>
  <si>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</si>
  <si>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</si>
  <si>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</si>
  <si>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</si>
  <si>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</si>
  <si>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</si>
  <si>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</si>
  <si>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</si>
  <si>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</si>
  <si>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</si>
  <si>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</si>
  <si>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</si>
  <si>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</si>
  <si>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</si>
  <si>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</si>
  <si>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</si>
  <si>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</si>
  <si>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</si>
  <si>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Házi segítségnyújtás</t>
  </si>
  <si>
    <t>900020</t>
  </si>
  <si>
    <t>Önkorm.funkcióra nem sorolható bevételei</t>
  </si>
  <si>
    <t>Óvodai nevelés,ellátás szakmai feladatai</t>
  </si>
  <si>
    <t>Óvodai nevelés,ellátás működtetés feladatai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</si>
  <si>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</si>
  <si>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</si>
  <si>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</si>
  <si>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</si>
  <si>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</si>
  <si>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</si>
  <si>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</si>
  <si>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</si>
  <si>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</si>
  <si>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</si>
  <si>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</si>
  <si>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</si>
  <si>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</si>
  <si>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</si>
  <si>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t>Államháztartás igazgatása, ellenőrzése</t>
  </si>
  <si>
    <t>Köztemető fenntartás-és üzemeltetés</t>
  </si>
  <si>
    <t>Önkormnyzati vagyonnal való gazdálkodás</t>
  </si>
  <si>
    <t>Közutak, hidak,alagutak üzemelt., fennt.üzemeltetése</t>
  </si>
  <si>
    <t>gyermekvédelmi pénzb.és termb.ellátások</t>
  </si>
  <si>
    <t>lakásfenntartással, lakhatással kapcs összefogl.ellát.</t>
  </si>
  <si>
    <t>104042</t>
  </si>
  <si>
    <t>107052</t>
  </si>
  <si>
    <t>Egyéb szoc.pénzbeli és temészetbni ellátások,támog.</t>
  </si>
  <si>
    <t>Működési bevételek     B4</t>
  </si>
  <si>
    <t>Felhalmozási bevételek      B5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</si>
  <si>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</si>
  <si>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</si>
  <si>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</si>
  <si>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</si>
  <si>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</si>
  <si>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</si>
  <si>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</si>
  <si>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</si>
  <si>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</si>
  <si>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</si>
  <si>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</si>
  <si>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1.1.4 Önkorm kulturális feladatainak támogatás </t>
  </si>
  <si>
    <t>II.</t>
  </si>
  <si>
    <t>A. Önkormányzat</t>
  </si>
  <si>
    <t>Betegséggel kapcsolatos pénzbeni ell.</t>
  </si>
  <si>
    <t>Munkanélküli aktiv korúak ellátása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</si>
  <si>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</si>
  <si>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</si>
  <si>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</si>
  <si>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</si>
  <si>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</si>
  <si>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</si>
  <si>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</si>
  <si>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</si>
  <si>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</si>
  <si>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</si>
  <si>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</si>
  <si>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</si>
  <si>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</si>
  <si>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</si>
  <si>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</si>
  <si>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</si>
  <si>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</si>
  <si>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</si>
  <si>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</si>
  <si>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</si>
  <si>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1.9. Előző évi felhalm. célú maradvány</t>
  </si>
  <si>
    <t>096015</t>
  </si>
  <si>
    <t>Gyermekétkeztetés köznevelési intézményekben</t>
  </si>
  <si>
    <t xml:space="preserve">2.1. Működési bevételek </t>
  </si>
  <si>
    <t>Óvoda</t>
  </si>
  <si>
    <t>Óvoda összesen</t>
  </si>
  <si>
    <t>Felhalmozási célú kiadások összesen</t>
  </si>
  <si>
    <t>Óvoda  bevételei összesen:</t>
  </si>
  <si>
    <t>Felhalmozási tartalék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</si>
  <si>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</si>
  <si>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</si>
  <si>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</si>
  <si>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</si>
  <si>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</si>
  <si>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ÓVODA ÖSSZESEN</t>
  </si>
  <si>
    <t xml:space="preserve"> Előző évi felhalm. célú maradvány</t>
  </si>
  <si>
    <t>096025</t>
  </si>
  <si>
    <t>Munkahelyi étkeztetés köznev.intézményben</t>
  </si>
  <si>
    <t>Munkahelyi étkeztetés</t>
  </si>
  <si>
    <t>Költségvetés működési kiadások összesen</t>
  </si>
  <si>
    <t xml:space="preserve">Költségvetési működési  bevételek összesen </t>
  </si>
  <si>
    <t>Óvoda összesen.</t>
  </si>
  <si>
    <t>Költségvetés felhalmozási célú kiadásai összesen</t>
  </si>
  <si>
    <t xml:space="preserve">1.11. Felhalm célú kölcsön visszafizetés </t>
  </si>
  <si>
    <t xml:space="preserve">Önkormány összesen: </t>
  </si>
  <si>
    <t xml:space="preserve">Költségvetési kiadások összesen </t>
  </si>
  <si>
    <t xml:space="preserve">A </t>
  </si>
  <si>
    <t>013390</t>
  </si>
  <si>
    <t>Egyéb kiegészítő szolgáltatások</t>
  </si>
  <si>
    <t>Családi támogatások (K42)</t>
  </si>
  <si>
    <t>Egyéb pénzbeni és természetbeni gyermekvédelmi ellátások</t>
  </si>
  <si>
    <t>Családi támogatások (K42) összesen:</t>
  </si>
  <si>
    <t xml:space="preserve">B.  Óvoda </t>
  </si>
  <si>
    <t>3. Közművelődés</t>
  </si>
  <si>
    <t xml:space="preserve">Működési célú finanszírozási bevételek </t>
  </si>
  <si>
    <t xml:space="preserve">Működési célú finanszírozási kiadások </t>
  </si>
  <si>
    <t xml:space="preserve">Felhalmozási célú finanszírozási kiadások </t>
  </si>
  <si>
    <t xml:space="preserve">Költségvetési felhalmozási  bevételek összesen </t>
  </si>
  <si>
    <t>Finanszirozási felhalmozási bevételek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</si>
  <si>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</si>
  <si>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Finanszírozási felhalmozási kiadások összesen</t>
  </si>
  <si>
    <t>Óvoda összesen:</t>
  </si>
  <si>
    <t>2017. évi terv</t>
  </si>
  <si>
    <t xml:space="preserve">2017.évi </t>
  </si>
  <si>
    <t xml:space="preserve">2017. évi </t>
  </si>
  <si>
    <t>Áll.házt. Belüli megelőlegezések</t>
  </si>
  <si>
    <t>Állt. Házt belüli megelőlegezések visszafizetése</t>
  </si>
  <si>
    <t>2017.évi előirányzat</t>
  </si>
  <si>
    <t>086090</t>
  </si>
  <si>
    <t>2017. évi eredeti előirányzat</t>
  </si>
  <si>
    <t>2017. évi számított előirányz.</t>
  </si>
  <si>
    <t>Konyhai berendezések</t>
  </si>
  <si>
    <t>összege  Ft</t>
  </si>
  <si>
    <t>Ft</t>
  </si>
  <si>
    <t>Buszöböl tervezés a Deák Ferenc utcában</t>
  </si>
  <si>
    <t>B21</t>
  </si>
  <si>
    <t xml:space="preserve">V. Működési célú támogatások és kiegészító támogatások </t>
  </si>
  <si>
    <t>Államháztartáson belüli megelőlegezés</t>
  </si>
  <si>
    <t>B813</t>
  </si>
  <si>
    <t>B814</t>
  </si>
  <si>
    <t>B8</t>
  </si>
  <si>
    <t>Finanszírozási bevételek összesen</t>
  </si>
  <si>
    <t>forintban</t>
  </si>
  <si>
    <t>Zalaszabar Község Önkormányzata</t>
  </si>
  <si>
    <t>Napköziotthonos Óvoda Zalaszabar</t>
  </si>
  <si>
    <t>Módosítás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</si>
  <si>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</si>
  <si>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</si>
  <si>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</si>
  <si>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</si>
  <si>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</si>
  <si>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</si>
  <si>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6.</t>
  </si>
  <si>
    <t>A/II/2        Gépek, berendezések, felszerelések, járművek</t>
  </si>
  <si>
    <t>A/II/3        Tenyészállatok</t>
  </si>
  <si>
    <t>A/II/4        Beruházások, felújítások</t>
  </si>
  <si>
    <t>9.</t>
  </si>
  <si>
    <t>A/II/5        Tárgyi eszközök értékhelyesbítése</t>
  </si>
  <si>
    <t>A/II        Tárgyi eszközök (=A/II/1+...+A/II/5) (10=05+...+09)</t>
  </si>
  <si>
    <t>11.</t>
  </si>
  <si>
    <t>A/III/1        Tartós részesedések (11&gt;=12+13)</t>
  </si>
  <si>
    <t>12.</t>
  </si>
  <si>
    <t>A/III/1a        - ebből: tartós részesedések jegybankban</t>
  </si>
  <si>
    <t>13.</t>
  </si>
  <si>
    <t>A/III/1b        - ebből: tartós részesedések társulásban</t>
  </si>
  <si>
    <t>14.</t>
  </si>
  <si>
    <t>A/III/2        Tartós hitelviszonyt megtestesítő értékpapírok (14&gt;=15+16)</t>
  </si>
  <si>
    <t>15.</t>
  </si>
  <si>
    <t>A/III/2a        - ebből: államkötvények</t>
  </si>
  <si>
    <t>16.</t>
  </si>
  <si>
    <t>A/III/2b        - ebből: helyi önkormányzatok kötvényei</t>
  </si>
  <si>
    <t>17.</t>
  </si>
  <si>
    <t>A/III/3        Befektetett pénzügyi eszközök értékhelyesbítése</t>
  </si>
  <si>
    <t>18.</t>
  </si>
  <si>
    <t>A/III        Befektetett pénzügyi eszközök (=A/III/1+A/III/2+A/III/3) (18=11+14+17)</t>
  </si>
  <si>
    <t>19.</t>
  </si>
  <si>
    <t>A/IV/1        Koncesszióba, vagyonkezelésbe adott eszközök</t>
  </si>
  <si>
    <t>20.</t>
  </si>
  <si>
    <t>A/IV/2  Koncesszióba, vagyonkezelésbe adott eszközök értékhelyesb.</t>
  </si>
  <si>
    <t>21.</t>
  </si>
  <si>
    <t>A/IV        Koncesszióba, vagyonkezelésbe adott eszközök (=A/IV/1+A/IV/2) (21=19+20)</t>
  </si>
  <si>
    <t>22.</t>
  </si>
  <si>
    <t>A)        NEMZETI VAGYONBA TARTOZÓ BEFEKTETETT ESZKÖZÖK (=A/I+A/II+A/III+A/IV) (22=04+10+18+21)</t>
  </si>
  <si>
    <t>23.</t>
  </si>
  <si>
    <t>B/I/1        Vásárolt készletek</t>
  </si>
  <si>
    <t>24.</t>
  </si>
  <si>
    <t>B/I/2        Átsorolt, követelés fejében átvett készletek</t>
  </si>
  <si>
    <t>25.</t>
  </si>
  <si>
    <t>B/I/3        Egyéb készletek</t>
  </si>
  <si>
    <t>26.</t>
  </si>
  <si>
    <t>B/I/4        Befejezetlen termelés, félkész termékek, késztermékek</t>
  </si>
  <si>
    <t>27.</t>
  </si>
  <si>
    <t>B/I/5        Növendék-, hízó és egyéb állatok</t>
  </si>
  <si>
    <t>28.</t>
  </si>
  <si>
    <t>B/I        Készletek (=B/I/1+…+B/I/5) (28=23+...+27)</t>
  </si>
  <si>
    <t>29.</t>
  </si>
  <si>
    <t>B/II/1        Nem tartós részesedések</t>
  </si>
  <si>
    <t>30.</t>
  </si>
  <si>
    <t>B/II/2        Forgatási célú hitelviszonyt megtestesítő értékpapírok (30&gt;=31+...+35)</t>
  </si>
  <si>
    <t>31.</t>
  </si>
  <si>
    <t>B/II        Értékpapírok (=B/II/1+B/II/2) (36=29+30)</t>
  </si>
  <si>
    <t>32.</t>
  </si>
  <si>
    <t xml:space="preserve">B)        NEMZETI VAGYONBA TARTOZÓ FORGÓESZKÖZÖK (= B/I+B/II) </t>
  </si>
  <si>
    <t>33.</t>
  </si>
  <si>
    <t>C/I        Hosszú lejáratú betétek</t>
  </si>
  <si>
    <t>34.</t>
  </si>
  <si>
    <t>C/II        Pénztárak, csekkek, betétkönyvek</t>
  </si>
  <si>
    <t>35.</t>
  </si>
  <si>
    <t>C/III        Forintszámlák</t>
  </si>
  <si>
    <t>36.</t>
  </si>
  <si>
    <t>C/IV        Devizaszámlák</t>
  </si>
  <si>
    <t>38.</t>
  </si>
  <si>
    <t xml:space="preserve">C)        PÉNZESZKÖZÖK (=C/I+…+C/V) </t>
  </si>
  <si>
    <t>39.</t>
  </si>
  <si>
    <t>D/I/1  Költségv.évben esedékes követelés műk.c.tám.bevételre</t>
  </si>
  <si>
    <t>40.</t>
  </si>
  <si>
    <t>D/I/2  Költségv.évben esedékes követelés felh.c.tám.bevételre</t>
  </si>
  <si>
    <t>41.</t>
  </si>
  <si>
    <t>D/I/3 Költségv.évben esedékes követelés közhatalmi bevételre</t>
  </si>
  <si>
    <t>42.</t>
  </si>
  <si>
    <t>D/I/4 Költségv.évben esedékes követelés működési bevételre</t>
  </si>
  <si>
    <t>43.</t>
  </si>
  <si>
    <t>D/I/5 Költségv.évben esedékes követelés felhalm. bevételre</t>
  </si>
  <si>
    <t>44.</t>
  </si>
  <si>
    <t>D/I/6 Költségv.évben esedékes követelés műk.c.átvett pénze.</t>
  </si>
  <si>
    <t>45.</t>
  </si>
  <si>
    <t>D/I/7 Költségv.évben esedékes követelés felh.c.átvett pénze.</t>
  </si>
  <si>
    <t>46.</t>
  </si>
  <si>
    <t>D/I/8 Költségv.évben esedékes követelés finansz. bevételre</t>
  </si>
  <si>
    <t>47.</t>
  </si>
  <si>
    <t>D/I   Költségvetési évben esedékes követelés összesen</t>
  </si>
  <si>
    <t>48.</t>
  </si>
  <si>
    <t>D/II/1 Költségv.évet köv esedékes követelés műk.c.tám.bev.</t>
  </si>
  <si>
    <t>49.</t>
  </si>
  <si>
    <t>D/II/2 Költségv.évet köv esedékes követelés felh.c.tám.bev.</t>
  </si>
  <si>
    <t>50.</t>
  </si>
  <si>
    <t>D/II/3 Költségv.évet köv. esedékes követelés közhatalmi bev.</t>
  </si>
  <si>
    <t>51.</t>
  </si>
  <si>
    <t>D/II/4 Költségv.évet köv. esedékes követelés működési bev.</t>
  </si>
  <si>
    <t>52.</t>
  </si>
  <si>
    <t>D/II/5 Költségv.évet köv. esedékes követelés felhalm. bevételre</t>
  </si>
  <si>
    <t>53.</t>
  </si>
  <si>
    <t>D/II/6 Költségv.évet köv. esedékes követelés műk.c.átvett p.</t>
  </si>
  <si>
    <t>54.</t>
  </si>
  <si>
    <t>D/II/7 Költségv.évet köv. esedékes követelés felh.c.átvett p.</t>
  </si>
  <si>
    <t>55.</t>
  </si>
  <si>
    <t>D/II/8 Költségv.évet köv. esedékes követelés finansz. bevételre</t>
  </si>
  <si>
    <t>56.</t>
  </si>
  <si>
    <t>D/II   Költségvetési évet követően esedékes követelés összesen</t>
  </si>
  <si>
    <t>57.</t>
  </si>
  <si>
    <t>D/III/1   Adott előlegek</t>
  </si>
  <si>
    <t>58.</t>
  </si>
  <si>
    <t>D/III/2 Továbbadási célból folyósított támogat, ellátások elsz.</t>
  </si>
  <si>
    <t>59.</t>
  </si>
  <si>
    <t>D/III/3 Más által beszedett bevételek elszámolása</t>
  </si>
  <si>
    <t>60.</t>
  </si>
  <si>
    <t>D/III/4 Forgótőke elszámolása</t>
  </si>
  <si>
    <t>61.</t>
  </si>
  <si>
    <t>D/III/5 Vagyonkezelésbe adott eszk.kapcs.visszapótl.köv.elsz.</t>
  </si>
  <si>
    <t>62.</t>
  </si>
  <si>
    <t>D/III/6 Nem TB.pénzügyi alapot terhelő ellátások megtérül.elsz.</t>
  </si>
  <si>
    <t>63.</t>
  </si>
  <si>
    <t>D/III/7 Folyósított,megelőlegezett TB.ellátások elszámolása</t>
  </si>
  <si>
    <t>64.</t>
  </si>
  <si>
    <t>D/III   Követelés jellegű sajátos elszámolások</t>
  </si>
  <si>
    <t>65.</t>
  </si>
  <si>
    <t xml:space="preserve">D)  Követelések </t>
  </si>
  <si>
    <t>66.</t>
  </si>
  <si>
    <t>E)  Egyéb sajátos eszközoldali elszámolások</t>
  </si>
  <si>
    <t>67.</t>
  </si>
  <si>
    <t>F/1  Eredményszemléletű bevételek aktiv időbeli elhatárolása</t>
  </si>
  <si>
    <t>68.</t>
  </si>
  <si>
    <t>F/2  Költségek, ráfordítások aktív időbeli elhatárolása</t>
  </si>
  <si>
    <t>69.</t>
  </si>
  <si>
    <t>F/3   Halasztott ráfordítások</t>
  </si>
  <si>
    <t>70.</t>
  </si>
  <si>
    <t>F)  Aktív időbeli elhatárolások</t>
  </si>
  <si>
    <t>ESZKÖZÖK ÖSSZESEN (A+B+C+D+E+F)</t>
  </si>
  <si>
    <t>FORRÁSOK</t>
  </si>
  <si>
    <t>71.</t>
  </si>
  <si>
    <t>G/I  Nemzeti vagyon induláskori értéke</t>
  </si>
  <si>
    <t>72.</t>
  </si>
  <si>
    <t>G/II  Nemzeti vagyon változásai</t>
  </si>
  <si>
    <t>73.</t>
  </si>
  <si>
    <t>G/III Egyéb eszközök induláskori értéke és változásai</t>
  </si>
  <si>
    <t>74.</t>
  </si>
  <si>
    <t>G/IV  Felhalmozott eredmény</t>
  </si>
  <si>
    <t>75.</t>
  </si>
  <si>
    <t>G/V  Eszközök értékhelyesbítésének forrása</t>
  </si>
  <si>
    <t>76.</t>
  </si>
  <si>
    <t>G/VI  Mérleg szerinti eredmény</t>
  </si>
  <si>
    <t>77.</t>
  </si>
  <si>
    <t>G)  SAJÁT TŐKE ÖSSZESEN (1+2+3)</t>
  </si>
  <si>
    <t>78.</t>
  </si>
  <si>
    <t>H/I/1  Költségvetési évben esed. kötelezettség személyi juttat.</t>
  </si>
  <si>
    <t>79.</t>
  </si>
  <si>
    <t>H/I/2 Költségvetési évben esed. kötelezettség munk.terh.járul.</t>
  </si>
  <si>
    <t>80.</t>
  </si>
  <si>
    <t>H/I/3 Költségvetési évben esed. kötelezettség dologi kiadásra</t>
  </si>
  <si>
    <t>81.</t>
  </si>
  <si>
    <t>H/I/4  Költségvetési évben esed. kötelezettség ellátott.pb.jutt.</t>
  </si>
  <si>
    <t>82.</t>
  </si>
  <si>
    <t>H/I/5  Költségvetési évben esed. kötelezettség e.műk.c.kiad.</t>
  </si>
  <si>
    <t>83.</t>
  </si>
  <si>
    <t>H/I/6  Költségvetési évben esed. kötelezettség beruházásra</t>
  </si>
  <si>
    <t>84.</t>
  </si>
  <si>
    <t>H/I/7 Költségvetési évben esed. kötelezettség felújításra</t>
  </si>
  <si>
    <t>85.</t>
  </si>
  <si>
    <t>H/I/8 Költségvetési évben esed. kötelezettség e.felh.c.kiad.</t>
  </si>
  <si>
    <t>86.</t>
  </si>
  <si>
    <t>H/I/9 Költségvetési évben esed. kötelezettség finanszir.kiad.</t>
  </si>
  <si>
    <t>87.</t>
  </si>
  <si>
    <t>H/I  Költségvetési évben esedékes kötelezettségek</t>
  </si>
  <si>
    <t>88.</t>
  </si>
  <si>
    <t>H/II/1 Költségvetési évet köv. esed. kötelezettség személyi j.</t>
  </si>
  <si>
    <t>89.</t>
  </si>
  <si>
    <t>H/II/2 Költségvetési évet köv. esed. kötelezettség munk.terh.jár.</t>
  </si>
  <si>
    <t>90.</t>
  </si>
  <si>
    <t>H/II/3 Költségvetési évet köv. esed. kötelezettség dologi kiad.</t>
  </si>
  <si>
    <t>91.</t>
  </si>
  <si>
    <t>H/II/4 Költségvetési évet köv. esed. kötelezettség ellátott.pb.j.</t>
  </si>
  <si>
    <t>92.</t>
  </si>
  <si>
    <t>H/II/5 Költségvetési évet köv. esed. kötelezettség e.műk.c.kiad.</t>
  </si>
  <si>
    <t>93.</t>
  </si>
  <si>
    <t>H/II/6 Költségvetési évet köv. esed. kötelezettség beruházásra</t>
  </si>
  <si>
    <t>94.</t>
  </si>
  <si>
    <t>H/II/7 Költségvetési évet köv. esed. kötelezettség felújításra</t>
  </si>
  <si>
    <t>95.</t>
  </si>
  <si>
    <t>H/II/8 Költségvetési évet köv. esed. kötelezettség e.felh.c.kiad.</t>
  </si>
  <si>
    <t>96.</t>
  </si>
  <si>
    <t xml:space="preserve"> H/II/9 Költségvetési évet köv. esed. kötelezettség finanszir.kiad.</t>
  </si>
  <si>
    <t>97.</t>
  </si>
  <si>
    <t>H/II  Költségvetési évet köv. esedékes kötelezettségek</t>
  </si>
  <si>
    <t>98.</t>
  </si>
  <si>
    <t>H/III/1 Kapott előlegek</t>
  </si>
  <si>
    <t>99.</t>
  </si>
  <si>
    <t>H/III/2 Továbbadási célból folyósított támogat, ellátások elsz.</t>
  </si>
  <si>
    <t>100.</t>
  </si>
  <si>
    <t>H/III/3 Más szervezetet megillető bevételek elszámolása</t>
  </si>
  <si>
    <t>101.</t>
  </si>
  <si>
    <t>H/III/4  Forgótőke elszámolása</t>
  </si>
  <si>
    <t>102.</t>
  </si>
  <si>
    <t>H/III/6.Nem TB.pénzügyi alapot terhelő ellátások megtérül.elsz.</t>
  </si>
  <si>
    <t>103.</t>
  </si>
  <si>
    <t>H/III/7  Munkáltató által kedvezményes nyugd.megfiz.hozzájár.</t>
  </si>
  <si>
    <t>104.</t>
  </si>
  <si>
    <t>H/III/78 Letétre, megőrzésre átvett pénzeszközök, biztosítékok</t>
  </si>
  <si>
    <t>105.</t>
  </si>
  <si>
    <t>H/III   Kötelezettség jellegű sajáto elszámolások összesen:</t>
  </si>
  <si>
    <t>106.</t>
  </si>
  <si>
    <t>H) Kötelezettségek</t>
  </si>
  <si>
    <t>107.</t>
  </si>
  <si>
    <t>I) Egyéb sajátos eszközoldali elszámolások</t>
  </si>
  <si>
    <t>108.</t>
  </si>
  <si>
    <t>J) Kincstári számlavezetéssel kapcsolatos elszámol.</t>
  </si>
  <si>
    <t>109.</t>
  </si>
  <si>
    <t>K/1 Eredményszemléletű bevételek passziv időbeli elhat.</t>
  </si>
  <si>
    <t>110.</t>
  </si>
  <si>
    <t>K/2  Költségek, ráfordítások passzív időbeli elhatárolása</t>
  </si>
  <si>
    <t>111.</t>
  </si>
  <si>
    <t>K/3 Halasztott eredményszemléletű bevételek</t>
  </si>
  <si>
    <t>112.</t>
  </si>
  <si>
    <t>K) Passzív időbeli elhatárolások</t>
  </si>
  <si>
    <t>FORRÁSOK ÖSSZESEN (G+H+I+J+K)</t>
  </si>
  <si>
    <t>előző időszak</t>
  </si>
  <si>
    <t>Módosí-tások</t>
  </si>
  <si>
    <t>tárgyi időszak</t>
  </si>
  <si>
    <t>Közhatalmi eredményszemléletű bevételek</t>
  </si>
  <si>
    <t>02.</t>
  </si>
  <si>
    <t>Eszközök és szolgálataások értékesítése, nettó eredmény szemléletű bev.</t>
  </si>
  <si>
    <t>03.</t>
  </si>
  <si>
    <t>Tevékenység egyéb nettó erdmnényszemléletű bevételei</t>
  </si>
  <si>
    <t>Tevékenység nettó eredményszemléletű bevétele</t>
  </si>
  <si>
    <t>Saját termelésű készletek állományváltozása</t>
  </si>
  <si>
    <t>Sajáőt előúállítású eszközök aktivált értéke</t>
  </si>
  <si>
    <t>Aktivált saját teljhesítmények értéke</t>
  </si>
  <si>
    <t>Központi működési célú támogatások eredményszemléletű bevételei</t>
  </si>
  <si>
    <t>Egyéb működési célú támogatások eredményszemléletű bevételei</t>
  </si>
  <si>
    <t>Felhalmozási célú támogatások eredményszemléletű bevételei</t>
  </si>
  <si>
    <t>Különféle egyéb eredményszemléletű bevételek</t>
  </si>
  <si>
    <t>III.</t>
  </si>
  <si>
    <t>Egyéb eredményszemléletű bevételek</t>
  </si>
  <si>
    <t>Anyagköltség</t>
  </si>
  <si>
    <t>Igénybevett szolgáltatások értéke</t>
  </si>
  <si>
    <t>Eladott árúk beszerzési értéke</t>
  </si>
  <si>
    <t>Eladott(közvetített) szolgáltratások értéke</t>
  </si>
  <si>
    <t>IV.</t>
  </si>
  <si>
    <t>Anyagi jellegű ráfordítások</t>
  </si>
  <si>
    <t>Bérköltség</t>
  </si>
  <si>
    <t>Személyi jellegű egyéb kfizetések</t>
  </si>
  <si>
    <t>Bérjárulékok</t>
  </si>
  <si>
    <t>V</t>
  </si>
  <si>
    <t>Személyi jellegű ráfordíatások</t>
  </si>
  <si>
    <t>VI</t>
  </si>
  <si>
    <t>Értékcsökkenési leírás</t>
  </si>
  <si>
    <t>VII</t>
  </si>
  <si>
    <t>Egyéb ráfordítások</t>
  </si>
  <si>
    <t>A)</t>
  </si>
  <si>
    <t>Tevékenységek eredménye</t>
  </si>
  <si>
    <t>Kapott (járó) osztalék és részesedés</t>
  </si>
  <si>
    <t>Kapott (járó) kamatok és kamatjellegű eredményszemlélketű bevételek</t>
  </si>
  <si>
    <t>Pénzügyi műveletek egyéb eredmény szemléletű bevételei</t>
  </si>
  <si>
    <t>18.a</t>
  </si>
  <si>
    <t xml:space="preserve">                  - ebből: árfolyamnyereség</t>
  </si>
  <si>
    <t>VIII</t>
  </si>
  <si>
    <t>Pénzügyi műveletek eredményszemléletű bevételei</t>
  </si>
  <si>
    <t>Fizetendő kamatok és kamatjellegű ráfordítások</t>
  </si>
  <si>
    <t>Részesedése, értékpapírok, pénzeszközök értékvesztése</t>
  </si>
  <si>
    <t>Pénzügyi műveletek ergyéb ráfordíatásai</t>
  </si>
  <si>
    <t>21.a</t>
  </si>
  <si>
    <t xml:space="preserve">           - ebből : árfolyamveszteség</t>
  </si>
  <si>
    <t>IX</t>
  </si>
  <si>
    <t>Pénzügyi műúveletek ráfordíatásai</t>
  </si>
  <si>
    <t>B)</t>
  </si>
  <si>
    <t>Pénzügyi műveletek eredménye</t>
  </si>
  <si>
    <t>C)</t>
  </si>
  <si>
    <t>Szokásos eredmény</t>
  </si>
  <si>
    <t>E)</t>
  </si>
  <si>
    <t>MÉRLEG SZERINTI EREDMÉNY</t>
  </si>
  <si>
    <t>Zalaszabar Község Önkormányzat</t>
  </si>
  <si>
    <t>Zalaszabar Község Összesen</t>
  </si>
  <si>
    <t>01 Alaptevékenység költségvetési bevételei</t>
  </si>
  <si>
    <t>02 Alaptevékenység költségvetési kiadásai</t>
  </si>
  <si>
    <t>I. Alaptevékenység költségvetési egyenlege (=01-02)</t>
  </si>
  <si>
    <t>03 Alaptevékenység finanszírtozási bevételei</t>
  </si>
  <si>
    <t>04 Alaptevékenység finqanszírozási kiadásai</t>
  </si>
  <si>
    <t>II Alaptevékenység finanszírozási egyenlege(=03-04)</t>
  </si>
  <si>
    <t>A) ALAPTEVÉKENYSÉG MARADVÁNYA(I+II)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</si>
  <si>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</si>
  <si>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</si>
  <si>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</si>
  <si>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</si>
  <si>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</si>
  <si>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</si>
  <si>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(III+IV)</t>
  </si>
  <si>
    <t>C) ÖSSZES MARADVÁNY (=A+B)</t>
  </si>
  <si>
    <t>D) Alaptevékenység kötelezettségvállalással terhelt maradványa</t>
  </si>
  <si>
    <t>E)Alaptevékenység szabad maradványa (=A-D)</t>
  </si>
  <si>
    <t>F) Vállalkozási tevékenységet terhelő befizetési kötelezettség (B*0,1)</t>
  </si>
  <si>
    <t>G) Vállalkozási tevékenység felhasználható maradványa (=B-F)</t>
  </si>
  <si>
    <t>Maradvány összesen:</t>
  </si>
  <si>
    <t>Szabad felhasználású maradvány összesen:</t>
  </si>
  <si>
    <t>Kötelezettséggel terhelt maradvány összesen:</t>
  </si>
  <si>
    <t>Felhalm. célú maradvány felhasználás összesen:</t>
  </si>
  <si>
    <t>Felhalmozási célú maradvány</t>
  </si>
  <si>
    <t>Működési célú maradvány felhasználás összesen:</t>
  </si>
  <si>
    <t>Működési célú maradvány</t>
  </si>
  <si>
    <t>Kötelezettséggel terhelt maradvány</t>
  </si>
  <si>
    <t>Maradványelszámolás szerint</t>
  </si>
  <si>
    <t>Napköziotthonos Óvoda</t>
  </si>
  <si>
    <t>Zalaszabar KÖzség Önkormányzata</t>
  </si>
  <si>
    <t>Teljesen (0-ig) leírt eszközök bruttó értéke</t>
  </si>
  <si>
    <t>26</t>
  </si>
  <si>
    <t>Eszközök nettó értéke (=15-24)</t>
  </si>
  <si>
    <t>25</t>
  </si>
  <si>
    <t>Értékcsökkenés összesen (=19+23)</t>
  </si>
  <si>
    <t>24</t>
  </si>
  <si>
    <t>Terven felüli értékcsökkenés záró állománya (=20+21-22)</t>
  </si>
  <si>
    <t>23</t>
  </si>
  <si>
    <t>Terven felüli értékcsökkenés visszaírás, kivezetés</t>
  </si>
  <si>
    <t>22</t>
  </si>
  <si>
    <t>Terven felüli értékcsökkenés növekedés</t>
  </si>
  <si>
    <t>21</t>
  </si>
  <si>
    <t>Terven felüli értékcsökkenés nyitó állománya</t>
  </si>
  <si>
    <t>20</t>
  </si>
  <si>
    <t>Terv szerinti értékcsökkenés záró állománya (=16+17-18)</t>
  </si>
  <si>
    <t>19</t>
  </si>
  <si>
    <t>Terv szerinti értékcsökkenés csökkenése</t>
  </si>
  <si>
    <t>18</t>
  </si>
  <si>
    <t>Terv szerinti értékcsökkenés növekedése</t>
  </si>
  <si>
    <t>17</t>
  </si>
  <si>
    <t>0</t>
  </si>
  <si>
    <t>Terv szerinti értékcsökkenés nyitó állománya</t>
  </si>
  <si>
    <t>16</t>
  </si>
  <si>
    <t>Bruttó érték összesen (=01+08-14)</t>
  </si>
  <si>
    <t>15</t>
  </si>
  <si>
    <t>Összes csökkenés (=09+...+13)</t>
  </si>
  <si>
    <t>14</t>
  </si>
  <si>
    <t>Egyéb csökkenés</t>
  </si>
  <si>
    <t>13</t>
  </si>
  <si>
    <t>Költségvetési szerv, társulás alapításkori átadás, vagyonkezelésbe adás miatti átadás, vagyonkezelői jog visszaadása</t>
  </si>
  <si>
    <t>12</t>
  </si>
  <si>
    <t>Térítésmentes átadás</t>
  </si>
  <si>
    <t>11</t>
  </si>
  <si>
    <t>Hiány, selejtezés, megsemmisülés</t>
  </si>
  <si>
    <t>10</t>
  </si>
  <si>
    <t>Értékesítés</t>
  </si>
  <si>
    <t>09</t>
  </si>
  <si>
    <t>Összes növekedés (=02+.. .+07)</t>
  </si>
  <si>
    <t>08</t>
  </si>
  <si>
    <t>Egyéb növekedés</t>
  </si>
  <si>
    <t>07</t>
  </si>
  <si>
    <t>Alapításkori átvétel, vagyonkezelésbe vétel miatti átvétel, vagyonkezelői jog visszavétele</t>
  </si>
  <si>
    <t>06</t>
  </si>
  <si>
    <t>Térítésmentes átvétel</t>
  </si>
  <si>
    <t>05</t>
  </si>
  <si>
    <t>Beruházásokból, felújításokból aktivált érték</t>
  </si>
  <si>
    <t>04</t>
  </si>
  <si>
    <t>Nem aktivált felújítások</t>
  </si>
  <si>
    <t>03</t>
  </si>
  <si>
    <t>Immateriális javak beszerzése, nem aktivált beruházások</t>
  </si>
  <si>
    <t>02</t>
  </si>
  <si>
    <t>Tárgyévi nyitó állomány (előző évi záró állomány)</t>
  </si>
  <si>
    <t>01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</si>
  <si>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</si>
  <si>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</si>
  <si>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</si>
  <si>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</si>
  <si>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</si>
  <si>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</si>
  <si>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</si>
  <si>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</si>
  <si>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</si>
  <si>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Összesen (=3+4+5+6+7+8</t>
  </si>
  <si>
    <t>Koncesszióba, vagyonkezelésbe adott eszközök</t>
  </si>
  <si>
    <t>Beruházások és felújítások</t>
  </si>
  <si>
    <t>Tenyészállatok</t>
  </si>
  <si>
    <t>Gépek, berendezések, felszerelések, járművek</t>
  </si>
  <si>
    <t>Ingatlanok és kapcsolódó vagyoni értékű jogok</t>
  </si>
  <si>
    <t>Immateriális javak</t>
  </si>
  <si>
    <t>Ssz</t>
  </si>
  <si>
    <t>Kimutatás az immateriális javak, tárgyi eszközök koncesszióba, vagyonkezelésbe adott eszközök állományának alakulásáról</t>
  </si>
  <si>
    <t>2017. évi normatíva visszafizetés</t>
  </si>
  <si>
    <t>2018. évi ÁHB megelőlegezés</t>
  </si>
  <si>
    <t xml:space="preserve">Szabad felhasználású maradvány felhasználására javaslat </t>
  </si>
  <si>
    <t>Zalaszaba Összesen</t>
  </si>
  <si>
    <t>Ft-ban</t>
  </si>
  <si>
    <t>2017.évi terv  Forint</t>
  </si>
  <si>
    <t>2018.évi terv  Forint</t>
  </si>
  <si>
    <t>2018.évi I.módosítás  Forint</t>
  </si>
  <si>
    <t>2018.évi II.módosítás  Forint</t>
  </si>
  <si>
    <t>Működési célú ktgv. Támogatás  és kiegészítő támogatás</t>
  </si>
  <si>
    <t>B116</t>
  </si>
  <si>
    <t xml:space="preserve">Elszámolásból származó bevételek </t>
  </si>
  <si>
    <t>B12</t>
  </si>
  <si>
    <t>Elvonások, befizetések</t>
  </si>
  <si>
    <t>Bursa támogatás visszafizetése</t>
  </si>
  <si>
    <t>Erzsébet utalvány</t>
  </si>
  <si>
    <t>közmunkaprogram</t>
  </si>
  <si>
    <t>támogatás hivatal működéséhez - Zalakarosi KÖH</t>
  </si>
  <si>
    <t>támogatás óvodás gyermekek szállításához</t>
  </si>
  <si>
    <t xml:space="preserve">Felhalmozási célú támogatások államháztartáson  belülről </t>
  </si>
  <si>
    <t>vis maior</t>
  </si>
  <si>
    <t>Belterületi utak fejlesztése</t>
  </si>
  <si>
    <t>Egészségház felújítása</t>
  </si>
  <si>
    <t>B62</t>
  </si>
  <si>
    <t>Működési célú visszatéritendő támog.,kölcsönök</t>
  </si>
  <si>
    <t>2018. évi teljesítés</t>
  </si>
  <si>
    <t>2017. évi terv   Forint</t>
  </si>
  <si>
    <t>2018. évi terv  Forint</t>
  </si>
  <si>
    <t>K11</t>
  </si>
  <si>
    <t>Foglalkoztatottak személyi juttatásai</t>
  </si>
  <si>
    <t>K12</t>
  </si>
  <si>
    <t>Külső személyi juttatások</t>
  </si>
  <si>
    <t>Személyi juttatások összesen</t>
  </si>
  <si>
    <t>Egyéb működési célú kiadások</t>
  </si>
  <si>
    <t>ebből tartalék</t>
  </si>
  <si>
    <t>Egyéb felhalmozási célú kiadások</t>
  </si>
  <si>
    <t>K1-8</t>
  </si>
  <si>
    <t>Áht-n belüli megelőlegezés visszafizetése</t>
  </si>
  <si>
    <t>2017.évi eredeti</t>
  </si>
  <si>
    <t>2018.évi terv.</t>
  </si>
  <si>
    <t>2018.évi I. módosítás</t>
  </si>
  <si>
    <t>2018.évi II. módosítás</t>
  </si>
  <si>
    <t>2016. évről áthúzódó bérkompenzáció támogatása</t>
  </si>
  <si>
    <t xml:space="preserve">1.6.  Polgármesteri illetmény támogatása </t>
  </si>
  <si>
    <t xml:space="preserve">1Óvodapedagógusok bére </t>
  </si>
  <si>
    <t xml:space="preserve">  Óvodapedagógusok pótlólagos  bértámogatás</t>
  </si>
  <si>
    <t>1. Óvodapedagógusok nevelő munkáját közvetlenül segítők bértámogatása</t>
  </si>
  <si>
    <t>2. Óvodaműködtetési támogatás</t>
  </si>
  <si>
    <t>2. Települési önkormányzatok szociális feladatainak egyéb támogatása</t>
  </si>
  <si>
    <t>4. szünidei gyermekétkeztetés</t>
  </si>
  <si>
    <t>5. Gyermekétkeztetés támogatása</t>
  </si>
  <si>
    <t>IV Székhely település által lehívandó szoc. Feladatok támogatása</t>
  </si>
  <si>
    <t xml:space="preserve">1 Házi  segítségnyújtás </t>
  </si>
  <si>
    <t xml:space="preserve">2. Szociális és gyermekjóléti alapszolgáltatások általános feladatai </t>
  </si>
  <si>
    <t>2018. évi bérkompenzáció</t>
  </si>
  <si>
    <t>Szociális tüzifa támogatás</t>
  </si>
  <si>
    <t>Önkormányzat feladatainak támogatása összesen  mint székhely :</t>
  </si>
  <si>
    <t>2018.évi teljesítés</t>
  </si>
  <si>
    <t xml:space="preserve">2018.évi </t>
  </si>
  <si>
    <t xml:space="preserve">2018. évi </t>
  </si>
  <si>
    <t>I. módosítás</t>
  </si>
  <si>
    <t>II. módosítás</t>
  </si>
  <si>
    <t>1.5.Elvonások, befizetések</t>
  </si>
  <si>
    <t>1.5 Elvonások, befizetések</t>
  </si>
  <si>
    <t>1.6 Tartalékok</t>
  </si>
  <si>
    <t>2.2. Elvonások, befizetések</t>
  </si>
  <si>
    <t>2.3. Előző évi felhalm. célú maradvány</t>
  </si>
  <si>
    <t xml:space="preserve">Óvoda összesen: </t>
  </si>
  <si>
    <t xml:space="preserve">1.7.Beruházások </t>
  </si>
  <si>
    <t>1.6 Felhalmozási c. támogatás áht.belül</t>
  </si>
  <si>
    <t>1.8 Felújítások</t>
  </si>
  <si>
    <t xml:space="preserve">1.7. Felhalmozási bevételek </t>
  </si>
  <si>
    <t>1.9 Felhalm.célú pénzeszköz átadás</t>
  </si>
  <si>
    <t>1.8. Felhalm. célú kölcs. visszatér., felvétel</t>
  </si>
  <si>
    <t>1.9. Egyéb felhalm.célú átvett pénzeszköz</t>
  </si>
  <si>
    <t>2.3. Beruházási kiadás</t>
  </si>
  <si>
    <t>teljesítés</t>
  </si>
  <si>
    <t>2018.évi előirányzat</t>
  </si>
  <si>
    <t>Működési célú támogatások államházt. Belülről</t>
  </si>
  <si>
    <t xml:space="preserve">  1.1.1.Helyi önkorm. Működési általános támogatása </t>
  </si>
  <si>
    <t xml:space="preserve">  1.1.2 Köznevezelési és gyermekétkeztetési fel.tám.</t>
  </si>
  <si>
    <t xml:space="preserve">  1.1.3 Önk. szociális és gyermekjóléti feladatok tám. </t>
  </si>
  <si>
    <t xml:space="preserve">  1.1.5 Működési célú ktgv tám és kieg támogatás</t>
  </si>
  <si>
    <t>1.12. Elvonások, befizetések</t>
  </si>
  <si>
    <t xml:space="preserve">1.2. Egyéb célú támogatás államházt. Belül </t>
  </si>
  <si>
    <t xml:space="preserve"> 1.2.1 Közfoglalkoztatás  támogatása </t>
  </si>
  <si>
    <t xml:space="preserve"> 1.2.2 Közös Hivataltól támogatás átvétele</t>
  </si>
  <si>
    <t xml:space="preserve"> 1.2.3. óvodás gyermekek szállításának támogatása</t>
  </si>
  <si>
    <t xml:space="preserve"> 1.2.4.Bursa támogatás visszafizetése</t>
  </si>
  <si>
    <t xml:space="preserve"> 1.2.5 Erzsébet utalvány</t>
  </si>
  <si>
    <t>Felhalmozás célú támogatás államházt. Belőlről</t>
  </si>
  <si>
    <t>vis maior támogatás - partfal felújítás</t>
  </si>
  <si>
    <t>Belterületi utak, járdák felújítása (Deák F. u. , Kossuth u.)</t>
  </si>
  <si>
    <t>egészségház építése - fennmaradó 10%</t>
  </si>
  <si>
    <t xml:space="preserve"> -  Idegenforgalmi adó </t>
  </si>
  <si>
    <t>Felhalmozási bevételek összesen:</t>
  </si>
  <si>
    <t xml:space="preserve">  - Szociális kölcsön visszatérülése </t>
  </si>
  <si>
    <t>Egyéb felhalmozási célú átvett pénzeszközök össz</t>
  </si>
  <si>
    <t>Maradvány igénybevét.    B813</t>
  </si>
  <si>
    <t>Elvonások, befizetések B12</t>
  </si>
  <si>
    <t>Műk.célú kölcsön visszatérülés    B62</t>
  </si>
  <si>
    <t>2018. eredeti előir.</t>
  </si>
  <si>
    <t>2018. I. mód</t>
  </si>
  <si>
    <t>2018. II. mód</t>
  </si>
  <si>
    <t>061030</t>
  </si>
  <si>
    <t>Lakáshoz jutást segítő támogatások</t>
  </si>
  <si>
    <t>072111</t>
  </si>
  <si>
    <t>Háziorvosi alapellátás</t>
  </si>
  <si>
    <t>074031</t>
  </si>
  <si>
    <t>Család és nővédelmi egészségügyi gond.</t>
  </si>
  <si>
    <t>074032</t>
  </si>
  <si>
    <t>Ifjúság-egészségügyi gondozás</t>
  </si>
  <si>
    <t>081030</t>
  </si>
  <si>
    <t>Sportlétesítmények működtetése és fejl.</t>
  </si>
  <si>
    <t>082092</t>
  </si>
  <si>
    <t xml:space="preserve">Közművelődés </t>
  </si>
  <si>
    <t>Máshová nem sorolható szabadidős szolg.</t>
  </si>
  <si>
    <t xml:space="preserve"> </t>
  </si>
  <si>
    <t>096010</t>
  </si>
  <si>
    <t>Óvodai intézményi étkeztetés</t>
  </si>
  <si>
    <t>096020</t>
  </si>
  <si>
    <t>Iskolai intézményi étkeztetés</t>
  </si>
  <si>
    <t>104030</t>
  </si>
  <si>
    <t>104037</t>
  </si>
  <si>
    <t>Intézményen kívüli étkeztetés</t>
  </si>
  <si>
    <t>Lakásfenntartással, lakhatással kapcs.ell.</t>
  </si>
  <si>
    <t>107051</t>
  </si>
  <si>
    <t>Falugondnoki szolgálat</t>
  </si>
  <si>
    <t>107060</t>
  </si>
  <si>
    <t>egyéb szoc, pbeli és természetbeni ellátások</t>
  </si>
  <si>
    <t>Egyéb kiegészítő szolgálatások</t>
  </si>
  <si>
    <t>Beruhá- zások             K6</t>
  </si>
  <si>
    <t>Finanszírozási kiadások     K9</t>
  </si>
  <si>
    <t>Önkormányzatok elszámolásai központi költségvetéssel szemben</t>
  </si>
  <si>
    <t>Sze</t>
  </si>
  <si>
    <t>041140</t>
  </si>
  <si>
    <t>Területfejlesztés igazgatása</t>
  </si>
  <si>
    <t>063020</t>
  </si>
  <si>
    <t>Víztermelése, kezelés</t>
  </si>
  <si>
    <t>Önként</t>
  </si>
  <si>
    <t>084031</t>
  </si>
  <si>
    <t>Civl szervezetek támogatása</t>
  </si>
  <si>
    <t>B. ÓVODA</t>
  </si>
  <si>
    <t>2018. évi terv</t>
  </si>
  <si>
    <t>2018. évi I. módosítás</t>
  </si>
  <si>
    <t>2018. évi II. módosítás</t>
  </si>
  <si>
    <t>2018. évi eredeti előirányzat</t>
  </si>
  <si>
    <t>2018. évi számított előirányz.</t>
  </si>
  <si>
    <t>2018. évi I.módosítás</t>
  </si>
  <si>
    <t>2018. évi II.módosítás</t>
  </si>
  <si>
    <t>2 db pad vásárlás temetőbe</t>
  </si>
  <si>
    <t>Egészségház eszközbeszerzés</t>
  </si>
  <si>
    <t>Egészségház eszközbeszerzés pályázatban szereplő felújításról</t>
  </si>
  <si>
    <t>Egészségház Notebook beszerzés</t>
  </si>
  <si>
    <t>Gáztűzhelybeszerzés konyhába</t>
  </si>
  <si>
    <t>Fűnyíró traktor beszerzés</t>
  </si>
  <si>
    <t>Klíma beszerzés egészségházhoz</t>
  </si>
  <si>
    <t>Ételfőző üst beszerzése konyhába</t>
  </si>
  <si>
    <t>Deák Ferenc és Kossuth  utcai járda felújítása</t>
  </si>
  <si>
    <t>Óvoda konyha felújítása</t>
  </si>
  <si>
    <t>Vízmű felújítások</t>
  </si>
  <si>
    <t>TOP-4.1.1-15-ZA1-2016-00024 Zalaszabar Egészségház építése</t>
  </si>
  <si>
    <t>2017.évi záró létszám. ei.</t>
  </si>
  <si>
    <t>Dajka</t>
  </si>
  <si>
    <t>2018. évi  létszám-  keret</t>
  </si>
  <si>
    <t>1.2. Orvosi ügyelet</t>
  </si>
  <si>
    <t>1.3. Védőnői szolgálat</t>
  </si>
  <si>
    <t>1.4. Óvodás gyermekek szállítása</t>
  </si>
  <si>
    <t>1.5. Jelzőrendszeres házi segítségnyújtás</t>
  </si>
  <si>
    <t>1.6.Nagykanizsa Megyei Jogú Város hétvégi  fogászati ügyelethez hj.</t>
  </si>
  <si>
    <t>Országos Mentőszolgálat Alapítvány támogatása</t>
  </si>
  <si>
    <t>Vis maior Kápolna u. 1501 hrsz. Partfal</t>
  </si>
  <si>
    <t>Államháztartáson belüli megelőlegezések    B814</t>
  </si>
  <si>
    <t>Zártkerti pályázat</t>
  </si>
  <si>
    <t>Külterületi utak felújítása pályázat</t>
  </si>
  <si>
    <t>Egészségház melletti garázs bontása</t>
  </si>
  <si>
    <t>Kultúrház tető javítás</t>
  </si>
  <si>
    <t>Temetői munkák</t>
  </si>
  <si>
    <t>Gázkazán csere óvodában</t>
  </si>
  <si>
    <t>2019. évi támogatás megelőlegezés rendezése</t>
  </si>
  <si>
    <t>2018. évi normatíva visszafizetés</t>
  </si>
  <si>
    <t>Áll.házt. belüli megelőlegezések</t>
  </si>
  <si>
    <t>VP-7.2.1-7.4.1.2-16 számú Külterületi helyi közutak fejlesztése, munkagépek beszerzése</t>
  </si>
  <si>
    <t>2018. évi tényleges</t>
  </si>
  <si>
    <t>90 %-os</t>
  </si>
  <si>
    <t>100 %-os</t>
  </si>
  <si>
    <t xml:space="preserve">3. </t>
  </si>
  <si>
    <t xml:space="preserve">ZP-1-2017/2323. sz. "A zártkerti besorolású földrészletek mezőgazdasági hasznosítását segítő, infrastrukturális hátterét biztosító fejlesztések támogatására" </t>
  </si>
  <si>
    <t xml:space="preserve">A zártkerti besorolású földrészletek mezőgazdasági hasznosítását segítő fejlesztések </t>
  </si>
  <si>
    <t xml:space="preserve"> Belterületi út és járdafelújítás pályázat (Petőfi utca járda)</t>
  </si>
  <si>
    <t>csoportszoba mennyezet javítás és festés</t>
  </si>
  <si>
    <t>Belterületi út és járdafelújítás pályázat (Petőfi utca járda)</t>
  </si>
  <si>
    <t xml:space="preserve"> csoportszoba mennyezet javítás és festés</t>
  </si>
  <si>
    <t>adatok Ft-ban</t>
  </si>
  <si>
    <t xml:space="preserve"> Ft-ban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</si>
</sst>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</numFmts>
  <fonts count="8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0"/>
      <color indexed="10"/>
      <name val="Arial"/>
      <family val="2"/>
    </font>
    <font>
      <u val="single"/>
      <sz val="10"/>
      <name val="Arial CE"/>
      <family val="2"/>
    </font>
    <font>
      <sz val="12"/>
      <color indexed="22"/>
      <name val="Arial CE"/>
      <family val="2"/>
    </font>
    <font>
      <sz val="7"/>
      <name val="Palatino Linotyp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14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4" fillId="25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7" borderId="7" applyNumberFormat="0" applyFont="0" applyAlignment="0" applyProtection="0"/>
    <xf numFmtId="0" fontId="72" fillId="28" borderId="0" applyNumberFormat="0" applyBorder="0" applyAlignment="0" applyProtection="0"/>
    <xf numFmtId="0" fontId="73" fillId="29" borderId="8" applyNumberFormat="0" applyAlignment="0" applyProtection="0"/>
    <xf numFmtId="0" fontId="2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29" borderId="1" applyNumberFormat="0" applyAlignment="0" applyProtection="0"/>
    <xf numFmtId="9" fontId="0" fillId="0" borderId="0" applyFont="0" applyFill="0" applyBorder="0" applyAlignment="0" applyProtection="0"/>
  </cellStyleXfs>
  <cellXfs count="8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4" fillId="0" borderId="0" xfId="69">
      <alignment/>
      <protection/>
    </xf>
    <xf numFmtId="0" fontId="6" fillId="0" borderId="11" xfId="69" applyFont="1" applyBorder="1">
      <alignment/>
      <protection/>
    </xf>
    <xf numFmtId="0" fontId="4" fillId="0" borderId="11" xfId="69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6" fillId="0" borderId="12" xfId="69" applyFont="1" applyBorder="1">
      <alignment/>
      <protection/>
    </xf>
    <xf numFmtId="0" fontId="4" fillId="0" borderId="11" xfId="69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6" fillId="0" borderId="12" xfId="69" applyFont="1" applyFill="1" applyBorder="1" applyAlignment="1">
      <alignment horizontal="right"/>
      <protection/>
    </xf>
    <xf numFmtId="0" fontId="2" fillId="0" borderId="13" xfId="0" applyFont="1" applyBorder="1" applyAlignment="1">
      <alignment/>
    </xf>
    <xf numFmtId="0" fontId="7" fillId="0" borderId="0" xfId="64" applyFont="1">
      <alignment/>
      <protection/>
    </xf>
    <xf numFmtId="0" fontId="7" fillId="0" borderId="0" xfId="64">
      <alignment/>
      <protection/>
    </xf>
    <xf numFmtId="0" fontId="7" fillId="0" borderId="0" xfId="64" applyAlignment="1">
      <alignment horizontal="right"/>
      <protection/>
    </xf>
    <xf numFmtId="0" fontId="6" fillId="0" borderId="11" xfId="64" applyFont="1" applyBorder="1">
      <alignment/>
      <protection/>
    </xf>
    <xf numFmtId="0" fontId="7" fillId="0" borderId="0" xfId="65">
      <alignment/>
      <protection/>
    </xf>
    <xf numFmtId="0" fontId="15" fillId="0" borderId="11" xfId="65" applyFont="1" applyBorder="1">
      <alignment/>
      <protection/>
    </xf>
    <xf numFmtId="0" fontId="16" fillId="0" borderId="11" xfId="65" applyFont="1" applyBorder="1">
      <alignment/>
      <protection/>
    </xf>
    <xf numFmtId="0" fontId="7" fillId="0" borderId="0" xfId="63">
      <alignment/>
      <protection/>
    </xf>
    <xf numFmtId="3" fontId="10" fillId="0" borderId="11" xfId="63" applyNumberFormat="1" applyFont="1" applyBorder="1" applyAlignment="1">
      <alignment horizontal="right"/>
      <protection/>
    </xf>
    <xf numFmtId="0" fontId="9" fillId="0" borderId="0" xfId="63" applyFont="1">
      <alignment/>
      <protection/>
    </xf>
    <xf numFmtId="49" fontId="10" fillId="0" borderId="11" xfId="63" applyNumberFormat="1" applyFont="1" applyBorder="1" applyAlignment="1">
      <alignment horizontal="center"/>
      <protection/>
    </xf>
    <xf numFmtId="49" fontId="10" fillId="0" borderId="11" xfId="63" applyNumberFormat="1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6" fillId="0" borderId="0" xfId="69" applyFont="1" applyBorder="1">
      <alignment/>
      <protection/>
    </xf>
    <xf numFmtId="0" fontId="7" fillId="0" borderId="0" xfId="57">
      <alignment/>
      <protection/>
    </xf>
    <xf numFmtId="0" fontId="8" fillId="32" borderId="11" xfId="57" applyFont="1" applyFill="1" applyBorder="1" applyAlignment="1">
      <alignment horizontal="center"/>
      <protection/>
    </xf>
    <xf numFmtId="0" fontId="7" fillId="0" borderId="11" xfId="57" applyFont="1" applyBorder="1">
      <alignment/>
      <protection/>
    </xf>
    <xf numFmtId="0" fontId="7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7" fillId="0" borderId="0" xfId="58">
      <alignment/>
      <protection/>
    </xf>
    <xf numFmtId="0" fontId="8" fillId="32" borderId="11" xfId="58" applyFont="1" applyFill="1" applyBorder="1" applyAlignment="1">
      <alignment horizontal="center" vertical="center" wrapText="1"/>
      <protection/>
    </xf>
    <xf numFmtId="0" fontId="9" fillId="0" borderId="11" xfId="58" applyFont="1" applyBorder="1">
      <alignment/>
      <protection/>
    </xf>
    <xf numFmtId="0" fontId="7" fillId="0" borderId="11" xfId="58" applyFont="1" applyBorder="1">
      <alignment/>
      <protection/>
    </xf>
    <xf numFmtId="0" fontId="7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0" fillId="0" borderId="11" xfId="63" applyNumberFormat="1" applyFont="1" applyBorder="1" applyAlignment="1">
      <alignment horizontal="right"/>
      <protection/>
    </xf>
    <xf numFmtId="0" fontId="7" fillId="0" borderId="0" xfId="66" applyBorder="1" applyAlignment="1">
      <alignment horizontal="right"/>
      <protection/>
    </xf>
    <xf numFmtId="0" fontId="7" fillId="0" borderId="11" xfId="57" applyFont="1" applyBorder="1" applyAlignment="1">
      <alignment horizontal="center"/>
      <protection/>
    </xf>
    <xf numFmtId="0" fontId="4" fillId="0" borderId="11" xfId="66" applyFont="1" applyBorder="1" applyAlignment="1">
      <alignment horizontal="center"/>
      <protection/>
    </xf>
    <xf numFmtId="0" fontId="8" fillId="32" borderId="11" xfId="66" applyFont="1" applyFill="1" applyBorder="1" applyAlignment="1">
      <alignment horizontal="center"/>
      <protection/>
    </xf>
    <xf numFmtId="0" fontId="5" fillId="0" borderId="11" xfId="57" applyFont="1" applyBorder="1" applyAlignment="1">
      <alignment horizontal="center" vertical="distributed"/>
      <protection/>
    </xf>
    <xf numFmtId="0" fontId="7" fillId="0" borderId="11" xfId="57" applyFont="1" applyBorder="1" applyAlignment="1">
      <alignment horizontal="center" vertical="distributed"/>
      <protection/>
    </xf>
    <xf numFmtId="0" fontId="7" fillId="0" borderId="11" xfId="57" applyBorder="1" applyAlignment="1">
      <alignment vertical="distributed"/>
      <protection/>
    </xf>
    <xf numFmtId="0" fontId="23" fillId="0" borderId="0" xfId="0" applyFont="1" applyBorder="1" applyAlignment="1">
      <alignment/>
    </xf>
    <xf numFmtId="9" fontId="7" fillId="0" borderId="11" xfId="57" applyNumberFormat="1" applyBorder="1" applyAlignment="1">
      <alignment horizontal="center" vertical="distributed"/>
      <protection/>
    </xf>
    <xf numFmtId="0" fontId="7" fillId="0" borderId="0" xfId="57" applyAlignment="1">
      <alignment horizontal="right"/>
      <protection/>
    </xf>
    <xf numFmtId="0" fontId="19" fillId="0" borderId="11" xfId="64" applyFont="1" applyBorder="1" applyAlignment="1">
      <alignment horizontal="center" vertical="distributed"/>
      <protection/>
    </xf>
    <xf numFmtId="3" fontId="6" fillId="0" borderId="11" xfId="64" applyNumberFormat="1" applyFont="1" applyBorder="1" applyAlignment="1">
      <alignment vertical="distributed"/>
      <protection/>
    </xf>
    <xf numFmtId="0" fontId="8" fillId="0" borderId="11" xfId="57" applyFont="1" applyBorder="1">
      <alignment/>
      <protection/>
    </xf>
    <xf numFmtId="0" fontId="2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/>
      <protection/>
    </xf>
    <xf numFmtId="3" fontId="18" fillId="0" borderId="11" xfId="0" applyNumberFormat="1" applyFont="1" applyBorder="1" applyAlignment="1">
      <alignment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5" fillId="0" borderId="11" xfId="65" applyNumberFormat="1" applyFont="1" applyBorder="1">
      <alignment/>
      <protection/>
    </xf>
    <xf numFmtId="3" fontId="4" fillId="0" borderId="11" xfId="69" applyNumberFormat="1" applyBorder="1">
      <alignment/>
      <protection/>
    </xf>
    <xf numFmtId="3" fontId="6" fillId="0" borderId="11" xfId="69" applyNumberFormat="1" applyFont="1" applyBorder="1">
      <alignment/>
      <protection/>
    </xf>
    <xf numFmtId="0" fontId="10" fillId="0" borderId="11" xfId="63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0" fillId="0" borderId="11" xfId="63" applyFont="1" applyBorder="1" applyAlignment="1">
      <alignment horizontal="left"/>
      <protection/>
    </xf>
    <xf numFmtId="0" fontId="10" fillId="0" borderId="11" xfId="63" applyFont="1" applyFill="1" applyBorder="1" applyAlignment="1">
      <alignment horizontal="left" vertical="center"/>
      <protection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8" fillId="0" borderId="17" xfId="0" applyFont="1" applyFill="1" applyBorder="1" applyAlignment="1">
      <alignment horizontal="center" vertical="distributed"/>
    </xf>
    <xf numFmtId="3" fontId="4" fillId="0" borderId="11" xfId="66" applyNumberFormat="1" applyFont="1" applyBorder="1">
      <alignment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/>
      <protection/>
    </xf>
    <xf numFmtId="16" fontId="4" fillId="0" borderId="11" xfId="69" applyNumberFormat="1" applyBorder="1">
      <alignment/>
      <protection/>
    </xf>
    <xf numFmtId="0" fontId="4" fillId="0" borderId="11" xfId="62" applyFont="1" applyBorder="1">
      <alignment/>
      <protection/>
    </xf>
    <xf numFmtId="3" fontId="4" fillId="0" borderId="11" xfId="62" applyNumberFormat="1" applyBorder="1">
      <alignment/>
      <protection/>
    </xf>
    <xf numFmtId="0" fontId="19" fillId="0" borderId="11" xfId="62" applyFont="1" applyBorder="1">
      <alignment/>
      <protection/>
    </xf>
    <xf numFmtId="3" fontId="19" fillId="0" borderId="11" xfId="62" applyNumberFormat="1" applyFont="1" applyBorder="1">
      <alignment/>
      <protection/>
    </xf>
    <xf numFmtId="0" fontId="7" fillId="0" borderId="11" xfId="57" applyFont="1" applyBorder="1" applyAlignment="1">
      <alignment horizontal="distributed" vertical="distributed"/>
      <protection/>
    </xf>
    <xf numFmtId="0" fontId="30" fillId="0" borderId="0" xfId="0" applyFont="1" applyAlignment="1">
      <alignment/>
    </xf>
    <xf numFmtId="0" fontId="6" fillId="32" borderId="18" xfId="64" applyFont="1" applyFill="1" applyBorder="1" applyAlignment="1">
      <alignment horizontal="center" vertical="center" wrapText="1"/>
      <protection/>
    </xf>
    <xf numFmtId="0" fontId="6" fillId="32" borderId="12" xfId="64" applyFont="1" applyFill="1" applyBorder="1" applyAlignment="1">
      <alignment horizontal="center" vertical="center" wrapText="1"/>
      <protection/>
    </xf>
    <xf numFmtId="3" fontId="8" fillId="0" borderId="11" xfId="57" applyNumberFormat="1" applyFont="1" applyBorder="1" applyAlignment="1">
      <alignment vertical="distributed"/>
      <protection/>
    </xf>
    <xf numFmtId="3" fontId="7" fillId="0" borderId="11" xfId="57" applyNumberFormat="1" applyFont="1" applyBorder="1" applyAlignment="1">
      <alignment horizontal="right" vertical="distributed"/>
      <protection/>
    </xf>
    <xf numFmtId="3" fontId="13" fillId="0" borderId="11" xfId="65" applyNumberFormat="1" applyFont="1" applyBorder="1">
      <alignment/>
      <protection/>
    </xf>
    <xf numFmtId="0" fontId="29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3" fontId="29" fillId="0" borderId="11" xfId="0" applyNumberFormat="1" applyFont="1" applyBorder="1" applyAlignment="1">
      <alignment vertical="center"/>
    </xf>
    <xf numFmtId="3" fontId="19" fillId="0" borderId="11" xfId="69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9" fillId="0" borderId="16" xfId="63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0" fillId="0" borderId="11" xfId="0" applyFont="1" applyBorder="1" applyAlignment="1">
      <alignment horizontal="center"/>
    </xf>
    <xf numFmtId="0" fontId="16" fillId="0" borderId="11" xfId="65" applyFont="1" applyBorder="1" applyAlignment="1">
      <alignment horizontal="left"/>
      <protection/>
    </xf>
    <xf numFmtId="0" fontId="16" fillId="0" borderId="11" xfId="65" applyFont="1" applyBorder="1" applyAlignment="1">
      <alignment horizontal="center"/>
      <protection/>
    </xf>
    <xf numFmtId="3" fontId="6" fillId="0" borderId="11" xfId="66" applyNumberFormat="1" applyFont="1" applyBorder="1">
      <alignment/>
      <protection/>
    </xf>
    <xf numFmtId="0" fontId="8" fillId="0" borderId="11" xfId="62" applyFont="1" applyBorder="1" applyAlignment="1">
      <alignment vertical="distributed"/>
      <protection/>
    </xf>
    <xf numFmtId="0" fontId="31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/>
    </xf>
    <xf numFmtId="0" fontId="17" fillId="0" borderId="11" xfId="63" applyFont="1" applyBorder="1" applyAlignment="1">
      <alignment horizontal="left"/>
      <protection/>
    </xf>
    <xf numFmtId="0" fontId="10" fillId="0" borderId="11" xfId="62" applyFont="1" applyBorder="1">
      <alignment/>
      <protection/>
    </xf>
    <xf numFmtId="0" fontId="14" fillId="0" borderId="11" xfId="65" applyFont="1" applyBorder="1" applyAlignment="1">
      <alignment horizontal="left"/>
      <protection/>
    </xf>
    <xf numFmtId="3" fontId="32" fillId="0" borderId="11" xfId="0" applyNumberFormat="1" applyFont="1" applyBorder="1" applyAlignment="1">
      <alignment vertical="center"/>
    </xf>
    <xf numFmtId="0" fontId="10" fillId="0" borderId="11" xfId="60" applyFont="1" applyBorder="1" applyAlignment="1">
      <alignment horizontal="left"/>
      <protection/>
    </xf>
    <xf numFmtId="3" fontId="6" fillId="0" borderId="11" xfId="62" applyNumberFormat="1" applyFont="1" applyBorder="1">
      <alignment/>
      <protection/>
    </xf>
    <xf numFmtId="3" fontId="14" fillId="32" borderId="11" xfId="65" applyNumberFormat="1" applyFont="1" applyFill="1" applyBorder="1" applyAlignment="1">
      <alignment vertical="distributed"/>
      <protection/>
    </xf>
    <xf numFmtId="0" fontId="33" fillId="0" borderId="11" xfId="64" applyFont="1" applyBorder="1" applyAlignment="1">
      <alignment vertical="distributed"/>
      <protection/>
    </xf>
    <xf numFmtId="16" fontId="6" fillId="0" borderId="12" xfId="69" applyNumberFormat="1" applyFont="1" applyBorder="1">
      <alignment/>
      <protection/>
    </xf>
    <xf numFmtId="0" fontId="4" fillId="0" borderId="0" xfId="69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33" borderId="11" xfId="0" applyNumberFormat="1" applyFont="1" applyFill="1" applyBorder="1" applyAlignment="1">
      <alignment horizontal="center" vertical="distributed"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3" fontId="10" fillId="0" borderId="11" xfId="61" applyNumberFormat="1" applyFont="1" applyFill="1" applyBorder="1">
      <alignment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0" fontId="10" fillId="0" borderId="11" xfId="67" applyFont="1" applyBorder="1">
      <alignment/>
      <protection/>
    </xf>
    <xf numFmtId="3" fontId="10" fillId="0" borderId="11" xfId="56" applyNumberFormat="1" applyFont="1" applyFill="1" applyBorder="1" applyAlignment="1">
      <alignment vertical="center"/>
      <protection/>
    </xf>
    <xf numFmtId="3" fontId="14" fillId="0" borderId="11" xfId="65" applyNumberFormat="1" applyFont="1" applyBorder="1">
      <alignment/>
      <protection/>
    </xf>
    <xf numFmtId="0" fontId="7" fillId="0" borderId="0" xfId="65" applyFont="1">
      <alignment/>
      <protection/>
    </xf>
    <xf numFmtId="0" fontId="10" fillId="0" borderId="11" xfId="63" applyFont="1" applyBorder="1">
      <alignment/>
      <protection/>
    </xf>
    <xf numFmtId="0" fontId="10" fillId="0" borderId="11" xfId="63" applyFont="1" applyBorder="1" applyAlignment="1">
      <alignment horizontal="center"/>
      <protection/>
    </xf>
    <xf numFmtId="0" fontId="6" fillId="33" borderId="10" xfId="69" applyFont="1" applyFill="1" applyBorder="1">
      <alignment/>
      <protection/>
    </xf>
    <xf numFmtId="0" fontId="6" fillId="33" borderId="10" xfId="69" applyFont="1" applyFill="1" applyBorder="1" applyAlignment="1">
      <alignment horizontal="center"/>
      <protection/>
    </xf>
    <xf numFmtId="0" fontId="6" fillId="33" borderId="12" xfId="69" applyFont="1" applyFill="1" applyBorder="1">
      <alignment/>
      <protection/>
    </xf>
    <xf numFmtId="0" fontId="6" fillId="33" borderId="12" xfId="69" applyFont="1" applyFill="1" applyBorder="1" applyAlignment="1">
      <alignment horizontal="center"/>
      <protection/>
    </xf>
    <xf numFmtId="3" fontId="6" fillId="0" borderId="0" xfId="69" applyNumberFormat="1" applyFont="1" applyBorder="1">
      <alignment/>
      <protection/>
    </xf>
    <xf numFmtId="0" fontId="10" fillId="32" borderId="11" xfId="63" applyFont="1" applyFill="1" applyBorder="1" applyAlignment="1">
      <alignment horizontal="left"/>
      <protection/>
    </xf>
    <xf numFmtId="3" fontId="10" fillId="32" borderId="11" xfId="63" applyNumberFormat="1" applyFont="1" applyFill="1" applyBorder="1" applyAlignment="1">
      <alignment horizontal="right"/>
      <protection/>
    </xf>
    <xf numFmtId="0" fontId="10" fillId="32" borderId="11" xfId="63" applyFont="1" applyFill="1" applyBorder="1">
      <alignment/>
      <protection/>
    </xf>
    <xf numFmtId="49" fontId="10" fillId="32" borderId="11" xfId="63" applyNumberFormat="1" applyFont="1" applyFill="1" applyBorder="1" applyAlignment="1">
      <alignment horizontal="center"/>
      <protection/>
    </xf>
    <xf numFmtId="0" fontId="10" fillId="33" borderId="11" xfId="60" applyFont="1" applyFill="1" applyBorder="1" applyAlignment="1">
      <alignment horizontal="left" vertical="center"/>
      <protection/>
    </xf>
    <xf numFmtId="0" fontId="9" fillId="32" borderId="11" xfId="60" applyFont="1" applyFill="1" applyBorder="1" applyAlignment="1">
      <alignment horizontal="center" vertical="center"/>
      <protection/>
    </xf>
    <xf numFmtId="0" fontId="8" fillId="0" borderId="19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9" fillId="0" borderId="0" xfId="0" applyFont="1" applyAlignment="1">
      <alignment wrapText="1"/>
    </xf>
    <xf numFmtId="0" fontId="8" fillId="32" borderId="11" xfId="61" applyFont="1" applyFill="1" applyBorder="1">
      <alignment/>
      <protection/>
    </xf>
    <xf numFmtId="0" fontId="10" fillId="32" borderId="12" xfId="61" applyFont="1" applyFill="1" applyBorder="1" applyAlignment="1">
      <alignment horizontal="center" vertical="center" wrapText="1"/>
      <protection/>
    </xf>
    <xf numFmtId="0" fontId="10" fillId="32" borderId="17" xfId="61" applyFont="1" applyFill="1" applyBorder="1" applyAlignment="1">
      <alignment horizontal="right" vertical="center" wrapText="1"/>
      <protection/>
    </xf>
    <xf numFmtId="0" fontId="10" fillId="32" borderId="14" xfId="61" applyFont="1" applyFill="1" applyBorder="1" applyAlignment="1">
      <alignment horizontal="center" vertical="center"/>
      <protection/>
    </xf>
    <xf numFmtId="0" fontId="10" fillId="32" borderId="21" xfId="61" applyFont="1" applyFill="1" applyBorder="1" applyAlignment="1">
      <alignment horizontal="right" vertical="center"/>
      <protection/>
    </xf>
    <xf numFmtId="0" fontId="10" fillId="32" borderId="22" xfId="61" applyFont="1" applyFill="1" applyBorder="1" applyAlignment="1">
      <alignment horizontal="center" vertical="center"/>
      <protection/>
    </xf>
    <xf numFmtId="0" fontId="10" fillId="32" borderId="23" xfId="61" applyFont="1" applyFill="1" applyBorder="1" applyAlignment="1">
      <alignment horizontal="center" vertical="center"/>
      <protection/>
    </xf>
    <xf numFmtId="0" fontId="19" fillId="0" borderId="12" xfId="69" applyFont="1" applyBorder="1">
      <alignment/>
      <protection/>
    </xf>
    <xf numFmtId="0" fontId="6" fillId="0" borderId="11" xfId="69" applyNumberFormat="1" applyFont="1" applyBorder="1">
      <alignment/>
      <protection/>
    </xf>
    <xf numFmtId="3" fontId="35" fillId="0" borderId="11" xfId="65" applyNumberFormat="1" applyFont="1" applyBorder="1">
      <alignment/>
      <protection/>
    </xf>
    <xf numFmtId="0" fontId="15" fillId="32" borderId="11" xfId="65" applyFont="1" applyFill="1" applyBorder="1">
      <alignment/>
      <protection/>
    </xf>
    <xf numFmtId="0" fontId="19" fillId="32" borderId="11" xfId="62" applyFont="1" applyFill="1" applyBorder="1">
      <alignment/>
      <protection/>
    </xf>
    <xf numFmtId="3" fontId="19" fillId="32" borderId="11" xfId="62" applyNumberFormat="1" applyFont="1" applyFill="1" applyBorder="1">
      <alignment/>
      <protection/>
    </xf>
    <xf numFmtId="0" fontId="30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3" fontId="2" fillId="33" borderId="0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1" fillId="32" borderId="11" xfId="0" applyFont="1" applyFill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8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3" fontId="22" fillId="0" borderId="11" xfId="63" applyNumberFormat="1" applyFont="1" applyBorder="1" applyAlignment="1">
      <alignment horizontal="right"/>
      <protection/>
    </xf>
    <xf numFmtId="0" fontId="22" fillId="0" borderId="11" xfId="63" applyFont="1" applyBorder="1" applyAlignment="1">
      <alignment horizontal="left"/>
      <protection/>
    </xf>
    <xf numFmtId="3" fontId="18" fillId="0" borderId="11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16" fontId="20" fillId="0" borderId="11" xfId="63" applyNumberFormat="1" applyFont="1" applyBorder="1" applyAlignment="1">
      <alignment horizontal="left"/>
      <protection/>
    </xf>
    <xf numFmtId="0" fontId="17" fillId="0" borderId="11" xfId="63" applyFont="1" applyBorder="1" applyAlignment="1">
      <alignment horizontal="center" vertical="center" wrapText="1"/>
      <protection/>
    </xf>
    <xf numFmtId="3" fontId="9" fillId="0" borderId="11" xfId="63" applyNumberFormat="1" applyFont="1" applyBorder="1" applyAlignment="1">
      <alignment horizontal="right"/>
      <protection/>
    </xf>
    <xf numFmtId="0" fontId="9" fillId="0" borderId="11" xfId="63" applyFont="1" applyBorder="1" applyAlignment="1">
      <alignment horizontal="left"/>
      <protection/>
    </xf>
    <xf numFmtId="0" fontId="9" fillId="0" borderId="11" xfId="63" applyNumberFormat="1" applyFont="1" applyBorder="1" applyAlignment="1">
      <alignment horizontal="left"/>
      <protection/>
    </xf>
    <xf numFmtId="0" fontId="9" fillId="0" borderId="13" xfId="63" applyFont="1" applyBorder="1" applyAlignment="1">
      <alignment horizontal="left"/>
      <protection/>
    </xf>
    <xf numFmtId="16" fontId="9" fillId="0" borderId="11" xfId="63" applyNumberFormat="1" applyFont="1" applyBorder="1" applyAlignment="1">
      <alignment horizontal="left"/>
      <protection/>
    </xf>
    <xf numFmtId="0" fontId="10" fillId="0" borderId="11" xfId="63" applyNumberFormat="1" applyFont="1" applyBorder="1" applyAlignment="1">
      <alignment horizontal="left"/>
      <protection/>
    </xf>
    <xf numFmtId="2" fontId="9" fillId="0" borderId="11" xfId="63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6" fillId="32" borderId="11" xfId="0" applyFont="1" applyFill="1" applyBorder="1" applyAlignment="1">
      <alignment/>
    </xf>
    <xf numFmtId="0" fontId="30" fillId="32" borderId="11" xfId="0" applyFont="1" applyFill="1" applyBorder="1" applyAlignment="1">
      <alignment/>
    </xf>
    <xf numFmtId="0" fontId="7" fillId="0" borderId="11" xfId="56" applyFont="1" applyBorder="1" applyAlignment="1">
      <alignment vertical="center"/>
      <protection/>
    </xf>
    <xf numFmtId="0" fontId="9" fillId="33" borderId="0" xfId="0" applyFont="1" applyFill="1" applyAlignment="1">
      <alignment/>
    </xf>
    <xf numFmtId="49" fontId="9" fillId="0" borderId="11" xfId="63" applyNumberFormat="1" applyFont="1" applyBorder="1" applyAlignment="1">
      <alignment horizontal="center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9" fontId="7" fillId="0" borderId="11" xfId="57" applyNumberFormat="1" applyFont="1" applyBorder="1" applyAlignment="1">
      <alignment horizontal="center" vertical="distributed"/>
      <protection/>
    </xf>
    <xf numFmtId="0" fontId="36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3" fontId="10" fillId="32" borderId="11" xfId="61" applyNumberFormat="1" applyFont="1" applyFill="1" applyBorder="1">
      <alignment/>
      <protection/>
    </xf>
    <xf numFmtId="0" fontId="10" fillId="32" borderId="11" xfId="67" applyFont="1" applyFill="1" applyBorder="1">
      <alignment/>
      <protection/>
    </xf>
    <xf numFmtId="3" fontId="10" fillId="32" borderId="11" xfId="56" applyNumberFormat="1" applyFont="1" applyFill="1" applyBorder="1" applyAlignment="1">
      <alignment vertical="center"/>
      <protection/>
    </xf>
    <xf numFmtId="3" fontId="29" fillId="32" borderId="11" xfId="0" applyNumberFormat="1" applyFont="1" applyFill="1" applyBorder="1" applyAlignment="1">
      <alignment horizontal="right" vertical="center"/>
    </xf>
    <xf numFmtId="0" fontId="8" fillId="0" borderId="0" xfId="61" applyFont="1" applyFill="1" applyBorder="1">
      <alignment/>
      <protection/>
    </xf>
    <xf numFmtId="0" fontId="9" fillId="0" borderId="0" xfId="0" applyFont="1" applyBorder="1" applyAlignment="1">
      <alignment/>
    </xf>
    <xf numFmtId="3" fontId="9" fillId="0" borderId="11" xfId="58" applyNumberFormat="1" applyFont="1" applyBorder="1">
      <alignment/>
      <protection/>
    </xf>
    <xf numFmtId="3" fontId="10" fillId="0" borderId="11" xfId="58" applyNumberFormat="1" applyFont="1" applyBorder="1">
      <alignment/>
      <protection/>
    </xf>
    <xf numFmtId="0" fontId="6" fillId="32" borderId="11" xfId="58" applyFont="1" applyFill="1" applyBorder="1" applyAlignment="1">
      <alignment horizontal="center" vertical="center"/>
      <protection/>
    </xf>
    <xf numFmtId="0" fontId="4" fillId="0" borderId="11" xfId="58" applyFont="1" applyBorder="1">
      <alignment/>
      <protection/>
    </xf>
    <xf numFmtId="3" fontId="6" fillId="0" borderId="11" xfId="58" applyNumberFormat="1" applyFont="1" applyBorder="1">
      <alignment/>
      <protection/>
    </xf>
    <xf numFmtId="0" fontId="28" fillId="32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8" fillId="0" borderId="24" xfId="56" applyFont="1" applyBorder="1" applyAlignment="1">
      <alignment vertical="center"/>
      <protection/>
    </xf>
    <xf numFmtId="3" fontId="10" fillId="0" borderId="12" xfId="61" applyNumberFormat="1" applyFont="1" applyFill="1" applyBorder="1">
      <alignment/>
      <protection/>
    </xf>
    <xf numFmtId="0" fontId="7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0" fontId="9" fillId="0" borderId="11" xfId="60" applyFont="1" applyBorder="1" applyAlignment="1">
      <alignment horizontal="left"/>
      <protection/>
    </xf>
    <xf numFmtId="49" fontId="2" fillId="32" borderId="11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0" fillId="14" borderId="11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/>
    </xf>
    <xf numFmtId="0" fontId="10" fillId="33" borderId="11" xfId="63" applyFont="1" applyFill="1" applyBorder="1" applyAlignment="1">
      <alignment vertical="center" wrapText="1"/>
      <protection/>
    </xf>
    <xf numFmtId="3" fontId="4" fillId="0" borderId="11" xfId="62" applyNumberFormat="1" applyFont="1" applyBorder="1" applyAlignment="1">
      <alignment horizontal="right"/>
      <protection/>
    </xf>
    <xf numFmtId="3" fontId="6" fillId="0" borderId="11" xfId="62" applyNumberFormat="1" applyFont="1" applyBorder="1" applyAlignment="1">
      <alignment horizontal="right"/>
      <protection/>
    </xf>
    <xf numFmtId="0" fontId="6" fillId="0" borderId="11" xfId="62" applyFont="1" applyBorder="1">
      <alignment/>
      <protection/>
    </xf>
    <xf numFmtId="0" fontId="9" fillId="0" borderId="11" xfId="62" applyFont="1" applyBorder="1">
      <alignment/>
      <protection/>
    </xf>
    <xf numFmtId="0" fontId="4" fillId="0" borderId="11" xfId="62" applyBorder="1" applyAlignment="1">
      <alignment horizontal="center"/>
      <protection/>
    </xf>
    <xf numFmtId="0" fontId="15" fillId="0" borderId="11" xfId="65" applyFont="1" applyBorder="1" applyAlignment="1">
      <alignment horizontal="center"/>
      <protection/>
    </xf>
    <xf numFmtId="0" fontId="15" fillId="32" borderId="11" xfId="65" applyFont="1" applyFill="1" applyBorder="1" applyAlignment="1">
      <alignment horizontal="center"/>
      <protection/>
    </xf>
    <xf numFmtId="0" fontId="8" fillId="0" borderId="25" xfId="56" applyFont="1" applyBorder="1" applyAlignment="1">
      <alignment vertical="center"/>
      <protection/>
    </xf>
    <xf numFmtId="3" fontId="10" fillId="0" borderId="25" xfId="61" applyNumberFormat="1" applyFont="1" applyFill="1" applyBorder="1">
      <alignment/>
      <protection/>
    </xf>
    <xf numFmtId="3" fontId="10" fillId="0" borderId="26" xfId="61" applyNumberFormat="1" applyFont="1" applyFill="1" applyBorder="1">
      <alignment/>
      <protection/>
    </xf>
    <xf numFmtId="4" fontId="10" fillId="0" borderId="19" xfId="61" applyNumberFormat="1" applyFont="1" applyFill="1" applyBorder="1">
      <alignment/>
      <protection/>
    </xf>
    <xf numFmtId="3" fontId="10" fillId="0" borderId="19" xfId="61" applyNumberFormat="1" applyFont="1" applyFill="1" applyBorder="1">
      <alignment/>
      <protection/>
    </xf>
    <xf numFmtId="3" fontId="10" fillId="0" borderId="20" xfId="61" applyNumberFormat="1" applyFont="1" applyFill="1" applyBorder="1">
      <alignment/>
      <protection/>
    </xf>
    <xf numFmtId="4" fontId="9" fillId="0" borderId="10" xfId="61" applyNumberFormat="1" applyFont="1" applyFill="1" applyBorder="1">
      <alignment/>
      <protection/>
    </xf>
    <xf numFmtId="0" fontId="36" fillId="32" borderId="11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34" borderId="11" xfId="0" applyNumberFormat="1" applyFont="1" applyFill="1" applyBorder="1" applyAlignment="1">
      <alignment vertical="center"/>
    </xf>
    <xf numFmtId="3" fontId="1" fillId="35" borderId="11" xfId="0" applyNumberFormat="1" applyFont="1" applyFill="1" applyBorder="1" applyAlignment="1">
      <alignment vertical="center"/>
    </xf>
    <xf numFmtId="0" fontId="18" fillId="35" borderId="13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3" fontId="1" fillId="35" borderId="11" xfId="0" applyNumberFormat="1" applyFont="1" applyFill="1" applyBorder="1" applyAlignment="1">
      <alignment/>
    </xf>
    <xf numFmtId="3" fontId="29" fillId="34" borderId="11" xfId="0" applyNumberFormat="1" applyFont="1" applyFill="1" applyBorder="1" applyAlignment="1">
      <alignment vertical="center"/>
    </xf>
    <xf numFmtId="0" fontId="17" fillId="34" borderId="11" xfId="63" applyFont="1" applyFill="1" applyBorder="1" applyAlignment="1">
      <alignment horizontal="left"/>
      <protection/>
    </xf>
    <xf numFmtId="3" fontId="17" fillId="34" borderId="11" xfId="63" applyNumberFormat="1" applyFont="1" applyFill="1" applyBorder="1" applyAlignment="1">
      <alignment horizontal="right"/>
      <protection/>
    </xf>
    <xf numFmtId="16" fontId="17" fillId="34" borderId="11" xfId="63" applyNumberFormat="1" applyFont="1" applyFill="1" applyBorder="1" applyAlignment="1">
      <alignment horizontal="left"/>
      <protection/>
    </xf>
    <xf numFmtId="0" fontId="10" fillId="35" borderId="11" xfId="63" applyFont="1" applyFill="1" applyBorder="1" applyAlignment="1">
      <alignment horizontal="left"/>
      <protection/>
    </xf>
    <xf numFmtId="3" fontId="10" fillId="35" borderId="11" xfId="63" applyNumberFormat="1" applyFont="1" applyFill="1" applyBorder="1" applyAlignment="1">
      <alignment horizontal="right"/>
      <protection/>
    </xf>
    <xf numFmtId="0" fontId="4" fillId="34" borderId="11" xfId="69" applyFont="1" applyFill="1" applyBorder="1">
      <alignment/>
      <protection/>
    </xf>
    <xf numFmtId="0" fontId="6" fillId="34" borderId="12" xfId="69" applyFont="1" applyFill="1" applyBorder="1">
      <alignment/>
      <protection/>
    </xf>
    <xf numFmtId="3" fontId="19" fillId="34" borderId="11" xfId="69" applyNumberFormat="1" applyFont="1" applyFill="1" applyBorder="1">
      <alignment/>
      <protection/>
    </xf>
    <xf numFmtId="0" fontId="33" fillId="34" borderId="12" xfId="69" applyFont="1" applyFill="1" applyBorder="1">
      <alignment/>
      <protection/>
    </xf>
    <xf numFmtId="0" fontId="6" fillId="34" borderId="12" xfId="69" applyFont="1" applyFill="1" applyBorder="1" applyAlignment="1">
      <alignment horizontal="center"/>
      <protection/>
    </xf>
    <xf numFmtId="0" fontId="6" fillId="34" borderId="11" xfId="69" applyFont="1" applyFill="1" applyBorder="1">
      <alignment/>
      <protection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4" borderId="16" xfId="0" applyFont="1" applyFill="1" applyBorder="1" applyAlignment="1">
      <alignment horizontal="center" vertical="center"/>
    </xf>
    <xf numFmtId="0" fontId="7" fillId="0" borderId="11" xfId="63" applyBorder="1">
      <alignment/>
      <protection/>
    </xf>
    <xf numFmtId="0" fontId="7" fillId="0" borderId="19" xfId="56" applyFont="1" applyBorder="1" applyAlignment="1">
      <alignment vertical="center" wrapText="1"/>
      <protection/>
    </xf>
    <xf numFmtId="0" fontId="7" fillId="0" borderId="27" xfId="56" applyFont="1" applyBorder="1" applyAlignment="1">
      <alignment vertical="center"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11" fillId="0" borderId="11" xfId="65" applyFont="1" applyBorder="1" applyAlignment="1">
      <alignment horizontal="center" vertical="distributed"/>
      <protection/>
    </xf>
    <xf numFmtId="0" fontId="12" fillId="0" borderId="11" xfId="65" applyFont="1" applyFill="1" applyBorder="1" applyAlignment="1">
      <alignment horizontal="center" vertical="center"/>
      <protection/>
    </xf>
    <xf numFmtId="0" fontId="12" fillId="0" borderId="11" xfId="65" applyFont="1" applyFill="1" applyBorder="1" applyAlignment="1">
      <alignment horizontal="left" vertical="center"/>
      <protection/>
    </xf>
    <xf numFmtId="0" fontId="11" fillId="0" borderId="11" xfId="65" applyFont="1" applyFill="1" applyBorder="1" applyAlignment="1">
      <alignment horizontal="left" vertical="center"/>
      <protection/>
    </xf>
    <xf numFmtId="0" fontId="12" fillId="35" borderId="11" xfId="65" applyFont="1" applyFill="1" applyBorder="1" applyAlignment="1">
      <alignment horizontal="left" vertical="center"/>
      <protection/>
    </xf>
    <xf numFmtId="0" fontId="16" fillId="35" borderId="11" xfId="65" applyFont="1" applyFill="1" applyBorder="1" applyAlignment="1">
      <alignment horizontal="right" vertical="center"/>
      <protection/>
    </xf>
    <xf numFmtId="3" fontId="6" fillId="35" borderId="11" xfId="63" applyNumberFormat="1" applyFont="1" applyFill="1" applyBorder="1">
      <alignment/>
      <protection/>
    </xf>
    <xf numFmtId="0" fontId="9" fillId="0" borderId="11" xfId="60" applyFont="1" applyBorder="1" applyAlignment="1">
      <alignment horizontal="center"/>
      <protection/>
    </xf>
    <xf numFmtId="0" fontId="2" fillId="0" borderId="16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36" borderId="0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3" fontId="1" fillId="36" borderId="0" xfId="0" applyNumberFormat="1" applyFont="1" applyFill="1" applyBorder="1" applyAlignment="1">
      <alignment horizontal="right" vertical="center"/>
    </xf>
    <xf numFmtId="166" fontId="1" fillId="36" borderId="0" xfId="0" applyNumberFormat="1" applyFont="1" applyFill="1" applyBorder="1" applyAlignment="1">
      <alignment vertical="center"/>
    </xf>
    <xf numFmtId="3" fontId="1" fillId="36" borderId="0" xfId="0" applyNumberFormat="1" applyFont="1" applyFill="1" applyBorder="1" applyAlignment="1">
      <alignment vertical="center"/>
    </xf>
    <xf numFmtId="166" fontId="1" fillId="36" borderId="0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/>
    </xf>
    <xf numFmtId="3" fontId="18" fillId="0" borderId="13" xfId="0" applyNumberFormat="1" applyFont="1" applyBorder="1" applyAlignment="1">
      <alignment horizontal="right" vertical="center"/>
    </xf>
    <xf numFmtId="3" fontId="32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9" fillId="0" borderId="11" xfId="63" applyFont="1" applyBorder="1" applyAlignment="1">
      <alignment horizontal="center"/>
      <protection/>
    </xf>
    <xf numFmtId="3" fontId="10" fillId="0" borderId="29" xfId="56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49" fontId="10" fillId="35" borderId="11" xfId="63" applyNumberFormat="1" applyFont="1" applyFill="1" applyBorder="1" applyAlignment="1">
      <alignment horizontal="center"/>
      <protection/>
    </xf>
    <xf numFmtId="3" fontId="6" fillId="35" borderId="11" xfId="63" applyNumberFormat="1" applyFont="1" applyFill="1" applyBorder="1" applyAlignment="1">
      <alignment horizontal="right" vertical="center"/>
      <protection/>
    </xf>
    <xf numFmtId="0" fontId="6" fillId="35" borderId="11" xfId="63" applyFont="1" applyFill="1" applyBorder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7" fillId="0" borderId="0" xfId="59">
      <alignment/>
      <protection/>
    </xf>
    <xf numFmtId="0" fontId="14" fillId="0" borderId="0" xfId="59" applyFont="1" applyBorder="1" applyAlignment="1">
      <alignment horizontal="center"/>
      <protection/>
    </xf>
    <xf numFmtId="0" fontId="4" fillId="0" borderId="0" xfId="59" applyFont="1" applyAlignment="1">
      <alignment/>
      <protection/>
    </xf>
    <xf numFmtId="0" fontId="4" fillId="0" borderId="0" xfId="59" applyFont="1">
      <alignment/>
      <protection/>
    </xf>
    <xf numFmtId="14" fontId="8" fillId="34" borderId="11" xfId="70" applyNumberFormat="1" applyFont="1" applyFill="1" applyBorder="1" applyAlignment="1">
      <alignment horizontal="center" vertical="center"/>
      <protection/>
    </xf>
    <xf numFmtId="0" fontId="30" fillId="34" borderId="11" xfId="0" applyFont="1" applyFill="1" applyBorder="1" applyAlignment="1">
      <alignment horizontal="center" vertical="center"/>
    </xf>
    <xf numFmtId="14" fontId="8" fillId="0" borderId="11" xfId="70" applyNumberFormat="1" applyFont="1" applyFill="1" applyBorder="1" applyAlignment="1">
      <alignment vertical="center"/>
      <protection/>
    </xf>
    <xf numFmtId="0" fontId="30" fillId="0" borderId="11" xfId="0" applyFont="1" applyFill="1" applyBorder="1" applyAlignment="1">
      <alignment vertical="center"/>
    </xf>
    <xf numFmtId="14" fontId="8" fillId="37" borderId="11" xfId="70" applyNumberFormat="1" applyFont="1" applyFill="1" applyBorder="1" applyAlignment="1">
      <alignment vertical="center"/>
      <protection/>
    </xf>
    <xf numFmtId="0" fontId="30" fillId="37" borderId="11" xfId="0" applyFont="1" applyFill="1" applyBorder="1" applyAlignment="1">
      <alignment vertical="center"/>
    </xf>
    <xf numFmtId="0" fontId="7" fillId="0" borderId="0" xfId="59" applyFill="1">
      <alignment/>
      <protection/>
    </xf>
    <xf numFmtId="0" fontId="13" fillId="0" borderId="11" xfId="59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left" vertical="center" wrapText="1"/>
    </xf>
    <xf numFmtId="3" fontId="4" fillId="0" borderId="11" xfId="59" applyNumberFormat="1" applyFont="1" applyBorder="1" applyAlignment="1">
      <alignment vertical="center"/>
      <protection/>
    </xf>
    <xf numFmtId="3" fontId="4" fillId="37" borderId="11" xfId="59" applyNumberFormat="1" applyFont="1" applyFill="1" applyBorder="1" applyAlignment="1">
      <alignment vertical="center"/>
      <protection/>
    </xf>
    <xf numFmtId="0" fontId="8" fillId="0" borderId="11" xfId="0" applyFont="1" applyBorder="1" applyAlignment="1">
      <alignment horizontal="left" vertical="center" wrapText="1"/>
    </xf>
    <xf numFmtId="3" fontId="6" fillId="0" borderId="11" xfId="59" applyNumberFormat="1" applyFont="1" applyBorder="1" applyAlignment="1">
      <alignment vertical="center"/>
      <protection/>
    </xf>
    <xf numFmtId="3" fontId="6" fillId="37" borderId="11" xfId="59" applyNumberFormat="1" applyFont="1" applyFill="1" applyBorder="1" applyAlignment="1">
      <alignment vertical="center"/>
      <protection/>
    </xf>
    <xf numFmtId="0" fontId="7" fillId="0" borderId="11" xfId="0" applyFont="1" applyBorder="1" applyAlignment="1">
      <alignment horizontal="left" vertical="center"/>
    </xf>
    <xf numFmtId="0" fontId="13" fillId="0" borderId="11" xfId="59" applyFont="1" applyBorder="1" applyAlignment="1">
      <alignment horizontal="center" vertical="center" wrapText="1"/>
      <protection/>
    </xf>
    <xf numFmtId="3" fontId="4" fillId="0" borderId="11" xfId="59" applyNumberFormat="1" applyFont="1" applyBorder="1" applyAlignment="1">
      <alignment vertical="center" wrapText="1"/>
      <protection/>
    </xf>
    <xf numFmtId="3" fontId="4" fillId="37" borderId="11" xfId="59" applyNumberFormat="1" applyFont="1" applyFill="1" applyBorder="1" applyAlignment="1">
      <alignment vertical="center" wrapText="1"/>
      <protection/>
    </xf>
    <xf numFmtId="3" fontId="6" fillId="0" borderId="11" xfId="59" applyNumberFormat="1" applyFont="1" applyBorder="1" applyAlignment="1">
      <alignment vertical="center" wrapText="1"/>
      <protection/>
    </xf>
    <xf numFmtId="0" fontId="8" fillId="0" borderId="0" xfId="59" applyFont="1">
      <alignment/>
      <protection/>
    </xf>
    <xf numFmtId="0" fontId="10" fillId="0" borderId="11" xfId="0" applyFont="1" applyBorder="1" applyAlignment="1">
      <alignment horizontal="left" vertical="center" wrapText="1"/>
    </xf>
    <xf numFmtId="3" fontId="6" fillId="34" borderId="11" xfId="59" applyNumberFormat="1" applyFont="1" applyFill="1" applyBorder="1" applyAlignment="1">
      <alignment vertical="center"/>
      <protection/>
    </xf>
    <xf numFmtId="3" fontId="7" fillId="0" borderId="11" xfId="59" applyNumberFormat="1" applyFont="1" applyBorder="1" applyAlignment="1">
      <alignment vertical="center"/>
      <protection/>
    </xf>
    <xf numFmtId="0" fontId="7" fillId="0" borderId="11" xfId="59" applyFont="1" applyBorder="1" applyAlignment="1">
      <alignment vertical="center"/>
      <protection/>
    </xf>
    <xf numFmtId="0" fontId="11" fillId="37" borderId="11" xfId="59" applyFont="1" applyFill="1" applyBorder="1" applyAlignment="1">
      <alignment vertical="center"/>
      <protection/>
    </xf>
    <xf numFmtId="3" fontId="19" fillId="0" borderId="11" xfId="59" applyNumberFormat="1" applyFont="1" applyBorder="1" applyAlignment="1">
      <alignment vertical="center"/>
      <protection/>
    </xf>
    <xf numFmtId="0" fontId="8" fillId="0" borderId="11" xfId="0" applyFont="1" applyBorder="1" applyAlignment="1">
      <alignment horizontal="left" vertical="center"/>
    </xf>
    <xf numFmtId="0" fontId="7" fillId="0" borderId="0" xfId="59" applyFont="1">
      <alignment/>
      <protection/>
    </xf>
    <xf numFmtId="0" fontId="39" fillId="0" borderId="0" xfId="59" applyFont="1">
      <alignment/>
      <protection/>
    </xf>
    <xf numFmtId="0" fontId="13" fillId="0" borderId="0" xfId="59" applyFont="1" applyBorder="1" applyAlignment="1">
      <alignment horizontal="right"/>
      <protection/>
    </xf>
    <xf numFmtId="14" fontId="10" fillId="37" borderId="30" xfId="70" applyNumberFormat="1" applyFont="1" applyFill="1" applyBorder="1" applyAlignment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14" fontId="10" fillId="37" borderId="31" xfId="70" applyNumberFormat="1" applyFont="1" applyFill="1" applyBorder="1" applyAlignment="1">
      <alignment horizontal="center" vertical="center" wrapText="1"/>
      <protection/>
    </xf>
    <xf numFmtId="0" fontId="13" fillId="0" borderId="32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7" fillId="0" borderId="34" xfId="0" applyFont="1" applyBorder="1" applyAlignment="1">
      <alignment horizontal="left" vertical="center" wrapText="1"/>
    </xf>
    <xf numFmtId="3" fontId="15" fillId="0" borderId="33" xfId="59" applyNumberFormat="1" applyFont="1" applyBorder="1" applyAlignment="1">
      <alignment vertical="center" wrapText="1"/>
      <protection/>
    </xf>
    <xf numFmtId="3" fontId="15" fillId="0" borderId="35" xfId="59" applyNumberFormat="1" applyFont="1" applyBorder="1" applyAlignment="1">
      <alignment vertical="center" wrapText="1"/>
      <protection/>
    </xf>
    <xf numFmtId="3" fontId="9" fillId="0" borderId="33" xfId="59" applyNumberFormat="1" applyFont="1" applyBorder="1" applyAlignment="1">
      <alignment vertical="center" wrapText="1"/>
      <protection/>
    </xf>
    <xf numFmtId="3" fontId="9" fillId="0" borderId="34" xfId="59" applyNumberFormat="1" applyFont="1" applyBorder="1" applyAlignment="1">
      <alignment vertical="center" wrapText="1"/>
      <protection/>
    </xf>
    <xf numFmtId="3" fontId="9" fillId="37" borderId="36" xfId="59" applyNumberFormat="1" applyFont="1" applyFill="1" applyBorder="1" applyAlignment="1">
      <alignment vertical="center" wrapText="1"/>
      <protection/>
    </xf>
    <xf numFmtId="3" fontId="9" fillId="37" borderId="33" xfId="59" applyNumberFormat="1" applyFont="1" applyFill="1" applyBorder="1" applyAlignment="1">
      <alignment vertical="center" wrapText="1"/>
      <protection/>
    </xf>
    <xf numFmtId="3" fontId="9" fillId="37" borderId="35" xfId="59" applyNumberFormat="1" applyFont="1" applyFill="1" applyBorder="1" applyAlignment="1">
      <alignment vertical="center" wrapText="1"/>
      <protection/>
    </xf>
    <xf numFmtId="0" fontId="13" fillId="0" borderId="37" xfId="59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left" vertical="center" wrapText="1"/>
    </xf>
    <xf numFmtId="3" fontId="9" fillId="0" borderId="11" xfId="59" applyNumberFormat="1" applyFont="1" applyBorder="1" applyAlignment="1">
      <alignment vertical="center" wrapText="1"/>
      <protection/>
    </xf>
    <xf numFmtId="3" fontId="9" fillId="0" borderId="38" xfId="59" applyNumberFormat="1" applyFont="1" applyBorder="1" applyAlignment="1">
      <alignment vertical="center" wrapText="1"/>
      <protection/>
    </xf>
    <xf numFmtId="3" fontId="9" fillId="0" borderId="13" xfId="59" applyNumberFormat="1" applyFont="1" applyBorder="1" applyAlignment="1">
      <alignment vertical="center" wrapText="1"/>
      <protection/>
    </xf>
    <xf numFmtId="3" fontId="9" fillId="37" borderId="16" xfId="59" applyNumberFormat="1" applyFont="1" applyFill="1" applyBorder="1" applyAlignment="1">
      <alignment vertical="center" wrapText="1"/>
      <protection/>
    </xf>
    <xf numFmtId="3" fontId="9" fillId="37" borderId="11" xfId="59" applyNumberFormat="1" applyFont="1" applyFill="1" applyBorder="1" applyAlignment="1">
      <alignment vertical="center" wrapText="1"/>
      <protection/>
    </xf>
    <xf numFmtId="3" fontId="9" fillId="37" borderId="38" xfId="59" applyNumberFormat="1" applyFont="1" applyFill="1" applyBorder="1" applyAlignment="1">
      <alignment vertical="center" wrapText="1"/>
      <protection/>
    </xf>
    <xf numFmtId="0" fontId="14" fillId="0" borderId="11" xfId="59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 wrapText="1"/>
    </xf>
    <xf numFmtId="3" fontId="10" fillId="0" borderId="11" xfId="59" applyNumberFormat="1" applyFont="1" applyBorder="1" applyAlignment="1">
      <alignment vertical="center" wrapText="1"/>
      <protection/>
    </xf>
    <xf numFmtId="3" fontId="10" fillId="0" borderId="38" xfId="59" applyNumberFormat="1" applyFont="1" applyBorder="1" applyAlignment="1">
      <alignment vertical="center" wrapText="1"/>
      <protection/>
    </xf>
    <xf numFmtId="3" fontId="10" fillId="0" borderId="13" xfId="59" applyNumberFormat="1" applyFont="1" applyBorder="1" applyAlignment="1">
      <alignment vertical="center" wrapText="1"/>
      <protection/>
    </xf>
    <xf numFmtId="3" fontId="10" fillId="37" borderId="16" xfId="59" applyNumberFormat="1" applyFont="1" applyFill="1" applyBorder="1" applyAlignment="1">
      <alignment vertical="center" wrapText="1"/>
      <protection/>
    </xf>
    <xf numFmtId="3" fontId="10" fillId="37" borderId="11" xfId="59" applyNumberFormat="1" applyFont="1" applyFill="1" applyBorder="1" applyAlignment="1">
      <alignment vertical="center" wrapText="1"/>
      <protection/>
    </xf>
    <xf numFmtId="3" fontId="10" fillId="37" borderId="38" xfId="59" applyNumberFormat="1" applyFont="1" applyFill="1" applyBorder="1" applyAlignment="1">
      <alignment vertical="center" wrapText="1"/>
      <protection/>
    </xf>
    <xf numFmtId="0" fontId="14" fillId="37" borderId="39" xfId="59" applyFont="1" applyFill="1" applyBorder="1" applyAlignment="1">
      <alignment horizontal="center" vertical="center" wrapText="1"/>
      <protection/>
    </xf>
    <xf numFmtId="0" fontId="8" fillId="37" borderId="40" xfId="0" applyFont="1" applyFill="1" applyBorder="1" applyAlignment="1">
      <alignment horizontal="left" vertical="center" wrapText="1"/>
    </xf>
    <xf numFmtId="3" fontId="10" fillId="37" borderId="39" xfId="59" applyNumberFormat="1" applyFont="1" applyFill="1" applyBorder="1" applyAlignment="1">
      <alignment vertical="center" wrapText="1"/>
      <protection/>
    </xf>
    <xf numFmtId="3" fontId="10" fillId="37" borderId="41" xfId="59" applyNumberFormat="1" applyFont="1" applyFill="1" applyBorder="1" applyAlignment="1">
      <alignment vertical="center" wrapText="1"/>
      <protection/>
    </xf>
    <xf numFmtId="3" fontId="10" fillId="37" borderId="42" xfId="59" applyNumberFormat="1" applyFont="1" applyFill="1" applyBorder="1" applyAlignment="1">
      <alignment vertical="center" wrapText="1"/>
      <protection/>
    </xf>
    <xf numFmtId="0" fontId="1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 vertical="center"/>
    </xf>
    <xf numFmtId="3" fontId="4" fillId="0" borderId="11" xfId="70" applyNumberFormat="1" applyFont="1" applyBorder="1" applyAlignment="1">
      <alignment vertical="center"/>
      <protection/>
    </xf>
    <xf numFmtId="3" fontId="4" fillId="37" borderId="11" xfId="70" applyNumberFormat="1" applyFont="1" applyFill="1" applyBorder="1" applyAlignment="1">
      <alignment vertical="center"/>
      <protection/>
    </xf>
    <xf numFmtId="3" fontId="6" fillId="37" borderId="11" xfId="7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2" fillId="38" borderId="11" xfId="0" applyNumberFormat="1" applyFont="1" applyFill="1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16" fontId="18" fillId="0" borderId="11" xfId="0" applyNumberFormat="1" applyFont="1" applyBorder="1" applyAlignment="1">
      <alignment vertical="distributed"/>
    </xf>
    <xf numFmtId="0" fontId="2" fillId="0" borderId="11" xfId="0" applyFont="1" applyBorder="1" applyAlignment="1">
      <alignment vertical="distributed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3" fontId="29" fillId="37" borderId="11" xfId="0" applyNumberFormat="1" applyFont="1" applyFill="1" applyBorder="1" applyAlignment="1">
      <alignment horizontal="right" vertical="center"/>
    </xf>
    <xf numFmtId="0" fontId="29" fillId="37" borderId="11" xfId="0" applyFont="1" applyFill="1" applyBorder="1" applyAlignment="1">
      <alignment horizontal="left" vertical="center"/>
    </xf>
    <xf numFmtId="0" fontId="41" fillId="37" borderId="11" xfId="0" applyFont="1" applyFill="1" applyBorder="1" applyAlignment="1">
      <alignment horizontal="left" vertical="center"/>
    </xf>
    <xf numFmtId="3" fontId="2" fillId="37" borderId="11" xfId="0" applyNumberFormat="1" applyFont="1" applyFill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" fontId="29" fillId="0" borderId="11" xfId="0" applyNumberFormat="1" applyFont="1" applyBorder="1" applyAlignment="1">
      <alignment vertical="center"/>
    </xf>
    <xf numFmtId="49" fontId="29" fillId="0" borderId="11" xfId="0" applyNumberFormat="1" applyFont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right" vertical="center"/>
    </xf>
    <xf numFmtId="0" fontId="29" fillId="0" borderId="37" xfId="0" applyFont="1" applyBorder="1" applyAlignment="1">
      <alignment horizontal="center" vertical="center"/>
    </xf>
    <xf numFmtId="3" fontId="6" fillId="0" borderId="11" xfId="70" applyNumberFormat="1" applyFont="1" applyBorder="1" applyAlignment="1">
      <alignment vertical="center"/>
      <protection/>
    </xf>
    <xf numFmtId="0" fontId="1" fillId="0" borderId="14" xfId="0" applyFont="1" applyBorder="1" applyAlignment="1">
      <alignment horizontal="left" vertical="center"/>
    </xf>
    <xf numFmtId="0" fontId="7" fillId="0" borderId="0" xfId="68" applyNumberFormat="1" applyFont="1" applyFill="1" applyBorder="1" applyAlignment="1" applyProtection="1">
      <alignment vertical="top"/>
      <protection/>
    </xf>
    <xf numFmtId="0" fontId="42" fillId="0" borderId="0" xfId="68" applyNumberFormat="1" applyFont="1" applyFill="1" applyBorder="1" applyAlignment="1" applyProtection="1">
      <alignment vertical="top"/>
      <protection/>
    </xf>
    <xf numFmtId="0" fontId="4" fillId="0" borderId="0" xfId="68" applyNumberFormat="1" applyFont="1" applyFill="1" applyBorder="1" applyAlignment="1" applyProtection="1">
      <alignment vertical="top"/>
      <protection/>
    </xf>
    <xf numFmtId="3" fontId="43" fillId="0" borderId="11" xfId="68" applyNumberFormat="1" applyFont="1" applyFill="1" applyBorder="1" applyAlignment="1" applyProtection="1">
      <alignment horizontal="right" vertical="center" wrapText="1"/>
      <protection/>
    </xf>
    <xf numFmtId="3" fontId="44" fillId="0" borderId="11" xfId="68" applyNumberFormat="1" applyFont="1" applyFill="1" applyBorder="1" applyAlignment="1" applyProtection="1">
      <alignment horizontal="right" vertical="center" wrapText="1"/>
      <protection/>
    </xf>
    <xf numFmtId="0" fontId="44" fillId="0" borderId="11" xfId="68" applyNumberFormat="1" applyFont="1" applyFill="1" applyBorder="1" applyAlignment="1" applyProtection="1">
      <alignment horizontal="left" vertical="center" wrapText="1"/>
      <protection/>
    </xf>
    <xf numFmtId="0" fontId="44" fillId="0" borderId="11" xfId="68" applyNumberFormat="1" applyFont="1" applyFill="1" applyBorder="1" applyAlignment="1" applyProtection="1">
      <alignment horizontal="center"/>
      <protection/>
    </xf>
    <xf numFmtId="3" fontId="43" fillId="34" borderId="11" xfId="68" applyNumberFormat="1" applyFont="1" applyFill="1" applyBorder="1" applyAlignment="1" applyProtection="1">
      <alignment horizontal="right" vertical="center" wrapText="1"/>
      <protection/>
    </xf>
    <xf numFmtId="0" fontId="43" fillId="34" borderId="11" xfId="68" applyNumberFormat="1" applyFont="1" applyFill="1" applyBorder="1" applyAlignment="1" applyProtection="1">
      <alignment horizontal="left" vertical="center" wrapText="1"/>
      <protection/>
    </xf>
    <xf numFmtId="0" fontId="43" fillId="0" borderId="11" xfId="68" applyNumberFormat="1" applyFont="1" applyFill="1" applyBorder="1" applyAlignment="1" applyProtection="1">
      <alignment horizontal="center"/>
      <protection/>
    </xf>
    <xf numFmtId="3" fontId="43" fillId="37" borderId="11" xfId="68" applyNumberFormat="1" applyFont="1" applyFill="1" applyBorder="1" applyAlignment="1" applyProtection="1">
      <alignment horizontal="right" vertical="center" wrapText="1"/>
      <protection/>
    </xf>
    <xf numFmtId="0" fontId="43" fillId="37" borderId="11" xfId="68" applyNumberFormat="1" applyFont="1" applyFill="1" applyBorder="1" applyAlignment="1" applyProtection="1">
      <alignment horizontal="left" vertical="center" wrapText="1"/>
      <protection/>
    </xf>
    <xf numFmtId="0" fontId="44" fillId="0" borderId="11" xfId="68" applyNumberFormat="1" applyFont="1" applyFill="1" applyBorder="1" applyAlignment="1" applyProtection="1">
      <alignment horizontal="center" vertical="center"/>
      <protection/>
    </xf>
    <xf numFmtId="0" fontId="43" fillId="0" borderId="11" xfId="68" applyNumberFormat="1" applyFont="1" applyFill="1" applyBorder="1" applyAlignment="1" applyProtection="1">
      <alignment horizontal="left" vertical="center" wrapText="1"/>
      <protection/>
    </xf>
    <xf numFmtId="0" fontId="44" fillId="37" borderId="11" xfId="68" applyNumberFormat="1" applyFont="1" applyFill="1" applyBorder="1" applyAlignment="1" applyProtection="1">
      <alignment horizontal="center" vertical="center" wrapText="1"/>
      <protection/>
    </xf>
    <xf numFmtId="0" fontId="44" fillId="0" borderId="11" xfId="68" applyNumberFormat="1" applyFont="1" applyFill="1" applyBorder="1" applyAlignment="1" applyProtection="1">
      <alignment horizontal="center" vertical="top"/>
      <protection/>
    </xf>
    <xf numFmtId="16" fontId="2" fillId="0" borderId="11" xfId="0" applyNumberFormat="1" applyFont="1" applyBorder="1" applyAlignment="1">
      <alignment vertical="center"/>
    </xf>
    <xf numFmtId="3" fontId="19" fillId="37" borderId="11" xfId="70" applyNumberFormat="1" applyFont="1" applyFill="1" applyBorder="1" applyAlignment="1">
      <alignment vertical="center"/>
      <protection/>
    </xf>
    <xf numFmtId="3" fontId="9" fillId="0" borderId="11" xfId="63" applyNumberFormat="1" applyFont="1" applyBorder="1" applyAlignment="1">
      <alignment horizontal="right" vertical="center"/>
      <protection/>
    </xf>
    <xf numFmtId="3" fontId="10" fillId="0" borderId="11" xfId="63" applyNumberFormat="1" applyFont="1" applyBorder="1" applyAlignment="1">
      <alignment horizontal="right" vertical="center"/>
      <protection/>
    </xf>
    <xf numFmtId="49" fontId="9" fillId="32" borderId="11" xfId="63" applyNumberFormat="1" applyFont="1" applyFill="1" applyBorder="1" applyAlignment="1">
      <alignment horizontal="center"/>
      <protection/>
    </xf>
    <xf numFmtId="3" fontId="10" fillId="32" borderId="11" xfId="63" applyNumberFormat="1" applyFont="1" applyFill="1" applyBorder="1" applyAlignment="1">
      <alignment horizontal="right" vertical="center"/>
      <protection/>
    </xf>
    <xf numFmtId="3" fontId="17" fillId="0" borderId="11" xfId="63" applyNumberFormat="1" applyFont="1" applyBorder="1" applyAlignment="1">
      <alignment horizontal="right" vertical="center"/>
      <protection/>
    </xf>
    <xf numFmtId="0" fontId="9" fillId="32" borderId="11" xfId="63" applyFont="1" applyFill="1" applyBorder="1" applyAlignment="1">
      <alignment horizontal="center"/>
      <protection/>
    </xf>
    <xf numFmtId="3" fontId="7" fillId="0" borderId="11" xfId="63" applyNumberFormat="1" applyBorder="1" applyAlignment="1">
      <alignment horizontal="right" vertical="center"/>
      <protection/>
    </xf>
    <xf numFmtId="0" fontId="10" fillId="34" borderId="11" xfId="63" applyFont="1" applyFill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/>
      <protection/>
    </xf>
    <xf numFmtId="3" fontId="9" fillId="0" borderId="11" xfId="60" applyNumberFormat="1" applyFont="1" applyBorder="1" applyAlignment="1">
      <alignment horizontal="right" vertical="center"/>
      <protection/>
    </xf>
    <xf numFmtId="3" fontId="10" fillId="0" borderId="11" xfId="60" applyNumberFormat="1" applyFont="1" applyBorder="1" applyAlignment="1">
      <alignment horizontal="right" vertical="center"/>
      <protection/>
    </xf>
    <xf numFmtId="0" fontId="17" fillId="0" borderId="11" xfId="60" applyFont="1" applyBorder="1" applyAlignment="1">
      <alignment horizontal="left"/>
      <protection/>
    </xf>
    <xf numFmtId="3" fontId="10" fillId="33" borderId="11" xfId="60" applyNumberFormat="1" applyFont="1" applyFill="1" applyBorder="1" applyAlignment="1">
      <alignment horizontal="right" vertical="center"/>
      <protection/>
    </xf>
    <xf numFmtId="0" fontId="10" fillId="34" borderId="11" xfId="60" applyFont="1" applyFill="1" applyBorder="1" applyAlignment="1">
      <alignment horizontal="center"/>
      <protection/>
    </xf>
    <xf numFmtId="3" fontId="10" fillId="34" borderId="11" xfId="60" applyNumberFormat="1" applyFont="1" applyFill="1" applyBorder="1" applyAlignment="1">
      <alignment horizontal="right" vertical="center"/>
      <protection/>
    </xf>
    <xf numFmtId="0" fontId="7" fillId="0" borderId="0" xfId="63" applyFill="1">
      <alignment/>
      <protection/>
    </xf>
    <xf numFmtId="49" fontId="9" fillId="0" borderId="0" xfId="63" applyNumberFormat="1" applyFont="1" applyFill="1" applyBorder="1" applyAlignment="1">
      <alignment horizontal="center"/>
      <protection/>
    </xf>
    <xf numFmtId="0" fontId="10" fillId="0" borderId="0" xfId="63" applyFont="1" applyFill="1" applyBorder="1" applyAlignment="1">
      <alignment horizontal="left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0" fontId="9" fillId="0" borderId="11" xfId="63" applyFont="1" applyBorder="1">
      <alignment/>
      <protection/>
    </xf>
    <xf numFmtId="49" fontId="9" fillId="32" borderId="11" xfId="63" applyNumberFormat="1" applyFont="1" applyFill="1" applyBorder="1" applyAlignment="1">
      <alignment horizontal="center" vertical="center"/>
      <protection/>
    </xf>
    <xf numFmtId="49" fontId="10" fillId="32" borderId="11" xfId="63" applyNumberFormat="1" applyFont="1" applyFill="1" applyBorder="1" applyAlignment="1">
      <alignment horizontal="distributed" vertical="distributed"/>
      <protection/>
    </xf>
    <xf numFmtId="0" fontId="6" fillId="32" borderId="11" xfId="63" applyFont="1" applyFill="1" applyBorder="1" applyAlignment="1">
      <alignment horizontal="left"/>
      <protection/>
    </xf>
    <xf numFmtId="3" fontId="17" fillId="32" borderId="11" xfId="63" applyNumberFormat="1" applyFont="1" applyFill="1" applyBorder="1" applyAlignment="1">
      <alignment horizontal="right" vertical="center"/>
      <protection/>
    </xf>
    <xf numFmtId="3" fontId="10" fillId="33" borderId="11" xfId="60" applyNumberFormat="1" applyFont="1" applyFill="1" applyBorder="1" applyAlignment="1">
      <alignment horizontal="right" vertical="center" wrapText="1"/>
      <protection/>
    </xf>
    <xf numFmtId="0" fontId="17" fillId="34" borderId="11" xfId="60" applyFont="1" applyFill="1" applyBorder="1" applyAlignment="1">
      <alignment horizontal="left"/>
      <protection/>
    </xf>
    <xf numFmtId="0" fontId="10" fillId="32" borderId="11" xfId="60" applyFont="1" applyFill="1" applyBorder="1" applyAlignment="1">
      <alignment horizontal="left"/>
      <protection/>
    </xf>
    <xf numFmtId="0" fontId="10" fillId="32" borderId="0" xfId="61" applyFont="1" applyFill="1" applyBorder="1" applyAlignment="1">
      <alignment horizontal="center" vertical="center"/>
      <protection/>
    </xf>
    <xf numFmtId="3" fontId="10" fillId="0" borderId="43" xfId="61" applyNumberFormat="1" applyFont="1" applyFill="1" applyBorder="1">
      <alignment/>
      <protection/>
    </xf>
    <xf numFmtId="0" fontId="9" fillId="0" borderId="11" xfId="0" applyFont="1" applyBorder="1" applyAlignment="1">
      <alignment/>
    </xf>
    <xf numFmtId="3" fontId="10" fillId="0" borderId="29" xfId="61" applyNumberFormat="1" applyFont="1" applyFill="1" applyBorder="1">
      <alignment/>
      <protection/>
    </xf>
    <xf numFmtId="3" fontId="9" fillId="0" borderId="19" xfId="56" applyNumberFormat="1" applyFont="1" applyFill="1" applyBorder="1" applyAlignment="1">
      <alignment horizontal="center" vertical="center"/>
      <protection/>
    </xf>
    <xf numFmtId="4" fontId="9" fillId="0" borderId="19" xfId="56" applyNumberFormat="1" applyFont="1" applyFill="1" applyBorder="1" applyAlignment="1">
      <alignment vertical="center"/>
      <protection/>
    </xf>
    <xf numFmtId="3" fontId="9" fillId="0" borderId="20" xfId="56" applyNumberFormat="1" applyFont="1" applyFill="1" applyBorder="1" applyAlignment="1">
      <alignment vertical="center"/>
      <protection/>
    </xf>
    <xf numFmtId="3" fontId="9" fillId="0" borderId="29" xfId="56" applyNumberFormat="1" applyFont="1" applyFill="1" applyBorder="1" applyAlignment="1">
      <alignment vertical="center"/>
      <protection/>
    </xf>
    <xf numFmtId="3" fontId="9" fillId="0" borderId="11" xfId="56" applyNumberFormat="1" applyFont="1" applyFill="1" applyBorder="1" applyAlignment="1">
      <alignment vertical="center"/>
      <protection/>
    </xf>
    <xf numFmtId="3" fontId="9" fillId="0" borderId="19" xfId="56" applyNumberFormat="1" applyFont="1" applyFill="1" applyBorder="1" applyAlignment="1">
      <alignment vertical="center"/>
      <protection/>
    </xf>
    <xf numFmtId="0" fontId="8" fillId="39" borderId="19" xfId="56" applyFont="1" applyFill="1" applyBorder="1" applyAlignment="1">
      <alignment vertical="center"/>
      <protection/>
    </xf>
    <xf numFmtId="3" fontId="10" fillId="39" borderId="20" xfId="61" applyNumberFormat="1" applyFont="1" applyFill="1" applyBorder="1">
      <alignment/>
      <protection/>
    </xf>
    <xf numFmtId="3" fontId="10" fillId="39" borderId="29" xfId="61" applyNumberFormat="1" applyFont="1" applyFill="1" applyBorder="1">
      <alignment/>
      <protection/>
    </xf>
    <xf numFmtId="3" fontId="10" fillId="39" borderId="11" xfId="61" applyNumberFormat="1" applyFont="1" applyFill="1" applyBorder="1">
      <alignment/>
      <protection/>
    </xf>
    <xf numFmtId="166" fontId="9" fillId="0" borderId="19" xfId="61" applyNumberFormat="1" applyFont="1" applyFill="1" applyBorder="1">
      <alignment/>
      <protection/>
    </xf>
    <xf numFmtId="3" fontId="9" fillId="0" borderId="19" xfId="61" applyNumberFormat="1" applyFont="1" applyFill="1" applyBorder="1">
      <alignment/>
      <protection/>
    </xf>
    <xf numFmtId="3" fontId="9" fillId="0" borderId="20" xfId="61" applyNumberFormat="1" applyFont="1" applyFill="1" applyBorder="1">
      <alignment/>
      <protection/>
    </xf>
    <xf numFmtId="3" fontId="9" fillId="0" borderId="29" xfId="61" applyNumberFormat="1" applyFont="1" applyFill="1" applyBorder="1">
      <alignment/>
      <protection/>
    </xf>
    <xf numFmtId="3" fontId="9" fillId="0" borderId="11" xfId="61" applyNumberFormat="1" applyFont="1" applyFill="1" applyBorder="1">
      <alignment/>
      <protection/>
    </xf>
    <xf numFmtId="3" fontId="9" fillId="0" borderId="27" xfId="56" applyNumberFormat="1" applyFont="1" applyFill="1" applyBorder="1" applyAlignment="1">
      <alignment vertical="center"/>
      <protection/>
    </xf>
    <xf numFmtId="3" fontId="9" fillId="0" borderId="44" xfId="61" applyNumberFormat="1" applyFont="1" applyFill="1" applyBorder="1">
      <alignment/>
      <protection/>
    </xf>
    <xf numFmtId="3" fontId="9" fillId="0" borderId="45" xfId="61" applyNumberFormat="1" applyFont="1" applyFill="1" applyBorder="1">
      <alignment/>
      <protection/>
    </xf>
    <xf numFmtId="0" fontId="8" fillId="39" borderId="11" xfId="56" applyFont="1" applyFill="1" applyBorder="1" applyAlignment="1">
      <alignment vertical="center"/>
      <protection/>
    </xf>
    <xf numFmtId="3" fontId="10" fillId="39" borderId="13" xfId="61" applyNumberFormat="1" applyFont="1" applyFill="1" applyBorder="1">
      <alignment/>
      <protection/>
    </xf>
    <xf numFmtId="3" fontId="10" fillId="0" borderId="14" xfId="61" applyNumberFormat="1" applyFont="1" applyFill="1" applyBorder="1">
      <alignment/>
      <protection/>
    </xf>
    <xf numFmtId="3" fontId="9" fillId="0" borderId="13" xfId="61" applyNumberFormat="1" applyFont="1" applyFill="1" applyBorder="1">
      <alignment/>
      <protection/>
    </xf>
    <xf numFmtId="166" fontId="9" fillId="0" borderId="46" xfId="56" applyNumberFormat="1" applyFont="1" applyBorder="1" applyAlignment="1">
      <alignment vertical="center"/>
      <protection/>
    </xf>
    <xf numFmtId="4" fontId="9" fillId="0" borderId="46" xfId="56" applyNumberFormat="1" applyFont="1" applyFill="1" applyBorder="1" applyAlignment="1">
      <alignment vertical="center"/>
      <protection/>
    </xf>
    <xf numFmtId="3" fontId="9" fillId="0" borderId="46" xfId="56" applyNumberFormat="1" applyFont="1" applyFill="1" applyBorder="1" applyAlignment="1">
      <alignment vertical="center"/>
      <protection/>
    </xf>
    <xf numFmtId="3" fontId="9" fillId="0" borderId="47" xfId="56" applyNumberFormat="1" applyFont="1" applyFill="1" applyBorder="1" applyAlignment="1">
      <alignment vertical="center"/>
      <protection/>
    </xf>
    <xf numFmtId="0" fontId="7" fillId="0" borderId="46" xfId="56" applyFont="1" applyBorder="1" applyAlignment="1">
      <alignment vertical="center"/>
      <protection/>
    </xf>
    <xf numFmtId="3" fontId="9" fillId="0" borderId="10" xfId="61" applyNumberFormat="1" applyFont="1" applyFill="1" applyBorder="1">
      <alignment/>
      <protection/>
    </xf>
    <xf numFmtId="0" fontId="9" fillId="0" borderId="10" xfId="67" applyFont="1" applyBorder="1">
      <alignment/>
      <protection/>
    </xf>
    <xf numFmtId="0" fontId="7" fillId="0" borderId="44" xfId="56" applyFont="1" applyBorder="1" applyAlignment="1">
      <alignment vertical="center"/>
      <protection/>
    </xf>
    <xf numFmtId="3" fontId="9" fillId="0" borderId="13" xfId="56" applyNumberFormat="1" applyFont="1" applyFill="1" applyBorder="1" applyAlignment="1">
      <alignment vertical="center"/>
      <protection/>
    </xf>
    <xf numFmtId="166" fontId="10" fillId="39" borderId="11" xfId="61" applyNumberFormat="1" applyFont="1" applyFill="1" applyBorder="1">
      <alignment/>
      <protection/>
    </xf>
    <xf numFmtId="0" fontId="10" fillId="39" borderId="11" xfId="67" applyFont="1" applyFill="1" applyBorder="1">
      <alignment/>
      <protection/>
    </xf>
    <xf numFmtId="3" fontId="10" fillId="39" borderId="11" xfId="56" applyNumberFormat="1" applyFont="1" applyFill="1" applyBorder="1" applyAlignment="1">
      <alignment vertical="center"/>
      <protection/>
    </xf>
    <xf numFmtId="3" fontId="10" fillId="39" borderId="13" xfId="56" applyNumberFormat="1" applyFont="1" applyFill="1" applyBorder="1" applyAlignment="1">
      <alignment vertical="center"/>
      <protection/>
    </xf>
    <xf numFmtId="3" fontId="10" fillId="0" borderId="13" xfId="56" applyNumberFormat="1" applyFont="1" applyFill="1" applyBorder="1" applyAlignment="1">
      <alignment vertical="center"/>
      <protection/>
    </xf>
    <xf numFmtId="3" fontId="10" fillId="32" borderId="13" xfId="56" applyNumberFormat="1" applyFont="1" applyFill="1" applyBorder="1" applyAlignment="1">
      <alignment vertical="center"/>
      <protection/>
    </xf>
    <xf numFmtId="0" fontId="9" fillId="0" borderId="11" xfId="67" applyFont="1" applyBorder="1">
      <alignment/>
      <protection/>
    </xf>
    <xf numFmtId="0" fontId="8" fillId="32" borderId="11" xfId="56" applyFont="1" applyFill="1" applyBorder="1" applyAlignment="1">
      <alignment vertical="center"/>
      <protection/>
    </xf>
    <xf numFmtId="3" fontId="10" fillId="32" borderId="13" xfId="61" applyNumberFormat="1" applyFont="1" applyFill="1" applyBorder="1">
      <alignment/>
      <protection/>
    </xf>
    <xf numFmtId="0" fontId="9" fillId="32" borderId="11" xfId="67" applyFont="1" applyFill="1" applyBorder="1">
      <alignment/>
      <protection/>
    </xf>
    <xf numFmtId="3" fontId="10" fillId="32" borderId="11" xfId="67" applyNumberFormat="1" applyFont="1" applyFill="1" applyBorder="1">
      <alignment/>
      <protection/>
    </xf>
    <xf numFmtId="3" fontId="10" fillId="32" borderId="13" xfId="67" applyNumberFormat="1" applyFont="1" applyFill="1" applyBorder="1">
      <alignment/>
      <protection/>
    </xf>
    <xf numFmtId="0" fontId="10" fillId="32" borderId="21" xfId="61" applyFont="1" applyFill="1" applyBorder="1" applyAlignment="1">
      <alignment horizontal="right" vertical="center" wrapText="1"/>
      <protection/>
    </xf>
    <xf numFmtId="0" fontId="9" fillId="0" borderId="13" xfId="0" applyFont="1" applyBorder="1" applyAlignment="1">
      <alignment/>
    </xf>
    <xf numFmtId="3" fontId="10" fillId="0" borderId="13" xfId="61" applyNumberFormat="1" applyFont="1" applyFill="1" applyBorder="1">
      <alignment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right" vertical="center" wrapText="1"/>
      <protection/>
    </xf>
    <xf numFmtId="0" fontId="10" fillId="0" borderId="0" xfId="61" applyFont="1" applyFill="1" applyBorder="1" applyAlignment="1">
      <alignment horizontal="right" vertical="center"/>
      <protection/>
    </xf>
    <xf numFmtId="3" fontId="10" fillId="0" borderId="0" xfId="61" applyNumberFormat="1" applyFont="1" applyFill="1" applyBorder="1">
      <alignment/>
      <protection/>
    </xf>
    <xf numFmtId="4" fontId="10" fillId="0" borderId="0" xfId="61" applyNumberFormat="1" applyFont="1" applyFill="1" applyBorder="1">
      <alignment/>
      <protection/>
    </xf>
    <xf numFmtId="3" fontId="9" fillId="0" borderId="0" xfId="56" applyNumberFormat="1" applyFont="1" applyFill="1" applyBorder="1" applyAlignment="1">
      <alignment horizontal="center" vertical="center"/>
      <protection/>
    </xf>
    <xf numFmtId="4" fontId="9" fillId="0" borderId="0" xfId="56" applyNumberFormat="1" applyFont="1" applyFill="1" applyBorder="1" applyAlignment="1">
      <alignment vertical="center"/>
      <protection/>
    </xf>
    <xf numFmtId="3" fontId="9" fillId="0" borderId="0" xfId="56" applyNumberFormat="1" applyFont="1" applyFill="1" applyBorder="1" applyAlignment="1">
      <alignment vertical="center"/>
      <protection/>
    </xf>
    <xf numFmtId="3" fontId="10" fillId="0" borderId="0" xfId="56" applyNumberFormat="1" applyFont="1" applyFill="1" applyBorder="1" applyAlignment="1">
      <alignment vertical="center"/>
      <protection/>
    </xf>
    <xf numFmtId="166" fontId="9" fillId="0" borderId="0" xfId="61" applyNumberFormat="1" applyFont="1" applyFill="1" applyBorder="1">
      <alignment/>
      <protection/>
    </xf>
    <xf numFmtId="3" fontId="9" fillId="0" borderId="0" xfId="61" applyNumberFormat="1" applyFont="1" applyFill="1" applyBorder="1">
      <alignment/>
      <protection/>
    </xf>
    <xf numFmtId="166" fontId="9" fillId="0" borderId="0" xfId="56" applyNumberFormat="1" applyFont="1" applyFill="1" applyBorder="1" applyAlignment="1">
      <alignment vertical="center"/>
      <protection/>
    </xf>
    <xf numFmtId="0" fontId="9" fillId="0" borderId="0" xfId="67" applyFont="1" applyFill="1" applyBorder="1">
      <alignment/>
      <protection/>
    </xf>
    <xf numFmtId="4" fontId="9" fillId="0" borderId="0" xfId="61" applyNumberFormat="1" applyFont="1" applyFill="1" applyBorder="1">
      <alignment/>
      <protection/>
    </xf>
    <xf numFmtId="4" fontId="9" fillId="0" borderId="0" xfId="61" applyNumberFormat="1" applyFont="1" applyFill="1" applyBorder="1">
      <alignment/>
      <protection/>
    </xf>
    <xf numFmtId="166" fontId="10" fillId="0" borderId="0" xfId="61" applyNumberFormat="1" applyFont="1" applyFill="1" applyBorder="1">
      <alignment/>
      <protection/>
    </xf>
    <xf numFmtId="0" fontId="10" fillId="0" borderId="0" xfId="67" applyFont="1" applyFill="1" applyBorder="1">
      <alignment/>
      <protection/>
    </xf>
    <xf numFmtId="0" fontId="10" fillId="32" borderId="11" xfId="61" applyFont="1" applyFill="1" applyBorder="1" applyAlignment="1">
      <alignment horizontal="center" vertical="center" wrapText="1"/>
      <protection/>
    </xf>
    <xf numFmtId="0" fontId="10" fillId="32" borderId="11" xfId="61" applyFont="1" applyFill="1" applyBorder="1" applyAlignment="1">
      <alignment horizontal="right" vertical="center" wrapText="1"/>
      <protection/>
    </xf>
    <xf numFmtId="166" fontId="9" fillId="0" borderId="11" xfId="56" applyNumberFormat="1" applyFont="1" applyBorder="1" applyAlignment="1">
      <alignment vertical="center"/>
      <protection/>
    </xf>
    <xf numFmtId="4" fontId="9" fillId="0" borderId="11" xfId="56" applyNumberFormat="1" applyFont="1" applyFill="1" applyBorder="1" applyAlignment="1">
      <alignment vertical="center"/>
      <protection/>
    </xf>
    <xf numFmtId="0" fontId="18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0" fillId="35" borderId="11" xfId="63" applyFont="1" applyFill="1" applyBorder="1" applyAlignment="1">
      <alignment horizontal="center" vertical="center" wrapText="1"/>
      <protection/>
    </xf>
    <xf numFmtId="3" fontId="10" fillId="32" borderId="11" xfId="63" applyNumberFormat="1" applyFont="1" applyFill="1" applyBorder="1" applyAlignment="1">
      <alignment/>
      <protection/>
    </xf>
    <xf numFmtId="0" fontId="0" fillId="32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right" vertical="distributed"/>
    </xf>
    <xf numFmtId="0" fontId="28" fillId="0" borderId="12" xfId="0" applyFont="1" applyFill="1" applyBorder="1" applyAlignment="1">
      <alignment horizontal="center" vertical="distributed"/>
    </xf>
    <xf numFmtId="0" fontId="28" fillId="0" borderId="11" xfId="0" applyFont="1" applyFill="1" applyBorder="1" applyAlignment="1">
      <alignment horizontal="center" vertical="distributed"/>
    </xf>
    <xf numFmtId="3" fontId="1" fillId="0" borderId="11" xfId="0" applyNumberFormat="1" applyFont="1" applyFill="1" applyBorder="1" applyAlignment="1">
      <alignment horizontal="right" vertical="distributed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32" borderId="11" xfId="72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2" borderId="11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27" fillId="32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distributed"/>
    </xf>
    <xf numFmtId="0" fontId="2" fillId="33" borderId="11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distributed"/>
    </xf>
    <xf numFmtId="3" fontId="1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3" fontId="1" fillId="40" borderId="11" xfId="0" applyNumberFormat="1" applyFont="1" applyFill="1" applyBorder="1" applyAlignment="1">
      <alignment horizontal="center" vertical="center"/>
    </xf>
    <xf numFmtId="0" fontId="0" fillId="38" borderId="11" xfId="0" applyFill="1" applyBorder="1" applyAlignment="1">
      <alignment/>
    </xf>
    <xf numFmtId="0" fontId="1" fillId="38" borderId="11" xfId="0" applyFont="1" applyFill="1" applyBorder="1" applyAlignment="1">
      <alignment horizontal="center" vertical="center"/>
    </xf>
    <xf numFmtId="3" fontId="1" fillId="38" borderId="11" xfId="0" applyNumberFormat="1" applyFont="1" applyFill="1" applyBorder="1" applyAlignment="1">
      <alignment horizontal="center" vertical="center"/>
    </xf>
    <xf numFmtId="3" fontId="1" fillId="38" borderId="13" xfId="0" applyNumberFormat="1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 vertical="center"/>
    </xf>
    <xf numFmtId="49" fontId="2" fillId="14" borderId="11" xfId="0" applyNumberFormat="1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 vertical="center"/>
    </xf>
    <xf numFmtId="3" fontId="1" fillId="14" borderId="11" xfId="0" applyNumberFormat="1" applyFont="1" applyFill="1" applyBorder="1" applyAlignment="1">
      <alignment horizontal="center" vertical="center"/>
    </xf>
    <xf numFmtId="0" fontId="4" fillId="0" borderId="12" xfId="69" applyFont="1" applyBorder="1">
      <alignment/>
      <protection/>
    </xf>
    <xf numFmtId="3" fontId="22" fillId="0" borderId="11" xfId="69" applyNumberFormat="1" applyFont="1" applyBorder="1">
      <alignment/>
      <protection/>
    </xf>
    <xf numFmtId="0" fontId="4" fillId="0" borderId="0" xfId="69" applyFill="1" applyBorder="1">
      <alignment/>
      <protection/>
    </xf>
    <xf numFmtId="0" fontId="6" fillId="34" borderId="14" xfId="69" applyFont="1" applyFill="1" applyBorder="1" applyAlignment="1">
      <alignment horizontal="center"/>
      <protection/>
    </xf>
    <xf numFmtId="0" fontId="6" fillId="0" borderId="14" xfId="69" applyFont="1" applyFill="1" applyBorder="1" applyAlignment="1">
      <alignment horizontal="right"/>
      <protection/>
    </xf>
    <xf numFmtId="0" fontId="4" fillId="0" borderId="13" xfId="69" applyBorder="1">
      <alignment/>
      <protection/>
    </xf>
    <xf numFmtId="3" fontId="4" fillId="0" borderId="13" xfId="69" applyNumberFormat="1" applyBorder="1">
      <alignment/>
      <protection/>
    </xf>
    <xf numFmtId="3" fontId="19" fillId="0" borderId="13" xfId="69" applyNumberFormat="1" applyFont="1" applyBorder="1">
      <alignment/>
      <protection/>
    </xf>
    <xf numFmtId="3" fontId="22" fillId="0" borderId="13" xfId="69" applyNumberFormat="1" applyFont="1" applyBorder="1">
      <alignment/>
      <protection/>
    </xf>
    <xf numFmtId="3" fontId="19" fillId="34" borderId="13" xfId="69" applyNumberFormat="1" applyFont="1" applyFill="1" applyBorder="1">
      <alignment/>
      <protection/>
    </xf>
    <xf numFmtId="3" fontId="6" fillId="0" borderId="13" xfId="69" applyNumberFormat="1" applyFont="1" applyBorder="1">
      <alignment/>
      <protection/>
    </xf>
    <xf numFmtId="0" fontId="6" fillId="0" borderId="0" xfId="69" applyFont="1" applyFill="1" applyBorder="1" applyAlignment="1">
      <alignment horizontal="center"/>
      <protection/>
    </xf>
    <xf numFmtId="0" fontId="6" fillId="0" borderId="0" xfId="69" applyFont="1" applyFill="1" applyBorder="1" applyAlignment="1">
      <alignment horizontal="right"/>
      <protection/>
    </xf>
    <xf numFmtId="3" fontId="4" fillId="0" borderId="0" xfId="69" applyNumberFormat="1" applyFill="1" applyBorder="1">
      <alignment/>
      <protection/>
    </xf>
    <xf numFmtId="3" fontId="19" fillId="0" borderId="0" xfId="69" applyNumberFormat="1" applyFont="1" applyFill="1" applyBorder="1">
      <alignment/>
      <protection/>
    </xf>
    <xf numFmtId="3" fontId="6" fillId="0" borderId="0" xfId="69" applyNumberFormat="1" applyFont="1" applyFill="1" applyBorder="1">
      <alignment/>
      <protection/>
    </xf>
    <xf numFmtId="0" fontId="6" fillId="0" borderId="10" xfId="69" applyFont="1" applyBorder="1">
      <alignment/>
      <protection/>
    </xf>
    <xf numFmtId="0" fontId="6" fillId="34" borderId="10" xfId="69" applyFont="1" applyFill="1" applyBorder="1">
      <alignment/>
      <protection/>
    </xf>
    <xf numFmtId="3" fontId="6" fillId="34" borderId="10" xfId="69" applyNumberFormat="1" applyFont="1" applyFill="1" applyBorder="1">
      <alignment/>
      <protection/>
    </xf>
    <xf numFmtId="3" fontId="6" fillId="34" borderId="48" xfId="69" applyNumberFormat="1" applyFont="1" applyFill="1" applyBorder="1">
      <alignment/>
      <protection/>
    </xf>
    <xf numFmtId="0" fontId="6" fillId="0" borderId="0" xfId="69" applyFont="1" applyFill="1" applyBorder="1">
      <alignment/>
      <protection/>
    </xf>
    <xf numFmtId="0" fontId="12" fillId="0" borderId="12" xfId="65" applyFont="1" applyFill="1" applyBorder="1" applyAlignment="1">
      <alignment vertical="center" wrapText="1"/>
      <protection/>
    </xf>
    <xf numFmtId="0" fontId="11" fillId="0" borderId="11" xfId="65" applyFont="1" applyBorder="1" applyAlignment="1">
      <alignment horizontal="left" vertical="distributed"/>
      <protection/>
    </xf>
    <xf numFmtId="0" fontId="7" fillId="0" borderId="11" xfId="62" applyFont="1" applyBorder="1" applyAlignment="1">
      <alignment vertical="distributed"/>
      <protection/>
    </xf>
    <xf numFmtId="0" fontId="11" fillId="0" borderId="11" xfId="65" applyFont="1" applyBorder="1" applyAlignment="1">
      <alignment horizontal="center"/>
      <protection/>
    </xf>
    <xf numFmtId="0" fontId="11" fillId="32" borderId="11" xfId="65" applyFont="1" applyFill="1" applyBorder="1">
      <alignment/>
      <protection/>
    </xf>
    <xf numFmtId="0" fontId="12" fillId="32" borderId="11" xfId="65" applyFont="1" applyFill="1" applyBorder="1" applyAlignment="1">
      <alignment horizontal="left" vertical="distributed"/>
      <protection/>
    </xf>
    <xf numFmtId="3" fontId="16" fillId="0" borderId="11" xfId="65" applyNumberFormat="1" applyFont="1" applyBorder="1">
      <alignment/>
      <protection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64" applyNumberFormat="1" applyFont="1" applyBorder="1" applyAlignment="1">
      <alignment vertical="distributed"/>
      <protection/>
    </xf>
    <xf numFmtId="3" fontId="12" fillId="0" borderId="11" xfId="65" applyNumberFormat="1" applyFont="1" applyFill="1" applyBorder="1" applyAlignment="1">
      <alignment horizontal="center" vertical="center"/>
      <protection/>
    </xf>
    <xf numFmtId="3" fontId="16" fillId="35" borderId="11" xfId="65" applyNumberFormat="1" applyFont="1" applyFill="1" applyBorder="1" applyAlignment="1">
      <alignment horizontal="right" vertical="center"/>
      <protection/>
    </xf>
    <xf numFmtId="3" fontId="15" fillId="0" borderId="11" xfId="65" applyNumberFormat="1" applyFont="1" applyFill="1" applyBorder="1">
      <alignment/>
      <protection/>
    </xf>
    <xf numFmtId="3" fontId="2" fillId="34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28" fillId="32" borderId="11" xfId="0" applyFont="1" applyFill="1" applyBorder="1" applyAlignment="1">
      <alignment horizontal="center" vertical="center" wrapText="1"/>
    </xf>
    <xf numFmtId="3" fontId="7" fillId="0" borderId="0" xfId="64" applyNumberFormat="1">
      <alignment/>
      <protection/>
    </xf>
    <xf numFmtId="0" fontId="29" fillId="0" borderId="1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35" borderId="0" xfId="0" applyFill="1" applyAlignment="1">
      <alignment/>
    </xf>
    <xf numFmtId="0" fontId="0" fillId="40" borderId="11" xfId="0" applyFont="1" applyFill="1" applyBorder="1" applyAlignment="1">
      <alignment/>
    </xf>
    <xf numFmtId="0" fontId="1" fillId="40" borderId="1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1" fillId="34" borderId="16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10" fillId="35" borderId="11" xfId="61" applyNumberFormat="1" applyFont="1" applyFill="1" applyBorder="1">
      <alignment/>
      <protection/>
    </xf>
    <xf numFmtId="3" fontId="10" fillId="35" borderId="13" xfId="61" applyNumberFormat="1" applyFont="1" applyFill="1" applyBorder="1">
      <alignment/>
      <protection/>
    </xf>
    <xf numFmtId="0" fontId="9" fillId="35" borderId="11" xfId="0" applyFont="1" applyFill="1" applyBorder="1" applyAlignment="1">
      <alignment/>
    </xf>
    <xf numFmtId="0" fontId="10" fillId="35" borderId="11" xfId="61" applyFont="1" applyFill="1" applyBorder="1" applyAlignment="1">
      <alignment horizontal="center" vertical="center"/>
      <protection/>
    </xf>
    <xf numFmtId="3" fontId="7" fillId="0" borderId="0" xfId="59" applyNumberFormat="1">
      <alignment/>
      <protection/>
    </xf>
    <xf numFmtId="0" fontId="79" fillId="0" borderId="0" xfId="64" applyFont="1">
      <alignment/>
      <protection/>
    </xf>
    <xf numFmtId="3" fontId="4" fillId="0" borderId="11" xfId="64" applyNumberFormat="1" applyFont="1" applyBorder="1" applyAlignment="1">
      <alignment horizontal="right" vertical="distributed"/>
      <protection/>
    </xf>
    <xf numFmtId="0" fontId="9" fillId="0" borderId="11" xfId="63" applyFont="1" applyBorder="1" applyAlignment="1">
      <alignment horizontal="left" wrapText="1"/>
      <protection/>
    </xf>
    <xf numFmtId="0" fontId="10" fillId="34" borderId="11" xfId="63" applyFont="1" applyFill="1" applyBorder="1" applyAlignment="1">
      <alignment horizontal="center" vertical="center" wrapText="1"/>
      <protection/>
    </xf>
    <xf numFmtId="0" fontId="6" fillId="32" borderId="11" xfId="60" applyFont="1" applyFill="1" applyBorder="1" applyAlignment="1">
      <alignment horizontal="center" vertical="center" wrapText="1"/>
      <protection/>
    </xf>
    <xf numFmtId="0" fontId="6" fillId="32" borderId="11" xfId="60" applyFont="1" applyFill="1" applyBorder="1" applyAlignment="1">
      <alignment horizontal="center" vertical="center"/>
      <protection/>
    </xf>
    <xf numFmtId="3" fontId="10" fillId="32" borderId="11" xfId="60" applyNumberFormat="1" applyFont="1" applyFill="1" applyBorder="1" applyAlignment="1">
      <alignment horizontal="right" vertical="center" wrapText="1"/>
      <protection/>
    </xf>
    <xf numFmtId="0" fontId="10" fillId="32" borderId="11" xfId="63" applyFont="1" applyFill="1" applyBorder="1" applyAlignment="1">
      <alignment horizontal="center" vertical="top" wrapText="1"/>
      <protection/>
    </xf>
    <xf numFmtId="0" fontId="10" fillId="32" borderId="11" xfId="63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32" borderId="10" xfId="61" applyFont="1" applyFill="1" applyBorder="1" applyAlignment="1">
      <alignment horizontal="center" vertical="center"/>
      <protection/>
    </xf>
    <xf numFmtId="0" fontId="10" fillId="32" borderId="12" xfId="61" applyFont="1" applyFill="1" applyBorder="1" applyAlignment="1">
      <alignment horizontal="center" vertical="center"/>
      <protection/>
    </xf>
    <xf numFmtId="0" fontId="10" fillId="32" borderId="13" xfId="61" applyFont="1" applyFill="1" applyBorder="1" applyAlignment="1">
      <alignment horizontal="center" vertical="center"/>
      <protection/>
    </xf>
    <xf numFmtId="0" fontId="10" fillId="32" borderId="28" xfId="61" applyFont="1" applyFill="1" applyBorder="1" applyAlignment="1">
      <alignment horizontal="center" vertical="center"/>
      <protection/>
    </xf>
    <xf numFmtId="0" fontId="10" fillId="32" borderId="16" xfId="61" applyFont="1" applyFill="1" applyBorder="1" applyAlignment="1">
      <alignment horizontal="center" vertical="center"/>
      <protection/>
    </xf>
    <xf numFmtId="0" fontId="10" fillId="32" borderId="11" xfId="61" applyFont="1" applyFill="1" applyBorder="1" applyAlignment="1">
      <alignment horizontal="center" vertical="center"/>
      <protection/>
    </xf>
    <xf numFmtId="0" fontId="1" fillId="32" borderId="1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18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1" fillId="32" borderId="4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0" fillId="32" borderId="49" xfId="63" applyFont="1" applyFill="1" applyBorder="1" applyAlignment="1">
      <alignment horizontal="center" vertical="center" wrapText="1"/>
      <protection/>
    </xf>
    <xf numFmtId="0" fontId="10" fillId="32" borderId="14" xfId="63" applyFont="1" applyFill="1" applyBorder="1" applyAlignment="1">
      <alignment horizontal="center" vertical="center" wrapText="1"/>
      <protection/>
    </xf>
    <xf numFmtId="0" fontId="0" fillId="32" borderId="14" xfId="0" applyFont="1" applyFill="1" applyBorder="1" applyAlignment="1">
      <alignment horizontal="center" vertical="top" wrapText="1"/>
    </xf>
    <xf numFmtId="0" fontId="0" fillId="32" borderId="21" xfId="0" applyFont="1" applyFill="1" applyBorder="1" applyAlignment="1">
      <alignment horizontal="center" vertical="top" wrapText="1"/>
    </xf>
    <xf numFmtId="0" fontId="0" fillId="32" borderId="17" xfId="0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48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top" wrapText="1"/>
    </xf>
    <xf numFmtId="0" fontId="0" fillId="32" borderId="28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distributed"/>
    </xf>
    <xf numFmtId="0" fontId="0" fillId="32" borderId="13" xfId="0" applyFont="1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/>
    </xf>
    <xf numFmtId="0" fontId="28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distributed"/>
    </xf>
    <xf numFmtId="0" fontId="3" fillId="32" borderId="13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6" fillId="33" borderId="10" xfId="69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center" vertical="center" wrapText="1"/>
      <protection/>
    </xf>
    <xf numFmtId="0" fontId="6" fillId="0" borderId="0" xfId="69" applyFont="1" applyFill="1" applyBorder="1" applyAlignment="1">
      <alignment horizontal="center" vertical="center" wrapText="1"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12" fillId="0" borderId="28" xfId="65" applyFont="1" applyFill="1" applyBorder="1" applyAlignment="1">
      <alignment horizontal="center" vertical="center"/>
      <protection/>
    </xf>
    <xf numFmtId="0" fontId="12" fillId="0" borderId="16" xfId="65" applyFont="1" applyFill="1" applyBorder="1" applyAlignment="1">
      <alignment horizontal="center" vertical="center"/>
      <protection/>
    </xf>
    <xf numFmtId="0" fontId="12" fillId="32" borderId="11" xfId="65" applyFont="1" applyFill="1" applyBorder="1" applyAlignment="1">
      <alignment horizontal="center" vertical="center" wrapText="1"/>
      <protection/>
    </xf>
    <xf numFmtId="0" fontId="12" fillId="32" borderId="11" xfId="65" applyFont="1" applyFill="1" applyBorder="1" applyAlignment="1">
      <alignment horizontal="center" vertical="center"/>
      <protection/>
    </xf>
    <xf numFmtId="0" fontId="12" fillId="32" borderId="10" xfId="65" applyFont="1" applyFill="1" applyBorder="1" applyAlignment="1">
      <alignment horizontal="center" vertical="center" wrapText="1"/>
      <protection/>
    </xf>
    <xf numFmtId="0" fontId="12" fillId="32" borderId="18" xfId="65" applyFont="1" applyFill="1" applyBorder="1" applyAlignment="1">
      <alignment horizontal="center" vertical="center" wrapText="1"/>
      <protection/>
    </xf>
    <xf numFmtId="0" fontId="12" fillId="32" borderId="12" xfId="65" applyFont="1" applyFill="1" applyBorder="1" applyAlignment="1">
      <alignment horizontal="center" vertical="center" wrapText="1"/>
      <protection/>
    </xf>
    <xf numFmtId="0" fontId="6" fillId="32" borderId="10" xfId="64" applyFont="1" applyFill="1" applyBorder="1" applyAlignment="1">
      <alignment horizontal="center" vertical="center" wrapText="1"/>
      <protection/>
    </xf>
    <xf numFmtId="0" fontId="6" fillId="32" borderId="18" xfId="64" applyFont="1" applyFill="1" applyBorder="1" applyAlignment="1">
      <alignment horizontal="center" vertical="center" wrapText="1"/>
      <protection/>
    </xf>
    <xf numFmtId="0" fontId="6" fillId="32" borderId="12" xfId="64" applyFont="1" applyFill="1" applyBorder="1" applyAlignment="1">
      <alignment horizontal="center" vertical="center" wrapText="1"/>
      <protection/>
    </xf>
    <xf numFmtId="0" fontId="6" fillId="32" borderId="48" xfId="64" applyFont="1" applyFill="1" applyBorder="1" applyAlignment="1">
      <alignment horizontal="center" vertical="center" wrapText="1"/>
      <protection/>
    </xf>
    <xf numFmtId="0" fontId="6" fillId="32" borderId="13" xfId="64" applyFont="1" applyFill="1" applyBorder="1" applyAlignment="1">
      <alignment horizontal="center" vertical="center" wrapText="1"/>
      <protection/>
    </xf>
    <xf numFmtId="0" fontId="6" fillId="32" borderId="28" xfId="64" applyFont="1" applyFill="1" applyBorder="1" applyAlignment="1">
      <alignment horizontal="center" vertical="center" wrapText="1"/>
      <protection/>
    </xf>
    <xf numFmtId="0" fontId="6" fillId="32" borderId="16" xfId="64" applyFont="1" applyFill="1" applyBorder="1" applyAlignment="1">
      <alignment horizontal="center" vertical="center" wrapText="1"/>
      <protection/>
    </xf>
    <xf numFmtId="0" fontId="5" fillId="0" borderId="0" xfId="64" applyFont="1" applyBorder="1" applyAlignment="1">
      <alignment horizontal="right"/>
      <protection/>
    </xf>
    <xf numFmtId="0" fontId="14" fillId="0" borderId="0" xfId="59" applyFont="1" applyBorder="1" applyAlignment="1">
      <alignment horizontal="center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0" fillId="34" borderId="11" xfId="70" applyFont="1" applyFill="1" applyBorder="1" applyAlignment="1">
      <alignment horizontal="center" vertical="center"/>
      <protection/>
    </xf>
    <xf numFmtId="0" fontId="14" fillId="0" borderId="11" xfId="59" applyFont="1" applyBorder="1" applyAlignment="1">
      <alignment horizontal="center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37" borderId="50" xfId="70" applyFont="1" applyFill="1" applyBorder="1" applyAlignment="1">
      <alignment horizontal="center" vertical="center"/>
      <protection/>
    </xf>
    <xf numFmtId="0" fontId="10" fillId="37" borderId="51" xfId="70" applyFont="1" applyFill="1" applyBorder="1" applyAlignment="1">
      <alignment horizontal="center" vertical="center"/>
      <protection/>
    </xf>
    <xf numFmtId="0" fontId="10" fillId="37" borderId="52" xfId="70" applyFont="1" applyFill="1" applyBorder="1" applyAlignment="1">
      <alignment horizontal="center" vertical="center"/>
      <protection/>
    </xf>
    <xf numFmtId="0" fontId="13" fillId="0" borderId="0" xfId="59" applyFont="1" applyBorder="1" applyAlignment="1">
      <alignment horizontal="right"/>
      <protection/>
    </xf>
    <xf numFmtId="0" fontId="14" fillId="37" borderId="32" xfId="59" applyFont="1" applyFill="1" applyBorder="1" applyAlignment="1">
      <alignment horizontal="center" vertical="center" wrapText="1"/>
      <protection/>
    </xf>
    <xf numFmtId="0" fontId="14" fillId="37" borderId="30" xfId="59" applyFont="1" applyFill="1" applyBorder="1" applyAlignment="1">
      <alignment horizontal="center" vertical="center" wrapText="1"/>
      <protection/>
    </xf>
    <xf numFmtId="0" fontId="14" fillId="37" borderId="53" xfId="59" applyFont="1" applyFill="1" applyBorder="1" applyAlignment="1">
      <alignment horizontal="center" vertical="center" wrapText="1"/>
      <protection/>
    </xf>
    <xf numFmtId="0" fontId="14" fillId="37" borderId="18" xfId="59" applyFont="1" applyFill="1" applyBorder="1" applyAlignment="1">
      <alignment horizontal="center" vertical="center" wrapText="1"/>
      <protection/>
    </xf>
    <xf numFmtId="0" fontId="14" fillId="37" borderId="34" xfId="59" applyFont="1" applyFill="1" applyBorder="1" applyAlignment="1">
      <alignment horizontal="center" vertical="center"/>
      <protection/>
    </xf>
    <xf numFmtId="0" fontId="14" fillId="37" borderId="48" xfId="59" applyFont="1" applyFill="1" applyBorder="1" applyAlignment="1">
      <alignment horizontal="center" vertical="center"/>
      <protection/>
    </xf>
    <xf numFmtId="0" fontId="8" fillId="32" borderId="10" xfId="66" applyFont="1" applyFill="1" applyBorder="1" applyAlignment="1">
      <alignment horizontal="center" vertical="distributed"/>
      <protection/>
    </xf>
    <xf numFmtId="0" fontId="8" fillId="32" borderId="18" xfId="66" applyFont="1" applyFill="1" applyBorder="1" applyAlignment="1">
      <alignment horizontal="center" vertical="distributed"/>
      <protection/>
    </xf>
    <xf numFmtId="0" fontId="8" fillId="32" borderId="12" xfId="66" applyFont="1" applyFill="1" applyBorder="1" applyAlignment="1">
      <alignment horizontal="center" vertical="distributed"/>
      <protection/>
    </xf>
    <xf numFmtId="0" fontId="10" fillId="32" borderId="48" xfId="66" applyFont="1" applyFill="1" applyBorder="1" applyAlignment="1">
      <alignment horizontal="distributed" vertical="distributed"/>
      <protection/>
    </xf>
    <xf numFmtId="0" fontId="5" fillId="32" borderId="22" xfId="66" applyFont="1" applyFill="1" applyBorder="1" applyAlignment="1">
      <alignment horizontal="distributed" vertical="distributed"/>
      <protection/>
    </xf>
    <xf numFmtId="0" fontId="5" fillId="32" borderId="23" xfId="66" applyFont="1" applyFill="1" applyBorder="1" applyAlignment="1">
      <alignment horizontal="distributed" vertical="distributed"/>
      <protection/>
    </xf>
    <xf numFmtId="0" fontId="5" fillId="32" borderId="49" xfId="66" applyFont="1" applyFill="1" applyBorder="1" applyAlignment="1">
      <alignment horizontal="distributed" vertical="distributed"/>
      <protection/>
    </xf>
    <xf numFmtId="0" fontId="5" fillId="32" borderId="0" xfId="66" applyFont="1" applyFill="1" applyBorder="1" applyAlignment="1">
      <alignment horizontal="distributed" vertical="distributed"/>
      <protection/>
    </xf>
    <xf numFmtId="0" fontId="5" fillId="32" borderId="15" xfId="66" applyFont="1" applyFill="1" applyBorder="1" applyAlignment="1">
      <alignment horizontal="distributed" vertical="distributed"/>
      <protection/>
    </xf>
    <xf numFmtId="0" fontId="5" fillId="32" borderId="14" xfId="66" applyFont="1" applyFill="1" applyBorder="1" applyAlignment="1">
      <alignment horizontal="distributed" vertical="distributed"/>
      <protection/>
    </xf>
    <xf numFmtId="0" fontId="5" fillId="32" borderId="21" xfId="66" applyFont="1" applyFill="1" applyBorder="1" applyAlignment="1">
      <alignment horizontal="distributed" vertical="distributed"/>
      <protection/>
    </xf>
    <xf numFmtId="0" fontId="5" fillId="32" borderId="17" xfId="66" applyFont="1" applyFill="1" applyBorder="1" applyAlignment="1">
      <alignment horizontal="distributed" vertical="distributed"/>
      <protection/>
    </xf>
    <xf numFmtId="0" fontId="4" fillId="0" borderId="13" xfId="66" applyFont="1" applyBorder="1" applyAlignment="1">
      <alignment horizontal="left"/>
      <protection/>
    </xf>
    <xf numFmtId="0" fontId="4" fillId="0" borderId="28" xfId="66" applyFont="1" applyBorder="1" applyAlignment="1">
      <alignment horizontal="left"/>
      <protection/>
    </xf>
    <xf numFmtId="0" fontId="4" fillId="0" borderId="16" xfId="66" applyFont="1" applyBorder="1" applyAlignment="1">
      <alignment horizontal="left"/>
      <protection/>
    </xf>
    <xf numFmtId="0" fontId="4" fillId="0" borderId="11" xfId="66" applyFont="1" applyBorder="1" applyAlignment="1">
      <alignment horizontal="left"/>
      <protection/>
    </xf>
    <xf numFmtId="0" fontId="8" fillId="32" borderId="10" xfId="66" applyFont="1" applyFill="1" applyBorder="1" applyAlignment="1">
      <alignment horizontal="center" vertical="center" wrapText="1"/>
      <protection/>
    </xf>
    <xf numFmtId="0" fontId="8" fillId="32" borderId="18" xfId="66" applyFont="1" applyFill="1" applyBorder="1" applyAlignment="1">
      <alignment horizontal="center" vertical="center" wrapText="1"/>
      <protection/>
    </xf>
    <xf numFmtId="0" fontId="8" fillId="32" borderId="12" xfId="66" applyFont="1" applyFill="1" applyBorder="1" applyAlignment="1">
      <alignment horizontal="center" vertical="center" wrapText="1"/>
      <protection/>
    </xf>
    <xf numFmtId="0" fontId="8" fillId="32" borderId="48" xfId="66" applyFont="1" applyFill="1" applyBorder="1" applyAlignment="1">
      <alignment horizontal="center" vertical="center" wrapText="1"/>
      <protection/>
    </xf>
    <xf numFmtId="0" fontId="8" fillId="32" borderId="23" xfId="66" applyFont="1" applyFill="1" applyBorder="1" applyAlignment="1">
      <alignment horizontal="center" vertical="center" wrapText="1"/>
      <protection/>
    </xf>
    <xf numFmtId="0" fontId="8" fillId="32" borderId="14" xfId="66" applyFont="1" applyFill="1" applyBorder="1" applyAlignment="1">
      <alignment horizontal="center" vertical="center" wrapText="1"/>
      <protection/>
    </xf>
    <xf numFmtId="0" fontId="8" fillId="32" borderId="17" xfId="66" applyFont="1" applyFill="1" applyBorder="1" applyAlignment="1">
      <alignment horizontal="center" vertical="center" wrapText="1"/>
      <protection/>
    </xf>
    <xf numFmtId="0" fontId="6" fillId="0" borderId="13" xfId="66" applyFont="1" applyBorder="1" applyAlignment="1">
      <alignment horizontal="left"/>
      <protection/>
    </xf>
    <xf numFmtId="0" fontId="6" fillId="0" borderId="28" xfId="66" applyFont="1" applyBorder="1" applyAlignment="1">
      <alignment horizontal="left"/>
      <protection/>
    </xf>
    <xf numFmtId="0" fontId="6" fillId="0" borderId="16" xfId="66" applyFont="1" applyBorder="1" applyAlignment="1">
      <alignment horizontal="left"/>
      <protection/>
    </xf>
    <xf numFmtId="0" fontId="30" fillId="37" borderId="32" xfId="0" applyFont="1" applyFill="1" applyBorder="1" applyAlignment="1">
      <alignment horizontal="center" vertical="center"/>
    </xf>
    <xf numFmtId="0" fontId="30" fillId="37" borderId="37" xfId="0" applyFont="1" applyFill="1" applyBorder="1" applyAlignment="1">
      <alignment horizontal="center" vertical="center"/>
    </xf>
    <xf numFmtId="0" fontId="30" fillId="37" borderId="54" xfId="0" applyFont="1" applyFill="1" applyBorder="1" applyAlignment="1">
      <alignment horizontal="center" vertical="center"/>
    </xf>
    <xf numFmtId="0" fontId="30" fillId="37" borderId="14" xfId="0" applyFont="1" applyFill="1" applyBorder="1" applyAlignment="1">
      <alignment horizontal="center" vertical="center"/>
    </xf>
    <xf numFmtId="0" fontId="30" fillId="37" borderId="53" xfId="0" applyFont="1" applyFill="1" applyBorder="1" applyAlignment="1">
      <alignment horizontal="center" vertical="distributed"/>
    </xf>
    <xf numFmtId="0" fontId="30" fillId="37" borderId="12" xfId="0" applyFont="1" applyFill="1" applyBorder="1" applyAlignment="1">
      <alignment horizontal="center" vertical="distributed"/>
    </xf>
    <xf numFmtId="0" fontId="30" fillId="37" borderId="53" xfId="0" applyFont="1" applyFill="1" applyBorder="1" applyAlignment="1">
      <alignment horizontal="distributed" vertical="center"/>
    </xf>
    <xf numFmtId="0" fontId="30" fillId="37" borderId="12" xfId="0" applyFont="1" applyFill="1" applyBorder="1" applyAlignment="1">
      <alignment horizontal="distributed" vertical="center"/>
    </xf>
    <xf numFmtId="0" fontId="30" fillId="37" borderId="53" xfId="0" applyFont="1" applyFill="1" applyBorder="1" applyAlignment="1">
      <alignment horizontal="center" vertical="center" wrapText="1"/>
    </xf>
    <xf numFmtId="0" fontId="30" fillId="37" borderId="12" xfId="0" applyFont="1" applyFill="1" applyBorder="1" applyAlignment="1">
      <alignment horizontal="center" vertical="center" wrapText="1"/>
    </xf>
    <xf numFmtId="0" fontId="43" fillId="0" borderId="13" xfId="68" applyNumberFormat="1" applyFont="1" applyFill="1" applyBorder="1" applyAlignment="1" applyProtection="1">
      <alignment horizontal="center"/>
      <protection/>
    </xf>
    <xf numFmtId="0" fontId="43" fillId="0" borderId="28" xfId="68" applyNumberFormat="1" applyFont="1" applyFill="1" applyBorder="1" applyAlignment="1" applyProtection="1">
      <alignment horizontal="center"/>
      <protection/>
    </xf>
    <xf numFmtId="0" fontId="43" fillId="0" borderId="16" xfId="68" applyNumberFormat="1" applyFont="1" applyFill="1" applyBorder="1" applyAlignment="1" applyProtection="1">
      <alignment horizontal="center"/>
      <protection/>
    </xf>
    <xf numFmtId="0" fontId="7" fillId="0" borderId="0" xfId="57" applyBorder="1" applyAlignment="1">
      <alignment horizontal="right"/>
      <protection/>
    </xf>
    <xf numFmtId="0" fontId="8" fillId="32" borderId="11" xfId="57" applyFont="1" applyFill="1" applyBorder="1" applyAlignment="1">
      <alignment horizontal="center" vertical="center" wrapText="1"/>
      <protection/>
    </xf>
    <xf numFmtId="0" fontId="8" fillId="32" borderId="11" xfId="57" applyFont="1" applyFill="1" applyBorder="1" applyAlignment="1">
      <alignment horizontal="center" vertical="center"/>
      <protection/>
    </xf>
    <xf numFmtId="0" fontId="8" fillId="32" borderId="11" xfId="57" applyFont="1" applyFill="1" applyBorder="1" applyAlignment="1">
      <alignment horizontal="center"/>
      <protection/>
    </xf>
    <xf numFmtId="0" fontId="8" fillId="0" borderId="13" xfId="57" applyFont="1" applyBorder="1" applyAlignment="1">
      <alignment horizontal="left" vertical="distributed"/>
      <protection/>
    </xf>
    <xf numFmtId="0" fontId="8" fillId="0" borderId="28" xfId="57" applyFont="1" applyBorder="1" applyAlignment="1">
      <alignment horizontal="left" vertical="distributed"/>
      <protection/>
    </xf>
    <xf numFmtId="0" fontId="8" fillId="0" borderId="16" xfId="57" applyFont="1" applyBorder="1" applyAlignment="1">
      <alignment horizontal="left" vertical="distributed"/>
      <protection/>
    </xf>
    <xf numFmtId="0" fontId="8" fillId="0" borderId="11" xfId="57" applyFont="1" applyBorder="1" applyAlignment="1">
      <alignment horizontal="left" vertical="distributed"/>
      <protection/>
    </xf>
    <xf numFmtId="0" fontId="7" fillId="0" borderId="11" xfId="57" applyFont="1" applyBorder="1" applyAlignment="1">
      <alignment horizontal="left" vertical="distributed"/>
      <protection/>
    </xf>
    <xf numFmtId="0" fontId="7" fillId="0" borderId="11" xfId="57" applyBorder="1" applyAlignment="1">
      <alignment horizontal="left" vertical="distributed"/>
      <protection/>
    </xf>
    <xf numFmtId="0" fontId="7" fillId="0" borderId="0" xfId="57" applyAlignment="1">
      <alignment horizontal="center"/>
      <protection/>
    </xf>
    <xf numFmtId="0" fontId="8" fillId="0" borderId="13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4" fillId="0" borderId="11" xfId="58" applyFont="1" applyBorder="1" applyAlignment="1">
      <alignment horizontal="left"/>
      <protection/>
    </xf>
    <xf numFmtId="0" fontId="6" fillId="0" borderId="11" xfId="58" applyFont="1" applyBorder="1" applyAlignment="1">
      <alignment horizontal="left"/>
      <protection/>
    </xf>
    <xf numFmtId="0" fontId="5" fillId="0" borderId="21" xfId="58" applyFont="1" applyBorder="1" applyAlignment="1">
      <alignment horizontal="right"/>
      <protection/>
    </xf>
    <xf numFmtId="0" fontId="6" fillId="32" borderId="11" xfId="58" applyFont="1" applyFill="1" applyBorder="1" applyAlignment="1">
      <alignment horizontal="center" vertical="center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3. mell. helyett" xfId="59"/>
    <cellStyle name="Normál_1szm" xfId="60"/>
    <cellStyle name="Normál_2004.évi normatívák" xfId="61"/>
    <cellStyle name="Normál_2010.évi tervezett beruházás, felújítás" xfId="62"/>
    <cellStyle name="Normál_3aszm" xfId="63"/>
    <cellStyle name="Normál_5szm" xfId="64"/>
    <cellStyle name="Normál_6szm" xfId="65"/>
    <cellStyle name="Normál_8szm" xfId="66"/>
    <cellStyle name="Normál_költségvetés módosítás I." xfId="67"/>
    <cellStyle name="Normál_önkormányzat 2014. évi beszámoló" xfId="68"/>
    <cellStyle name="Normál_pe.átadások, támogatások 2003.évben" xfId="69"/>
    <cellStyle name="Normál_pénzmaradvány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88"/>
  <sheetViews>
    <sheetView view="pageLayout" zoomScaleSheetLayoutView="100" workbookViewId="0" topLeftCell="A1">
      <selection activeCell="I7" sqref="I7"/>
    </sheetView>
  </sheetViews>
  <sheetFormatPr defaultColWidth="9.00390625" defaultRowHeight="12.75"/>
  <cols>
    <col min="1" max="1" width="13.125" style="21" customWidth="1"/>
    <col min="2" max="2" width="54.875" style="21" customWidth="1"/>
    <col min="3" max="3" width="18.625" style="21" customWidth="1"/>
    <col min="4" max="4" width="13.25390625" style="21" customWidth="1"/>
    <col min="5" max="5" width="14.00390625" style="21" customWidth="1"/>
    <col min="6" max="6" width="14.25390625" style="21" customWidth="1"/>
    <col min="7" max="7" width="14.125" style="21" customWidth="1"/>
    <col min="8" max="16384" width="9.125" style="21" customWidth="1"/>
  </cols>
  <sheetData>
    <row r="1" spans="1:7" ht="15" customHeight="1">
      <c r="A1" s="679" t="s">
        <v>200</v>
      </c>
      <c r="B1" s="684" t="s">
        <v>13</v>
      </c>
      <c r="C1" s="679" t="s">
        <v>862</v>
      </c>
      <c r="D1" s="679" t="s">
        <v>863</v>
      </c>
      <c r="E1" s="679" t="s">
        <v>864</v>
      </c>
      <c r="F1" s="679" t="s">
        <v>865</v>
      </c>
      <c r="G1" s="679" t="s">
        <v>882</v>
      </c>
    </row>
    <row r="2" spans="1:7" ht="15" customHeight="1">
      <c r="A2" s="679"/>
      <c r="B2" s="684"/>
      <c r="C2" s="679"/>
      <c r="D2" s="679"/>
      <c r="E2" s="679"/>
      <c r="F2" s="679"/>
      <c r="G2" s="679"/>
    </row>
    <row r="3" spans="1:7" ht="24.75" customHeight="1">
      <c r="A3" s="26" t="s">
        <v>89</v>
      </c>
      <c r="B3" s="68" t="s">
        <v>242</v>
      </c>
      <c r="C3" s="335"/>
      <c r="D3" s="335"/>
      <c r="E3" s="335"/>
      <c r="F3" s="335"/>
      <c r="G3" s="302"/>
    </row>
    <row r="4" spans="1:7" ht="19.5" customHeight="1">
      <c r="A4" s="26" t="s">
        <v>198</v>
      </c>
      <c r="B4" s="68" t="s">
        <v>318</v>
      </c>
      <c r="C4" s="22"/>
      <c r="D4" s="22"/>
      <c r="E4" s="22"/>
      <c r="F4" s="22"/>
      <c r="G4" s="302"/>
    </row>
    <row r="5" spans="1:7" ht="19.5" customHeight="1">
      <c r="A5" s="213" t="s">
        <v>204</v>
      </c>
      <c r="B5" s="202" t="s">
        <v>205</v>
      </c>
      <c r="C5" s="22">
        <f>SUM(C6:C9)</f>
        <v>42080580</v>
      </c>
      <c r="D5" s="22">
        <f>SUM(D6:D9)</f>
        <v>40123348</v>
      </c>
      <c r="E5" s="22">
        <f>SUM(E6:E10)</f>
        <v>40578513</v>
      </c>
      <c r="F5" s="22">
        <f>SUM(F6:F10)</f>
        <v>42914466</v>
      </c>
      <c r="G5" s="22">
        <f>SUM(G6:G10)</f>
        <v>42914466</v>
      </c>
    </row>
    <row r="6" spans="1:7" ht="19.5" customHeight="1">
      <c r="A6" s="335" t="s">
        <v>199</v>
      </c>
      <c r="B6" s="202" t="s">
        <v>313</v>
      </c>
      <c r="C6" s="473">
        <v>16545549</v>
      </c>
      <c r="D6" s="473">
        <v>15178222</v>
      </c>
      <c r="E6" s="473">
        <v>15178222</v>
      </c>
      <c r="F6" s="473">
        <f>15178222+25010</f>
        <v>15203232</v>
      </c>
      <c r="G6" s="473">
        <f>15178222+25010</f>
        <v>15203232</v>
      </c>
    </row>
    <row r="7" spans="1:7" ht="19.5" customHeight="1">
      <c r="A7" s="335" t="s">
        <v>201</v>
      </c>
      <c r="B7" s="202" t="s">
        <v>314</v>
      </c>
      <c r="C7" s="473">
        <v>15474220</v>
      </c>
      <c r="D7" s="473">
        <v>14526300</v>
      </c>
      <c r="E7" s="473">
        <v>14526300</v>
      </c>
      <c r="F7" s="473">
        <f>14526300+698133</f>
        <v>15224433</v>
      </c>
      <c r="G7" s="473">
        <f>14526300+698133</f>
        <v>15224433</v>
      </c>
    </row>
    <row r="8" spans="1:7" ht="19.5" customHeight="1">
      <c r="A8" s="213" t="s">
        <v>202</v>
      </c>
      <c r="B8" s="202" t="s">
        <v>383</v>
      </c>
      <c r="C8" s="473">
        <v>8860811</v>
      </c>
      <c r="D8" s="473">
        <v>8618826</v>
      </c>
      <c r="E8" s="473">
        <v>8618826</v>
      </c>
      <c r="F8" s="473">
        <f>8618826-297610</f>
        <v>8321216</v>
      </c>
      <c r="G8" s="473">
        <f>8618826-297610</f>
        <v>8321216</v>
      </c>
    </row>
    <row r="9" spans="1:7" ht="19.5" customHeight="1">
      <c r="A9" s="213" t="s">
        <v>303</v>
      </c>
      <c r="B9" s="202" t="s">
        <v>315</v>
      </c>
      <c r="C9" s="473">
        <v>1200000</v>
      </c>
      <c r="D9" s="473">
        <v>1800000</v>
      </c>
      <c r="E9" s="473">
        <v>1800000</v>
      </c>
      <c r="F9" s="473">
        <v>1800000</v>
      </c>
      <c r="G9" s="473">
        <v>1800000</v>
      </c>
    </row>
    <row r="10" spans="1:7" ht="19.5" customHeight="1">
      <c r="A10" s="213" t="s">
        <v>203</v>
      </c>
      <c r="B10" s="202" t="s">
        <v>866</v>
      </c>
      <c r="C10" s="473"/>
      <c r="D10" s="473"/>
      <c r="E10" s="473">
        <v>455165</v>
      </c>
      <c r="F10" s="473">
        <f>455165+1910420</f>
        <v>2365585</v>
      </c>
      <c r="G10" s="473">
        <f>455165+1910420</f>
        <v>2365585</v>
      </c>
    </row>
    <row r="11" spans="1:7" ht="19.5" customHeight="1">
      <c r="A11" s="213" t="s">
        <v>867</v>
      </c>
      <c r="B11" s="202" t="s">
        <v>868</v>
      </c>
      <c r="C11" s="473"/>
      <c r="D11" s="473"/>
      <c r="E11" s="302"/>
      <c r="F11" s="302"/>
      <c r="G11" s="302"/>
    </row>
    <row r="12" spans="1:7" ht="19.5" customHeight="1">
      <c r="A12" s="213" t="s">
        <v>869</v>
      </c>
      <c r="B12" s="202" t="s">
        <v>870</v>
      </c>
      <c r="C12" s="473">
        <v>0</v>
      </c>
      <c r="D12" s="473">
        <v>0</v>
      </c>
      <c r="E12" s="473">
        <v>1529736</v>
      </c>
      <c r="F12" s="473">
        <v>1529736</v>
      </c>
      <c r="G12" s="473">
        <v>0</v>
      </c>
    </row>
    <row r="13" spans="1:7" ht="19.5" customHeight="1">
      <c r="A13" s="213" t="s">
        <v>231</v>
      </c>
      <c r="B13" s="202" t="s">
        <v>316</v>
      </c>
      <c r="C13" s="474">
        <v>4571100</v>
      </c>
      <c r="D13" s="474">
        <f>SUM(D16:D18)</f>
        <v>3289879</v>
      </c>
      <c r="E13" s="474">
        <f>SUM(E16:E18)</f>
        <v>7193715</v>
      </c>
      <c r="F13" s="474">
        <f>SUM(F14:F18)</f>
        <v>7903017</v>
      </c>
      <c r="G13" s="474">
        <f>SUM(G14:G18)</f>
        <v>7903017</v>
      </c>
    </row>
    <row r="14" spans="1:7" ht="19.5" customHeight="1">
      <c r="A14" s="213"/>
      <c r="B14" s="202" t="s">
        <v>871</v>
      </c>
      <c r="C14" s="474"/>
      <c r="D14" s="474"/>
      <c r="E14" s="474"/>
      <c r="F14" s="473">
        <v>40000</v>
      </c>
      <c r="G14" s="473">
        <v>40000</v>
      </c>
    </row>
    <row r="15" spans="1:7" ht="19.5" customHeight="1">
      <c r="A15" s="213"/>
      <c r="B15" s="202" t="s">
        <v>872</v>
      </c>
      <c r="C15" s="474"/>
      <c r="D15" s="474"/>
      <c r="E15" s="474"/>
      <c r="F15" s="473">
        <v>278000</v>
      </c>
      <c r="G15" s="473">
        <v>278000</v>
      </c>
    </row>
    <row r="16" spans="1:7" ht="19.5" customHeight="1">
      <c r="A16" s="213"/>
      <c r="B16" s="202" t="s">
        <v>873</v>
      </c>
      <c r="C16" s="473"/>
      <c r="D16" s="473">
        <v>1389879</v>
      </c>
      <c r="E16" s="473">
        <f>1389879+3903836</f>
        <v>5293715</v>
      </c>
      <c r="F16" s="473">
        <f>1389879+3903836+555379</f>
        <v>5849094</v>
      </c>
      <c r="G16" s="473">
        <f>1389879+3903836+555379</f>
        <v>5849094</v>
      </c>
    </row>
    <row r="17" spans="1:7" ht="19.5" customHeight="1">
      <c r="A17" s="213"/>
      <c r="B17" s="202" t="s">
        <v>874</v>
      </c>
      <c r="C17" s="473"/>
      <c r="D17" s="473">
        <v>1200000</v>
      </c>
      <c r="E17" s="473">
        <v>1200000</v>
      </c>
      <c r="F17" s="473">
        <v>1200000</v>
      </c>
      <c r="G17" s="473">
        <v>1200000</v>
      </c>
    </row>
    <row r="18" spans="1:7" ht="19.5" customHeight="1">
      <c r="A18" s="213"/>
      <c r="B18" s="202" t="s">
        <v>875</v>
      </c>
      <c r="C18" s="473"/>
      <c r="D18" s="473">
        <v>700000</v>
      </c>
      <c r="E18" s="473">
        <v>700000</v>
      </c>
      <c r="F18" s="473">
        <f>700000-164077</f>
        <v>535923</v>
      </c>
      <c r="G18" s="473">
        <f>700000-164077</f>
        <v>535923</v>
      </c>
    </row>
    <row r="19" spans="1:7" ht="19.5" customHeight="1">
      <c r="A19" s="475"/>
      <c r="B19" s="159" t="s">
        <v>317</v>
      </c>
      <c r="C19" s="476">
        <f>SUM(C6:C13)</f>
        <v>46651680</v>
      </c>
      <c r="D19" s="476">
        <f>SUM(D6:D13)</f>
        <v>43413227</v>
      </c>
      <c r="E19" s="476">
        <f>SUM(E6:E13)</f>
        <v>49301964</v>
      </c>
      <c r="F19" s="476">
        <f>SUM(F6:F13)</f>
        <v>52347219</v>
      </c>
      <c r="G19" s="476">
        <f>SUM(G6:G13)</f>
        <v>50817483</v>
      </c>
    </row>
    <row r="20" spans="1:7" ht="19.5" customHeight="1">
      <c r="A20" s="153" t="s">
        <v>206</v>
      </c>
      <c r="B20" s="152" t="s">
        <v>876</v>
      </c>
      <c r="C20" s="477"/>
      <c r="D20" s="477"/>
      <c r="E20" s="302"/>
      <c r="F20" s="302"/>
      <c r="G20" s="302"/>
    </row>
    <row r="21" spans="1:7" ht="19.5" customHeight="1">
      <c r="A21" s="335" t="s">
        <v>470</v>
      </c>
      <c r="B21" s="492" t="s">
        <v>243</v>
      </c>
      <c r="C21" s="473">
        <v>0</v>
      </c>
      <c r="D21" s="473">
        <f>SUM(D22:D25)</f>
        <v>43284493</v>
      </c>
      <c r="E21" s="473">
        <f>SUM(E22:E25)</f>
        <v>43284493</v>
      </c>
      <c r="F21" s="473">
        <f>SUM(F22:F25)</f>
        <v>50750046</v>
      </c>
      <c r="G21" s="473">
        <f>SUM(G22:G25)</f>
        <v>48692746</v>
      </c>
    </row>
    <row r="22" spans="1:7" ht="19.5" customHeight="1">
      <c r="A22" s="335"/>
      <c r="B22" s="492" t="s">
        <v>877</v>
      </c>
      <c r="C22" s="473"/>
      <c r="D22" s="473">
        <v>33498180</v>
      </c>
      <c r="E22" s="473">
        <v>33498180</v>
      </c>
      <c r="F22" s="473">
        <f>33498180+22860</f>
        <v>33521040</v>
      </c>
      <c r="G22" s="473">
        <f>33498180+22860</f>
        <v>33521040</v>
      </c>
    </row>
    <row r="23" spans="1:7" ht="19.5" customHeight="1">
      <c r="A23" s="335"/>
      <c r="B23" s="492" t="s">
        <v>878</v>
      </c>
      <c r="C23" s="473"/>
      <c r="D23" s="473">
        <v>7729013</v>
      </c>
      <c r="E23" s="473">
        <v>7729013</v>
      </c>
      <c r="F23" s="473">
        <v>7729013</v>
      </c>
      <c r="G23" s="473">
        <v>7729013</v>
      </c>
    </row>
    <row r="24" spans="1:7" ht="19.5" customHeight="1">
      <c r="A24" s="335"/>
      <c r="B24" s="492" t="s">
        <v>950</v>
      </c>
      <c r="C24" s="473"/>
      <c r="D24" s="473">
        <v>2057300</v>
      </c>
      <c r="E24" s="473">
        <v>2057300</v>
      </c>
      <c r="F24" s="473">
        <v>2057300</v>
      </c>
      <c r="G24" s="473">
        <v>0</v>
      </c>
    </row>
    <row r="25" spans="1:7" ht="29.25" customHeight="1">
      <c r="A25" s="335"/>
      <c r="B25" s="678" t="s">
        <v>1045</v>
      </c>
      <c r="C25" s="473"/>
      <c r="D25" s="473">
        <v>0</v>
      </c>
      <c r="E25" s="473">
        <v>0</v>
      </c>
      <c r="F25" s="473">
        <v>7442693</v>
      </c>
      <c r="G25" s="473">
        <v>7442693</v>
      </c>
    </row>
    <row r="26" spans="1:7" ht="19.5" customHeight="1">
      <c r="A26" s="478"/>
      <c r="B26" s="161" t="s">
        <v>244</v>
      </c>
      <c r="C26" s="476">
        <f>C21</f>
        <v>0</v>
      </c>
      <c r="D26" s="476">
        <f>D21</f>
        <v>43284493</v>
      </c>
      <c r="E26" s="476">
        <f>E21</f>
        <v>43284493</v>
      </c>
      <c r="F26" s="476">
        <f>F21</f>
        <v>50750046</v>
      </c>
      <c r="G26" s="476">
        <f>G21</f>
        <v>48692746</v>
      </c>
    </row>
    <row r="27" spans="1:7" ht="19.5" customHeight="1">
      <c r="A27" s="24" t="s">
        <v>207</v>
      </c>
      <c r="B27" s="68" t="s">
        <v>117</v>
      </c>
      <c r="C27" s="477"/>
      <c r="D27" s="477"/>
      <c r="E27" s="477"/>
      <c r="F27" s="477"/>
      <c r="G27" s="477"/>
    </row>
    <row r="28" spans="1:7" ht="19.5" customHeight="1">
      <c r="A28" s="213" t="s">
        <v>228</v>
      </c>
      <c r="B28" s="202" t="s">
        <v>323</v>
      </c>
      <c r="C28" s="473">
        <v>5000000</v>
      </c>
      <c r="D28" s="473">
        <v>5000000</v>
      </c>
      <c r="E28" s="473">
        <v>5000000</v>
      </c>
      <c r="F28" s="473">
        <v>5000000</v>
      </c>
      <c r="G28" s="473">
        <v>4593295</v>
      </c>
    </row>
    <row r="29" spans="1:7" ht="19.5" customHeight="1">
      <c r="A29" s="213" t="s">
        <v>208</v>
      </c>
      <c r="B29" s="202" t="s">
        <v>209</v>
      </c>
      <c r="C29" s="473"/>
      <c r="D29" s="473"/>
      <c r="E29" s="473"/>
      <c r="F29" s="473"/>
      <c r="G29" s="473"/>
    </row>
    <row r="30" spans="1:7" ht="19.5" customHeight="1">
      <c r="A30" s="213" t="s">
        <v>248</v>
      </c>
      <c r="B30" s="202" t="s">
        <v>319</v>
      </c>
      <c r="C30" s="473">
        <v>6000000</v>
      </c>
      <c r="D30" s="473">
        <v>7000000</v>
      </c>
      <c r="E30" s="473">
        <v>7000000</v>
      </c>
      <c r="F30" s="473">
        <f>7000000+2072651</f>
        <v>9072651</v>
      </c>
      <c r="G30" s="473">
        <f>7000000+2072651</f>
        <v>9072651</v>
      </c>
    </row>
    <row r="31" spans="1:7" ht="19.5" customHeight="1">
      <c r="A31" s="213" t="s">
        <v>320</v>
      </c>
      <c r="B31" s="202" t="s">
        <v>249</v>
      </c>
      <c r="C31" s="473">
        <v>1300000</v>
      </c>
      <c r="D31" s="473">
        <v>1300000</v>
      </c>
      <c r="E31" s="473">
        <v>1300000</v>
      </c>
      <c r="F31" s="473">
        <f>1300000+139345</f>
        <v>1439345</v>
      </c>
      <c r="G31" s="473">
        <f>1300000+139345</f>
        <v>1439345</v>
      </c>
    </row>
    <row r="32" spans="1:7" ht="19.5" customHeight="1">
      <c r="A32" s="213" t="s">
        <v>321</v>
      </c>
      <c r="B32" s="202" t="s">
        <v>322</v>
      </c>
      <c r="C32" s="473"/>
      <c r="D32" s="473"/>
      <c r="E32" s="473"/>
      <c r="F32" s="473"/>
      <c r="G32" s="473"/>
    </row>
    <row r="33" spans="1:7" ht="19.5" customHeight="1">
      <c r="A33" s="213" t="s">
        <v>229</v>
      </c>
      <c r="B33" s="202" t="s">
        <v>230</v>
      </c>
      <c r="C33" s="473"/>
      <c r="D33" s="473"/>
      <c r="E33" s="473"/>
      <c r="F33" s="473">
        <v>132121</v>
      </c>
      <c r="G33" s="473">
        <v>132121</v>
      </c>
    </row>
    <row r="34" spans="1:7" ht="19.5" customHeight="1">
      <c r="A34" s="475"/>
      <c r="B34" s="159" t="s">
        <v>251</v>
      </c>
      <c r="C34" s="476">
        <f>C28+C30+C31+C32+C33</f>
        <v>12300000</v>
      </c>
      <c r="D34" s="476">
        <f>D28+D30+D31+D32+D33</f>
        <v>13300000</v>
      </c>
      <c r="E34" s="476">
        <f>E28+E30+E31+E32+E33</f>
        <v>13300000</v>
      </c>
      <c r="F34" s="476">
        <f>F28+F30+F31+F32+F33</f>
        <v>15644117</v>
      </c>
      <c r="G34" s="476">
        <f>G28+G30+G31+G32+G33</f>
        <v>15237412</v>
      </c>
    </row>
    <row r="35" spans="1:7" ht="19.5" customHeight="1">
      <c r="A35" s="162" t="s">
        <v>210</v>
      </c>
      <c r="B35" s="159" t="s">
        <v>52</v>
      </c>
      <c r="C35" s="476">
        <v>22629750</v>
      </c>
      <c r="D35" s="476">
        <v>23018350</v>
      </c>
      <c r="E35" s="476">
        <v>23018350</v>
      </c>
      <c r="F35" s="476">
        <f>23018350+5442001</f>
        <v>28460351</v>
      </c>
      <c r="G35" s="476">
        <v>25797494</v>
      </c>
    </row>
    <row r="36" spans="1:7" ht="19.5" customHeight="1">
      <c r="A36" s="24" t="s">
        <v>211</v>
      </c>
      <c r="B36" s="68" t="s">
        <v>98</v>
      </c>
      <c r="C36" s="479"/>
      <c r="D36" s="479"/>
      <c r="E36" s="479"/>
      <c r="F36" s="479"/>
      <c r="G36" s="479"/>
    </row>
    <row r="37" spans="1:7" ht="19.5" customHeight="1">
      <c r="A37" s="213" t="s">
        <v>236</v>
      </c>
      <c r="B37" s="202" t="s">
        <v>237</v>
      </c>
      <c r="C37" s="473">
        <v>0</v>
      </c>
      <c r="D37" s="473">
        <v>0</v>
      </c>
      <c r="E37" s="473">
        <v>0</v>
      </c>
      <c r="F37" s="473">
        <v>10005000</v>
      </c>
      <c r="G37" s="473">
        <v>5305000</v>
      </c>
    </row>
    <row r="38" spans="1:7" ht="19.5" customHeight="1">
      <c r="A38" s="213" t="s">
        <v>324</v>
      </c>
      <c r="B38" s="202" t="s">
        <v>325</v>
      </c>
      <c r="C38" s="473"/>
      <c r="D38" s="473"/>
      <c r="E38" s="473"/>
      <c r="F38" s="473"/>
      <c r="G38" s="473"/>
    </row>
    <row r="39" spans="1:7" ht="19.5" customHeight="1">
      <c r="A39" s="475"/>
      <c r="B39" s="159" t="s">
        <v>245</v>
      </c>
      <c r="C39" s="476">
        <f>SUM(C37:C38)</f>
        <v>0</v>
      </c>
      <c r="D39" s="476">
        <f>SUM(D37:D38)</f>
        <v>0</v>
      </c>
      <c r="E39" s="476">
        <f>SUM(E37:E38)</f>
        <v>0</v>
      </c>
      <c r="F39" s="476">
        <f>SUM(F37:F38)</f>
        <v>10005000</v>
      </c>
      <c r="G39" s="476">
        <f>SUM(G37:G38)</f>
        <v>5305000</v>
      </c>
    </row>
    <row r="40" spans="1:7" ht="19.5" customHeight="1">
      <c r="A40" s="24" t="s">
        <v>212</v>
      </c>
      <c r="B40" s="68" t="s">
        <v>213</v>
      </c>
      <c r="C40" s="474"/>
      <c r="D40" s="474"/>
      <c r="E40" s="474"/>
      <c r="F40" s="474"/>
      <c r="G40" s="474"/>
    </row>
    <row r="41" spans="1:7" ht="19.5" customHeight="1">
      <c r="A41" s="213" t="s">
        <v>880</v>
      </c>
      <c r="B41" s="202" t="s">
        <v>881</v>
      </c>
      <c r="C41" s="473"/>
      <c r="D41" s="473"/>
      <c r="E41" s="473"/>
      <c r="F41" s="473"/>
      <c r="G41" s="473"/>
    </row>
    <row r="42" spans="1:7" ht="19.5" customHeight="1">
      <c r="A42" s="213" t="s">
        <v>326</v>
      </c>
      <c r="B42" s="202" t="s">
        <v>327</v>
      </c>
      <c r="C42" s="473"/>
      <c r="D42" s="473"/>
      <c r="E42" s="473"/>
      <c r="F42" s="473"/>
      <c r="G42" s="473"/>
    </row>
    <row r="43" spans="1:7" ht="19.5" customHeight="1">
      <c r="A43" s="475"/>
      <c r="B43" s="159" t="s">
        <v>246</v>
      </c>
      <c r="C43" s="476">
        <f>SUM(C41:C42)</f>
        <v>0</v>
      </c>
      <c r="D43" s="476">
        <f>SUM(D41:D42)</f>
        <v>0</v>
      </c>
      <c r="E43" s="476">
        <f>SUM(E41:E42)</f>
        <v>0</v>
      </c>
      <c r="F43" s="476">
        <f>SUM(F41:F42)</f>
        <v>0</v>
      </c>
      <c r="G43" s="476">
        <f>SUM(G41:G42)</f>
        <v>0</v>
      </c>
    </row>
    <row r="44" spans="1:7" ht="12.75" customHeight="1">
      <c r="A44" s="25" t="s">
        <v>214</v>
      </c>
      <c r="B44" s="68" t="s">
        <v>215</v>
      </c>
      <c r="C44" s="474">
        <v>0</v>
      </c>
      <c r="D44" s="474">
        <v>0</v>
      </c>
      <c r="E44" s="474">
        <v>0</v>
      </c>
      <c r="F44" s="474">
        <v>0</v>
      </c>
      <c r="G44" s="474">
        <v>0</v>
      </c>
    </row>
    <row r="45" spans="1:7" ht="18" customHeight="1">
      <c r="A45" s="493"/>
      <c r="B45" s="159" t="s">
        <v>247</v>
      </c>
      <c r="C45" s="476">
        <f>SUM(C44)</f>
        <v>0</v>
      </c>
      <c r="D45" s="476">
        <f>SUM(D44)</f>
        <v>0</v>
      </c>
      <c r="E45" s="476">
        <f>SUM(E44)</f>
        <v>0</v>
      </c>
      <c r="F45" s="476">
        <f>SUM(F44)</f>
        <v>0</v>
      </c>
      <c r="G45" s="476">
        <f>SUM(G44)</f>
        <v>0</v>
      </c>
    </row>
    <row r="46" spans="1:7" ht="15" customHeight="1">
      <c r="A46" s="494" t="s">
        <v>216</v>
      </c>
      <c r="B46" s="495" t="s">
        <v>217</v>
      </c>
      <c r="C46" s="496">
        <f>C19+C26+C34+C35+C39+C43+C45</f>
        <v>81581430</v>
      </c>
      <c r="D46" s="496">
        <f>D19+D26+D34+D35+D39+D43+D45</f>
        <v>123016070</v>
      </c>
      <c r="E46" s="496">
        <f>E19+E26+E34+E35+E39+E43+E45</f>
        <v>128904807</v>
      </c>
      <c r="F46" s="496">
        <f>F19+F26+F34+F35+F39+F43+F45</f>
        <v>157206733</v>
      </c>
      <c r="G46" s="496">
        <f>G19+G26+G34+G35+G39+G43+G45</f>
        <v>145850135</v>
      </c>
    </row>
    <row r="47" spans="1:7" ht="15" customHeight="1">
      <c r="A47" s="213" t="s">
        <v>473</v>
      </c>
      <c r="B47" s="202" t="s">
        <v>328</v>
      </c>
      <c r="C47" s="473">
        <v>8696901</v>
      </c>
      <c r="D47" s="473">
        <v>60413118</v>
      </c>
      <c r="E47" s="473">
        <f>60413118+2037736</f>
        <v>62450854</v>
      </c>
      <c r="F47" s="473">
        <f>60413118+2037736</f>
        <v>62450854</v>
      </c>
      <c r="G47" s="473">
        <f>60413118+2037736</f>
        <v>62450854</v>
      </c>
    </row>
    <row r="48" spans="1:7" ht="14.25">
      <c r="A48" s="213" t="s">
        <v>474</v>
      </c>
      <c r="B48" s="202" t="s">
        <v>472</v>
      </c>
      <c r="G48" s="473">
        <v>1547521</v>
      </c>
    </row>
    <row r="49" spans="1:7" ht="15.75">
      <c r="A49" s="338" t="s">
        <v>475</v>
      </c>
      <c r="B49" s="340" t="s">
        <v>476</v>
      </c>
      <c r="C49" s="339"/>
      <c r="D49" s="312"/>
      <c r="E49" s="312"/>
      <c r="F49" s="312"/>
      <c r="G49" s="312">
        <f>SUM(G47:G48)</f>
        <v>63998375</v>
      </c>
    </row>
    <row r="50" spans="1:7" ht="15">
      <c r="A50" s="475"/>
      <c r="B50" s="159" t="s">
        <v>250</v>
      </c>
      <c r="C50" s="476">
        <f>C46+C47</f>
        <v>90278331</v>
      </c>
      <c r="D50" s="476">
        <f>D46+D47</f>
        <v>183429188</v>
      </c>
      <c r="E50" s="476">
        <f>E46+E47</f>
        <v>191355661</v>
      </c>
      <c r="F50" s="476">
        <f>F46+F47</f>
        <v>219657587</v>
      </c>
      <c r="G50" s="476">
        <f>G46+G49</f>
        <v>209848510</v>
      </c>
    </row>
    <row r="51" spans="1:7" s="488" customFormat="1" ht="15">
      <c r="A51" s="489"/>
      <c r="B51" s="490"/>
      <c r="C51" s="491"/>
      <c r="D51" s="491"/>
      <c r="E51" s="491"/>
      <c r="F51" s="491"/>
      <c r="G51" s="491"/>
    </row>
    <row r="52" spans="1:7" s="488" customFormat="1" ht="15">
      <c r="A52" s="489"/>
      <c r="B52" s="490"/>
      <c r="C52" s="491"/>
      <c r="D52" s="491"/>
      <c r="E52" s="491"/>
      <c r="F52" s="491"/>
      <c r="G52" s="491"/>
    </row>
    <row r="53" spans="1:7" ht="19.5" customHeight="1">
      <c r="A53" s="680" t="s">
        <v>253</v>
      </c>
      <c r="B53" s="681" t="s">
        <v>13</v>
      </c>
      <c r="C53" s="682" t="s">
        <v>883</v>
      </c>
      <c r="D53" s="682" t="s">
        <v>884</v>
      </c>
      <c r="E53" s="683" t="s">
        <v>864</v>
      </c>
      <c r="F53" s="683" t="s">
        <v>865</v>
      </c>
      <c r="G53" s="679" t="s">
        <v>882</v>
      </c>
    </row>
    <row r="54" spans="1:7" ht="28.5" customHeight="1">
      <c r="A54" s="680"/>
      <c r="B54" s="681"/>
      <c r="C54" s="682"/>
      <c r="D54" s="682"/>
      <c r="E54" s="683"/>
      <c r="F54" s="683"/>
      <c r="G54" s="679"/>
    </row>
    <row r="55" spans="1:7" ht="19.5" customHeight="1">
      <c r="A55" s="89" t="s">
        <v>252</v>
      </c>
      <c r="B55" s="163" t="s">
        <v>329</v>
      </c>
      <c r="C55" s="497"/>
      <c r="D55" s="497"/>
      <c r="E55" s="497"/>
      <c r="F55" s="497"/>
      <c r="G55" s="497"/>
    </row>
    <row r="56" spans="1:7" ht="19.5" customHeight="1">
      <c r="A56" s="481" t="s">
        <v>218</v>
      </c>
      <c r="B56" s="236" t="s">
        <v>254</v>
      </c>
      <c r="C56" s="482"/>
      <c r="D56" s="482"/>
      <c r="E56" s="482"/>
      <c r="F56" s="482"/>
      <c r="G56" s="482"/>
    </row>
    <row r="57" spans="1:7" ht="19.5" customHeight="1">
      <c r="A57" s="335" t="s">
        <v>885</v>
      </c>
      <c r="B57" s="236" t="s">
        <v>886</v>
      </c>
      <c r="C57" s="482">
        <v>25639518</v>
      </c>
      <c r="D57" s="482">
        <v>23518912</v>
      </c>
      <c r="E57" s="482">
        <f>23518912+3267164+157711+400000</f>
        <v>27343787</v>
      </c>
      <c r="F57" s="482">
        <f>23518912+3267164+157711+400000+464752+565246</f>
        <v>28373785</v>
      </c>
      <c r="G57" s="482">
        <f>4504627+22382897</f>
        <v>26887524</v>
      </c>
    </row>
    <row r="58" spans="1:7" ht="19.5" customHeight="1">
      <c r="A58" s="481" t="s">
        <v>887</v>
      </c>
      <c r="B58" s="236" t="s">
        <v>888</v>
      </c>
      <c r="C58" s="482">
        <v>2422131</v>
      </c>
      <c r="D58" s="482">
        <v>2953440</v>
      </c>
      <c r="E58" s="482">
        <f>2953440+240000</f>
        <v>3193440</v>
      </c>
      <c r="F58" s="482">
        <f>2953440+240000+5913</f>
        <v>3199353</v>
      </c>
      <c r="G58" s="482">
        <f>2953440+240000+5913</f>
        <v>3199353</v>
      </c>
    </row>
    <row r="59" spans="1:7" ht="19.5" customHeight="1">
      <c r="A59" s="481"/>
      <c r="B59" s="123" t="s">
        <v>889</v>
      </c>
      <c r="C59" s="483">
        <f>SUM(C56:C58)</f>
        <v>28061649</v>
      </c>
      <c r="D59" s="483">
        <f>SUM(D56:D58)</f>
        <v>26472352</v>
      </c>
      <c r="E59" s="483">
        <f>SUM(E56:E58)</f>
        <v>30537227</v>
      </c>
      <c r="F59" s="483">
        <f>SUM(F56:F58)</f>
        <v>31573138</v>
      </c>
      <c r="G59" s="483">
        <f>SUM(G56:G58)</f>
        <v>30086877</v>
      </c>
    </row>
    <row r="60" spans="1:7" ht="19.5" customHeight="1">
      <c r="A60" s="481" t="s">
        <v>219</v>
      </c>
      <c r="B60" s="236" t="s">
        <v>255</v>
      </c>
      <c r="C60" s="482">
        <v>6096828</v>
      </c>
      <c r="D60" s="482">
        <v>5300485</v>
      </c>
      <c r="E60" s="482">
        <f>5300485+636672+30754+108000</f>
        <v>6075911</v>
      </c>
      <c r="F60" s="482">
        <f>5300485+636672+30754+108000+84714+110224</f>
        <v>6270849</v>
      </c>
      <c r="G60" s="482">
        <f>4637520+1456080</f>
        <v>6093600</v>
      </c>
    </row>
    <row r="61" spans="1:7" ht="19.5" customHeight="1">
      <c r="A61" s="313" t="s">
        <v>220</v>
      </c>
      <c r="B61" s="236" t="s">
        <v>221</v>
      </c>
      <c r="C61" s="482">
        <v>37825338</v>
      </c>
      <c r="D61" s="482">
        <v>36198018</v>
      </c>
      <c r="E61" s="482">
        <f>36198018+8307102</f>
        <v>44505120</v>
      </c>
      <c r="F61" s="482">
        <f>36198018+8307102+1391613+97493</f>
        <v>45994226</v>
      </c>
      <c r="G61" s="482">
        <f>30475046+15371905</f>
        <v>45846951</v>
      </c>
    </row>
    <row r="62" spans="1:7" ht="19.5" customHeight="1">
      <c r="A62" s="313" t="s">
        <v>222</v>
      </c>
      <c r="B62" s="236" t="s">
        <v>78</v>
      </c>
      <c r="C62" s="482">
        <v>4620000</v>
      </c>
      <c r="D62" s="482">
        <v>4395000</v>
      </c>
      <c r="E62" s="482">
        <f>4395000+266700</f>
        <v>4661700</v>
      </c>
      <c r="F62" s="482">
        <f>4395000+266700+635300</f>
        <v>5297000</v>
      </c>
      <c r="G62" s="482">
        <f>4331200</f>
        <v>4331200</v>
      </c>
    </row>
    <row r="63" spans="1:7" ht="19.5" customHeight="1">
      <c r="A63" s="313" t="s">
        <v>223</v>
      </c>
      <c r="B63" s="236" t="s">
        <v>890</v>
      </c>
      <c r="C63" s="482">
        <v>9586927</v>
      </c>
      <c r="D63" s="482">
        <v>20263011</v>
      </c>
      <c r="E63" s="482">
        <v>20253276</v>
      </c>
      <c r="F63" s="482">
        <f>20253276+22276514</f>
        <v>42529790</v>
      </c>
      <c r="G63" s="482">
        <v>2502909</v>
      </c>
    </row>
    <row r="64" spans="1:7" ht="19.5" customHeight="1">
      <c r="A64" s="313"/>
      <c r="B64" s="236" t="s">
        <v>891</v>
      </c>
      <c r="C64" s="482">
        <v>7386927</v>
      </c>
      <c r="D64" s="482">
        <v>17377931</v>
      </c>
      <c r="E64" s="482">
        <v>15826194</v>
      </c>
      <c r="F64" s="482">
        <f>15826194+22276514</f>
        <v>38102708</v>
      </c>
      <c r="G64" s="482">
        <v>0</v>
      </c>
    </row>
    <row r="65" spans="1:7" ht="19.5" customHeight="1">
      <c r="A65" s="90"/>
      <c r="B65" s="484" t="s">
        <v>256</v>
      </c>
      <c r="C65" s="483">
        <f>C59+C60+C61+C62+C63</f>
        <v>86190742</v>
      </c>
      <c r="D65" s="483">
        <f>D59+D60+D61+D62+D63</f>
        <v>92628866</v>
      </c>
      <c r="E65" s="483">
        <f>E59+E60+E61+E62+E63</f>
        <v>106033234</v>
      </c>
      <c r="F65" s="483">
        <f>F59+F60+F61+F62+F63</f>
        <v>131665003</v>
      </c>
      <c r="G65" s="483">
        <f>G59+G60+G61+G62+G63</f>
        <v>88861537</v>
      </c>
    </row>
    <row r="66" spans="1:7" ht="15">
      <c r="A66" s="90" t="s">
        <v>224</v>
      </c>
      <c r="B66" s="123" t="s">
        <v>225</v>
      </c>
      <c r="C66" s="485">
        <v>600000</v>
      </c>
      <c r="D66" s="485">
        <v>352400</v>
      </c>
      <c r="E66" s="485">
        <f>352400+4061007</f>
        <v>4413407</v>
      </c>
      <c r="F66" s="485">
        <f>352400+4061007+720980+208968</f>
        <v>5343355</v>
      </c>
      <c r="G66" s="485">
        <f>4807387+401547</f>
        <v>5208934</v>
      </c>
    </row>
    <row r="67" spans="1:7" ht="15">
      <c r="A67" s="90" t="s">
        <v>226</v>
      </c>
      <c r="B67" s="123" t="s">
        <v>99</v>
      </c>
      <c r="C67" s="483">
        <v>2000000</v>
      </c>
      <c r="D67" s="483">
        <v>89036672</v>
      </c>
      <c r="E67" s="483">
        <f>89036672-9538902</f>
        <v>79497770</v>
      </c>
      <c r="F67" s="483">
        <f>89036672-9538902+1740209</f>
        <v>81237979</v>
      </c>
      <c r="G67" s="483">
        <f>72863443+0</f>
        <v>72863443</v>
      </c>
    </row>
    <row r="68" spans="1:7" ht="15">
      <c r="A68" s="90" t="s">
        <v>227</v>
      </c>
      <c r="B68" s="123" t="s">
        <v>892</v>
      </c>
      <c r="C68" s="483">
        <v>0</v>
      </c>
      <c r="D68" s="483">
        <v>0</v>
      </c>
      <c r="E68" s="483">
        <v>0</v>
      </c>
      <c r="F68" s="483">
        <v>0</v>
      </c>
      <c r="G68" s="483">
        <v>0</v>
      </c>
    </row>
    <row r="69" spans="1:7" ht="15">
      <c r="A69" s="90"/>
      <c r="B69" s="484" t="s">
        <v>257</v>
      </c>
      <c r="C69" s="483">
        <f>C66+C67+C68</f>
        <v>2600000</v>
      </c>
      <c r="D69" s="483">
        <f>D66+D67+D68</f>
        <v>89389072</v>
      </c>
      <c r="E69" s="483">
        <f>E66+E67+E68</f>
        <v>83911177</v>
      </c>
      <c r="F69" s="483">
        <f>F66+F67+F68</f>
        <v>86581334</v>
      </c>
      <c r="G69" s="483">
        <f>G66+G67+G68</f>
        <v>78072377</v>
      </c>
    </row>
    <row r="70" spans="1:7" ht="15">
      <c r="A70" s="486" t="s">
        <v>893</v>
      </c>
      <c r="B70" s="498" t="s">
        <v>440</v>
      </c>
      <c r="C70" s="487">
        <f>C65+C69</f>
        <v>88790742</v>
      </c>
      <c r="D70" s="487">
        <f>D65+D69</f>
        <v>182017938</v>
      </c>
      <c r="E70" s="487">
        <f>E65+E69</f>
        <v>189944411</v>
      </c>
      <c r="F70" s="487">
        <f>F65+F69</f>
        <v>218246337</v>
      </c>
      <c r="G70" s="487">
        <f>G65+G69</f>
        <v>166933914</v>
      </c>
    </row>
    <row r="71" spans="1:7" ht="15">
      <c r="A71" s="90" t="s">
        <v>258</v>
      </c>
      <c r="B71" s="123" t="s">
        <v>259</v>
      </c>
      <c r="C71" s="483">
        <v>0</v>
      </c>
      <c r="D71" s="483">
        <v>0</v>
      </c>
      <c r="E71" s="483">
        <v>0</v>
      </c>
      <c r="F71" s="483">
        <v>0</v>
      </c>
      <c r="G71" s="483">
        <v>0</v>
      </c>
    </row>
    <row r="72" spans="1:7" ht="15">
      <c r="A72" s="90"/>
      <c r="B72" s="123" t="s">
        <v>894</v>
      </c>
      <c r="C72" s="483">
        <v>1487589</v>
      </c>
      <c r="D72" s="483">
        <v>1411250</v>
      </c>
      <c r="E72" s="483">
        <v>1411250</v>
      </c>
      <c r="F72" s="483">
        <v>1411250</v>
      </c>
      <c r="G72" s="483">
        <v>1411250</v>
      </c>
    </row>
    <row r="73" spans="1:7" ht="15">
      <c r="A73" s="164"/>
      <c r="B73" s="499" t="s">
        <v>260</v>
      </c>
      <c r="C73" s="487">
        <f>C70+C72+C71</f>
        <v>90278331</v>
      </c>
      <c r="D73" s="487">
        <f>D70+D72+D71</f>
        <v>183429188</v>
      </c>
      <c r="E73" s="487">
        <f>E70+E72+E71</f>
        <v>191355661</v>
      </c>
      <c r="F73" s="487">
        <f>F70+F72+F71</f>
        <v>219657587</v>
      </c>
      <c r="G73" s="487">
        <f>G70+G72+G71</f>
        <v>168345164</v>
      </c>
    </row>
    <row r="74" spans="1:3" ht="14.25">
      <c r="A74" s="23"/>
      <c r="B74" s="23"/>
      <c r="C74" s="23"/>
    </row>
    <row r="75" spans="1:3" ht="14.25">
      <c r="A75" s="23"/>
      <c r="B75" s="23"/>
      <c r="C75" s="23"/>
    </row>
    <row r="76" spans="1:3" ht="14.25">
      <c r="A76" s="23"/>
      <c r="B76" s="23"/>
      <c r="C76" s="23"/>
    </row>
    <row r="77" spans="1:3" ht="14.25">
      <c r="A77" s="23"/>
      <c r="B77" s="23"/>
      <c r="C77" s="23"/>
    </row>
    <row r="78" spans="1:3" ht="14.25">
      <c r="A78" s="23"/>
      <c r="B78" s="23"/>
      <c r="C78" s="23"/>
    </row>
    <row r="79" spans="1:3" ht="14.25">
      <c r="A79" s="23"/>
      <c r="B79" s="23"/>
      <c r="C79" s="23"/>
    </row>
    <row r="80" spans="1:3" ht="14.25">
      <c r="A80" s="23"/>
      <c r="B80" s="23"/>
      <c r="C80" s="23"/>
    </row>
    <row r="81" spans="1:3" ht="14.25">
      <c r="A81" s="23"/>
      <c r="B81" s="23"/>
      <c r="C81" s="23"/>
    </row>
    <row r="82" spans="1:3" ht="14.25">
      <c r="A82" s="23"/>
      <c r="B82" s="23"/>
      <c r="C82" s="23"/>
    </row>
    <row r="83" spans="1:3" ht="14.25">
      <c r="A83" s="23"/>
      <c r="B83" s="23"/>
      <c r="C83" s="23"/>
    </row>
    <row r="84" spans="1:3" ht="14.25">
      <c r="A84" s="23"/>
      <c r="B84" s="23"/>
      <c r="C84" s="23"/>
    </row>
    <row r="85" spans="1:3" ht="14.25">
      <c r="A85" s="23"/>
      <c r="B85" s="23"/>
      <c r="C85" s="23"/>
    </row>
    <row r="86" spans="1:3" ht="14.25">
      <c r="A86" s="23"/>
      <c r="B86" s="23"/>
      <c r="C86" s="23"/>
    </row>
    <row r="87" spans="1:3" ht="14.25">
      <c r="A87" s="23"/>
      <c r="B87" s="23"/>
      <c r="C87" s="23"/>
    </row>
    <row r="88" spans="1:3" ht="14.25">
      <c r="A88" s="23"/>
      <c r="B88" s="23"/>
      <c r="C88" s="23"/>
    </row>
    <row r="89" spans="1:3" ht="14.25">
      <c r="A89" s="23"/>
      <c r="B89" s="23"/>
      <c r="C89" s="23"/>
    </row>
    <row r="90" spans="1:3" ht="14.25">
      <c r="A90" s="23"/>
      <c r="B90" s="23"/>
      <c r="C90" s="23"/>
    </row>
    <row r="91" spans="1:3" ht="14.25">
      <c r="A91" s="23"/>
      <c r="B91" s="23"/>
      <c r="C91" s="23"/>
    </row>
    <row r="92" spans="1:3" ht="14.25">
      <c r="A92" s="23"/>
      <c r="B92" s="23"/>
      <c r="C92" s="23"/>
    </row>
    <row r="93" spans="1:3" ht="14.25">
      <c r="A93" s="23"/>
      <c r="B93" s="23"/>
      <c r="C93" s="23"/>
    </row>
    <row r="94" spans="1:3" ht="14.25">
      <c r="A94" s="23"/>
      <c r="B94" s="23"/>
      <c r="C94" s="23"/>
    </row>
    <row r="95" spans="1:3" ht="14.25">
      <c r="A95" s="23"/>
      <c r="B95" s="23"/>
      <c r="C95" s="23"/>
    </row>
    <row r="96" spans="1:3" ht="14.25">
      <c r="A96" s="23"/>
      <c r="B96" s="23"/>
      <c r="C96" s="23"/>
    </row>
    <row r="97" spans="1:3" ht="14.25">
      <c r="A97" s="23"/>
      <c r="B97" s="23"/>
      <c r="C97" s="23"/>
    </row>
    <row r="98" spans="1:3" ht="14.25">
      <c r="A98" s="23"/>
      <c r="B98" s="23"/>
      <c r="C98" s="23"/>
    </row>
    <row r="99" spans="1:3" ht="14.25">
      <c r="A99" s="23"/>
      <c r="B99" s="23"/>
      <c r="C99" s="23"/>
    </row>
    <row r="100" spans="1:3" ht="14.25">
      <c r="A100" s="23"/>
      <c r="B100" s="23"/>
      <c r="C100" s="23"/>
    </row>
    <row r="101" spans="1:3" ht="14.25">
      <c r="A101" s="23"/>
      <c r="B101" s="23"/>
      <c r="C101" s="23"/>
    </row>
    <row r="102" spans="1:3" ht="14.25">
      <c r="A102" s="23"/>
      <c r="B102" s="23"/>
      <c r="C102" s="23"/>
    </row>
    <row r="103" spans="1:3" ht="14.25">
      <c r="A103" s="23"/>
      <c r="B103" s="23"/>
      <c r="C103" s="23"/>
    </row>
    <row r="104" spans="1:3" ht="14.25">
      <c r="A104" s="23"/>
      <c r="B104" s="23"/>
      <c r="C104" s="23"/>
    </row>
    <row r="105" spans="1:3" ht="14.25">
      <c r="A105" s="23"/>
      <c r="B105" s="23"/>
      <c r="C105" s="23"/>
    </row>
    <row r="106" spans="1:3" ht="14.25">
      <c r="A106" s="23"/>
      <c r="B106" s="23"/>
      <c r="C106" s="23"/>
    </row>
    <row r="107" spans="1:3" ht="14.25">
      <c r="A107" s="23"/>
      <c r="B107" s="23"/>
      <c r="C107" s="23"/>
    </row>
    <row r="108" spans="1:3" ht="14.25">
      <c r="A108" s="23"/>
      <c r="B108" s="23"/>
      <c r="C108" s="23"/>
    </row>
    <row r="109" spans="1:3" ht="14.25">
      <c r="A109" s="23"/>
      <c r="B109" s="23"/>
      <c r="C109" s="23"/>
    </row>
    <row r="110" spans="1:3" ht="14.25">
      <c r="A110" s="23"/>
      <c r="B110" s="23"/>
      <c r="C110" s="23"/>
    </row>
    <row r="111" spans="1:3" ht="14.25">
      <c r="A111" s="23"/>
      <c r="B111" s="23"/>
      <c r="C111" s="23"/>
    </row>
    <row r="112" spans="1:3" ht="14.25">
      <c r="A112" s="23"/>
      <c r="B112" s="23"/>
      <c r="C112" s="23"/>
    </row>
    <row r="113" spans="1:3" ht="14.25">
      <c r="A113" s="23"/>
      <c r="B113" s="23"/>
      <c r="C113" s="23"/>
    </row>
    <row r="114" spans="1:3" ht="14.25">
      <c r="A114" s="23"/>
      <c r="B114" s="23"/>
      <c r="C114" s="23"/>
    </row>
    <row r="115" spans="1:3" ht="14.25">
      <c r="A115" s="23"/>
      <c r="B115" s="23"/>
      <c r="C115" s="23"/>
    </row>
    <row r="116" spans="1:3" ht="14.25">
      <c r="A116" s="23"/>
      <c r="B116" s="23"/>
      <c r="C116" s="23"/>
    </row>
    <row r="117" spans="1:3" ht="14.25">
      <c r="A117" s="23"/>
      <c r="B117" s="23"/>
      <c r="C117" s="23"/>
    </row>
    <row r="118" spans="1:3" ht="14.25">
      <c r="A118" s="23"/>
      <c r="B118" s="23"/>
      <c r="C118" s="23"/>
    </row>
    <row r="119" spans="1:3" ht="14.25">
      <c r="A119" s="23"/>
      <c r="B119" s="23"/>
      <c r="C119" s="23"/>
    </row>
    <row r="120" spans="1:3" ht="14.25">
      <c r="A120" s="23"/>
      <c r="B120" s="23"/>
      <c r="C120" s="23"/>
    </row>
    <row r="121" spans="1:3" ht="14.25">
      <c r="A121" s="23"/>
      <c r="B121" s="23"/>
      <c r="C121" s="23"/>
    </row>
    <row r="122" spans="1:3" ht="14.25">
      <c r="A122" s="23"/>
      <c r="B122" s="23"/>
      <c r="C122" s="23"/>
    </row>
    <row r="123" spans="1:3" ht="14.25">
      <c r="A123" s="23"/>
      <c r="B123" s="23"/>
      <c r="C123" s="23"/>
    </row>
    <row r="124" spans="1:3" ht="14.25">
      <c r="A124" s="23"/>
      <c r="B124" s="23"/>
      <c r="C124" s="23"/>
    </row>
    <row r="125" spans="1:3" ht="14.25">
      <c r="A125" s="23"/>
      <c r="B125" s="23"/>
      <c r="C125" s="23"/>
    </row>
    <row r="126" spans="1:3" ht="14.25">
      <c r="A126" s="23"/>
      <c r="B126" s="23"/>
      <c r="C126" s="23"/>
    </row>
    <row r="127" spans="1:3" ht="14.25">
      <c r="A127" s="23"/>
      <c r="B127" s="23"/>
      <c r="C127" s="23"/>
    </row>
    <row r="128" spans="1:3" ht="14.25">
      <c r="A128" s="23"/>
      <c r="B128" s="23"/>
      <c r="C128" s="23"/>
    </row>
    <row r="129" spans="1:3" ht="14.25">
      <c r="A129" s="23"/>
      <c r="B129" s="23"/>
      <c r="C129" s="23"/>
    </row>
    <row r="130" spans="1:3" ht="14.25">
      <c r="A130" s="23"/>
      <c r="B130" s="23"/>
      <c r="C130" s="23"/>
    </row>
    <row r="131" spans="1:3" ht="14.25">
      <c r="A131" s="23"/>
      <c r="B131" s="23"/>
      <c r="C131" s="23"/>
    </row>
    <row r="132" spans="1:3" ht="14.25">
      <c r="A132" s="23"/>
      <c r="B132" s="23"/>
      <c r="C132" s="23"/>
    </row>
    <row r="133" spans="1:3" ht="14.25">
      <c r="A133" s="23"/>
      <c r="B133" s="23"/>
      <c r="C133" s="23"/>
    </row>
    <row r="134" spans="1:3" ht="14.25">
      <c r="A134" s="23"/>
      <c r="B134" s="23"/>
      <c r="C134" s="23"/>
    </row>
    <row r="135" spans="1:3" ht="14.25">
      <c r="A135" s="23"/>
      <c r="B135" s="23"/>
      <c r="C135" s="23"/>
    </row>
    <row r="136" spans="1:3" ht="14.25">
      <c r="A136" s="23"/>
      <c r="B136" s="23"/>
      <c r="C136" s="23"/>
    </row>
    <row r="137" spans="1:3" ht="14.25">
      <c r="A137" s="23"/>
      <c r="B137" s="23"/>
      <c r="C137" s="23"/>
    </row>
    <row r="138" spans="1:3" ht="14.25">
      <c r="A138" s="23"/>
      <c r="B138" s="23"/>
      <c r="C138" s="23"/>
    </row>
    <row r="139" spans="1:3" ht="14.25">
      <c r="A139" s="23"/>
      <c r="B139" s="23"/>
      <c r="C139" s="23"/>
    </row>
    <row r="140" spans="1:3" ht="14.25">
      <c r="A140" s="23"/>
      <c r="B140" s="23"/>
      <c r="C140" s="23"/>
    </row>
    <row r="141" spans="1:3" ht="14.25">
      <c r="A141" s="23"/>
      <c r="B141" s="23"/>
      <c r="C141" s="23"/>
    </row>
    <row r="142" spans="1:3" ht="14.25">
      <c r="A142" s="23"/>
      <c r="B142" s="23"/>
      <c r="C142" s="23"/>
    </row>
    <row r="143" spans="1:3" ht="14.25">
      <c r="A143" s="23"/>
      <c r="B143" s="23"/>
      <c r="C143" s="23"/>
    </row>
    <row r="144" spans="1:3" ht="14.25">
      <c r="A144" s="23"/>
      <c r="B144" s="23"/>
      <c r="C144" s="23"/>
    </row>
    <row r="145" spans="1:3" ht="14.25">
      <c r="A145" s="23"/>
      <c r="B145" s="23"/>
      <c r="C145" s="23"/>
    </row>
    <row r="146" spans="1:3" ht="14.25">
      <c r="A146" s="23"/>
      <c r="B146" s="23"/>
      <c r="C146" s="23"/>
    </row>
    <row r="147" spans="1:3" ht="14.25">
      <c r="A147" s="23"/>
      <c r="B147" s="23"/>
      <c r="C147" s="23"/>
    </row>
    <row r="148" spans="1:3" ht="14.25">
      <c r="A148" s="23"/>
      <c r="B148" s="23"/>
      <c r="C148" s="23"/>
    </row>
    <row r="149" spans="1:3" ht="14.25">
      <c r="A149" s="23"/>
      <c r="B149" s="23"/>
      <c r="C149" s="23"/>
    </row>
    <row r="150" spans="1:3" ht="14.25">
      <c r="A150" s="23"/>
      <c r="B150" s="23"/>
      <c r="C150" s="23"/>
    </row>
    <row r="151" spans="1:3" ht="14.25">
      <c r="A151" s="23"/>
      <c r="B151" s="23"/>
      <c r="C151" s="23"/>
    </row>
    <row r="152" spans="1:3" ht="14.25">
      <c r="A152" s="23"/>
      <c r="B152" s="23"/>
      <c r="C152" s="23"/>
    </row>
    <row r="153" spans="1:3" ht="14.25">
      <c r="A153" s="23"/>
      <c r="B153" s="23"/>
      <c r="C153" s="23"/>
    </row>
    <row r="154" spans="1:3" ht="14.25">
      <c r="A154" s="23"/>
      <c r="B154" s="23"/>
      <c r="C154" s="23"/>
    </row>
    <row r="155" spans="1:3" ht="14.25">
      <c r="A155" s="23"/>
      <c r="B155" s="23"/>
      <c r="C155" s="23"/>
    </row>
    <row r="156" spans="1:3" ht="14.25">
      <c r="A156" s="23"/>
      <c r="B156" s="23"/>
      <c r="C156" s="23"/>
    </row>
    <row r="157" spans="1:3" ht="14.25">
      <c r="A157" s="23"/>
      <c r="B157" s="23"/>
      <c r="C157" s="23"/>
    </row>
    <row r="158" spans="1:3" ht="14.25">
      <c r="A158" s="23"/>
      <c r="B158" s="23"/>
      <c r="C158" s="23"/>
    </row>
    <row r="159" spans="1:3" ht="14.25">
      <c r="A159" s="23"/>
      <c r="B159" s="23"/>
      <c r="C159" s="23"/>
    </row>
    <row r="160" spans="1:3" ht="14.25">
      <c r="A160" s="23"/>
      <c r="B160" s="23"/>
      <c r="C160" s="23"/>
    </row>
    <row r="161" spans="1:3" ht="14.25">
      <c r="A161" s="23"/>
      <c r="B161" s="23"/>
      <c r="C161" s="23"/>
    </row>
    <row r="162" spans="1:3" ht="14.25">
      <c r="A162" s="23"/>
      <c r="B162" s="23"/>
      <c r="C162" s="23"/>
    </row>
    <row r="163" spans="1:3" ht="14.25">
      <c r="A163" s="23"/>
      <c r="B163" s="23"/>
      <c r="C163" s="23"/>
    </row>
    <row r="164" spans="1:3" ht="14.25">
      <c r="A164" s="23"/>
      <c r="B164" s="23"/>
      <c r="C164" s="23"/>
    </row>
    <row r="165" spans="1:3" ht="14.25">
      <c r="A165" s="23"/>
      <c r="B165" s="23"/>
      <c r="C165" s="23"/>
    </row>
    <row r="166" spans="1:3" ht="14.25">
      <c r="A166" s="23"/>
      <c r="B166" s="23"/>
      <c r="C166" s="23"/>
    </row>
    <row r="167" spans="1:3" ht="14.25">
      <c r="A167" s="23"/>
      <c r="B167" s="23"/>
      <c r="C167" s="23"/>
    </row>
    <row r="168" spans="1:3" ht="14.25">
      <c r="A168" s="23"/>
      <c r="B168" s="23"/>
      <c r="C168" s="23"/>
    </row>
    <row r="169" spans="1:3" ht="14.25">
      <c r="A169" s="23"/>
      <c r="B169" s="23"/>
      <c r="C169" s="23"/>
    </row>
    <row r="170" spans="1:3" ht="14.25">
      <c r="A170" s="23"/>
      <c r="B170" s="23"/>
      <c r="C170" s="23"/>
    </row>
    <row r="171" spans="1:3" ht="14.25">
      <c r="A171" s="23"/>
      <c r="B171" s="23"/>
      <c r="C171" s="23"/>
    </row>
    <row r="172" spans="1:3" ht="14.25">
      <c r="A172" s="23"/>
      <c r="B172" s="23"/>
      <c r="C172" s="23"/>
    </row>
    <row r="173" spans="1:3" ht="14.25">
      <c r="A173" s="23"/>
      <c r="B173" s="23"/>
      <c r="C173" s="23"/>
    </row>
    <row r="174" spans="1:3" ht="14.25">
      <c r="A174" s="23"/>
      <c r="B174" s="23"/>
      <c r="C174" s="23"/>
    </row>
    <row r="175" spans="1:3" ht="14.25">
      <c r="A175" s="23"/>
      <c r="B175" s="23"/>
      <c r="C175" s="23"/>
    </row>
    <row r="176" spans="1:3" ht="14.25">
      <c r="A176" s="23"/>
      <c r="B176" s="23"/>
      <c r="C176" s="23"/>
    </row>
    <row r="177" spans="1:3" ht="14.25">
      <c r="A177" s="23"/>
      <c r="B177" s="23"/>
      <c r="C177" s="23"/>
    </row>
    <row r="178" spans="1:3" ht="14.25">
      <c r="A178" s="23"/>
      <c r="B178" s="23"/>
      <c r="C178" s="23"/>
    </row>
    <row r="179" spans="1:3" ht="14.25">
      <c r="A179" s="23"/>
      <c r="B179" s="23"/>
      <c r="C179" s="23"/>
    </row>
    <row r="180" spans="1:3" ht="14.25">
      <c r="A180" s="23"/>
      <c r="B180" s="23"/>
      <c r="C180" s="23"/>
    </row>
    <row r="181" spans="1:3" ht="14.25">
      <c r="A181" s="23"/>
      <c r="B181" s="23"/>
      <c r="C181" s="23"/>
    </row>
    <row r="182" spans="1:3" ht="14.25">
      <c r="A182" s="23"/>
      <c r="B182" s="23"/>
      <c r="C182" s="23"/>
    </row>
    <row r="183" spans="1:3" ht="14.25">
      <c r="A183" s="23"/>
      <c r="B183" s="23"/>
      <c r="C183" s="23"/>
    </row>
    <row r="184" spans="1:3" ht="14.25">
      <c r="A184" s="23"/>
      <c r="B184" s="23"/>
      <c r="C184" s="23"/>
    </row>
    <row r="185" spans="1:3" ht="14.25">
      <c r="A185" s="23"/>
      <c r="B185" s="23"/>
      <c r="C185" s="23"/>
    </row>
    <row r="186" spans="1:3" ht="14.25">
      <c r="A186" s="23"/>
      <c r="B186" s="23"/>
      <c r="C186" s="23"/>
    </row>
    <row r="187" spans="1:3" ht="14.25">
      <c r="A187" s="23"/>
      <c r="B187" s="23"/>
      <c r="C187" s="23"/>
    </row>
    <row r="188" spans="1:3" ht="14.25">
      <c r="A188" s="23"/>
      <c r="B188" s="23"/>
      <c r="C188" s="23"/>
    </row>
  </sheetData>
  <sheetProtection/>
  <mergeCells count="14">
    <mergeCell ref="A1:A2"/>
    <mergeCell ref="B1:B2"/>
    <mergeCell ref="C1:C2"/>
    <mergeCell ref="E1:E2"/>
    <mergeCell ref="D1:D2"/>
    <mergeCell ref="G1:G2"/>
    <mergeCell ref="F1:F2"/>
    <mergeCell ref="G53:G54"/>
    <mergeCell ref="A53:A54"/>
    <mergeCell ref="B53:B54"/>
    <mergeCell ref="C53:C54"/>
    <mergeCell ref="D53:D54"/>
    <mergeCell ref="E53:E54"/>
    <mergeCell ref="F53:F54"/>
  </mergeCells>
  <printOptions horizontalCentered="1"/>
  <pageMargins left="0.35" right="0.2362204724409449" top="1.16" bottom="0.19" header="0.37" footer="0.19"/>
  <pageSetup fitToHeight="1" fitToWidth="1" horizontalDpi="600" verticalDpi="600" orientation="portrait" paperSize="9" scale="55" r:id="rId1"/>
  <headerFooter alignWithMargins="0">
    <oddHeader>&amp;C,3/2019. (V.31.) számú költségvetési rendelethez
ZALASZABAR KÖZSÉG ÖNKORMÁNYZATA ÉS INTÉZMÉNYEI BEVÉTELEI ÉS KIADÁSA ELŐIRÁNYZATAINAK ÖSSZESÍTŐJE ROVATONKÉNT
2018. ÉVBEN
&amp;R1. számú melléklet
adatok Ft-ban</oddHeader>
  </headerFooter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3"/>
  <sheetViews>
    <sheetView view="pageLayout" workbookViewId="0" topLeftCell="A1">
      <selection activeCell="I3" sqref="I3:I5"/>
    </sheetView>
  </sheetViews>
  <sheetFormatPr defaultColWidth="9.00390625" defaultRowHeight="12.75"/>
  <cols>
    <col min="1" max="1" width="8.75390625" style="15" customWidth="1"/>
    <col min="2" max="2" width="49.625" style="15" customWidth="1"/>
    <col min="3" max="4" width="14.375" style="15" customWidth="1"/>
    <col min="5" max="6" width="13.25390625" style="15" customWidth="1"/>
    <col min="7" max="8" width="14.75390625" style="15" customWidth="1"/>
    <col min="9" max="9" width="13.25390625" style="15" customWidth="1"/>
    <col min="10" max="10" width="13.875" style="15" customWidth="1"/>
    <col min="11" max="16384" width="9.125" style="15" customWidth="1"/>
  </cols>
  <sheetData>
    <row r="1" spans="1:10" ht="12.75">
      <c r="A1" s="14"/>
      <c r="B1" s="14"/>
      <c r="C1" s="14"/>
      <c r="D1" s="14"/>
      <c r="E1" s="768" t="s">
        <v>861</v>
      </c>
      <c r="F1" s="768"/>
      <c r="G1" s="768"/>
      <c r="H1" s="768"/>
      <c r="I1" s="768"/>
      <c r="J1" s="768"/>
    </row>
    <row r="2" spans="1:10" ht="15" customHeight="1">
      <c r="A2" s="761" t="s">
        <v>59</v>
      </c>
      <c r="B2" s="764" t="s">
        <v>94</v>
      </c>
      <c r="C2" s="765" t="s">
        <v>307</v>
      </c>
      <c r="D2" s="766"/>
      <c r="E2" s="766"/>
      <c r="F2" s="767"/>
      <c r="G2" s="765" t="s">
        <v>61</v>
      </c>
      <c r="H2" s="766"/>
      <c r="I2" s="766"/>
      <c r="J2" s="767"/>
    </row>
    <row r="3" spans="1:10" ht="15" customHeight="1">
      <c r="A3" s="762"/>
      <c r="B3" s="762"/>
      <c r="C3" s="762" t="s">
        <v>76</v>
      </c>
      <c r="D3" s="762" t="s">
        <v>407</v>
      </c>
      <c r="E3" s="762" t="s">
        <v>1040</v>
      </c>
      <c r="F3" s="762" t="s">
        <v>62</v>
      </c>
      <c r="G3" s="762" t="s">
        <v>11</v>
      </c>
      <c r="H3" s="98" t="s">
        <v>240</v>
      </c>
      <c r="I3" s="762" t="s">
        <v>1040</v>
      </c>
      <c r="J3" s="762" t="s">
        <v>62</v>
      </c>
    </row>
    <row r="4" spans="1:10" ht="15" customHeight="1">
      <c r="A4" s="762"/>
      <c r="B4" s="762"/>
      <c r="C4" s="762"/>
      <c r="D4" s="762"/>
      <c r="E4" s="762"/>
      <c r="F4" s="762"/>
      <c r="G4" s="762"/>
      <c r="H4" s="98" t="s">
        <v>239</v>
      </c>
      <c r="I4" s="762"/>
      <c r="J4" s="762"/>
    </row>
    <row r="5" spans="1:10" ht="15" customHeight="1">
      <c r="A5" s="763"/>
      <c r="B5" s="763"/>
      <c r="C5" s="763"/>
      <c r="D5" s="763"/>
      <c r="E5" s="763"/>
      <c r="F5" s="763"/>
      <c r="G5" s="763"/>
      <c r="H5" s="99" t="s">
        <v>241</v>
      </c>
      <c r="I5" s="763"/>
      <c r="J5" s="763"/>
    </row>
    <row r="6" spans="1:11" ht="39.75" customHeight="1">
      <c r="A6" s="50" t="s">
        <v>2</v>
      </c>
      <c r="B6" s="117" t="s">
        <v>1018</v>
      </c>
      <c r="C6" s="654">
        <f>SUM(D6:F6)</f>
        <v>41160504</v>
      </c>
      <c r="D6" s="654">
        <v>39103204</v>
      </c>
      <c r="E6" s="677">
        <v>0</v>
      </c>
      <c r="F6" s="655">
        <v>2057300</v>
      </c>
      <c r="G6" s="655">
        <f>SUM(H6:I6)</f>
        <v>41406957</v>
      </c>
      <c r="H6" s="655">
        <v>15401388</v>
      </c>
      <c r="I6" s="655">
        <v>26005569</v>
      </c>
      <c r="J6" s="655"/>
      <c r="K6" s="15" t="s">
        <v>1042</v>
      </c>
    </row>
    <row r="7" spans="1:10" ht="39.75" customHeight="1">
      <c r="A7" s="17"/>
      <c r="B7" s="126" t="s">
        <v>81</v>
      </c>
      <c r="C7" s="118">
        <f aca="true" t="shared" si="0" ref="C7:J7">SUM(C6:C6)</f>
        <v>41160504</v>
      </c>
      <c r="D7" s="118">
        <f t="shared" si="0"/>
        <v>39103204</v>
      </c>
      <c r="E7" s="51">
        <f t="shared" si="0"/>
        <v>0</v>
      </c>
      <c r="F7" s="51">
        <f t="shared" si="0"/>
        <v>2057300</v>
      </c>
      <c r="G7" s="51">
        <f t="shared" si="0"/>
        <v>41406957</v>
      </c>
      <c r="H7" s="51">
        <f t="shared" si="0"/>
        <v>15401388</v>
      </c>
      <c r="I7" s="51">
        <f t="shared" si="0"/>
        <v>26005569</v>
      </c>
      <c r="J7" s="51">
        <f t="shared" si="0"/>
        <v>0</v>
      </c>
    </row>
    <row r="8" spans="5:7" ht="52.5" customHeight="1">
      <c r="E8" s="676"/>
      <c r="G8" s="662"/>
    </row>
    <row r="9" spans="1:10" ht="41.25" customHeight="1">
      <c r="A9" s="761" t="s">
        <v>59</v>
      </c>
      <c r="B9" s="764" t="s">
        <v>94</v>
      </c>
      <c r="C9" s="765" t="s">
        <v>307</v>
      </c>
      <c r="D9" s="766"/>
      <c r="E9" s="766"/>
      <c r="F9" s="767"/>
      <c r="G9" s="765" t="s">
        <v>61</v>
      </c>
      <c r="H9" s="766"/>
      <c r="I9" s="766"/>
      <c r="J9" s="767"/>
    </row>
    <row r="10" spans="1:10" ht="19.5" customHeight="1">
      <c r="A10" s="762"/>
      <c r="B10" s="762"/>
      <c r="C10" s="762" t="s">
        <v>76</v>
      </c>
      <c r="D10" s="762" t="s">
        <v>407</v>
      </c>
      <c r="E10" s="762" t="s">
        <v>1040</v>
      </c>
      <c r="F10" s="762" t="s">
        <v>62</v>
      </c>
      <c r="G10" s="762" t="s">
        <v>11</v>
      </c>
      <c r="H10" s="761" t="s">
        <v>240</v>
      </c>
      <c r="I10" s="762" t="s">
        <v>1040</v>
      </c>
      <c r="J10" s="762" t="s">
        <v>62</v>
      </c>
    </row>
    <row r="11" spans="1:10" ht="13.5" customHeight="1">
      <c r="A11" s="762"/>
      <c r="B11" s="762"/>
      <c r="C11" s="762"/>
      <c r="D11" s="762"/>
      <c r="E11" s="762"/>
      <c r="F11" s="762"/>
      <c r="G11" s="762"/>
      <c r="H11" s="762"/>
      <c r="I11" s="762"/>
      <c r="J11" s="762"/>
    </row>
    <row r="12" spans="1:10" ht="28.5" customHeight="1">
      <c r="A12" s="763"/>
      <c r="B12" s="763"/>
      <c r="C12" s="763"/>
      <c r="D12" s="763"/>
      <c r="E12" s="763"/>
      <c r="F12" s="763"/>
      <c r="G12" s="763"/>
      <c r="H12" s="763"/>
      <c r="I12" s="763"/>
      <c r="J12" s="763"/>
    </row>
    <row r="13" spans="1:11" ht="47.25">
      <c r="A13" s="50" t="s">
        <v>4</v>
      </c>
      <c r="B13" s="117" t="s">
        <v>1039</v>
      </c>
      <c r="C13" s="654">
        <f>SUM(D13:F13)</f>
        <v>16237621</v>
      </c>
      <c r="D13" s="654">
        <v>0</v>
      </c>
      <c r="E13" s="655">
        <v>0</v>
      </c>
      <c r="F13" s="655">
        <v>16237621</v>
      </c>
      <c r="G13" s="655">
        <f>SUM(H13:J13)</f>
        <v>18041801</v>
      </c>
      <c r="H13" s="655">
        <v>0</v>
      </c>
      <c r="I13" s="655">
        <v>0</v>
      </c>
      <c r="J13" s="655">
        <v>18041801</v>
      </c>
      <c r="K13" s="15" t="s">
        <v>1041</v>
      </c>
    </row>
    <row r="14" spans="1:10" ht="24.75" customHeight="1">
      <c r="A14" s="17"/>
      <c r="B14" s="126" t="s">
        <v>81</v>
      </c>
      <c r="C14" s="118">
        <f aca="true" t="shared" si="1" ref="C14:J14">SUM(C13:C13)</f>
        <v>16237621</v>
      </c>
      <c r="D14" s="118">
        <f t="shared" si="1"/>
        <v>0</v>
      </c>
      <c r="E14" s="51">
        <f t="shared" si="1"/>
        <v>0</v>
      </c>
      <c r="F14" s="51">
        <f t="shared" si="1"/>
        <v>16237621</v>
      </c>
      <c r="G14" s="51">
        <f t="shared" si="1"/>
        <v>18041801</v>
      </c>
      <c r="H14" s="51">
        <f t="shared" si="1"/>
        <v>0</v>
      </c>
      <c r="I14" s="51">
        <f t="shared" si="1"/>
        <v>0</v>
      </c>
      <c r="J14" s="51">
        <f t="shared" si="1"/>
        <v>18041801</v>
      </c>
    </row>
    <row r="15" ht="45.75" customHeight="1"/>
    <row r="16" spans="1:10" ht="30" customHeight="1">
      <c r="A16" s="761" t="s">
        <v>59</v>
      </c>
      <c r="B16" s="764" t="s">
        <v>94</v>
      </c>
      <c r="C16" s="765" t="s">
        <v>307</v>
      </c>
      <c r="D16" s="766"/>
      <c r="E16" s="766"/>
      <c r="F16" s="767"/>
      <c r="G16" s="765" t="s">
        <v>61</v>
      </c>
      <c r="H16" s="766"/>
      <c r="I16" s="766"/>
      <c r="J16" s="767"/>
    </row>
    <row r="17" spans="1:10" ht="12.75" customHeight="1">
      <c r="A17" s="762"/>
      <c r="B17" s="762"/>
      <c r="C17" s="762" t="s">
        <v>76</v>
      </c>
      <c r="D17" s="762" t="s">
        <v>407</v>
      </c>
      <c r="E17" s="762" t="s">
        <v>1040</v>
      </c>
      <c r="F17" s="762" t="s">
        <v>62</v>
      </c>
      <c r="G17" s="762" t="s">
        <v>11</v>
      </c>
      <c r="H17" s="761" t="s">
        <v>240</v>
      </c>
      <c r="I17" s="762" t="s">
        <v>1040</v>
      </c>
      <c r="J17" s="762" t="s">
        <v>62</v>
      </c>
    </row>
    <row r="18" spans="1:10" ht="12.75">
      <c r="A18" s="762"/>
      <c r="B18" s="762"/>
      <c r="C18" s="762"/>
      <c r="D18" s="762"/>
      <c r="E18" s="762"/>
      <c r="F18" s="762"/>
      <c r="G18" s="762"/>
      <c r="H18" s="762"/>
      <c r="I18" s="762"/>
      <c r="J18" s="762"/>
    </row>
    <row r="19" spans="1:10" ht="12.75">
      <c r="A19" s="763"/>
      <c r="B19" s="763"/>
      <c r="C19" s="763"/>
      <c r="D19" s="763"/>
      <c r="E19" s="763"/>
      <c r="F19" s="763"/>
      <c r="G19" s="763"/>
      <c r="H19" s="763"/>
      <c r="I19" s="763"/>
      <c r="J19" s="763"/>
    </row>
    <row r="20" spans="1:11" ht="78.75">
      <c r="A20" s="50" t="s">
        <v>1043</v>
      </c>
      <c r="B20" s="117" t="s">
        <v>1044</v>
      </c>
      <c r="C20" s="654">
        <f>SUM(D20:F20)</f>
        <v>9923590</v>
      </c>
      <c r="D20" s="654">
        <v>0</v>
      </c>
      <c r="E20" s="655">
        <v>7442693</v>
      </c>
      <c r="F20" s="655">
        <v>2480897</v>
      </c>
      <c r="G20" s="655">
        <f>SUM(H20:J20)</f>
        <v>18756146</v>
      </c>
      <c r="H20" s="655">
        <v>0</v>
      </c>
      <c r="I20" s="655">
        <v>0</v>
      </c>
      <c r="J20" s="655">
        <v>18756146</v>
      </c>
      <c r="K20" s="15" t="s">
        <v>1042</v>
      </c>
    </row>
    <row r="21" spans="1:10" ht="32.25" customHeight="1">
      <c r="A21" s="17"/>
      <c r="B21" s="126" t="s">
        <v>81</v>
      </c>
      <c r="C21" s="118">
        <f aca="true" t="shared" si="2" ref="C21:J21">SUM(C20:C20)</f>
        <v>9923590</v>
      </c>
      <c r="D21" s="118">
        <f t="shared" si="2"/>
        <v>0</v>
      </c>
      <c r="E21" s="51">
        <f t="shared" si="2"/>
        <v>7442693</v>
      </c>
      <c r="F21" s="51">
        <f t="shared" si="2"/>
        <v>2480897</v>
      </c>
      <c r="G21" s="51">
        <f t="shared" si="2"/>
        <v>18756146</v>
      </c>
      <c r="H21" s="51">
        <f t="shared" si="2"/>
        <v>0</v>
      </c>
      <c r="I21" s="51">
        <f t="shared" si="2"/>
        <v>0</v>
      </c>
      <c r="J21" s="51">
        <f t="shared" si="2"/>
        <v>18756146</v>
      </c>
    </row>
    <row r="43" ht="12.75">
      <c r="K43" s="16"/>
    </row>
  </sheetData>
  <sheetProtection/>
  <mergeCells count="36">
    <mergeCell ref="I17:I19"/>
    <mergeCell ref="J17:J19"/>
    <mergeCell ref="A16:A19"/>
    <mergeCell ref="B16:B19"/>
    <mergeCell ref="C16:F16"/>
    <mergeCell ref="G16:J16"/>
    <mergeCell ref="C17:C19"/>
    <mergeCell ref="D17:D19"/>
    <mergeCell ref="E17:E19"/>
    <mergeCell ref="F17:F19"/>
    <mergeCell ref="G17:G19"/>
    <mergeCell ref="H17:H19"/>
    <mergeCell ref="A9:A12"/>
    <mergeCell ref="B9:B12"/>
    <mergeCell ref="C9:F9"/>
    <mergeCell ref="G9:J9"/>
    <mergeCell ref="C10:C12"/>
    <mergeCell ref="D10:D12"/>
    <mergeCell ref="E10:E12"/>
    <mergeCell ref="F10:F12"/>
    <mergeCell ref="E1:J1"/>
    <mergeCell ref="G10:G12"/>
    <mergeCell ref="I10:I12"/>
    <mergeCell ref="J10:J12"/>
    <mergeCell ref="I3:I5"/>
    <mergeCell ref="H10:H12"/>
    <mergeCell ref="A2:A5"/>
    <mergeCell ref="B2:B5"/>
    <mergeCell ref="G2:J2"/>
    <mergeCell ref="G3:G5"/>
    <mergeCell ref="E3:E5"/>
    <mergeCell ref="C3:C5"/>
    <mergeCell ref="J3:J5"/>
    <mergeCell ref="C2:F2"/>
    <mergeCell ref="D3:D5"/>
    <mergeCell ref="F3:F5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1" r:id="rId1"/>
  <headerFooter alignWithMargins="0">
    <oddHeader>&amp;C&amp;"Garamond,Félkövér"&amp;14 3/2019. (V.31.) számú költségvetési rendelethez
ZALASZABAR KÖZSÉG  ÖNKORMÁNYZAT 2018. ÉVI EURÓPAI UNIÓS PROJEKTJEINEK BEVÉTELEI ÉS KIADÁSAI&amp;R&amp;A
&amp;P.oldal
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2"/>
  <sheetViews>
    <sheetView view="pageLayout" zoomScale="75" zoomScaleNormal="75" zoomScaleSheetLayoutView="75" zoomScalePageLayoutView="75" workbookViewId="0" topLeftCell="A1">
      <selection activeCell="L75" sqref="L75"/>
    </sheetView>
  </sheetViews>
  <sheetFormatPr defaultColWidth="9.00390625" defaultRowHeight="12.75"/>
  <cols>
    <col min="1" max="1" width="5.625" style="343" customWidth="1"/>
    <col min="2" max="2" width="61.00390625" style="343" customWidth="1"/>
    <col min="3" max="3" width="18.625" style="343" customWidth="1"/>
    <col min="4" max="4" width="10.875" style="343" customWidth="1"/>
    <col min="5" max="5" width="17.00390625" style="343" customWidth="1"/>
    <col min="6" max="6" width="13.75390625" style="343" customWidth="1"/>
    <col min="7" max="7" width="9.75390625" style="343" customWidth="1"/>
    <col min="8" max="8" width="14.875" style="343" customWidth="1"/>
    <col min="9" max="9" width="17.75390625" style="343" customWidth="1"/>
    <col min="10" max="10" width="10.125" style="343" customWidth="1"/>
    <col min="11" max="11" width="18.625" style="343" customWidth="1"/>
    <col min="12" max="12" width="11.625" style="343" bestFit="1" customWidth="1"/>
    <col min="13" max="16384" width="9.125" style="343" customWidth="1"/>
  </cols>
  <sheetData>
    <row r="1" spans="1:8" ht="12.75" customHeight="1">
      <c r="A1" s="341"/>
      <c r="B1" s="341"/>
      <c r="C1" s="341"/>
      <c r="D1" s="341"/>
      <c r="E1" s="341"/>
      <c r="F1" s="342"/>
      <c r="G1" s="342"/>
      <c r="H1" s="342"/>
    </row>
    <row r="2" spans="1:11" ht="15.75">
      <c r="A2" s="769"/>
      <c r="B2" s="769"/>
      <c r="C2" s="344"/>
      <c r="D2" s="344"/>
      <c r="E2" s="344"/>
      <c r="F2" s="345"/>
      <c r="G2" s="345"/>
      <c r="H2" s="345"/>
      <c r="I2" s="346"/>
      <c r="J2" s="346"/>
      <c r="K2" s="346" t="s">
        <v>477</v>
      </c>
    </row>
    <row r="3" spans="1:11" ht="24.75" customHeight="1">
      <c r="A3" s="770" t="s">
        <v>19</v>
      </c>
      <c r="B3" s="771" t="s">
        <v>13</v>
      </c>
      <c r="C3" s="772" t="s">
        <v>478</v>
      </c>
      <c r="D3" s="772"/>
      <c r="E3" s="772"/>
      <c r="F3" s="772" t="s">
        <v>479</v>
      </c>
      <c r="G3" s="772"/>
      <c r="H3" s="772"/>
      <c r="I3" s="772" t="s">
        <v>11</v>
      </c>
      <c r="J3" s="772"/>
      <c r="K3" s="772"/>
    </row>
    <row r="4" spans="1:11" ht="16.5" customHeight="1">
      <c r="A4" s="770"/>
      <c r="B4" s="771"/>
      <c r="C4" s="347">
        <v>43101</v>
      </c>
      <c r="D4" s="348" t="s">
        <v>480</v>
      </c>
      <c r="E4" s="347">
        <v>43465</v>
      </c>
      <c r="F4" s="347">
        <v>43101</v>
      </c>
      <c r="G4" s="348" t="s">
        <v>480</v>
      </c>
      <c r="H4" s="347">
        <v>43465</v>
      </c>
      <c r="I4" s="347">
        <v>43101</v>
      </c>
      <c r="J4" s="348" t="s">
        <v>480</v>
      </c>
      <c r="K4" s="347">
        <v>43465</v>
      </c>
    </row>
    <row r="5" spans="1:12" ht="16.5" customHeight="1">
      <c r="A5" s="773" t="s">
        <v>481</v>
      </c>
      <c r="B5" s="773"/>
      <c r="C5" s="349"/>
      <c r="D5" s="350"/>
      <c r="E5" s="349"/>
      <c r="F5" s="349"/>
      <c r="G5" s="350"/>
      <c r="H5" s="349"/>
      <c r="I5" s="351"/>
      <c r="J5" s="352"/>
      <c r="K5" s="351"/>
      <c r="L5" s="353"/>
    </row>
    <row r="6" spans="1:11" ht="15">
      <c r="A6" s="354" t="s">
        <v>2</v>
      </c>
      <c r="B6" s="355" t="s">
        <v>482</v>
      </c>
      <c r="C6" s="356"/>
      <c r="D6" s="356"/>
      <c r="E6" s="356"/>
      <c r="F6" s="356"/>
      <c r="G6" s="356"/>
      <c r="H6" s="356"/>
      <c r="I6" s="357">
        <f>SUM(C6+F6)</f>
        <v>0</v>
      </c>
      <c r="J6" s="357"/>
      <c r="K6" s="357">
        <f>SUM(E6+H6)</f>
        <v>0</v>
      </c>
    </row>
    <row r="7" spans="1:11" ht="15">
      <c r="A7" s="354" t="s">
        <v>4</v>
      </c>
      <c r="B7" s="355" t="s">
        <v>483</v>
      </c>
      <c r="C7" s="356">
        <v>778859</v>
      </c>
      <c r="D7" s="356"/>
      <c r="E7" s="356">
        <v>519015</v>
      </c>
      <c r="F7" s="356"/>
      <c r="G7" s="356"/>
      <c r="H7" s="356"/>
      <c r="I7" s="357">
        <f>SUM(C7+F7)</f>
        <v>778859</v>
      </c>
      <c r="J7" s="357"/>
      <c r="K7" s="357">
        <f aca="true" t="shared" si="0" ref="K7:K70">SUM(E7+H7)</f>
        <v>519015</v>
      </c>
    </row>
    <row r="8" spans="1:11" ht="15">
      <c r="A8" s="354" t="s">
        <v>5</v>
      </c>
      <c r="B8" s="355" t="s">
        <v>484</v>
      </c>
      <c r="C8" s="356"/>
      <c r="D8" s="356"/>
      <c r="E8" s="356"/>
      <c r="F8" s="356"/>
      <c r="G8" s="356"/>
      <c r="H8" s="356"/>
      <c r="I8" s="357">
        <f aca="true" t="shared" si="1" ref="I8:I71">SUM(C8+F8)</f>
        <v>0</v>
      </c>
      <c r="J8" s="357"/>
      <c r="K8" s="357">
        <f t="shared" si="0"/>
        <v>0</v>
      </c>
    </row>
    <row r="9" spans="1:11" ht="15.75">
      <c r="A9" s="354" t="s">
        <v>6</v>
      </c>
      <c r="B9" s="358" t="s">
        <v>485</v>
      </c>
      <c r="C9" s="359">
        <f>SUM(C6:C8)</f>
        <v>778859</v>
      </c>
      <c r="D9" s="359"/>
      <c r="E9" s="359">
        <f>SUM(E6:E8)</f>
        <v>519015</v>
      </c>
      <c r="F9" s="359">
        <f>SUM(F6:F8)</f>
        <v>0</v>
      </c>
      <c r="G9" s="359"/>
      <c r="H9" s="359">
        <f>SUM(H6:H8)</f>
        <v>0</v>
      </c>
      <c r="I9" s="360">
        <f t="shared" si="1"/>
        <v>778859</v>
      </c>
      <c r="J9" s="360"/>
      <c r="K9" s="360">
        <f t="shared" si="0"/>
        <v>519015</v>
      </c>
    </row>
    <row r="10" spans="1:11" ht="15">
      <c r="A10" s="354" t="s">
        <v>8</v>
      </c>
      <c r="B10" s="355" t="s">
        <v>486</v>
      </c>
      <c r="C10" s="356">
        <v>352707258</v>
      </c>
      <c r="D10" s="356"/>
      <c r="E10" s="356">
        <v>416364196</v>
      </c>
      <c r="F10" s="356">
        <v>31456662</v>
      </c>
      <c r="G10" s="356"/>
      <c r="H10" s="356">
        <v>0</v>
      </c>
      <c r="I10" s="357">
        <f>SUM(C10+F10)</f>
        <v>384163920</v>
      </c>
      <c r="J10" s="357"/>
      <c r="K10" s="357">
        <f t="shared" si="0"/>
        <v>416364196</v>
      </c>
    </row>
    <row r="11" spans="1:11" ht="15">
      <c r="A11" s="354" t="s">
        <v>487</v>
      </c>
      <c r="B11" s="355" t="s">
        <v>488</v>
      </c>
      <c r="C11" s="356">
        <v>6883207</v>
      </c>
      <c r="D11" s="356"/>
      <c r="E11" s="356">
        <v>7252704</v>
      </c>
      <c r="F11" s="356">
        <v>994689</v>
      </c>
      <c r="G11" s="356"/>
      <c r="H11" s="356">
        <v>1657376</v>
      </c>
      <c r="I11" s="357">
        <f t="shared" si="1"/>
        <v>7877896</v>
      </c>
      <c r="J11" s="357"/>
      <c r="K11" s="357">
        <f t="shared" si="0"/>
        <v>8910080</v>
      </c>
    </row>
    <row r="12" spans="1:11" ht="15">
      <c r="A12" s="354" t="s">
        <v>15</v>
      </c>
      <c r="B12" s="355" t="s">
        <v>489</v>
      </c>
      <c r="C12" s="356"/>
      <c r="D12" s="356"/>
      <c r="E12" s="356"/>
      <c r="F12" s="356"/>
      <c r="G12" s="356"/>
      <c r="H12" s="356"/>
      <c r="I12" s="357">
        <f t="shared" si="1"/>
        <v>0</v>
      </c>
      <c r="J12" s="357"/>
      <c r="K12" s="357">
        <f t="shared" si="0"/>
        <v>0</v>
      </c>
    </row>
    <row r="13" spans="1:11" ht="15">
      <c r="A13" s="354" t="s">
        <v>20</v>
      </c>
      <c r="B13" s="355" t="s">
        <v>490</v>
      </c>
      <c r="C13" s="356">
        <v>17419836</v>
      </c>
      <c r="D13" s="356"/>
      <c r="E13" s="356">
        <v>45890579</v>
      </c>
      <c r="F13" s="356"/>
      <c r="G13" s="356"/>
      <c r="H13" s="356"/>
      <c r="I13" s="357">
        <f t="shared" si="1"/>
        <v>17419836</v>
      </c>
      <c r="J13" s="357"/>
      <c r="K13" s="357">
        <f t="shared" si="0"/>
        <v>45890579</v>
      </c>
    </row>
    <row r="14" spans="1:11" ht="15">
      <c r="A14" s="354" t="s">
        <v>491</v>
      </c>
      <c r="B14" s="355" t="s">
        <v>492</v>
      </c>
      <c r="C14" s="356"/>
      <c r="D14" s="356"/>
      <c r="E14" s="356"/>
      <c r="F14" s="356"/>
      <c r="G14" s="356"/>
      <c r="H14" s="356"/>
      <c r="I14" s="357">
        <f t="shared" si="1"/>
        <v>0</v>
      </c>
      <c r="J14" s="357"/>
      <c r="K14" s="357">
        <f t="shared" si="0"/>
        <v>0</v>
      </c>
    </row>
    <row r="15" spans="1:11" ht="15.75">
      <c r="A15" s="354" t="s">
        <v>16</v>
      </c>
      <c r="B15" s="358" t="s">
        <v>493</v>
      </c>
      <c r="C15" s="359">
        <f>SUM(C10:C14)</f>
        <v>377010301</v>
      </c>
      <c r="D15" s="359"/>
      <c r="E15" s="359">
        <f>SUM(E10:E14)</f>
        <v>469507479</v>
      </c>
      <c r="F15" s="359">
        <f>SUM(F10:F14)</f>
        <v>32451351</v>
      </c>
      <c r="G15" s="359"/>
      <c r="H15" s="359">
        <f>SUM(H10:H14)</f>
        <v>1657376</v>
      </c>
      <c r="I15" s="360">
        <f t="shared" si="1"/>
        <v>409461652</v>
      </c>
      <c r="J15" s="360"/>
      <c r="K15" s="360">
        <f t="shared" si="0"/>
        <v>471164855</v>
      </c>
    </row>
    <row r="16" spans="1:11" ht="15">
      <c r="A16" s="354" t="s">
        <v>494</v>
      </c>
      <c r="B16" s="355" t="s">
        <v>495</v>
      </c>
      <c r="C16" s="356">
        <v>9719942</v>
      </c>
      <c r="D16" s="356"/>
      <c r="E16" s="356">
        <v>9719942</v>
      </c>
      <c r="F16" s="356"/>
      <c r="G16" s="356"/>
      <c r="H16" s="356"/>
      <c r="I16" s="357">
        <f t="shared" si="1"/>
        <v>9719942</v>
      </c>
      <c r="J16" s="357"/>
      <c r="K16" s="357">
        <f t="shared" si="0"/>
        <v>9719942</v>
      </c>
    </row>
    <row r="17" spans="1:11" ht="15">
      <c r="A17" s="354" t="s">
        <v>496</v>
      </c>
      <c r="B17" s="355" t="s">
        <v>497</v>
      </c>
      <c r="C17" s="356"/>
      <c r="D17" s="356"/>
      <c r="E17" s="356"/>
      <c r="F17" s="356"/>
      <c r="G17" s="356"/>
      <c r="H17" s="356"/>
      <c r="I17" s="357">
        <f t="shared" si="1"/>
        <v>0</v>
      </c>
      <c r="J17" s="357"/>
      <c r="K17" s="357">
        <f t="shared" si="0"/>
        <v>0</v>
      </c>
    </row>
    <row r="18" spans="1:11" ht="15">
      <c r="A18" s="354" t="s">
        <v>498</v>
      </c>
      <c r="B18" s="355" t="s">
        <v>499</v>
      </c>
      <c r="C18" s="356"/>
      <c r="D18" s="356"/>
      <c r="E18" s="356"/>
      <c r="F18" s="356"/>
      <c r="G18" s="356"/>
      <c r="H18" s="356"/>
      <c r="I18" s="357">
        <f t="shared" si="1"/>
        <v>0</v>
      </c>
      <c r="J18" s="357"/>
      <c r="K18" s="357">
        <f t="shared" si="0"/>
        <v>0</v>
      </c>
    </row>
    <row r="19" spans="1:11" ht="15">
      <c r="A19" s="354" t="s">
        <v>500</v>
      </c>
      <c r="B19" s="361" t="s">
        <v>501</v>
      </c>
      <c r="C19" s="356"/>
      <c r="D19" s="356"/>
      <c r="E19" s="356"/>
      <c r="F19" s="356"/>
      <c r="G19" s="356"/>
      <c r="H19" s="356"/>
      <c r="I19" s="357">
        <f t="shared" si="1"/>
        <v>0</v>
      </c>
      <c r="J19" s="357"/>
      <c r="K19" s="357">
        <f t="shared" si="0"/>
        <v>0</v>
      </c>
    </row>
    <row r="20" spans="1:11" ht="15">
      <c r="A20" s="354" t="s">
        <v>502</v>
      </c>
      <c r="B20" s="355" t="s">
        <v>503</v>
      </c>
      <c r="C20" s="356"/>
      <c r="D20" s="356"/>
      <c r="E20" s="356"/>
      <c r="F20" s="356"/>
      <c r="G20" s="356"/>
      <c r="H20" s="356"/>
      <c r="I20" s="357">
        <f t="shared" si="1"/>
        <v>0</v>
      </c>
      <c r="J20" s="357"/>
      <c r="K20" s="357">
        <f t="shared" si="0"/>
        <v>0</v>
      </c>
    </row>
    <row r="21" spans="1:11" ht="15">
      <c r="A21" s="354" t="s">
        <v>504</v>
      </c>
      <c r="B21" s="355" t="s">
        <v>505</v>
      </c>
      <c r="C21" s="356"/>
      <c r="D21" s="356"/>
      <c r="E21" s="356"/>
      <c r="F21" s="356"/>
      <c r="G21" s="356"/>
      <c r="H21" s="356"/>
      <c r="I21" s="357">
        <f t="shared" si="1"/>
        <v>0</v>
      </c>
      <c r="J21" s="357"/>
      <c r="K21" s="357">
        <f t="shared" si="0"/>
        <v>0</v>
      </c>
    </row>
    <row r="22" spans="1:11" ht="15">
      <c r="A22" s="362" t="s">
        <v>506</v>
      </c>
      <c r="B22" s="355" t="s">
        <v>507</v>
      </c>
      <c r="C22" s="363"/>
      <c r="D22" s="363"/>
      <c r="E22" s="363"/>
      <c r="F22" s="363"/>
      <c r="G22" s="363"/>
      <c r="H22" s="363"/>
      <c r="I22" s="357">
        <f t="shared" si="1"/>
        <v>0</v>
      </c>
      <c r="J22" s="364"/>
      <c r="K22" s="357">
        <f t="shared" si="0"/>
        <v>0</v>
      </c>
    </row>
    <row r="23" spans="1:11" ht="25.5">
      <c r="A23" s="354" t="s">
        <v>508</v>
      </c>
      <c r="B23" s="358" t="s">
        <v>509</v>
      </c>
      <c r="C23" s="359">
        <f>SUM(C16:C22)</f>
        <v>9719942</v>
      </c>
      <c r="D23" s="359"/>
      <c r="E23" s="359">
        <f>SUM(E16:E22)</f>
        <v>9719942</v>
      </c>
      <c r="F23" s="359">
        <f>SUM(F16:F22)</f>
        <v>0</v>
      </c>
      <c r="G23" s="359"/>
      <c r="H23" s="359">
        <f>SUM(H16:H22)</f>
        <v>0</v>
      </c>
      <c r="I23" s="357">
        <f t="shared" si="1"/>
        <v>9719942</v>
      </c>
      <c r="J23" s="360"/>
      <c r="K23" s="357">
        <f t="shared" si="0"/>
        <v>9719942</v>
      </c>
    </row>
    <row r="24" spans="1:11" ht="15.75">
      <c r="A24" s="362" t="s">
        <v>510</v>
      </c>
      <c r="B24" s="355" t="s">
        <v>511</v>
      </c>
      <c r="C24" s="365"/>
      <c r="D24" s="365"/>
      <c r="E24" s="365"/>
      <c r="F24" s="365"/>
      <c r="G24" s="365"/>
      <c r="H24" s="365"/>
      <c r="I24" s="357">
        <f t="shared" si="1"/>
        <v>0</v>
      </c>
      <c r="J24" s="364"/>
      <c r="K24" s="357">
        <f t="shared" si="0"/>
        <v>0</v>
      </c>
    </row>
    <row r="25" spans="1:11" ht="25.5">
      <c r="A25" s="362" t="s">
        <v>512</v>
      </c>
      <c r="B25" s="355" t="s">
        <v>513</v>
      </c>
      <c r="C25" s="365"/>
      <c r="D25" s="365"/>
      <c r="E25" s="365"/>
      <c r="F25" s="365"/>
      <c r="G25" s="365"/>
      <c r="H25" s="365"/>
      <c r="I25" s="357">
        <f t="shared" si="1"/>
        <v>0</v>
      </c>
      <c r="J25" s="364"/>
      <c r="K25" s="357">
        <f t="shared" si="0"/>
        <v>0</v>
      </c>
    </row>
    <row r="26" spans="1:11" ht="25.5">
      <c r="A26" s="354" t="s">
        <v>514</v>
      </c>
      <c r="B26" s="358" t="s">
        <v>515</v>
      </c>
      <c r="C26" s="359">
        <f>SUM(C24:C25)</f>
        <v>0</v>
      </c>
      <c r="D26" s="359"/>
      <c r="E26" s="359">
        <f>SUM(E24:E25)</f>
        <v>0</v>
      </c>
      <c r="F26" s="359"/>
      <c r="G26" s="359"/>
      <c r="H26" s="359"/>
      <c r="I26" s="357">
        <f t="shared" si="1"/>
        <v>0</v>
      </c>
      <c r="J26" s="357"/>
      <c r="K26" s="357">
        <f t="shared" si="0"/>
        <v>0</v>
      </c>
    </row>
    <row r="27" spans="1:11" ht="25.5">
      <c r="A27" s="354" t="s">
        <v>516</v>
      </c>
      <c r="B27" s="358" t="s">
        <v>517</v>
      </c>
      <c r="C27" s="359">
        <f>SUM(C26+C23+C15+C9)</f>
        <v>387509102</v>
      </c>
      <c r="D27" s="359"/>
      <c r="E27" s="359">
        <f>SUM(E26+E23+E15+E9)</f>
        <v>479746436</v>
      </c>
      <c r="F27" s="359">
        <f>SUM(F26+F23+F15+F9)</f>
        <v>32451351</v>
      </c>
      <c r="G27" s="359"/>
      <c r="H27" s="359">
        <f>SUM(H26+H23+H15+H9)</f>
        <v>1657376</v>
      </c>
      <c r="I27" s="360">
        <f t="shared" si="1"/>
        <v>419960453</v>
      </c>
      <c r="J27" s="360">
        <f>SUM(J23,J15,J9)</f>
        <v>0</v>
      </c>
      <c r="K27" s="360">
        <f t="shared" si="0"/>
        <v>481403812</v>
      </c>
    </row>
    <row r="28" spans="1:11" ht="15">
      <c r="A28" s="354" t="s">
        <v>518</v>
      </c>
      <c r="B28" s="355" t="s">
        <v>519</v>
      </c>
      <c r="C28" s="356"/>
      <c r="D28" s="356"/>
      <c r="E28" s="356"/>
      <c r="F28" s="356">
        <v>425047</v>
      </c>
      <c r="G28" s="356"/>
      <c r="H28" s="356">
        <v>313774</v>
      </c>
      <c r="I28" s="357">
        <f t="shared" si="1"/>
        <v>425047</v>
      </c>
      <c r="J28" s="357"/>
      <c r="K28" s="357">
        <f t="shared" si="0"/>
        <v>313774</v>
      </c>
    </row>
    <row r="29" spans="1:11" ht="15">
      <c r="A29" s="354" t="s">
        <v>520</v>
      </c>
      <c r="B29" s="355" t="s">
        <v>521</v>
      </c>
      <c r="C29" s="356"/>
      <c r="D29" s="356"/>
      <c r="E29" s="356"/>
      <c r="F29" s="356"/>
      <c r="G29" s="356"/>
      <c r="H29" s="356"/>
      <c r="I29" s="357">
        <f t="shared" si="1"/>
        <v>0</v>
      </c>
      <c r="J29" s="357"/>
      <c r="K29" s="357">
        <f t="shared" si="0"/>
        <v>0</v>
      </c>
    </row>
    <row r="30" spans="1:11" ht="13.5" customHeight="1">
      <c r="A30" s="354" t="s">
        <v>522</v>
      </c>
      <c r="B30" s="355" t="s">
        <v>523</v>
      </c>
      <c r="C30" s="356"/>
      <c r="D30" s="356"/>
      <c r="E30" s="356"/>
      <c r="F30" s="356"/>
      <c r="G30" s="356"/>
      <c r="H30" s="356"/>
      <c r="I30" s="357">
        <f t="shared" si="1"/>
        <v>0</v>
      </c>
      <c r="J30" s="357"/>
      <c r="K30" s="357">
        <f t="shared" si="0"/>
        <v>0</v>
      </c>
    </row>
    <row r="31" spans="1:11" ht="15">
      <c r="A31" s="362" t="s">
        <v>524</v>
      </c>
      <c r="B31" s="355" t="s">
        <v>525</v>
      </c>
      <c r="C31" s="363"/>
      <c r="D31" s="363"/>
      <c r="E31" s="363"/>
      <c r="F31" s="363"/>
      <c r="G31" s="363"/>
      <c r="H31" s="363"/>
      <c r="I31" s="357">
        <f t="shared" si="1"/>
        <v>0</v>
      </c>
      <c r="J31" s="364"/>
      <c r="K31" s="357">
        <f t="shared" si="0"/>
        <v>0</v>
      </c>
    </row>
    <row r="32" spans="1:11" ht="15">
      <c r="A32" s="354" t="s">
        <v>526</v>
      </c>
      <c r="B32" s="355" t="s">
        <v>527</v>
      </c>
      <c r="C32" s="356"/>
      <c r="D32" s="356"/>
      <c r="E32" s="356"/>
      <c r="F32" s="356"/>
      <c r="G32" s="356"/>
      <c r="H32" s="356"/>
      <c r="I32" s="357">
        <f t="shared" si="1"/>
        <v>0</v>
      </c>
      <c r="J32" s="357"/>
      <c r="K32" s="357">
        <f t="shared" si="0"/>
        <v>0</v>
      </c>
    </row>
    <row r="33" spans="1:11" ht="15.75">
      <c r="A33" s="354" t="s">
        <v>528</v>
      </c>
      <c r="B33" s="358" t="s">
        <v>529</v>
      </c>
      <c r="C33" s="359">
        <f>SUM(C28:C32)</f>
        <v>0</v>
      </c>
      <c r="D33" s="359"/>
      <c r="E33" s="359">
        <f>SUM(E28:E32)</f>
        <v>0</v>
      </c>
      <c r="F33" s="359">
        <f>SUM(F28:F32)</f>
        <v>425047</v>
      </c>
      <c r="G33" s="359"/>
      <c r="H33" s="359">
        <f>SUM(H28:H32)</f>
        <v>313774</v>
      </c>
      <c r="I33" s="357">
        <f t="shared" si="1"/>
        <v>425047</v>
      </c>
      <c r="J33" s="357"/>
      <c r="K33" s="357">
        <f t="shared" si="0"/>
        <v>313774</v>
      </c>
    </row>
    <row r="34" spans="1:11" ht="15">
      <c r="A34" s="354" t="s">
        <v>530</v>
      </c>
      <c r="B34" s="355" t="s">
        <v>531</v>
      </c>
      <c r="C34" s="356"/>
      <c r="D34" s="356"/>
      <c r="E34" s="356"/>
      <c r="F34" s="356"/>
      <c r="G34" s="356"/>
      <c r="H34" s="356"/>
      <c r="I34" s="357">
        <f t="shared" si="1"/>
        <v>0</v>
      </c>
      <c r="J34" s="357"/>
      <c r="K34" s="357">
        <f t="shared" si="0"/>
        <v>0</v>
      </c>
    </row>
    <row r="35" spans="1:11" ht="25.5">
      <c r="A35" s="354" t="s">
        <v>532</v>
      </c>
      <c r="B35" s="355" t="s">
        <v>533</v>
      </c>
      <c r="C35" s="356">
        <v>0</v>
      </c>
      <c r="D35" s="356"/>
      <c r="E35" s="356">
        <v>0</v>
      </c>
      <c r="F35" s="356"/>
      <c r="G35" s="356"/>
      <c r="H35" s="356"/>
      <c r="I35" s="357">
        <f t="shared" si="1"/>
        <v>0</v>
      </c>
      <c r="J35" s="357"/>
      <c r="K35" s="357">
        <f t="shared" si="0"/>
        <v>0</v>
      </c>
    </row>
    <row r="36" spans="1:11" s="366" customFormat="1" ht="15.75">
      <c r="A36" s="354" t="s">
        <v>534</v>
      </c>
      <c r="B36" s="358" t="s">
        <v>535</v>
      </c>
      <c r="C36" s="359">
        <f>SUM(C34:C35)</f>
        <v>0</v>
      </c>
      <c r="D36" s="359"/>
      <c r="E36" s="359">
        <f>SUM(E34:E35)</f>
        <v>0</v>
      </c>
      <c r="F36" s="359">
        <f>SUM(F34:F35)</f>
        <v>0</v>
      </c>
      <c r="G36" s="359"/>
      <c r="H36" s="359">
        <f>SUM(H34:H35)</f>
        <v>0</v>
      </c>
      <c r="I36" s="360">
        <f t="shared" si="1"/>
        <v>0</v>
      </c>
      <c r="J36" s="360"/>
      <c r="K36" s="360">
        <f t="shared" si="0"/>
        <v>0</v>
      </c>
    </row>
    <row r="37" spans="1:11" ht="25.5">
      <c r="A37" s="354" t="s">
        <v>536</v>
      </c>
      <c r="B37" s="358" t="s">
        <v>537</v>
      </c>
      <c r="C37" s="359">
        <f>C33+C36</f>
        <v>0</v>
      </c>
      <c r="D37" s="359"/>
      <c r="E37" s="359">
        <f>E33+E36</f>
        <v>0</v>
      </c>
      <c r="F37" s="359">
        <f>F33+F36</f>
        <v>425047</v>
      </c>
      <c r="G37" s="359"/>
      <c r="H37" s="359">
        <f>H33+H36</f>
        <v>313774</v>
      </c>
      <c r="I37" s="360">
        <f t="shared" si="1"/>
        <v>425047</v>
      </c>
      <c r="J37" s="360">
        <f>J33+J36</f>
        <v>0</v>
      </c>
      <c r="K37" s="360">
        <f t="shared" si="0"/>
        <v>313774</v>
      </c>
    </row>
    <row r="38" spans="1:11" ht="15">
      <c r="A38" s="354" t="s">
        <v>538</v>
      </c>
      <c r="B38" s="355" t="s">
        <v>539</v>
      </c>
      <c r="C38" s="356"/>
      <c r="D38" s="356"/>
      <c r="E38" s="356"/>
      <c r="F38" s="356"/>
      <c r="G38" s="356"/>
      <c r="H38" s="356"/>
      <c r="I38" s="357">
        <f t="shared" si="1"/>
        <v>0</v>
      </c>
      <c r="J38" s="357"/>
      <c r="K38" s="357">
        <f t="shared" si="0"/>
        <v>0</v>
      </c>
    </row>
    <row r="39" spans="1:11" ht="15">
      <c r="A39" s="354" t="s">
        <v>540</v>
      </c>
      <c r="B39" s="355" t="s">
        <v>541</v>
      </c>
      <c r="C39" s="356">
        <v>8430</v>
      </c>
      <c r="D39" s="356"/>
      <c r="E39" s="356">
        <v>86215</v>
      </c>
      <c r="F39" s="356">
        <v>9610</v>
      </c>
      <c r="G39" s="356"/>
      <c r="H39" s="356">
        <v>9610</v>
      </c>
      <c r="I39" s="357">
        <f t="shared" si="1"/>
        <v>18040</v>
      </c>
      <c r="J39" s="357"/>
      <c r="K39" s="357">
        <f t="shared" si="0"/>
        <v>95825</v>
      </c>
    </row>
    <row r="40" spans="1:11" ht="15">
      <c r="A40" s="354" t="s">
        <v>542</v>
      </c>
      <c r="B40" s="355" t="s">
        <v>543</v>
      </c>
      <c r="C40" s="356">
        <v>63767578</v>
      </c>
      <c r="D40" s="356"/>
      <c r="E40" s="356">
        <v>46041383</v>
      </c>
      <c r="F40" s="356">
        <v>2029290</v>
      </c>
      <c r="G40" s="356"/>
      <c r="H40" s="356">
        <v>350223</v>
      </c>
      <c r="I40" s="357">
        <f t="shared" si="1"/>
        <v>65796868</v>
      </c>
      <c r="J40" s="357"/>
      <c r="K40" s="357">
        <f t="shared" si="0"/>
        <v>46391606</v>
      </c>
    </row>
    <row r="41" spans="1:11" ht="15">
      <c r="A41" s="354" t="s">
        <v>544</v>
      </c>
      <c r="B41" s="355" t="s">
        <v>545</v>
      </c>
      <c r="C41" s="356"/>
      <c r="D41" s="356"/>
      <c r="E41" s="356"/>
      <c r="F41" s="356"/>
      <c r="G41" s="356"/>
      <c r="H41" s="356"/>
      <c r="I41" s="357">
        <f t="shared" si="1"/>
        <v>0</v>
      </c>
      <c r="J41" s="357"/>
      <c r="K41" s="357">
        <f t="shared" si="0"/>
        <v>0</v>
      </c>
    </row>
    <row r="42" spans="1:11" ht="15.75">
      <c r="A42" s="354" t="s">
        <v>546</v>
      </c>
      <c r="B42" s="367" t="s">
        <v>547</v>
      </c>
      <c r="C42" s="359">
        <f>SUM(C39:C41)</f>
        <v>63776008</v>
      </c>
      <c r="D42" s="359"/>
      <c r="E42" s="359">
        <f>SUM(E39:E41)</f>
        <v>46127598</v>
      </c>
      <c r="F42" s="359">
        <f>SUM(F39:F41)</f>
        <v>2038900</v>
      </c>
      <c r="G42" s="359"/>
      <c r="H42" s="359">
        <f>SUM(H39:H41)</f>
        <v>359833</v>
      </c>
      <c r="I42" s="360">
        <f t="shared" si="1"/>
        <v>65814908</v>
      </c>
      <c r="J42" s="360">
        <f>SUM(J39:J41)</f>
        <v>0</v>
      </c>
      <c r="K42" s="360">
        <f t="shared" si="0"/>
        <v>46487431</v>
      </c>
    </row>
    <row r="43" spans="1:11" ht="15">
      <c r="A43" s="355" t="s">
        <v>548</v>
      </c>
      <c r="B43" s="355" t="s">
        <v>549</v>
      </c>
      <c r="C43" s="356"/>
      <c r="D43" s="356"/>
      <c r="E43" s="356"/>
      <c r="F43" s="356"/>
      <c r="G43" s="356"/>
      <c r="H43" s="356"/>
      <c r="I43" s="357">
        <f t="shared" si="1"/>
        <v>0</v>
      </c>
      <c r="J43" s="357"/>
      <c r="K43" s="357">
        <f t="shared" si="0"/>
        <v>0</v>
      </c>
    </row>
    <row r="44" spans="1:11" ht="15">
      <c r="A44" s="355" t="s">
        <v>550</v>
      </c>
      <c r="B44" s="355" t="s">
        <v>551</v>
      </c>
      <c r="C44" s="356"/>
      <c r="D44" s="356"/>
      <c r="E44" s="356"/>
      <c r="F44" s="356"/>
      <c r="G44" s="356"/>
      <c r="H44" s="356"/>
      <c r="I44" s="357">
        <f t="shared" si="1"/>
        <v>0</v>
      </c>
      <c r="J44" s="357"/>
      <c r="K44" s="357">
        <f t="shared" si="0"/>
        <v>0</v>
      </c>
    </row>
    <row r="45" spans="1:11" ht="15">
      <c r="A45" s="355" t="s">
        <v>552</v>
      </c>
      <c r="B45" s="355" t="s">
        <v>553</v>
      </c>
      <c r="C45" s="356">
        <v>420934</v>
      </c>
      <c r="D45" s="356"/>
      <c r="E45" s="356">
        <v>933531</v>
      </c>
      <c r="F45" s="356"/>
      <c r="G45" s="356"/>
      <c r="H45" s="356"/>
      <c r="I45" s="357">
        <f t="shared" si="1"/>
        <v>420934</v>
      </c>
      <c r="J45" s="357"/>
      <c r="K45" s="357">
        <f t="shared" si="0"/>
        <v>933531</v>
      </c>
    </row>
    <row r="46" spans="1:11" ht="15">
      <c r="A46" s="355" t="s">
        <v>554</v>
      </c>
      <c r="B46" s="355" t="s">
        <v>555</v>
      </c>
      <c r="C46" s="356">
        <v>248643</v>
      </c>
      <c r="D46" s="356"/>
      <c r="E46" s="356">
        <v>218643</v>
      </c>
      <c r="F46" s="356">
        <v>0</v>
      </c>
      <c r="G46" s="356"/>
      <c r="H46" s="356">
        <v>0</v>
      </c>
      <c r="I46" s="357">
        <f t="shared" si="1"/>
        <v>248643</v>
      </c>
      <c r="J46" s="357"/>
      <c r="K46" s="357">
        <f t="shared" si="0"/>
        <v>218643</v>
      </c>
    </row>
    <row r="47" spans="1:11" ht="15">
      <c r="A47" s="355" t="s">
        <v>556</v>
      </c>
      <c r="B47" s="355" t="s">
        <v>557</v>
      </c>
      <c r="C47" s="356"/>
      <c r="D47" s="356"/>
      <c r="E47" s="356"/>
      <c r="F47" s="356"/>
      <c r="G47" s="356"/>
      <c r="H47" s="356"/>
      <c r="I47" s="357">
        <f t="shared" si="1"/>
        <v>0</v>
      </c>
      <c r="J47" s="357"/>
      <c r="K47" s="357">
        <f t="shared" si="0"/>
        <v>0</v>
      </c>
    </row>
    <row r="48" spans="1:11" ht="15">
      <c r="A48" s="355" t="s">
        <v>558</v>
      </c>
      <c r="B48" s="355" t="s">
        <v>559</v>
      </c>
      <c r="C48" s="356">
        <v>0</v>
      </c>
      <c r="D48" s="356">
        <v>0</v>
      </c>
      <c r="E48" s="356">
        <v>0</v>
      </c>
      <c r="F48" s="356"/>
      <c r="G48" s="356"/>
      <c r="H48" s="356"/>
      <c r="I48" s="357">
        <f t="shared" si="1"/>
        <v>0</v>
      </c>
      <c r="J48" s="357"/>
      <c r="K48" s="357">
        <f t="shared" si="0"/>
        <v>0</v>
      </c>
    </row>
    <row r="49" spans="1:11" ht="15">
      <c r="A49" s="355" t="s">
        <v>560</v>
      </c>
      <c r="B49" s="355" t="s">
        <v>561</v>
      </c>
      <c r="C49" s="356">
        <v>0</v>
      </c>
      <c r="D49" s="356"/>
      <c r="E49" s="356">
        <v>0</v>
      </c>
      <c r="F49" s="356"/>
      <c r="G49" s="356"/>
      <c r="H49" s="356"/>
      <c r="I49" s="357">
        <f t="shared" si="1"/>
        <v>0</v>
      </c>
      <c r="J49" s="357"/>
      <c r="K49" s="357">
        <f t="shared" si="0"/>
        <v>0</v>
      </c>
    </row>
    <row r="50" spans="1:11" ht="15">
      <c r="A50" s="355" t="s">
        <v>562</v>
      </c>
      <c r="B50" s="355" t="s">
        <v>563</v>
      </c>
      <c r="C50" s="356"/>
      <c r="D50" s="356"/>
      <c r="E50" s="356"/>
      <c r="F50" s="356"/>
      <c r="G50" s="356"/>
      <c r="H50" s="356"/>
      <c r="I50" s="357">
        <f t="shared" si="1"/>
        <v>0</v>
      </c>
      <c r="J50" s="357"/>
      <c r="K50" s="357">
        <f t="shared" si="0"/>
        <v>0</v>
      </c>
    </row>
    <row r="51" spans="1:11" ht="15.75">
      <c r="A51" s="358" t="s">
        <v>564</v>
      </c>
      <c r="B51" s="358" t="s">
        <v>565</v>
      </c>
      <c r="C51" s="359">
        <f>SUM(C43:C50)</f>
        <v>669577</v>
      </c>
      <c r="D51" s="359"/>
      <c r="E51" s="359">
        <f>SUM(E43:E50)</f>
        <v>1152174</v>
      </c>
      <c r="F51" s="359">
        <f>SUM(F43:F50)</f>
        <v>0</v>
      </c>
      <c r="G51" s="359"/>
      <c r="H51" s="359">
        <f>SUM(H43:H50)</f>
        <v>0</v>
      </c>
      <c r="I51" s="360">
        <f t="shared" si="1"/>
        <v>669577</v>
      </c>
      <c r="J51" s="360"/>
      <c r="K51" s="360">
        <f t="shared" si="0"/>
        <v>1152174</v>
      </c>
    </row>
    <row r="52" spans="1:11" ht="15">
      <c r="A52" s="355" t="s">
        <v>566</v>
      </c>
      <c r="B52" s="355" t="s">
        <v>567</v>
      </c>
      <c r="C52" s="356"/>
      <c r="D52" s="356"/>
      <c r="E52" s="356"/>
      <c r="F52" s="356"/>
      <c r="G52" s="356"/>
      <c r="H52" s="356"/>
      <c r="I52" s="357">
        <f t="shared" si="1"/>
        <v>0</v>
      </c>
      <c r="J52" s="357"/>
      <c r="K52" s="357">
        <f t="shared" si="0"/>
        <v>0</v>
      </c>
    </row>
    <row r="53" spans="1:11" ht="15">
      <c r="A53" s="355" t="s">
        <v>568</v>
      </c>
      <c r="B53" s="355" t="s">
        <v>569</v>
      </c>
      <c r="C53" s="356"/>
      <c r="D53" s="356"/>
      <c r="E53" s="356"/>
      <c r="F53" s="356"/>
      <c r="G53" s="356"/>
      <c r="H53" s="356"/>
      <c r="I53" s="357">
        <f t="shared" si="1"/>
        <v>0</v>
      </c>
      <c r="J53" s="357"/>
      <c r="K53" s="357">
        <f t="shared" si="0"/>
        <v>0</v>
      </c>
    </row>
    <row r="54" spans="1:11" ht="15">
      <c r="A54" s="355" t="s">
        <v>570</v>
      </c>
      <c r="B54" s="355" t="s">
        <v>571</v>
      </c>
      <c r="C54" s="356"/>
      <c r="D54" s="356"/>
      <c r="E54" s="356"/>
      <c r="F54" s="356"/>
      <c r="G54" s="356"/>
      <c r="H54" s="356"/>
      <c r="I54" s="357">
        <f t="shared" si="1"/>
        <v>0</v>
      </c>
      <c r="J54" s="357"/>
      <c r="K54" s="357">
        <f t="shared" si="0"/>
        <v>0</v>
      </c>
    </row>
    <row r="55" spans="1:11" ht="15">
      <c r="A55" s="361" t="s">
        <v>572</v>
      </c>
      <c r="B55" s="361" t="s">
        <v>573</v>
      </c>
      <c r="C55" s="356"/>
      <c r="D55" s="356"/>
      <c r="E55" s="356"/>
      <c r="F55" s="356"/>
      <c r="G55" s="356"/>
      <c r="H55" s="356"/>
      <c r="I55" s="357">
        <f t="shared" si="1"/>
        <v>0</v>
      </c>
      <c r="J55" s="357"/>
      <c r="K55" s="357">
        <f t="shared" si="0"/>
        <v>0</v>
      </c>
    </row>
    <row r="56" spans="1:11" ht="15">
      <c r="A56" s="361" t="s">
        <v>574</v>
      </c>
      <c r="B56" s="361" t="s">
        <v>575</v>
      </c>
      <c r="C56" s="356"/>
      <c r="D56" s="356"/>
      <c r="E56" s="356"/>
      <c r="F56" s="356"/>
      <c r="G56" s="356"/>
      <c r="H56" s="356"/>
      <c r="I56" s="357">
        <f t="shared" si="1"/>
        <v>0</v>
      </c>
      <c r="J56" s="357"/>
      <c r="K56" s="357">
        <f t="shared" si="0"/>
        <v>0</v>
      </c>
    </row>
    <row r="57" spans="1:11" ht="15">
      <c r="A57" s="361" t="s">
        <v>576</v>
      </c>
      <c r="B57" s="361" t="s">
        <v>577</v>
      </c>
      <c r="C57" s="356">
        <v>0</v>
      </c>
      <c r="D57" s="356"/>
      <c r="E57" s="356">
        <v>0</v>
      </c>
      <c r="F57" s="356"/>
      <c r="G57" s="356"/>
      <c r="H57" s="356"/>
      <c r="I57" s="357">
        <f t="shared" si="1"/>
        <v>0</v>
      </c>
      <c r="J57" s="357"/>
      <c r="K57" s="357">
        <f t="shared" si="0"/>
        <v>0</v>
      </c>
    </row>
    <row r="58" spans="1:11" ht="15">
      <c r="A58" s="361" t="s">
        <v>578</v>
      </c>
      <c r="B58" s="361" t="s">
        <v>579</v>
      </c>
      <c r="C58" s="356">
        <v>0</v>
      </c>
      <c r="D58" s="356"/>
      <c r="E58" s="356">
        <v>0</v>
      </c>
      <c r="F58" s="356"/>
      <c r="G58" s="356"/>
      <c r="H58" s="356"/>
      <c r="I58" s="357">
        <f t="shared" si="1"/>
        <v>0</v>
      </c>
      <c r="J58" s="357"/>
      <c r="K58" s="357">
        <f t="shared" si="0"/>
        <v>0</v>
      </c>
    </row>
    <row r="59" spans="1:11" ht="15">
      <c r="A59" s="361" t="s">
        <v>580</v>
      </c>
      <c r="B59" s="361" t="s">
        <v>581</v>
      </c>
      <c r="C59" s="356"/>
      <c r="D59" s="356"/>
      <c r="E59" s="356"/>
      <c r="F59" s="356"/>
      <c r="G59" s="356"/>
      <c r="H59" s="356"/>
      <c r="I59" s="357">
        <f t="shared" si="1"/>
        <v>0</v>
      </c>
      <c r="J59" s="357"/>
      <c r="K59" s="357">
        <f t="shared" si="0"/>
        <v>0</v>
      </c>
    </row>
    <row r="60" spans="1:11" ht="15.75">
      <c r="A60" s="355" t="s">
        <v>582</v>
      </c>
      <c r="B60" s="358" t="s">
        <v>583</v>
      </c>
      <c r="C60" s="359">
        <f>SUM(C52:C59)</f>
        <v>0</v>
      </c>
      <c r="D60" s="359"/>
      <c r="E60" s="359">
        <f>SUM(E52:E59)</f>
        <v>0</v>
      </c>
      <c r="F60" s="359">
        <f>SUM(F52:F59)</f>
        <v>0</v>
      </c>
      <c r="G60" s="359"/>
      <c r="H60" s="359">
        <f>SUM(H52:H59)</f>
        <v>0</v>
      </c>
      <c r="I60" s="360">
        <f t="shared" si="1"/>
        <v>0</v>
      </c>
      <c r="J60" s="360"/>
      <c r="K60" s="360">
        <f t="shared" si="0"/>
        <v>0</v>
      </c>
    </row>
    <row r="61" spans="1:11" ht="15">
      <c r="A61" s="355" t="s">
        <v>584</v>
      </c>
      <c r="B61" s="355" t="s">
        <v>585</v>
      </c>
      <c r="C61" s="356">
        <v>13979</v>
      </c>
      <c r="D61" s="356"/>
      <c r="E61" s="356">
        <v>63632</v>
      </c>
      <c r="F61" s="356">
        <v>14078</v>
      </c>
      <c r="G61" s="356"/>
      <c r="H61" s="356">
        <v>0</v>
      </c>
      <c r="I61" s="357">
        <f t="shared" si="1"/>
        <v>28057</v>
      </c>
      <c r="J61" s="357"/>
      <c r="K61" s="357">
        <f t="shared" si="0"/>
        <v>63632</v>
      </c>
    </row>
    <row r="62" spans="1:11" ht="15">
      <c r="A62" s="355" t="s">
        <v>586</v>
      </c>
      <c r="B62" s="355" t="s">
        <v>587</v>
      </c>
      <c r="C62" s="356"/>
      <c r="D62" s="356"/>
      <c r="E62" s="356"/>
      <c r="F62" s="356"/>
      <c r="G62" s="356"/>
      <c r="H62" s="356"/>
      <c r="I62" s="357">
        <f t="shared" si="1"/>
        <v>0</v>
      </c>
      <c r="J62" s="357"/>
      <c r="K62" s="357">
        <f t="shared" si="0"/>
        <v>0</v>
      </c>
    </row>
    <row r="63" spans="1:11" ht="15">
      <c r="A63" s="355" t="s">
        <v>588</v>
      </c>
      <c r="B63" s="355" t="s">
        <v>589</v>
      </c>
      <c r="C63" s="356"/>
      <c r="D63" s="356"/>
      <c r="E63" s="356"/>
      <c r="F63" s="356"/>
      <c r="G63" s="356"/>
      <c r="H63" s="356"/>
      <c r="I63" s="357">
        <f t="shared" si="1"/>
        <v>0</v>
      </c>
      <c r="J63" s="357"/>
      <c r="K63" s="357">
        <f t="shared" si="0"/>
        <v>0</v>
      </c>
    </row>
    <row r="64" spans="1:11" ht="15">
      <c r="A64" s="355" t="s">
        <v>590</v>
      </c>
      <c r="B64" s="355" t="s">
        <v>591</v>
      </c>
      <c r="C64" s="356">
        <v>0</v>
      </c>
      <c r="D64" s="356"/>
      <c r="E64" s="356">
        <v>58000</v>
      </c>
      <c r="F64" s="356"/>
      <c r="G64" s="356"/>
      <c r="H64" s="356"/>
      <c r="I64" s="357">
        <f t="shared" si="1"/>
        <v>0</v>
      </c>
      <c r="J64" s="357"/>
      <c r="K64" s="357">
        <f t="shared" si="0"/>
        <v>58000</v>
      </c>
    </row>
    <row r="65" spans="1:11" ht="15">
      <c r="A65" s="355" t="s">
        <v>592</v>
      </c>
      <c r="B65" s="355" t="s">
        <v>593</v>
      </c>
      <c r="C65" s="356"/>
      <c r="D65" s="356"/>
      <c r="E65" s="356"/>
      <c r="F65" s="356"/>
      <c r="G65" s="356"/>
      <c r="H65" s="356"/>
      <c r="I65" s="357">
        <f t="shared" si="1"/>
        <v>0</v>
      </c>
      <c r="J65" s="357"/>
      <c r="K65" s="357">
        <f t="shared" si="0"/>
        <v>0</v>
      </c>
    </row>
    <row r="66" spans="1:11" ht="15">
      <c r="A66" s="355" t="s">
        <v>594</v>
      </c>
      <c r="B66" s="361" t="s">
        <v>595</v>
      </c>
      <c r="C66" s="356"/>
      <c r="D66" s="356"/>
      <c r="E66" s="356"/>
      <c r="F66" s="356"/>
      <c r="G66" s="356"/>
      <c r="H66" s="356"/>
      <c r="I66" s="357">
        <f t="shared" si="1"/>
        <v>0</v>
      </c>
      <c r="J66" s="357"/>
      <c r="K66" s="357">
        <f t="shared" si="0"/>
        <v>0</v>
      </c>
    </row>
    <row r="67" spans="1:11" ht="15">
      <c r="A67" s="355" t="s">
        <v>596</v>
      </c>
      <c r="B67" s="355" t="s">
        <v>597</v>
      </c>
      <c r="C67" s="356"/>
      <c r="D67" s="356"/>
      <c r="E67" s="356"/>
      <c r="F67" s="356"/>
      <c r="G67" s="356"/>
      <c r="H67" s="356"/>
      <c r="I67" s="357">
        <f t="shared" si="1"/>
        <v>0</v>
      </c>
      <c r="J67" s="357"/>
      <c r="K67" s="357">
        <f t="shared" si="0"/>
        <v>0</v>
      </c>
    </row>
    <row r="68" spans="1:11" ht="15.75">
      <c r="A68" s="355" t="s">
        <v>598</v>
      </c>
      <c r="B68" s="358" t="s">
        <v>599</v>
      </c>
      <c r="C68" s="359">
        <f>SUM(C61:C67)</f>
        <v>13979</v>
      </c>
      <c r="D68" s="359"/>
      <c r="E68" s="359">
        <f>SUM(E61:E67)</f>
        <v>121632</v>
      </c>
      <c r="F68" s="359">
        <f>SUM(F61:F67)</f>
        <v>14078</v>
      </c>
      <c r="G68" s="359"/>
      <c r="H68" s="359">
        <f>SUM(H61:H67)</f>
        <v>0</v>
      </c>
      <c r="I68" s="360">
        <f t="shared" si="1"/>
        <v>28057</v>
      </c>
      <c r="J68" s="360"/>
      <c r="K68" s="360">
        <f t="shared" si="0"/>
        <v>121632</v>
      </c>
    </row>
    <row r="69" spans="1:11" ht="15.75">
      <c r="A69" s="355" t="s">
        <v>600</v>
      </c>
      <c r="B69" s="358" t="s">
        <v>601</v>
      </c>
      <c r="C69" s="359">
        <f>C51+C60+C68</f>
        <v>683556</v>
      </c>
      <c r="D69" s="359"/>
      <c r="E69" s="359">
        <f>E51+E60+E68</f>
        <v>1273806</v>
      </c>
      <c r="F69" s="359">
        <f>F51+F60+F68</f>
        <v>14078</v>
      </c>
      <c r="G69" s="359"/>
      <c r="H69" s="359">
        <f>H51+H60+H68</f>
        <v>0</v>
      </c>
      <c r="I69" s="360">
        <f t="shared" si="1"/>
        <v>697634</v>
      </c>
      <c r="J69" s="360">
        <f>J51+J60+J68</f>
        <v>0</v>
      </c>
      <c r="K69" s="360">
        <f t="shared" si="0"/>
        <v>1273806</v>
      </c>
    </row>
    <row r="70" spans="1:11" ht="15.75">
      <c r="A70" s="355" t="s">
        <v>602</v>
      </c>
      <c r="B70" s="358" t="s">
        <v>603</v>
      </c>
      <c r="C70" s="359">
        <v>-2789000</v>
      </c>
      <c r="D70" s="359"/>
      <c r="E70" s="359">
        <v>917000</v>
      </c>
      <c r="F70" s="359">
        <v>-688787</v>
      </c>
      <c r="G70" s="359"/>
      <c r="H70" s="359">
        <v>-393788</v>
      </c>
      <c r="I70" s="357">
        <f t="shared" si="1"/>
        <v>-3477787</v>
      </c>
      <c r="J70" s="360"/>
      <c r="K70" s="357">
        <f t="shared" si="0"/>
        <v>523212</v>
      </c>
    </row>
    <row r="71" spans="1:11" ht="15">
      <c r="A71" s="355" t="s">
        <v>604</v>
      </c>
      <c r="B71" s="355" t="s">
        <v>605</v>
      </c>
      <c r="C71" s="356"/>
      <c r="D71" s="356"/>
      <c r="E71" s="356"/>
      <c r="F71" s="356"/>
      <c r="G71" s="356"/>
      <c r="H71" s="356"/>
      <c r="I71" s="357">
        <f t="shared" si="1"/>
        <v>0</v>
      </c>
      <c r="J71" s="357"/>
      <c r="K71" s="357">
        <f aca="true" t="shared" si="2" ref="K71:K119">SUM(E71+H71)</f>
        <v>0</v>
      </c>
    </row>
    <row r="72" spans="1:11" ht="15">
      <c r="A72" s="355" t="s">
        <v>606</v>
      </c>
      <c r="B72" s="355" t="s">
        <v>607</v>
      </c>
      <c r="C72" s="356"/>
      <c r="D72" s="356"/>
      <c r="E72" s="356"/>
      <c r="F72" s="356"/>
      <c r="G72" s="356"/>
      <c r="H72" s="356"/>
      <c r="I72" s="357">
        <f aca="true" t="shared" si="3" ref="I72:I119">SUM(C72+F72)</f>
        <v>0</v>
      </c>
      <c r="J72" s="357"/>
      <c r="K72" s="357">
        <f t="shared" si="2"/>
        <v>0</v>
      </c>
    </row>
    <row r="73" spans="1:11" ht="15">
      <c r="A73" s="355" t="s">
        <v>608</v>
      </c>
      <c r="B73" s="355" t="s">
        <v>609</v>
      </c>
      <c r="C73" s="356"/>
      <c r="D73" s="356"/>
      <c r="E73" s="356"/>
      <c r="F73" s="356"/>
      <c r="G73" s="356"/>
      <c r="H73" s="356"/>
      <c r="I73" s="357">
        <f t="shared" si="3"/>
        <v>0</v>
      </c>
      <c r="J73" s="357"/>
      <c r="K73" s="357">
        <f t="shared" si="2"/>
        <v>0</v>
      </c>
    </row>
    <row r="74" spans="1:11" ht="15.75">
      <c r="A74" s="355" t="s">
        <v>610</v>
      </c>
      <c r="B74" s="358" t="s">
        <v>611</v>
      </c>
      <c r="C74" s="359">
        <f>SUM(C71:C73)</f>
        <v>0</v>
      </c>
      <c r="D74" s="359"/>
      <c r="E74" s="359">
        <f>SUM(E71:E73)</f>
        <v>0</v>
      </c>
      <c r="F74" s="359">
        <f>SUM(F71:F73)</f>
        <v>0</v>
      </c>
      <c r="G74" s="359"/>
      <c r="H74" s="359">
        <f>SUM(H71:H73)</f>
        <v>0</v>
      </c>
      <c r="I74" s="360">
        <f t="shared" si="3"/>
        <v>0</v>
      </c>
      <c r="J74" s="360">
        <f>SUM(J71:J73)</f>
        <v>0</v>
      </c>
      <c r="K74" s="360">
        <f t="shared" si="2"/>
        <v>0</v>
      </c>
    </row>
    <row r="75" spans="1:12" ht="30" customHeight="1">
      <c r="A75" s="774" t="s">
        <v>612</v>
      </c>
      <c r="B75" s="774"/>
      <c r="C75" s="368">
        <f>C27+C37+C42+C69+C70+C74</f>
        <v>449179666</v>
      </c>
      <c r="D75" s="368"/>
      <c r="E75" s="368">
        <f>E27+E37+E42+E69+E70+E74</f>
        <v>528064840</v>
      </c>
      <c r="F75" s="368">
        <f>F27+F37+F42+F69+F70+F74</f>
        <v>34240589</v>
      </c>
      <c r="G75" s="368"/>
      <c r="H75" s="368">
        <f>H27+H37+H42+H69+H70+H74</f>
        <v>1937195</v>
      </c>
      <c r="I75" s="368">
        <f t="shared" si="3"/>
        <v>483420255</v>
      </c>
      <c r="J75" s="368">
        <f>J27+J37+J42+J69+J70+J74</f>
        <v>0</v>
      </c>
      <c r="K75" s="368">
        <f t="shared" si="2"/>
        <v>530002035</v>
      </c>
      <c r="L75" s="675"/>
    </row>
    <row r="76" spans="1:11" ht="13.5" customHeight="1">
      <c r="A76" s="775" t="s">
        <v>613</v>
      </c>
      <c r="B76" s="775"/>
      <c r="C76" s="369"/>
      <c r="D76" s="369"/>
      <c r="E76" s="369"/>
      <c r="F76" s="370"/>
      <c r="G76" s="370"/>
      <c r="H76" s="370"/>
      <c r="I76" s="371">
        <f t="shared" si="3"/>
        <v>0</v>
      </c>
      <c r="J76" s="371"/>
      <c r="K76" s="371">
        <f t="shared" si="2"/>
        <v>0</v>
      </c>
    </row>
    <row r="77" spans="1:11" ht="15">
      <c r="A77" s="355" t="s">
        <v>614</v>
      </c>
      <c r="B77" s="355" t="s">
        <v>615</v>
      </c>
      <c r="C77" s="356">
        <v>494342000</v>
      </c>
      <c r="D77" s="356"/>
      <c r="E77" s="356">
        <v>494342000</v>
      </c>
      <c r="F77" s="356">
        <v>42132000</v>
      </c>
      <c r="G77" s="356"/>
      <c r="H77" s="356">
        <v>42132000</v>
      </c>
      <c r="I77" s="357">
        <f t="shared" si="3"/>
        <v>536474000</v>
      </c>
      <c r="J77" s="357"/>
      <c r="K77" s="357">
        <f t="shared" si="2"/>
        <v>536474000</v>
      </c>
    </row>
    <row r="78" spans="1:11" ht="15">
      <c r="A78" s="355" t="s">
        <v>616</v>
      </c>
      <c r="B78" s="355" t="s">
        <v>617</v>
      </c>
      <c r="C78" s="356">
        <v>0</v>
      </c>
      <c r="D78" s="356"/>
      <c r="E78" s="356">
        <v>0</v>
      </c>
      <c r="F78" s="356"/>
      <c r="G78" s="356"/>
      <c r="H78" s="356"/>
      <c r="I78" s="357">
        <f t="shared" si="3"/>
        <v>0</v>
      </c>
      <c r="J78" s="357"/>
      <c r="K78" s="357">
        <f t="shared" si="2"/>
        <v>0</v>
      </c>
    </row>
    <row r="79" spans="1:11" ht="15">
      <c r="A79" s="355" t="s">
        <v>618</v>
      </c>
      <c r="B79" s="355" t="s">
        <v>619</v>
      </c>
      <c r="C79" s="356">
        <v>10235000</v>
      </c>
      <c r="D79" s="356"/>
      <c r="E79" s="356">
        <v>10235000</v>
      </c>
      <c r="F79" s="356">
        <v>613271</v>
      </c>
      <c r="G79" s="356"/>
      <c r="H79" s="356">
        <v>613271</v>
      </c>
      <c r="I79" s="357">
        <f t="shared" si="3"/>
        <v>10848271</v>
      </c>
      <c r="J79" s="357"/>
      <c r="K79" s="357">
        <f t="shared" si="2"/>
        <v>10848271</v>
      </c>
    </row>
    <row r="80" spans="1:11" ht="15">
      <c r="A80" s="355" t="s">
        <v>620</v>
      </c>
      <c r="B80" s="355" t="s">
        <v>621</v>
      </c>
      <c r="C80" s="356">
        <v>-142283356</v>
      </c>
      <c r="D80" s="356"/>
      <c r="E80" s="356">
        <v>-98544066</v>
      </c>
      <c r="F80" s="356">
        <v>-8287444</v>
      </c>
      <c r="G80" s="356"/>
      <c r="H80" s="356">
        <v>-11006736</v>
      </c>
      <c r="I80" s="357">
        <f t="shared" si="3"/>
        <v>-150570800</v>
      </c>
      <c r="J80" s="357"/>
      <c r="K80" s="357">
        <f t="shared" si="2"/>
        <v>-109550802</v>
      </c>
    </row>
    <row r="81" spans="1:11" ht="15">
      <c r="A81" s="355" t="s">
        <v>622</v>
      </c>
      <c r="B81" s="355" t="s">
        <v>623</v>
      </c>
      <c r="C81" s="356"/>
      <c r="D81" s="356"/>
      <c r="E81" s="356"/>
      <c r="F81" s="356"/>
      <c r="G81" s="356"/>
      <c r="H81" s="356"/>
      <c r="I81" s="357">
        <f t="shared" si="3"/>
        <v>0</v>
      </c>
      <c r="J81" s="357"/>
      <c r="K81" s="357">
        <f t="shared" si="2"/>
        <v>0</v>
      </c>
    </row>
    <row r="82" spans="1:11" ht="15">
      <c r="A82" s="355" t="s">
        <v>624</v>
      </c>
      <c r="B82" s="355" t="s">
        <v>625</v>
      </c>
      <c r="C82" s="356">
        <v>43739290</v>
      </c>
      <c r="D82" s="356"/>
      <c r="E82" s="356">
        <v>69679969</v>
      </c>
      <c r="F82" s="356">
        <v>-2719292</v>
      </c>
      <c r="G82" s="356"/>
      <c r="H82" s="356">
        <v>-31746204</v>
      </c>
      <c r="I82" s="357">
        <f t="shared" si="3"/>
        <v>41019998</v>
      </c>
      <c r="J82" s="357"/>
      <c r="K82" s="357">
        <f t="shared" si="2"/>
        <v>37933765</v>
      </c>
    </row>
    <row r="83" spans="1:11" ht="15.75">
      <c r="A83" s="355" t="s">
        <v>626</v>
      </c>
      <c r="B83" s="358" t="s">
        <v>627</v>
      </c>
      <c r="C83" s="359">
        <f>SUM(C77:C82)</f>
        <v>406032934</v>
      </c>
      <c r="D83" s="359"/>
      <c r="E83" s="359">
        <f>SUM(E77:E82)</f>
        <v>475712903</v>
      </c>
      <c r="F83" s="359">
        <f>SUM(F77:F82)</f>
        <v>31738535</v>
      </c>
      <c r="G83" s="359"/>
      <c r="H83" s="359">
        <f>SUM(H77:H82)</f>
        <v>-7669</v>
      </c>
      <c r="I83" s="360">
        <f t="shared" si="3"/>
        <v>437771469</v>
      </c>
      <c r="J83" s="360"/>
      <c r="K83" s="360">
        <f t="shared" si="2"/>
        <v>475705234</v>
      </c>
    </row>
    <row r="84" spans="1:11" ht="15">
      <c r="A84" s="361" t="s">
        <v>628</v>
      </c>
      <c r="B84" s="361" t="s">
        <v>629</v>
      </c>
      <c r="C84" s="356"/>
      <c r="D84" s="356"/>
      <c r="E84" s="356"/>
      <c r="F84" s="356"/>
      <c r="G84" s="356"/>
      <c r="H84" s="356"/>
      <c r="I84" s="357">
        <f t="shared" si="3"/>
        <v>0</v>
      </c>
      <c r="J84" s="357"/>
      <c r="K84" s="357">
        <f t="shared" si="2"/>
        <v>0</v>
      </c>
    </row>
    <row r="85" spans="1:11" ht="15">
      <c r="A85" s="361" t="s">
        <v>630</v>
      </c>
      <c r="B85" s="361" t="s">
        <v>631</v>
      </c>
      <c r="C85" s="356"/>
      <c r="D85" s="356"/>
      <c r="E85" s="356"/>
      <c r="F85" s="356"/>
      <c r="G85" s="356"/>
      <c r="H85" s="356"/>
      <c r="I85" s="357">
        <f t="shared" si="3"/>
        <v>0</v>
      </c>
      <c r="J85" s="357"/>
      <c r="K85" s="357">
        <f t="shared" si="2"/>
        <v>0</v>
      </c>
    </row>
    <row r="86" spans="1:11" ht="15">
      <c r="A86" s="361" t="s">
        <v>632</v>
      </c>
      <c r="B86" s="361" t="s">
        <v>633</v>
      </c>
      <c r="C86" s="356"/>
      <c r="D86" s="356"/>
      <c r="E86" s="356"/>
      <c r="F86" s="356"/>
      <c r="G86" s="356"/>
      <c r="H86" s="356"/>
      <c r="I86" s="357">
        <f t="shared" si="3"/>
        <v>0</v>
      </c>
      <c r="J86" s="357"/>
      <c r="K86" s="357">
        <f t="shared" si="2"/>
        <v>0</v>
      </c>
    </row>
    <row r="87" spans="1:11" ht="15">
      <c r="A87" s="361" t="s">
        <v>634</v>
      </c>
      <c r="B87" s="361" t="s">
        <v>635</v>
      </c>
      <c r="C87" s="356"/>
      <c r="D87" s="356"/>
      <c r="E87" s="356"/>
      <c r="F87" s="356"/>
      <c r="G87" s="356"/>
      <c r="H87" s="356"/>
      <c r="I87" s="357">
        <f t="shared" si="3"/>
        <v>0</v>
      </c>
      <c r="J87" s="357"/>
      <c r="K87" s="357">
        <f t="shared" si="2"/>
        <v>0</v>
      </c>
    </row>
    <row r="88" spans="1:11" ht="15">
      <c r="A88" s="361" t="s">
        <v>636</v>
      </c>
      <c r="B88" s="361" t="s">
        <v>637</v>
      </c>
      <c r="C88" s="356"/>
      <c r="D88" s="356"/>
      <c r="E88" s="356"/>
      <c r="F88" s="356"/>
      <c r="G88" s="356"/>
      <c r="H88" s="356"/>
      <c r="I88" s="357">
        <f t="shared" si="3"/>
        <v>0</v>
      </c>
      <c r="J88" s="357"/>
      <c r="K88" s="357">
        <f t="shared" si="2"/>
        <v>0</v>
      </c>
    </row>
    <row r="89" spans="1:11" ht="15">
      <c r="A89" s="361" t="s">
        <v>638</v>
      </c>
      <c r="B89" s="361" t="s">
        <v>639</v>
      </c>
      <c r="C89" s="356"/>
      <c r="D89" s="356"/>
      <c r="E89" s="356"/>
      <c r="F89" s="356"/>
      <c r="G89" s="356"/>
      <c r="H89" s="356"/>
      <c r="I89" s="357">
        <f t="shared" si="3"/>
        <v>0</v>
      </c>
      <c r="J89" s="357"/>
      <c r="K89" s="357">
        <f t="shared" si="2"/>
        <v>0</v>
      </c>
    </row>
    <row r="90" spans="1:11" ht="15">
      <c r="A90" s="361" t="s">
        <v>640</v>
      </c>
      <c r="B90" s="361" t="s">
        <v>641</v>
      </c>
      <c r="C90" s="356"/>
      <c r="D90" s="356"/>
      <c r="E90" s="356"/>
      <c r="F90" s="356"/>
      <c r="G90" s="356"/>
      <c r="H90" s="356"/>
      <c r="I90" s="357">
        <f t="shared" si="3"/>
        <v>0</v>
      </c>
      <c r="J90" s="357"/>
      <c r="K90" s="357">
        <f t="shared" si="2"/>
        <v>0</v>
      </c>
    </row>
    <row r="91" spans="1:11" ht="15">
      <c r="A91" s="361" t="s">
        <v>642</v>
      </c>
      <c r="B91" s="361" t="s">
        <v>643</v>
      </c>
      <c r="C91" s="372"/>
      <c r="D91" s="372"/>
      <c r="E91" s="372"/>
      <c r="F91" s="372"/>
      <c r="G91" s="372"/>
      <c r="H91" s="372"/>
      <c r="I91" s="357">
        <f t="shared" si="3"/>
        <v>0</v>
      </c>
      <c r="J91" s="357"/>
      <c r="K91" s="357">
        <f t="shared" si="2"/>
        <v>0</v>
      </c>
    </row>
    <row r="92" spans="1:11" ht="15">
      <c r="A92" s="361" t="s">
        <v>644</v>
      </c>
      <c r="B92" s="361" t="s">
        <v>645</v>
      </c>
      <c r="C92" s="356">
        <v>1411250</v>
      </c>
      <c r="D92" s="356"/>
      <c r="E92" s="356">
        <v>1547521</v>
      </c>
      <c r="F92" s="356"/>
      <c r="G92" s="356"/>
      <c r="H92" s="356"/>
      <c r="I92" s="357">
        <f t="shared" si="3"/>
        <v>1411250</v>
      </c>
      <c r="J92" s="357"/>
      <c r="K92" s="357">
        <f t="shared" si="2"/>
        <v>1547521</v>
      </c>
    </row>
    <row r="93" spans="1:11" ht="15.75">
      <c r="A93" s="355" t="s">
        <v>646</v>
      </c>
      <c r="B93" s="358" t="s">
        <v>647</v>
      </c>
      <c r="C93" s="359">
        <f>SUM(C84:C92)</f>
        <v>1411250</v>
      </c>
      <c r="D93" s="359"/>
      <c r="E93" s="359">
        <f>SUM(E84:E92)</f>
        <v>1547521</v>
      </c>
      <c r="F93" s="359">
        <f>SUM(F84:F92)</f>
        <v>0</v>
      </c>
      <c r="G93" s="359"/>
      <c r="H93" s="359">
        <f>SUM(H84:H92)</f>
        <v>0</v>
      </c>
      <c r="I93" s="360">
        <f t="shared" si="3"/>
        <v>1411250</v>
      </c>
      <c r="J93" s="360"/>
      <c r="K93" s="360">
        <f t="shared" si="2"/>
        <v>1547521</v>
      </c>
    </row>
    <row r="94" spans="1:11" ht="15">
      <c r="A94" s="361" t="s">
        <v>648</v>
      </c>
      <c r="B94" s="361" t="s">
        <v>649</v>
      </c>
      <c r="C94" s="356"/>
      <c r="D94" s="356"/>
      <c r="E94" s="356"/>
      <c r="F94" s="356"/>
      <c r="G94" s="356"/>
      <c r="H94" s="356"/>
      <c r="I94" s="357">
        <f t="shared" si="3"/>
        <v>0</v>
      </c>
      <c r="J94" s="357"/>
      <c r="K94" s="357">
        <f t="shared" si="2"/>
        <v>0</v>
      </c>
    </row>
    <row r="95" spans="1:11" ht="15">
      <c r="A95" s="361" t="s">
        <v>650</v>
      </c>
      <c r="B95" s="361" t="s">
        <v>651</v>
      </c>
      <c r="C95" s="356"/>
      <c r="D95" s="356"/>
      <c r="E95" s="356"/>
      <c r="F95" s="356"/>
      <c r="G95" s="356"/>
      <c r="H95" s="356"/>
      <c r="I95" s="357">
        <f t="shared" si="3"/>
        <v>0</v>
      </c>
      <c r="J95" s="357"/>
      <c r="K95" s="357">
        <f t="shared" si="2"/>
        <v>0</v>
      </c>
    </row>
    <row r="96" spans="1:11" ht="15">
      <c r="A96" s="361" t="s">
        <v>652</v>
      </c>
      <c r="B96" s="361" t="s">
        <v>653</v>
      </c>
      <c r="C96" s="356"/>
      <c r="D96" s="356"/>
      <c r="E96" s="356"/>
      <c r="F96" s="356"/>
      <c r="G96" s="356"/>
      <c r="H96" s="356"/>
      <c r="I96" s="357">
        <f t="shared" si="3"/>
        <v>0</v>
      </c>
      <c r="J96" s="357"/>
      <c r="K96" s="357">
        <f t="shared" si="2"/>
        <v>0</v>
      </c>
    </row>
    <row r="97" spans="1:11" ht="15">
      <c r="A97" s="361" t="s">
        <v>654</v>
      </c>
      <c r="B97" s="361" t="s">
        <v>655</v>
      </c>
      <c r="C97" s="356"/>
      <c r="D97" s="356"/>
      <c r="E97" s="356"/>
      <c r="F97" s="356"/>
      <c r="G97" s="356"/>
      <c r="H97" s="356"/>
      <c r="I97" s="357">
        <f t="shared" si="3"/>
        <v>0</v>
      </c>
      <c r="J97" s="357"/>
      <c r="K97" s="357">
        <f t="shared" si="2"/>
        <v>0</v>
      </c>
    </row>
    <row r="98" spans="1:11" ht="15">
      <c r="A98" s="361" t="s">
        <v>656</v>
      </c>
      <c r="B98" s="361" t="s">
        <v>657</v>
      </c>
      <c r="C98" s="356"/>
      <c r="D98" s="356"/>
      <c r="E98" s="356"/>
      <c r="F98" s="356"/>
      <c r="G98" s="356"/>
      <c r="H98" s="356"/>
      <c r="I98" s="357">
        <f t="shared" si="3"/>
        <v>0</v>
      </c>
      <c r="J98" s="357"/>
      <c r="K98" s="357">
        <f t="shared" si="2"/>
        <v>0</v>
      </c>
    </row>
    <row r="99" spans="1:11" ht="15">
      <c r="A99" s="361" t="s">
        <v>658</v>
      </c>
      <c r="B99" s="361" t="s">
        <v>659</v>
      </c>
      <c r="C99" s="356"/>
      <c r="D99" s="356"/>
      <c r="E99" s="356"/>
      <c r="F99" s="356"/>
      <c r="G99" s="356"/>
      <c r="H99" s="356"/>
      <c r="I99" s="357">
        <f t="shared" si="3"/>
        <v>0</v>
      </c>
      <c r="J99" s="357"/>
      <c r="K99" s="357">
        <f t="shared" si="2"/>
        <v>0</v>
      </c>
    </row>
    <row r="100" spans="1:11" ht="15">
      <c r="A100" s="361" t="s">
        <v>660</v>
      </c>
      <c r="B100" s="361" t="s">
        <v>661</v>
      </c>
      <c r="C100" s="356"/>
      <c r="D100" s="356"/>
      <c r="E100" s="356"/>
      <c r="F100" s="356"/>
      <c r="G100" s="356"/>
      <c r="H100" s="356"/>
      <c r="I100" s="357">
        <f t="shared" si="3"/>
        <v>0</v>
      </c>
      <c r="J100" s="357"/>
      <c r="K100" s="357">
        <f t="shared" si="2"/>
        <v>0</v>
      </c>
    </row>
    <row r="101" spans="1:11" ht="15">
      <c r="A101" s="361" t="s">
        <v>662</v>
      </c>
      <c r="B101" s="361" t="s">
        <v>663</v>
      </c>
      <c r="C101" s="372"/>
      <c r="D101" s="372"/>
      <c r="E101" s="372"/>
      <c r="F101" s="372"/>
      <c r="G101" s="372"/>
      <c r="H101" s="372"/>
      <c r="I101" s="357">
        <f t="shared" si="3"/>
        <v>0</v>
      </c>
      <c r="J101" s="357"/>
      <c r="K101" s="357">
        <f t="shared" si="2"/>
        <v>0</v>
      </c>
    </row>
    <row r="102" spans="1:11" ht="15">
      <c r="A102" s="361" t="s">
        <v>664</v>
      </c>
      <c r="B102" s="361" t="s">
        <v>665</v>
      </c>
      <c r="C102" s="356">
        <v>0</v>
      </c>
      <c r="D102" s="356"/>
      <c r="E102" s="356">
        <v>0</v>
      </c>
      <c r="F102" s="356"/>
      <c r="G102" s="356"/>
      <c r="H102" s="356"/>
      <c r="I102" s="357">
        <f t="shared" si="3"/>
        <v>0</v>
      </c>
      <c r="J102" s="357"/>
      <c r="K102" s="357">
        <f t="shared" si="2"/>
        <v>0</v>
      </c>
    </row>
    <row r="103" spans="1:11" ht="15.75">
      <c r="A103" s="361" t="s">
        <v>666</v>
      </c>
      <c r="B103" s="373" t="s">
        <v>667</v>
      </c>
      <c r="C103" s="359">
        <f>SUM(C94:C102)</f>
        <v>0</v>
      </c>
      <c r="D103" s="359"/>
      <c r="E103" s="359">
        <f>SUM(E94:E102)</f>
        <v>0</v>
      </c>
      <c r="F103" s="359">
        <f>SUM(F94:F102)</f>
        <v>0</v>
      </c>
      <c r="G103" s="359"/>
      <c r="H103" s="359">
        <f>SUM(H94:H102)</f>
        <v>0</v>
      </c>
      <c r="I103" s="360">
        <f t="shared" si="3"/>
        <v>0</v>
      </c>
      <c r="J103" s="360"/>
      <c r="K103" s="360">
        <f t="shared" si="2"/>
        <v>0</v>
      </c>
    </row>
    <row r="104" spans="1:11" ht="15">
      <c r="A104" s="355" t="s">
        <v>668</v>
      </c>
      <c r="B104" s="355" t="s">
        <v>669</v>
      </c>
      <c r="C104" s="356">
        <v>1821124</v>
      </c>
      <c r="D104" s="356"/>
      <c r="E104" s="356">
        <v>3534730</v>
      </c>
      <c r="F104" s="356"/>
      <c r="G104" s="356"/>
      <c r="H104" s="356"/>
      <c r="I104" s="357">
        <f t="shared" si="3"/>
        <v>1821124</v>
      </c>
      <c r="J104" s="357"/>
      <c r="K104" s="357">
        <f t="shared" si="2"/>
        <v>3534730</v>
      </c>
    </row>
    <row r="105" spans="1:11" ht="15">
      <c r="A105" s="361" t="s">
        <v>670</v>
      </c>
      <c r="B105" s="361" t="s">
        <v>671</v>
      </c>
      <c r="C105" s="356"/>
      <c r="D105" s="356"/>
      <c r="E105" s="356"/>
      <c r="F105" s="356"/>
      <c r="G105" s="356"/>
      <c r="H105" s="356"/>
      <c r="I105" s="357">
        <f t="shared" si="3"/>
        <v>0</v>
      </c>
      <c r="J105" s="357"/>
      <c r="K105" s="357">
        <f t="shared" si="2"/>
        <v>0</v>
      </c>
    </row>
    <row r="106" spans="1:11" ht="15">
      <c r="A106" s="355" t="s">
        <v>672</v>
      </c>
      <c r="B106" s="355" t="s">
        <v>673</v>
      </c>
      <c r="C106" s="356"/>
      <c r="D106" s="356"/>
      <c r="E106" s="356"/>
      <c r="F106" s="356"/>
      <c r="G106" s="356"/>
      <c r="H106" s="356"/>
      <c r="I106" s="357">
        <f t="shared" si="3"/>
        <v>0</v>
      </c>
      <c r="J106" s="357"/>
      <c r="K106" s="357">
        <f t="shared" si="2"/>
        <v>0</v>
      </c>
    </row>
    <row r="107" spans="1:11" ht="15">
      <c r="A107" s="355" t="s">
        <v>674</v>
      </c>
      <c r="B107" s="355" t="s">
        <v>675</v>
      </c>
      <c r="C107" s="356"/>
      <c r="D107" s="356"/>
      <c r="E107" s="356"/>
      <c r="F107" s="356"/>
      <c r="G107" s="356"/>
      <c r="H107" s="356"/>
      <c r="I107" s="357">
        <f t="shared" si="3"/>
        <v>0</v>
      </c>
      <c r="J107" s="357"/>
      <c r="K107" s="357">
        <f t="shared" si="2"/>
        <v>0</v>
      </c>
    </row>
    <row r="108" spans="1:11" ht="15">
      <c r="A108" s="361" t="s">
        <v>676</v>
      </c>
      <c r="B108" s="361" t="s">
        <v>677</v>
      </c>
      <c r="C108" s="356"/>
      <c r="D108" s="356"/>
      <c r="E108" s="356"/>
      <c r="F108" s="356"/>
      <c r="G108" s="356"/>
      <c r="H108" s="356"/>
      <c r="I108" s="357">
        <f t="shared" si="3"/>
        <v>0</v>
      </c>
      <c r="J108" s="357"/>
      <c r="K108" s="357">
        <f t="shared" si="2"/>
        <v>0</v>
      </c>
    </row>
    <row r="109" spans="1:11" ht="15">
      <c r="A109" s="361" t="s">
        <v>678</v>
      </c>
      <c r="B109" s="361" t="s">
        <v>679</v>
      </c>
      <c r="C109" s="356"/>
      <c r="D109" s="356"/>
      <c r="E109" s="356"/>
      <c r="F109" s="356"/>
      <c r="G109" s="356"/>
      <c r="H109" s="356"/>
      <c r="I109" s="357">
        <f t="shared" si="3"/>
        <v>0</v>
      </c>
      <c r="J109" s="357"/>
      <c r="K109" s="357">
        <f t="shared" si="2"/>
        <v>0</v>
      </c>
    </row>
    <row r="110" spans="1:11" ht="15">
      <c r="A110" s="361" t="s">
        <v>680</v>
      </c>
      <c r="B110" s="361" t="s">
        <v>681</v>
      </c>
      <c r="C110" s="356">
        <v>0</v>
      </c>
      <c r="D110" s="356"/>
      <c r="E110" s="356">
        <v>0</v>
      </c>
      <c r="F110" s="356"/>
      <c r="G110" s="356"/>
      <c r="H110" s="356"/>
      <c r="I110" s="357">
        <f t="shared" si="3"/>
        <v>0</v>
      </c>
      <c r="J110" s="357"/>
      <c r="K110" s="357">
        <f t="shared" si="2"/>
        <v>0</v>
      </c>
    </row>
    <row r="111" spans="1:11" ht="15.75">
      <c r="A111" s="361" t="s">
        <v>682</v>
      </c>
      <c r="B111" s="358" t="s">
        <v>683</v>
      </c>
      <c r="C111" s="359">
        <f>SUM(C104:C110)</f>
        <v>1821124</v>
      </c>
      <c r="D111" s="359"/>
      <c r="E111" s="359">
        <f>SUM(E104:E110)</f>
        <v>3534730</v>
      </c>
      <c r="F111" s="359">
        <f>SUM(F104:F110)</f>
        <v>0</v>
      </c>
      <c r="G111" s="359"/>
      <c r="H111" s="359">
        <f>SUM(H104:H110)</f>
        <v>0</v>
      </c>
      <c r="I111" s="360">
        <f t="shared" si="3"/>
        <v>1821124</v>
      </c>
      <c r="J111" s="360"/>
      <c r="K111" s="360">
        <f t="shared" si="2"/>
        <v>3534730</v>
      </c>
    </row>
    <row r="112" spans="1:11" ht="15.75">
      <c r="A112" s="361" t="s">
        <v>684</v>
      </c>
      <c r="B112" s="358" t="s">
        <v>685</v>
      </c>
      <c r="C112" s="359">
        <f>C93+C111+C103</f>
        <v>3232374</v>
      </c>
      <c r="D112" s="359"/>
      <c r="E112" s="359">
        <f>E93+E111+E103</f>
        <v>5082251</v>
      </c>
      <c r="F112" s="359">
        <v>0</v>
      </c>
      <c r="G112" s="359"/>
      <c r="H112" s="359">
        <v>0</v>
      </c>
      <c r="I112" s="360">
        <f t="shared" si="3"/>
        <v>3232374</v>
      </c>
      <c r="J112" s="360"/>
      <c r="K112" s="360">
        <f t="shared" si="2"/>
        <v>5082251</v>
      </c>
    </row>
    <row r="113" spans="1:11" ht="15.75">
      <c r="A113" s="361" t="s">
        <v>686</v>
      </c>
      <c r="B113" s="358" t="s">
        <v>687</v>
      </c>
      <c r="C113" s="359"/>
      <c r="D113" s="359"/>
      <c r="E113" s="359"/>
      <c r="F113" s="359"/>
      <c r="G113" s="359"/>
      <c r="H113" s="359"/>
      <c r="I113" s="357">
        <f t="shared" si="3"/>
        <v>0</v>
      </c>
      <c r="J113" s="360"/>
      <c r="K113" s="357">
        <f t="shared" si="2"/>
        <v>0</v>
      </c>
    </row>
    <row r="114" spans="1:11" ht="15.75">
      <c r="A114" s="361" t="s">
        <v>688</v>
      </c>
      <c r="B114" s="358" t="s">
        <v>689</v>
      </c>
      <c r="C114" s="359"/>
      <c r="D114" s="359"/>
      <c r="E114" s="359"/>
      <c r="F114" s="359"/>
      <c r="G114" s="359"/>
      <c r="H114" s="359"/>
      <c r="I114" s="357">
        <f t="shared" si="3"/>
        <v>0</v>
      </c>
      <c r="J114" s="360"/>
      <c r="K114" s="357">
        <f t="shared" si="2"/>
        <v>0</v>
      </c>
    </row>
    <row r="115" spans="1:11" ht="15">
      <c r="A115" s="361" t="s">
        <v>690</v>
      </c>
      <c r="B115" s="355" t="s">
        <v>691</v>
      </c>
      <c r="C115" s="356"/>
      <c r="D115" s="356"/>
      <c r="E115" s="356"/>
      <c r="F115" s="356"/>
      <c r="G115" s="356"/>
      <c r="H115" s="356"/>
      <c r="I115" s="357">
        <f t="shared" si="3"/>
        <v>0</v>
      </c>
      <c r="J115" s="357"/>
      <c r="K115" s="357">
        <f t="shared" si="2"/>
        <v>0</v>
      </c>
    </row>
    <row r="116" spans="1:11" ht="15">
      <c r="A116" s="361" t="s">
        <v>692</v>
      </c>
      <c r="B116" s="355" t="s">
        <v>693</v>
      </c>
      <c r="C116" s="356">
        <v>811154</v>
      </c>
      <c r="D116" s="356"/>
      <c r="E116" s="356">
        <v>723789</v>
      </c>
      <c r="F116" s="356">
        <v>2502054</v>
      </c>
      <c r="G116" s="356"/>
      <c r="H116" s="356">
        <v>1944864</v>
      </c>
      <c r="I116" s="357">
        <f t="shared" si="3"/>
        <v>3313208</v>
      </c>
      <c r="J116" s="357"/>
      <c r="K116" s="357">
        <f t="shared" si="2"/>
        <v>2668653</v>
      </c>
    </row>
    <row r="117" spans="1:11" ht="15">
      <c r="A117" s="361" t="s">
        <v>694</v>
      </c>
      <c r="B117" s="355" t="s">
        <v>695</v>
      </c>
      <c r="C117" s="356">
        <v>39103204</v>
      </c>
      <c r="D117" s="356"/>
      <c r="E117" s="356">
        <v>46545897</v>
      </c>
      <c r="F117" s="356"/>
      <c r="G117" s="356"/>
      <c r="H117" s="356"/>
      <c r="I117" s="357">
        <f t="shared" si="3"/>
        <v>39103204</v>
      </c>
      <c r="J117" s="357"/>
      <c r="K117" s="357">
        <f t="shared" si="2"/>
        <v>46545897</v>
      </c>
    </row>
    <row r="118" spans="1:11" ht="15.75">
      <c r="A118" s="361" t="s">
        <v>696</v>
      </c>
      <c r="B118" s="358" t="s">
        <v>697</v>
      </c>
      <c r="C118" s="359">
        <f>SUM(C115:C117)</f>
        <v>39914358</v>
      </c>
      <c r="D118" s="359"/>
      <c r="E118" s="359">
        <f>SUM(E115:E117)</f>
        <v>47269686</v>
      </c>
      <c r="F118" s="359">
        <f>SUM(F115:F117)</f>
        <v>2502054</v>
      </c>
      <c r="G118" s="359"/>
      <c r="H118" s="359">
        <f>SUM(H115:H117)</f>
        <v>1944864</v>
      </c>
      <c r="I118" s="359">
        <f t="shared" si="3"/>
        <v>42416412</v>
      </c>
      <c r="J118" s="360"/>
      <c r="K118" s="360">
        <f t="shared" si="2"/>
        <v>49214550</v>
      </c>
    </row>
    <row r="119" spans="1:11" ht="30" customHeight="1">
      <c r="A119" s="368" t="s">
        <v>698</v>
      </c>
      <c r="B119" s="368"/>
      <c r="C119" s="368">
        <f>C83+C112+C113+C114+C118</f>
        <v>449179666</v>
      </c>
      <c r="D119" s="368"/>
      <c r="E119" s="368">
        <f>E83+E112+E113+E114+E118</f>
        <v>528064840</v>
      </c>
      <c r="F119" s="368">
        <f>F83+F112+F113+F114+F118</f>
        <v>34240589</v>
      </c>
      <c r="G119" s="368"/>
      <c r="H119" s="368">
        <f>H83+H112+H113+H114+H118</f>
        <v>1937195</v>
      </c>
      <c r="I119" s="368">
        <f t="shared" si="3"/>
        <v>483420255</v>
      </c>
      <c r="J119" s="368">
        <f>J83+J112+J113+J114+J118</f>
        <v>0</v>
      </c>
      <c r="K119" s="368">
        <f t="shared" si="2"/>
        <v>530002035</v>
      </c>
    </row>
    <row r="120" spans="6:11" ht="12.75">
      <c r="F120" s="374"/>
      <c r="G120" s="374"/>
      <c r="H120" s="374"/>
      <c r="I120" s="374"/>
      <c r="J120" s="374"/>
      <c r="K120" s="374"/>
    </row>
    <row r="121" spans="1:11" ht="12.75">
      <c r="A121" s="375"/>
      <c r="B121" s="375"/>
      <c r="C121" s="375"/>
      <c r="D121" s="375"/>
      <c r="E121" s="375"/>
      <c r="F121" s="374"/>
      <c r="G121" s="374"/>
      <c r="H121" s="374"/>
      <c r="I121" s="374"/>
      <c r="J121" s="374"/>
      <c r="K121" s="374"/>
    </row>
    <row r="122" spans="6:11" ht="12.75">
      <c r="F122" s="374"/>
      <c r="G122" s="374"/>
      <c r="H122" s="374"/>
      <c r="I122" s="374"/>
      <c r="J122" s="374"/>
      <c r="K122" s="374"/>
    </row>
    <row r="123" spans="6:11" ht="12.75">
      <c r="F123" s="374"/>
      <c r="G123" s="374"/>
      <c r="H123" s="374"/>
      <c r="I123" s="374"/>
      <c r="J123" s="374"/>
      <c r="K123" s="374"/>
    </row>
    <row r="124" spans="6:11" ht="12.75">
      <c r="F124" s="374"/>
      <c r="G124" s="374"/>
      <c r="H124" s="374"/>
      <c r="I124" s="374"/>
      <c r="J124" s="374"/>
      <c r="K124" s="374"/>
    </row>
    <row r="125" spans="6:11" ht="12.75">
      <c r="F125" s="374"/>
      <c r="G125" s="374"/>
      <c r="H125" s="374"/>
      <c r="I125" s="374"/>
      <c r="J125" s="374"/>
      <c r="K125" s="374"/>
    </row>
    <row r="126" spans="6:11" ht="12.75">
      <c r="F126" s="374"/>
      <c r="G126" s="374"/>
      <c r="H126" s="374"/>
      <c r="I126" s="374"/>
      <c r="J126" s="374"/>
      <c r="K126" s="374"/>
    </row>
    <row r="127" spans="6:11" ht="12.75">
      <c r="F127" s="374"/>
      <c r="G127" s="374"/>
      <c r="H127" s="374"/>
      <c r="I127" s="374"/>
      <c r="J127" s="374"/>
      <c r="K127" s="374"/>
    </row>
    <row r="128" spans="6:11" ht="12.75">
      <c r="F128" s="374"/>
      <c r="G128" s="374"/>
      <c r="H128" s="374"/>
      <c r="I128" s="374"/>
      <c r="J128" s="374"/>
      <c r="K128" s="374"/>
    </row>
    <row r="129" spans="6:11" ht="12.75">
      <c r="F129" s="374"/>
      <c r="G129" s="374"/>
      <c r="H129" s="374"/>
      <c r="I129" s="374"/>
      <c r="J129" s="374"/>
      <c r="K129" s="374"/>
    </row>
    <row r="130" spans="6:11" ht="12.75">
      <c r="F130" s="374"/>
      <c r="G130" s="374"/>
      <c r="H130" s="374"/>
      <c r="I130" s="374"/>
      <c r="J130" s="374"/>
      <c r="K130" s="374"/>
    </row>
    <row r="131" spans="6:11" ht="12.75">
      <c r="F131" s="374"/>
      <c r="G131" s="374"/>
      <c r="H131" s="374"/>
      <c r="I131" s="374"/>
      <c r="J131" s="374"/>
      <c r="K131" s="374"/>
    </row>
    <row r="132" spans="6:11" ht="12.75">
      <c r="F132" s="374"/>
      <c r="G132" s="374"/>
      <c r="H132" s="374"/>
      <c r="I132" s="374"/>
      <c r="J132" s="374"/>
      <c r="K132" s="374"/>
    </row>
    <row r="133" spans="6:11" ht="12.75">
      <c r="F133" s="374"/>
      <c r="G133" s="374"/>
      <c r="H133" s="374"/>
      <c r="I133" s="374"/>
      <c r="J133" s="374"/>
      <c r="K133" s="374"/>
    </row>
    <row r="134" spans="6:11" ht="12.75">
      <c r="F134" s="374"/>
      <c r="G134" s="374"/>
      <c r="H134" s="374"/>
      <c r="I134" s="374"/>
      <c r="J134" s="374"/>
      <c r="K134" s="374"/>
    </row>
    <row r="135" spans="6:11" ht="12.75">
      <c r="F135" s="374"/>
      <c r="G135" s="374"/>
      <c r="H135" s="374"/>
      <c r="I135" s="374"/>
      <c r="J135" s="374"/>
      <c r="K135" s="374"/>
    </row>
    <row r="136" spans="6:11" ht="12.75">
      <c r="F136" s="374"/>
      <c r="G136" s="374"/>
      <c r="H136" s="374"/>
      <c r="I136" s="374"/>
      <c r="J136" s="374"/>
      <c r="K136" s="374"/>
    </row>
    <row r="137" spans="6:11" ht="12.75">
      <c r="F137" s="374"/>
      <c r="G137" s="374"/>
      <c r="H137" s="374"/>
      <c r="I137" s="374"/>
      <c r="J137" s="374"/>
      <c r="K137" s="374"/>
    </row>
    <row r="138" spans="6:11" ht="12.75">
      <c r="F138" s="374"/>
      <c r="G138" s="374"/>
      <c r="H138" s="374"/>
      <c r="I138" s="374"/>
      <c r="J138" s="374"/>
      <c r="K138" s="374"/>
    </row>
    <row r="139" spans="6:11" ht="12.75">
      <c r="F139" s="374"/>
      <c r="G139" s="374"/>
      <c r="H139" s="374"/>
      <c r="I139" s="374"/>
      <c r="J139" s="374"/>
      <c r="K139" s="374"/>
    </row>
    <row r="140" spans="6:11" ht="12.75">
      <c r="F140" s="374"/>
      <c r="G140" s="374"/>
      <c r="H140" s="374"/>
      <c r="I140" s="374"/>
      <c r="J140" s="374"/>
      <c r="K140" s="374"/>
    </row>
    <row r="141" spans="6:11" ht="12.75">
      <c r="F141" s="374"/>
      <c r="G141" s="374"/>
      <c r="H141" s="374"/>
      <c r="I141" s="374"/>
      <c r="J141" s="374"/>
      <c r="K141" s="374"/>
    </row>
    <row r="142" spans="6:11" ht="12.75">
      <c r="F142" s="374"/>
      <c r="G142" s="374"/>
      <c r="H142" s="374"/>
      <c r="I142" s="374"/>
      <c r="J142" s="374"/>
      <c r="K142" s="374"/>
    </row>
    <row r="143" spans="6:11" ht="12.75">
      <c r="F143" s="374"/>
      <c r="G143" s="374"/>
      <c r="H143" s="374"/>
      <c r="I143" s="374"/>
      <c r="J143" s="374"/>
      <c r="K143" s="374"/>
    </row>
    <row r="144" spans="6:11" ht="12.75">
      <c r="F144" s="374"/>
      <c r="G144" s="374"/>
      <c r="H144" s="374"/>
      <c r="I144" s="374"/>
      <c r="J144" s="374"/>
      <c r="K144" s="374"/>
    </row>
    <row r="145" spans="6:11" ht="12.75">
      <c r="F145" s="374"/>
      <c r="G145" s="374"/>
      <c r="H145" s="374"/>
      <c r="I145" s="374"/>
      <c r="J145" s="374"/>
      <c r="K145" s="374"/>
    </row>
    <row r="146" spans="6:11" ht="12.75">
      <c r="F146" s="374"/>
      <c r="G146" s="374"/>
      <c r="H146" s="374"/>
      <c r="I146" s="374"/>
      <c r="J146" s="374"/>
      <c r="K146" s="374"/>
    </row>
    <row r="147" spans="6:11" ht="12.75">
      <c r="F147" s="374"/>
      <c r="G147" s="374"/>
      <c r="H147" s="374"/>
      <c r="I147" s="374"/>
      <c r="J147" s="374"/>
      <c r="K147" s="374"/>
    </row>
    <row r="148" spans="6:11" ht="12.75">
      <c r="F148" s="374"/>
      <c r="G148" s="374"/>
      <c r="H148" s="374"/>
      <c r="I148" s="374"/>
      <c r="J148" s="374"/>
      <c r="K148" s="374"/>
    </row>
    <row r="149" spans="6:11" ht="12.75">
      <c r="F149" s="374"/>
      <c r="G149" s="374"/>
      <c r="H149" s="374"/>
      <c r="I149" s="374"/>
      <c r="J149" s="374"/>
      <c r="K149" s="374"/>
    </row>
    <row r="150" spans="6:11" ht="12.75">
      <c r="F150" s="374"/>
      <c r="G150" s="374"/>
      <c r="H150" s="374"/>
      <c r="I150" s="374"/>
      <c r="J150" s="374"/>
      <c r="K150" s="374"/>
    </row>
    <row r="151" spans="6:11" ht="12.75">
      <c r="F151" s="374"/>
      <c r="G151" s="374"/>
      <c r="H151" s="374"/>
      <c r="I151" s="374"/>
      <c r="J151" s="374"/>
      <c r="K151" s="374"/>
    </row>
    <row r="152" spans="6:11" ht="12.75">
      <c r="F152" s="374"/>
      <c r="G152" s="374"/>
      <c r="H152" s="374"/>
      <c r="I152" s="374"/>
      <c r="J152" s="374"/>
      <c r="K152" s="374"/>
    </row>
    <row r="153" spans="6:11" ht="12.75">
      <c r="F153" s="374"/>
      <c r="G153" s="374"/>
      <c r="H153" s="374"/>
      <c r="I153" s="374"/>
      <c r="J153" s="374"/>
      <c r="K153" s="374"/>
    </row>
    <row r="154" spans="6:11" ht="12.75">
      <c r="F154" s="374"/>
      <c r="G154" s="374"/>
      <c r="H154" s="374"/>
      <c r="I154" s="374"/>
      <c r="J154" s="374"/>
      <c r="K154" s="374"/>
    </row>
    <row r="155" spans="6:11" ht="12.75">
      <c r="F155" s="374"/>
      <c r="G155" s="374"/>
      <c r="H155" s="374"/>
      <c r="I155" s="374"/>
      <c r="J155" s="374"/>
      <c r="K155" s="374"/>
    </row>
    <row r="156" spans="6:11" ht="12.75">
      <c r="F156" s="374"/>
      <c r="G156" s="374"/>
      <c r="H156" s="374"/>
      <c r="I156" s="374"/>
      <c r="J156" s="374"/>
      <c r="K156" s="374"/>
    </row>
    <row r="157" spans="6:11" ht="12.75">
      <c r="F157" s="374"/>
      <c r="G157" s="374"/>
      <c r="H157" s="374"/>
      <c r="I157" s="374"/>
      <c r="J157" s="374"/>
      <c r="K157" s="374"/>
    </row>
    <row r="158" spans="6:11" ht="12.75">
      <c r="F158" s="374"/>
      <c r="G158" s="374"/>
      <c r="H158" s="374"/>
      <c r="I158" s="374"/>
      <c r="J158" s="374"/>
      <c r="K158" s="374"/>
    </row>
    <row r="159" spans="6:11" ht="12.75">
      <c r="F159" s="374"/>
      <c r="G159" s="374"/>
      <c r="H159" s="374"/>
      <c r="I159" s="374"/>
      <c r="J159" s="374"/>
      <c r="K159" s="374"/>
    </row>
    <row r="160" spans="6:11" ht="12.75">
      <c r="F160" s="374"/>
      <c r="G160" s="374"/>
      <c r="H160" s="374"/>
      <c r="I160" s="374"/>
      <c r="J160" s="374"/>
      <c r="K160" s="374"/>
    </row>
    <row r="161" spans="6:11" ht="12.75">
      <c r="F161" s="374"/>
      <c r="G161" s="374"/>
      <c r="H161" s="374"/>
      <c r="I161" s="374"/>
      <c r="J161" s="374"/>
      <c r="K161" s="374"/>
    </row>
    <row r="162" spans="6:11" ht="12.75">
      <c r="F162" s="374"/>
      <c r="G162" s="374"/>
      <c r="H162" s="374"/>
      <c r="I162" s="374"/>
      <c r="J162" s="374"/>
      <c r="K162" s="374"/>
    </row>
    <row r="163" spans="6:11" ht="12.75">
      <c r="F163" s="374"/>
      <c r="G163" s="374"/>
      <c r="H163" s="374"/>
      <c r="I163" s="374"/>
      <c r="J163" s="374"/>
      <c r="K163" s="374"/>
    </row>
    <row r="164" spans="6:11" ht="12.75">
      <c r="F164" s="374"/>
      <c r="G164" s="374"/>
      <c r="H164" s="374"/>
      <c r="I164" s="374"/>
      <c r="J164" s="374"/>
      <c r="K164" s="374"/>
    </row>
    <row r="165" spans="6:11" ht="12.75">
      <c r="F165" s="374"/>
      <c r="G165" s="374"/>
      <c r="H165" s="374"/>
      <c r="I165" s="374"/>
      <c r="J165" s="374"/>
      <c r="K165" s="374"/>
    </row>
    <row r="166" spans="6:11" ht="12.75">
      <c r="F166" s="374"/>
      <c r="G166" s="374"/>
      <c r="H166" s="374"/>
      <c r="I166" s="374"/>
      <c r="J166" s="374"/>
      <c r="K166" s="374"/>
    </row>
    <row r="167" spans="6:11" ht="12.75">
      <c r="F167" s="374"/>
      <c r="G167" s="374"/>
      <c r="H167" s="374"/>
      <c r="I167" s="374"/>
      <c r="J167" s="374"/>
      <c r="K167" s="374"/>
    </row>
    <row r="168" spans="6:11" ht="12.75">
      <c r="F168" s="374"/>
      <c r="G168" s="374"/>
      <c r="H168" s="374"/>
      <c r="I168" s="374"/>
      <c r="J168" s="374"/>
      <c r="K168" s="374"/>
    </row>
    <row r="169" spans="6:11" ht="12.75">
      <c r="F169" s="374"/>
      <c r="G169" s="374"/>
      <c r="H169" s="374"/>
      <c r="I169" s="374"/>
      <c r="J169" s="374"/>
      <c r="K169" s="374"/>
    </row>
    <row r="170" spans="6:11" ht="12.75">
      <c r="F170" s="374"/>
      <c r="G170" s="374"/>
      <c r="H170" s="374"/>
      <c r="I170" s="374"/>
      <c r="J170" s="374"/>
      <c r="K170" s="374"/>
    </row>
    <row r="171" spans="6:11" ht="12.75">
      <c r="F171" s="374"/>
      <c r="G171" s="374"/>
      <c r="H171" s="374"/>
      <c r="I171" s="374"/>
      <c r="J171" s="374"/>
      <c r="K171" s="374"/>
    </row>
    <row r="172" spans="6:11" ht="12.75">
      <c r="F172" s="374"/>
      <c r="G172" s="374"/>
      <c r="H172" s="374"/>
      <c r="I172" s="374"/>
      <c r="J172" s="374"/>
      <c r="K172" s="374"/>
    </row>
    <row r="173" spans="6:11" ht="12.75">
      <c r="F173" s="374"/>
      <c r="G173" s="374"/>
      <c r="H173" s="374"/>
      <c r="I173" s="374"/>
      <c r="J173" s="374"/>
      <c r="K173" s="374"/>
    </row>
    <row r="174" spans="6:11" ht="12.75">
      <c r="F174" s="374"/>
      <c r="G174" s="374"/>
      <c r="H174" s="374"/>
      <c r="I174" s="374"/>
      <c r="J174" s="374"/>
      <c r="K174" s="374"/>
    </row>
    <row r="175" spans="6:11" ht="12.75">
      <c r="F175" s="374"/>
      <c r="G175" s="374"/>
      <c r="H175" s="374"/>
      <c r="I175" s="374"/>
      <c r="J175" s="374"/>
      <c r="K175" s="374"/>
    </row>
    <row r="176" spans="6:11" ht="12.75">
      <c r="F176" s="374"/>
      <c r="G176" s="374"/>
      <c r="H176" s="374"/>
      <c r="I176" s="374"/>
      <c r="J176" s="374"/>
      <c r="K176" s="374"/>
    </row>
    <row r="177" spans="6:11" ht="12.75">
      <c r="F177" s="374"/>
      <c r="G177" s="374"/>
      <c r="H177" s="374"/>
      <c r="I177" s="374"/>
      <c r="J177" s="374"/>
      <c r="K177" s="374"/>
    </row>
    <row r="178" spans="6:11" ht="12.75">
      <c r="F178" s="374"/>
      <c r="G178" s="374"/>
      <c r="H178" s="374"/>
      <c r="I178" s="374"/>
      <c r="J178" s="374"/>
      <c r="K178" s="374"/>
    </row>
    <row r="179" spans="6:11" ht="12.75">
      <c r="F179" s="374"/>
      <c r="G179" s="374"/>
      <c r="H179" s="374"/>
      <c r="I179" s="374"/>
      <c r="J179" s="374"/>
      <c r="K179" s="374"/>
    </row>
    <row r="180" spans="6:11" ht="12.75">
      <c r="F180" s="374"/>
      <c r="G180" s="374"/>
      <c r="H180" s="374"/>
      <c r="I180" s="374"/>
      <c r="J180" s="374"/>
      <c r="K180" s="374"/>
    </row>
    <row r="181" spans="6:11" ht="12.75">
      <c r="F181" s="374"/>
      <c r="G181" s="374"/>
      <c r="H181" s="374"/>
      <c r="I181" s="374"/>
      <c r="J181" s="374"/>
      <c r="K181" s="374"/>
    </row>
    <row r="182" spans="6:11" ht="12.75">
      <c r="F182" s="374"/>
      <c r="G182" s="374"/>
      <c r="H182" s="374"/>
      <c r="I182" s="374"/>
      <c r="J182" s="374"/>
      <c r="K182" s="374"/>
    </row>
    <row r="183" spans="6:11" ht="12.75">
      <c r="F183" s="374"/>
      <c r="G183" s="374"/>
      <c r="H183" s="374"/>
      <c r="I183" s="374"/>
      <c r="J183" s="374"/>
      <c r="K183" s="374"/>
    </row>
    <row r="184" spans="6:11" ht="12.75">
      <c r="F184" s="374"/>
      <c r="G184" s="374"/>
      <c r="H184" s="374"/>
      <c r="I184" s="374"/>
      <c r="J184" s="374"/>
      <c r="K184" s="374"/>
    </row>
    <row r="185" spans="6:11" ht="12.75">
      <c r="F185" s="374"/>
      <c r="G185" s="374"/>
      <c r="H185" s="374"/>
      <c r="I185" s="374"/>
      <c r="J185" s="374"/>
      <c r="K185" s="374"/>
    </row>
    <row r="186" spans="6:11" ht="12.75">
      <c r="F186" s="374"/>
      <c r="G186" s="374"/>
      <c r="H186" s="374"/>
      <c r="I186" s="374"/>
      <c r="J186" s="374"/>
      <c r="K186" s="374"/>
    </row>
    <row r="187" spans="6:11" ht="12.75">
      <c r="F187" s="374"/>
      <c r="G187" s="374"/>
      <c r="H187" s="374"/>
      <c r="I187" s="374"/>
      <c r="J187" s="374"/>
      <c r="K187" s="374"/>
    </row>
    <row r="188" spans="6:11" ht="12.75">
      <c r="F188" s="374"/>
      <c r="G188" s="374"/>
      <c r="H188" s="374"/>
      <c r="I188" s="374"/>
      <c r="J188" s="374"/>
      <c r="K188" s="374"/>
    </row>
    <row r="189" spans="6:11" ht="12.75">
      <c r="F189" s="374"/>
      <c r="G189" s="374"/>
      <c r="H189" s="374"/>
      <c r="I189" s="374"/>
      <c r="J189" s="374"/>
      <c r="K189" s="374"/>
    </row>
    <row r="190" spans="6:11" ht="12.75">
      <c r="F190" s="374"/>
      <c r="G190" s="374"/>
      <c r="H190" s="374"/>
      <c r="I190" s="374"/>
      <c r="J190" s="374"/>
      <c r="K190" s="374"/>
    </row>
    <row r="191" spans="6:11" ht="12.75">
      <c r="F191" s="374"/>
      <c r="G191" s="374"/>
      <c r="H191" s="374"/>
      <c r="I191" s="374"/>
      <c r="J191" s="374"/>
      <c r="K191" s="374"/>
    </row>
    <row r="192" spans="6:11" ht="12.75">
      <c r="F192" s="374"/>
      <c r="G192" s="374"/>
      <c r="H192" s="374"/>
      <c r="I192" s="374"/>
      <c r="J192" s="374"/>
      <c r="K192" s="374"/>
    </row>
  </sheetData>
  <sheetProtection/>
  <mergeCells count="9">
    <mergeCell ref="A5:B5"/>
    <mergeCell ref="A75:B75"/>
    <mergeCell ref="A76:B76"/>
    <mergeCell ref="A2:B2"/>
    <mergeCell ref="A3:A4"/>
    <mergeCell ref="B3:B4"/>
    <mergeCell ref="C3:E3"/>
    <mergeCell ref="F3:H3"/>
    <mergeCell ref="I3:K3"/>
  </mergeCells>
  <printOptions/>
  <pageMargins left="0.25" right="0.29" top="0.94" bottom="0.33" header="0.26" footer="0.17"/>
  <pageSetup fitToHeight="1" fitToWidth="1" horizontalDpi="600" verticalDpi="600" orientation="portrait" paperSize="9" scale="40" r:id="rId1"/>
  <headerFooter alignWithMargins="0">
    <oddHeader>&amp;C&amp;"Arial CE,Félkövér"&amp;12a    3/2019. ( V.31.) számú zárszámadási rendelethez
Zalaszabar KÖzség Önkormányzat  mérlege             
2018.év december 31-én
&amp;R&amp;A
&amp;P.oldal</oddHeader>
  </headerFooter>
  <rowBreaks count="2" manualBreakCount="2">
    <brk id="37" max="13" man="1"/>
    <brk id="7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4"/>
  <sheetViews>
    <sheetView view="pageLayout" zoomScaleSheetLayoutView="75" workbookViewId="0" topLeftCell="B1">
      <selection activeCell="P46" sqref="P46"/>
    </sheetView>
  </sheetViews>
  <sheetFormatPr defaultColWidth="9.00390625" defaultRowHeight="12.75"/>
  <cols>
    <col min="1" max="2" width="6.125" style="343" customWidth="1"/>
    <col min="3" max="3" width="57.375" style="343" customWidth="1"/>
    <col min="4" max="4" width="14.625" style="343" customWidth="1"/>
    <col min="5" max="5" width="9.125" style="343" customWidth="1"/>
    <col min="6" max="6" width="13.125" style="343" customWidth="1"/>
    <col min="7" max="7" width="12.375" style="343" customWidth="1"/>
    <col min="8" max="8" width="8.625" style="343" customWidth="1"/>
    <col min="9" max="9" width="12.875" style="343" customWidth="1"/>
    <col min="10" max="10" width="14.25390625" style="343" customWidth="1"/>
    <col min="11" max="11" width="10.625" style="343" customWidth="1"/>
    <col min="12" max="12" width="13.625" style="343" customWidth="1"/>
    <col min="13" max="16384" width="9.125" style="343" customWidth="1"/>
  </cols>
  <sheetData>
    <row r="1" spans="1:9" ht="12.75" customHeight="1">
      <c r="A1" s="341"/>
      <c r="B1" s="341"/>
      <c r="C1" s="341"/>
      <c r="D1" s="341"/>
      <c r="E1" s="341"/>
      <c r="F1" s="341"/>
      <c r="G1" s="342"/>
      <c r="H1" s="342"/>
      <c r="I1" s="342"/>
    </row>
    <row r="2" spans="1:12" ht="16.5" thickBot="1">
      <c r="A2" s="769"/>
      <c r="B2" s="769"/>
      <c r="C2" s="769"/>
      <c r="D2" s="779"/>
      <c r="E2" s="779"/>
      <c r="F2" s="376"/>
      <c r="G2" s="345"/>
      <c r="H2" s="345"/>
      <c r="I2" s="345"/>
      <c r="J2" s="346"/>
      <c r="K2" s="346"/>
      <c r="L2" s="346" t="s">
        <v>477</v>
      </c>
    </row>
    <row r="3" spans="1:12" ht="30" customHeight="1">
      <c r="A3" s="780" t="s">
        <v>19</v>
      </c>
      <c r="B3" s="782"/>
      <c r="C3" s="784" t="s">
        <v>13</v>
      </c>
      <c r="D3" s="776" t="s">
        <v>754</v>
      </c>
      <c r="E3" s="777"/>
      <c r="F3" s="778"/>
      <c r="G3" s="776" t="s">
        <v>479</v>
      </c>
      <c r="H3" s="777"/>
      <c r="I3" s="778"/>
      <c r="J3" s="776" t="s">
        <v>11</v>
      </c>
      <c r="K3" s="777"/>
      <c r="L3" s="778"/>
    </row>
    <row r="4" spans="1:12" ht="27" customHeight="1" thickBot="1">
      <c r="A4" s="781"/>
      <c r="B4" s="783"/>
      <c r="C4" s="785"/>
      <c r="D4" s="377" t="s">
        <v>699</v>
      </c>
      <c r="E4" s="378" t="s">
        <v>700</v>
      </c>
      <c r="F4" s="379" t="s">
        <v>701</v>
      </c>
      <c r="G4" s="377" t="s">
        <v>699</v>
      </c>
      <c r="H4" s="378" t="s">
        <v>700</v>
      </c>
      <c r="I4" s="379" t="s">
        <v>701</v>
      </c>
      <c r="J4" s="377" t="s">
        <v>699</v>
      </c>
      <c r="K4" s="378" t="s">
        <v>700</v>
      </c>
      <c r="L4" s="379" t="s">
        <v>701</v>
      </c>
    </row>
    <row r="5" spans="1:12" ht="15">
      <c r="A5" s="380" t="s">
        <v>2</v>
      </c>
      <c r="B5" s="381" t="s">
        <v>129</v>
      </c>
      <c r="C5" s="382" t="s">
        <v>702</v>
      </c>
      <c r="D5" s="384">
        <v>13343643</v>
      </c>
      <c r="E5" s="383"/>
      <c r="F5" s="384">
        <v>15769285</v>
      </c>
      <c r="G5" s="386">
        <v>0</v>
      </c>
      <c r="H5" s="385"/>
      <c r="I5" s="386">
        <v>0</v>
      </c>
      <c r="J5" s="387">
        <f>SUM(D5+G5)</f>
        <v>13343643</v>
      </c>
      <c r="K5" s="388"/>
      <c r="L5" s="389">
        <f>SUM(F5+I5)</f>
        <v>15769285</v>
      </c>
    </row>
    <row r="6" spans="1:12" ht="25.5">
      <c r="A6" s="390" t="s">
        <v>4</v>
      </c>
      <c r="B6" s="362" t="s">
        <v>703</v>
      </c>
      <c r="C6" s="391" t="s">
        <v>704</v>
      </c>
      <c r="D6" s="393">
        <v>2705441</v>
      </c>
      <c r="E6" s="392"/>
      <c r="F6" s="393">
        <v>6156898</v>
      </c>
      <c r="G6" s="394">
        <v>16529294</v>
      </c>
      <c r="H6" s="392"/>
      <c r="I6" s="394">
        <v>13428183</v>
      </c>
      <c r="J6" s="395">
        <f aca="true" t="shared" si="0" ref="J6:J41">SUM(D6+G6)</f>
        <v>19234735</v>
      </c>
      <c r="K6" s="396"/>
      <c r="L6" s="397">
        <f aca="true" t="shared" si="1" ref="L6:L41">SUM(F6+I6)</f>
        <v>19585081</v>
      </c>
    </row>
    <row r="7" spans="1:12" ht="15">
      <c r="A7" s="390" t="s">
        <v>5</v>
      </c>
      <c r="B7" s="362" t="s">
        <v>705</v>
      </c>
      <c r="C7" s="391" t="s">
        <v>706</v>
      </c>
      <c r="D7" s="393">
        <v>468931</v>
      </c>
      <c r="E7" s="392"/>
      <c r="F7" s="393">
        <v>486081</v>
      </c>
      <c r="G7" s="394"/>
      <c r="H7" s="392"/>
      <c r="I7" s="394"/>
      <c r="J7" s="395">
        <f t="shared" si="0"/>
        <v>468931</v>
      </c>
      <c r="K7" s="396"/>
      <c r="L7" s="397">
        <f t="shared" si="1"/>
        <v>486081</v>
      </c>
    </row>
    <row r="8" spans="1:12" ht="15.75">
      <c r="A8" s="390" t="s">
        <v>6</v>
      </c>
      <c r="B8" s="398" t="s">
        <v>32</v>
      </c>
      <c r="C8" s="399" t="s">
        <v>707</v>
      </c>
      <c r="D8" s="401">
        <f>SUM(D5:D7)</f>
        <v>16518015</v>
      </c>
      <c r="E8" s="400"/>
      <c r="F8" s="401">
        <f>SUM(F5:F7)</f>
        <v>22412264</v>
      </c>
      <c r="G8" s="402">
        <f>SUM(G5:G7)</f>
        <v>16529294</v>
      </c>
      <c r="H8" s="400"/>
      <c r="I8" s="402">
        <f>SUM(I5:I7)</f>
        <v>13428183</v>
      </c>
      <c r="J8" s="403">
        <f t="shared" si="0"/>
        <v>33047309</v>
      </c>
      <c r="K8" s="404"/>
      <c r="L8" s="405">
        <f t="shared" si="1"/>
        <v>35840447</v>
      </c>
    </row>
    <row r="9" spans="1:12" ht="19.5" customHeight="1">
      <c r="A9" s="390" t="s">
        <v>8</v>
      </c>
      <c r="B9" s="362" t="s">
        <v>138</v>
      </c>
      <c r="C9" s="391" t="s">
        <v>708</v>
      </c>
      <c r="D9" s="393"/>
      <c r="E9" s="392"/>
      <c r="F9" s="393"/>
      <c r="G9" s="394"/>
      <c r="H9" s="392"/>
      <c r="I9" s="394"/>
      <c r="J9" s="395">
        <f t="shared" si="0"/>
        <v>0</v>
      </c>
      <c r="K9" s="396"/>
      <c r="L9" s="397">
        <f t="shared" si="1"/>
        <v>0</v>
      </c>
    </row>
    <row r="10" spans="1:12" ht="15">
      <c r="A10" s="390" t="s">
        <v>487</v>
      </c>
      <c r="B10" s="362" t="s">
        <v>146</v>
      </c>
      <c r="C10" s="391" t="s">
        <v>709</v>
      </c>
      <c r="D10" s="393"/>
      <c r="E10" s="392"/>
      <c r="F10" s="393"/>
      <c r="G10" s="394"/>
      <c r="H10" s="392"/>
      <c r="I10" s="394"/>
      <c r="J10" s="395">
        <f t="shared" si="0"/>
        <v>0</v>
      </c>
      <c r="K10" s="396"/>
      <c r="L10" s="397">
        <f t="shared" si="1"/>
        <v>0</v>
      </c>
    </row>
    <row r="11" spans="1:12" ht="15.75">
      <c r="A11" s="390" t="s">
        <v>15</v>
      </c>
      <c r="B11" s="398" t="s">
        <v>391</v>
      </c>
      <c r="C11" s="399" t="s">
        <v>710</v>
      </c>
      <c r="D11" s="393"/>
      <c r="E11" s="392"/>
      <c r="F11" s="393"/>
      <c r="G11" s="394"/>
      <c r="H11" s="392"/>
      <c r="I11" s="394"/>
      <c r="J11" s="395">
        <f t="shared" si="0"/>
        <v>0</v>
      </c>
      <c r="K11" s="396"/>
      <c r="L11" s="397">
        <f t="shared" si="1"/>
        <v>0</v>
      </c>
    </row>
    <row r="12" spans="1:12" ht="18" customHeight="1">
      <c r="A12" s="390" t="s">
        <v>20</v>
      </c>
      <c r="B12" s="362" t="s">
        <v>153</v>
      </c>
      <c r="C12" s="391" t="s">
        <v>711</v>
      </c>
      <c r="D12" s="393">
        <v>46163800</v>
      </c>
      <c r="E12" s="392"/>
      <c r="F12" s="393">
        <v>42914466</v>
      </c>
      <c r="G12" s="394">
        <v>0</v>
      </c>
      <c r="H12" s="392"/>
      <c r="I12" s="394">
        <v>0</v>
      </c>
      <c r="J12" s="395">
        <f t="shared" si="0"/>
        <v>46163800</v>
      </c>
      <c r="K12" s="396"/>
      <c r="L12" s="397">
        <f t="shared" si="1"/>
        <v>42914466</v>
      </c>
    </row>
    <row r="13" spans="1:12" ht="17.25" customHeight="1">
      <c r="A13" s="390" t="s">
        <v>491</v>
      </c>
      <c r="B13" s="362" t="s">
        <v>162</v>
      </c>
      <c r="C13" s="391" t="s">
        <v>712</v>
      </c>
      <c r="D13" s="393">
        <v>8700863</v>
      </c>
      <c r="E13" s="392"/>
      <c r="F13" s="393">
        <v>7528098</v>
      </c>
      <c r="G13" s="394">
        <v>22114218</v>
      </c>
      <c r="H13" s="392"/>
      <c r="I13" s="394">
        <v>24046831</v>
      </c>
      <c r="J13" s="395">
        <f t="shared" si="0"/>
        <v>30815081</v>
      </c>
      <c r="K13" s="396"/>
      <c r="L13" s="397">
        <f t="shared" si="1"/>
        <v>31574929</v>
      </c>
    </row>
    <row r="14" spans="1:12" ht="17.25" customHeight="1">
      <c r="A14" s="390" t="s">
        <v>16</v>
      </c>
      <c r="B14" s="362" t="s">
        <v>166</v>
      </c>
      <c r="C14" s="391" t="s">
        <v>713</v>
      </c>
      <c r="D14" s="393">
        <v>58106478</v>
      </c>
      <c r="E14" s="392"/>
      <c r="F14" s="393">
        <v>33521040</v>
      </c>
      <c r="G14" s="394">
        <v>0</v>
      </c>
      <c r="H14" s="392"/>
      <c r="I14" s="394">
        <v>0</v>
      </c>
      <c r="J14" s="395">
        <f t="shared" si="0"/>
        <v>58106478</v>
      </c>
      <c r="K14" s="396"/>
      <c r="L14" s="397">
        <f t="shared" si="1"/>
        <v>33521040</v>
      </c>
    </row>
    <row r="15" spans="1:12" ht="15">
      <c r="A15" s="390" t="s">
        <v>494</v>
      </c>
      <c r="B15" s="362" t="s">
        <v>343</v>
      </c>
      <c r="C15" s="391" t="s">
        <v>714</v>
      </c>
      <c r="D15" s="393">
        <v>2003115</v>
      </c>
      <c r="E15" s="392"/>
      <c r="F15" s="393">
        <v>62862553</v>
      </c>
      <c r="G15" s="394">
        <v>0</v>
      </c>
      <c r="H15" s="392"/>
      <c r="I15" s="394">
        <v>0</v>
      </c>
      <c r="J15" s="395">
        <f t="shared" si="0"/>
        <v>2003115</v>
      </c>
      <c r="K15" s="396"/>
      <c r="L15" s="397">
        <f t="shared" si="1"/>
        <v>62862553</v>
      </c>
    </row>
    <row r="16" spans="1:12" ht="15.75">
      <c r="A16" s="390" t="s">
        <v>496</v>
      </c>
      <c r="B16" s="398" t="s">
        <v>715</v>
      </c>
      <c r="C16" s="399" t="s">
        <v>716</v>
      </c>
      <c r="D16" s="401">
        <f>SUM(D12:D15)</f>
        <v>114974256</v>
      </c>
      <c r="E16" s="400"/>
      <c r="F16" s="401">
        <f>SUM(F12:F15)</f>
        <v>146826157</v>
      </c>
      <c r="G16" s="402">
        <f>SUM(G12:G15)</f>
        <v>22114218</v>
      </c>
      <c r="H16" s="400"/>
      <c r="I16" s="402">
        <f>SUM(I12:I15)</f>
        <v>24046831</v>
      </c>
      <c r="J16" s="403">
        <f t="shared" si="0"/>
        <v>137088474</v>
      </c>
      <c r="K16" s="404"/>
      <c r="L16" s="405">
        <f t="shared" si="1"/>
        <v>170872988</v>
      </c>
    </row>
    <row r="17" spans="1:12" ht="15">
      <c r="A17" s="390" t="s">
        <v>498</v>
      </c>
      <c r="B17" s="362" t="s">
        <v>343</v>
      </c>
      <c r="C17" s="391" t="s">
        <v>717</v>
      </c>
      <c r="D17" s="393">
        <v>1696432</v>
      </c>
      <c r="E17" s="392"/>
      <c r="F17" s="393">
        <v>3577509</v>
      </c>
      <c r="G17" s="394">
        <v>9792717</v>
      </c>
      <c r="H17" s="392"/>
      <c r="I17" s="394">
        <v>9069318</v>
      </c>
      <c r="J17" s="395">
        <f t="shared" si="0"/>
        <v>11489149</v>
      </c>
      <c r="K17" s="396"/>
      <c r="L17" s="397">
        <f t="shared" si="1"/>
        <v>12646827</v>
      </c>
    </row>
    <row r="18" spans="1:12" ht="15">
      <c r="A18" s="390" t="s">
        <v>500</v>
      </c>
      <c r="B18" s="362" t="s">
        <v>16</v>
      </c>
      <c r="C18" s="391" t="s">
        <v>718</v>
      </c>
      <c r="D18" s="393">
        <v>13473359</v>
      </c>
      <c r="E18" s="392"/>
      <c r="F18" s="393">
        <v>15286570</v>
      </c>
      <c r="G18" s="394">
        <v>2488497</v>
      </c>
      <c r="H18" s="392"/>
      <c r="I18" s="394">
        <v>1920991</v>
      </c>
      <c r="J18" s="395">
        <f t="shared" si="0"/>
        <v>15961856</v>
      </c>
      <c r="K18" s="396"/>
      <c r="L18" s="397">
        <f t="shared" si="1"/>
        <v>17207561</v>
      </c>
    </row>
    <row r="19" spans="1:12" ht="15">
      <c r="A19" s="390" t="s">
        <v>502</v>
      </c>
      <c r="B19" s="362" t="s">
        <v>494</v>
      </c>
      <c r="C19" s="391" t="s">
        <v>719</v>
      </c>
      <c r="D19" s="393"/>
      <c r="E19" s="392"/>
      <c r="F19" s="393"/>
      <c r="G19" s="394"/>
      <c r="H19" s="392"/>
      <c r="I19" s="394"/>
      <c r="J19" s="395">
        <f t="shared" si="0"/>
        <v>0</v>
      </c>
      <c r="K19" s="396"/>
      <c r="L19" s="397">
        <f t="shared" si="1"/>
        <v>0</v>
      </c>
    </row>
    <row r="20" spans="1:12" ht="15">
      <c r="A20" s="390" t="s">
        <v>504</v>
      </c>
      <c r="B20" s="362" t="s">
        <v>496</v>
      </c>
      <c r="C20" s="391" t="s">
        <v>720</v>
      </c>
      <c r="D20" s="393">
        <v>0</v>
      </c>
      <c r="E20" s="392"/>
      <c r="F20" s="393">
        <v>0</v>
      </c>
      <c r="G20" s="394">
        <v>0</v>
      </c>
      <c r="H20" s="392"/>
      <c r="I20" s="394">
        <v>0</v>
      </c>
      <c r="J20" s="395">
        <f t="shared" si="0"/>
        <v>0</v>
      </c>
      <c r="K20" s="396"/>
      <c r="L20" s="397">
        <f t="shared" si="1"/>
        <v>0</v>
      </c>
    </row>
    <row r="21" spans="1:12" ht="15.75">
      <c r="A21" s="390" t="s">
        <v>506</v>
      </c>
      <c r="B21" s="398" t="s">
        <v>721</v>
      </c>
      <c r="C21" s="399" t="s">
        <v>722</v>
      </c>
      <c r="D21" s="401">
        <f>SUM(D17:D20)</f>
        <v>15169791</v>
      </c>
      <c r="E21" s="400"/>
      <c r="F21" s="401">
        <f>SUM(F17:F20)</f>
        <v>18864079</v>
      </c>
      <c r="G21" s="402">
        <f>SUM(G17:G20)</f>
        <v>12281214</v>
      </c>
      <c r="H21" s="400"/>
      <c r="I21" s="402">
        <f>SUM(I17:I20)</f>
        <v>10990309</v>
      </c>
      <c r="J21" s="403">
        <f t="shared" si="0"/>
        <v>27451005</v>
      </c>
      <c r="K21" s="404"/>
      <c r="L21" s="405">
        <f t="shared" si="1"/>
        <v>29854388</v>
      </c>
    </row>
    <row r="22" spans="1:12" ht="15">
      <c r="A22" s="390" t="s">
        <v>508</v>
      </c>
      <c r="B22" s="362" t="s">
        <v>498</v>
      </c>
      <c r="C22" s="391" t="s">
        <v>723</v>
      </c>
      <c r="D22" s="393">
        <v>6346109</v>
      </c>
      <c r="E22" s="392"/>
      <c r="F22" s="393">
        <v>4407049</v>
      </c>
      <c r="G22" s="394">
        <v>19663449</v>
      </c>
      <c r="H22" s="392"/>
      <c r="I22" s="394">
        <v>19817301</v>
      </c>
      <c r="J22" s="395">
        <f t="shared" si="0"/>
        <v>26009558</v>
      </c>
      <c r="K22" s="396"/>
      <c r="L22" s="397">
        <f t="shared" si="1"/>
        <v>24224350</v>
      </c>
    </row>
    <row r="23" spans="1:12" ht="15">
      <c r="A23" s="390" t="s">
        <v>510</v>
      </c>
      <c r="B23" s="362" t="s">
        <v>500</v>
      </c>
      <c r="C23" s="391" t="s">
        <v>724</v>
      </c>
      <c r="D23" s="393">
        <v>2772829</v>
      </c>
      <c r="E23" s="392"/>
      <c r="F23" s="393">
        <v>3196606</v>
      </c>
      <c r="G23" s="394">
        <v>2988509</v>
      </c>
      <c r="H23" s="392"/>
      <c r="I23" s="394">
        <v>2566731</v>
      </c>
      <c r="J23" s="395">
        <f t="shared" si="0"/>
        <v>5761338</v>
      </c>
      <c r="K23" s="396"/>
      <c r="L23" s="397">
        <f t="shared" si="1"/>
        <v>5763337</v>
      </c>
    </row>
    <row r="24" spans="1:12" ht="15">
      <c r="A24" s="390" t="s">
        <v>512</v>
      </c>
      <c r="B24" s="362" t="s">
        <v>502</v>
      </c>
      <c r="C24" s="391" t="s">
        <v>725</v>
      </c>
      <c r="D24" s="393">
        <v>1551855</v>
      </c>
      <c r="E24" s="392"/>
      <c r="F24" s="393">
        <v>1469040</v>
      </c>
      <c r="G24" s="394">
        <v>5153217</v>
      </c>
      <c r="H24" s="392"/>
      <c r="I24" s="394">
        <v>4499164</v>
      </c>
      <c r="J24" s="395">
        <f t="shared" si="0"/>
        <v>6705072</v>
      </c>
      <c r="K24" s="396"/>
      <c r="L24" s="397">
        <f t="shared" si="1"/>
        <v>5968204</v>
      </c>
    </row>
    <row r="25" spans="1:12" ht="15.75">
      <c r="A25" s="390" t="s">
        <v>514</v>
      </c>
      <c r="B25" s="398" t="s">
        <v>726</v>
      </c>
      <c r="C25" s="399" t="s">
        <v>727</v>
      </c>
      <c r="D25" s="401">
        <f>SUM(D22:D24)</f>
        <v>10670793</v>
      </c>
      <c r="E25" s="400"/>
      <c r="F25" s="401">
        <f>SUM(F22:F24)</f>
        <v>9072695</v>
      </c>
      <c r="G25" s="402">
        <f>SUM(G22:G24)</f>
        <v>27805175</v>
      </c>
      <c r="H25" s="400"/>
      <c r="I25" s="402">
        <f>SUM(I22:I24)</f>
        <v>26883196</v>
      </c>
      <c r="J25" s="403">
        <f t="shared" si="0"/>
        <v>38475968</v>
      </c>
      <c r="K25" s="404"/>
      <c r="L25" s="405">
        <f t="shared" si="1"/>
        <v>35955891</v>
      </c>
    </row>
    <row r="26" spans="1:12" ht="15.75">
      <c r="A26" s="390" t="s">
        <v>516</v>
      </c>
      <c r="B26" s="398" t="s">
        <v>728</v>
      </c>
      <c r="C26" s="399" t="s">
        <v>729</v>
      </c>
      <c r="D26" s="401">
        <v>17619503</v>
      </c>
      <c r="E26" s="400"/>
      <c r="F26" s="401">
        <v>20703206</v>
      </c>
      <c r="G26" s="402">
        <v>1009912</v>
      </c>
      <c r="H26" s="400"/>
      <c r="I26" s="402">
        <v>457306</v>
      </c>
      <c r="J26" s="403">
        <f t="shared" si="0"/>
        <v>18629415</v>
      </c>
      <c r="K26" s="404"/>
      <c r="L26" s="405">
        <f t="shared" si="1"/>
        <v>21160512</v>
      </c>
    </row>
    <row r="27" spans="1:12" ht="15.75">
      <c r="A27" s="390" t="s">
        <v>518</v>
      </c>
      <c r="B27" s="398" t="s">
        <v>730</v>
      </c>
      <c r="C27" s="399" t="s">
        <v>731</v>
      </c>
      <c r="D27" s="401">
        <v>44319351</v>
      </c>
      <c r="E27" s="400"/>
      <c r="F27" s="401">
        <v>50923624</v>
      </c>
      <c r="G27" s="402">
        <v>269081</v>
      </c>
      <c r="H27" s="400"/>
      <c r="I27" s="402">
        <v>30890531</v>
      </c>
      <c r="J27" s="403">
        <f t="shared" si="0"/>
        <v>44588432</v>
      </c>
      <c r="K27" s="404"/>
      <c r="L27" s="405">
        <f t="shared" si="1"/>
        <v>81814155</v>
      </c>
    </row>
    <row r="28" spans="1:12" ht="15.75">
      <c r="A28" s="390" t="s">
        <v>520</v>
      </c>
      <c r="B28" s="398" t="s">
        <v>732</v>
      </c>
      <c r="C28" s="399" t="s">
        <v>733</v>
      </c>
      <c r="D28" s="401">
        <f>D8+D11+D16-D21-D25-D26-D27</f>
        <v>43712833</v>
      </c>
      <c r="E28" s="400"/>
      <c r="F28" s="401">
        <f>F8+F11+F16-F21-F25-F26-F27</f>
        <v>69674817</v>
      </c>
      <c r="G28" s="402">
        <f>G8+G11+G16-G21-G25-G26-G27</f>
        <v>-2721870</v>
      </c>
      <c r="H28" s="400"/>
      <c r="I28" s="402">
        <f>I8+I11+I16-I21-I25-I26-I27</f>
        <v>-31746328</v>
      </c>
      <c r="J28" s="403">
        <f t="shared" si="0"/>
        <v>40990963</v>
      </c>
      <c r="K28" s="404"/>
      <c r="L28" s="405">
        <f t="shared" si="1"/>
        <v>37928489</v>
      </c>
    </row>
    <row r="29" spans="1:12" ht="15">
      <c r="A29" s="390" t="s">
        <v>522</v>
      </c>
      <c r="B29" s="362" t="s">
        <v>504</v>
      </c>
      <c r="C29" s="391" t="s">
        <v>734</v>
      </c>
      <c r="D29" s="393">
        <v>0</v>
      </c>
      <c r="E29" s="392"/>
      <c r="F29" s="393">
        <v>0</v>
      </c>
      <c r="G29" s="394"/>
      <c r="H29" s="392"/>
      <c r="I29" s="394"/>
      <c r="J29" s="395">
        <f t="shared" si="0"/>
        <v>0</v>
      </c>
      <c r="K29" s="396"/>
      <c r="L29" s="397">
        <f t="shared" si="1"/>
        <v>0</v>
      </c>
    </row>
    <row r="30" spans="1:12" ht="25.5">
      <c r="A30" s="390" t="s">
        <v>524</v>
      </c>
      <c r="B30" s="362" t="s">
        <v>506</v>
      </c>
      <c r="C30" s="391" t="s">
        <v>735</v>
      </c>
      <c r="D30" s="393">
        <v>26457</v>
      </c>
      <c r="E30" s="392"/>
      <c r="F30" s="393">
        <v>5152</v>
      </c>
      <c r="G30" s="394">
        <v>2578</v>
      </c>
      <c r="H30" s="392"/>
      <c r="I30" s="394">
        <v>124</v>
      </c>
      <c r="J30" s="395">
        <f t="shared" si="0"/>
        <v>29035</v>
      </c>
      <c r="K30" s="396"/>
      <c r="L30" s="397">
        <f t="shared" si="1"/>
        <v>5276</v>
      </c>
    </row>
    <row r="31" spans="1:12" ht="15">
      <c r="A31" s="390" t="s">
        <v>526</v>
      </c>
      <c r="B31" s="362" t="s">
        <v>508</v>
      </c>
      <c r="C31" s="391" t="s">
        <v>736</v>
      </c>
      <c r="D31" s="393"/>
      <c r="E31" s="392"/>
      <c r="F31" s="393"/>
      <c r="G31" s="394"/>
      <c r="H31" s="392"/>
      <c r="I31" s="394"/>
      <c r="J31" s="395">
        <f t="shared" si="0"/>
        <v>0</v>
      </c>
      <c r="K31" s="396"/>
      <c r="L31" s="397">
        <f t="shared" si="1"/>
        <v>0</v>
      </c>
    </row>
    <row r="32" spans="1:12" ht="15">
      <c r="A32" s="390" t="s">
        <v>528</v>
      </c>
      <c r="B32" s="362" t="s">
        <v>737</v>
      </c>
      <c r="C32" s="391" t="s">
        <v>738</v>
      </c>
      <c r="D32" s="393"/>
      <c r="E32" s="392"/>
      <c r="F32" s="393"/>
      <c r="G32" s="394"/>
      <c r="H32" s="392"/>
      <c r="I32" s="394"/>
      <c r="J32" s="395">
        <f t="shared" si="0"/>
        <v>0</v>
      </c>
      <c r="K32" s="396"/>
      <c r="L32" s="397">
        <f t="shared" si="1"/>
        <v>0</v>
      </c>
    </row>
    <row r="33" spans="1:12" ht="15.75">
      <c r="A33" s="390" t="s">
        <v>530</v>
      </c>
      <c r="B33" s="398" t="s">
        <v>739</v>
      </c>
      <c r="C33" s="399" t="s">
        <v>740</v>
      </c>
      <c r="D33" s="401">
        <f>SUM(D29:D32)</f>
        <v>26457</v>
      </c>
      <c r="E33" s="400"/>
      <c r="F33" s="401">
        <f>SUM(F29:F32)</f>
        <v>5152</v>
      </c>
      <c r="G33" s="402">
        <f>SUM(G29:G32)</f>
        <v>2578</v>
      </c>
      <c r="H33" s="400"/>
      <c r="I33" s="402">
        <f>SUM(I29:I32)</f>
        <v>124</v>
      </c>
      <c r="J33" s="403">
        <f t="shared" si="0"/>
        <v>29035</v>
      </c>
      <c r="K33" s="404"/>
      <c r="L33" s="405">
        <f t="shared" si="1"/>
        <v>5276</v>
      </c>
    </row>
    <row r="34" spans="1:12" ht="15">
      <c r="A34" s="390" t="s">
        <v>532</v>
      </c>
      <c r="B34" s="362">
        <v>19</v>
      </c>
      <c r="C34" s="391" t="s">
        <v>741</v>
      </c>
      <c r="D34" s="393">
        <v>0</v>
      </c>
      <c r="E34" s="392"/>
      <c r="F34" s="393">
        <v>0</v>
      </c>
      <c r="G34" s="394"/>
      <c r="H34" s="392"/>
      <c r="I34" s="394"/>
      <c r="J34" s="395">
        <f t="shared" si="0"/>
        <v>0</v>
      </c>
      <c r="K34" s="396"/>
      <c r="L34" s="397">
        <f t="shared" si="1"/>
        <v>0</v>
      </c>
    </row>
    <row r="35" spans="1:12" ht="15">
      <c r="A35" s="390" t="s">
        <v>534</v>
      </c>
      <c r="B35" s="362" t="s">
        <v>512</v>
      </c>
      <c r="C35" s="391" t="s">
        <v>742</v>
      </c>
      <c r="D35" s="393"/>
      <c r="E35" s="392"/>
      <c r="F35" s="393"/>
      <c r="G35" s="394"/>
      <c r="H35" s="392"/>
      <c r="I35" s="394"/>
      <c r="J35" s="395">
        <f t="shared" si="0"/>
        <v>0</v>
      </c>
      <c r="K35" s="396"/>
      <c r="L35" s="397">
        <f t="shared" si="1"/>
        <v>0</v>
      </c>
    </row>
    <row r="36" spans="1:12" s="366" customFormat="1" ht="15">
      <c r="A36" s="390" t="s">
        <v>536</v>
      </c>
      <c r="B36" s="362" t="s">
        <v>514</v>
      </c>
      <c r="C36" s="391" t="s">
        <v>743</v>
      </c>
      <c r="D36" s="393"/>
      <c r="E36" s="392"/>
      <c r="F36" s="393"/>
      <c r="G36" s="394">
        <v>0</v>
      </c>
      <c r="H36" s="392"/>
      <c r="I36" s="394">
        <v>0</v>
      </c>
      <c r="J36" s="395">
        <f t="shared" si="0"/>
        <v>0</v>
      </c>
      <c r="K36" s="396"/>
      <c r="L36" s="397">
        <f t="shared" si="1"/>
        <v>0</v>
      </c>
    </row>
    <row r="37" spans="1:12" ht="15">
      <c r="A37" s="390" t="s">
        <v>538</v>
      </c>
      <c r="B37" s="362" t="s">
        <v>744</v>
      </c>
      <c r="C37" s="391" t="s">
        <v>745</v>
      </c>
      <c r="D37" s="393"/>
      <c r="E37" s="392"/>
      <c r="F37" s="393"/>
      <c r="G37" s="394"/>
      <c r="H37" s="392"/>
      <c r="I37" s="394"/>
      <c r="J37" s="395">
        <f t="shared" si="0"/>
        <v>0</v>
      </c>
      <c r="K37" s="396"/>
      <c r="L37" s="397">
        <f t="shared" si="1"/>
        <v>0</v>
      </c>
    </row>
    <row r="38" spans="1:12" ht="15.75">
      <c r="A38" s="390" t="s">
        <v>540</v>
      </c>
      <c r="B38" s="398" t="s">
        <v>746</v>
      </c>
      <c r="C38" s="399" t="s">
        <v>747</v>
      </c>
      <c r="D38" s="401">
        <f>D34+D35+D36</f>
        <v>0</v>
      </c>
      <c r="E38" s="400"/>
      <c r="F38" s="401">
        <f>F34+F35+F36</f>
        <v>0</v>
      </c>
      <c r="G38" s="402">
        <f>G34+G35+G36</f>
        <v>0</v>
      </c>
      <c r="H38" s="400"/>
      <c r="I38" s="402">
        <f>I34+I35+I36</f>
        <v>0</v>
      </c>
      <c r="J38" s="403">
        <f t="shared" si="0"/>
        <v>0</v>
      </c>
      <c r="K38" s="404"/>
      <c r="L38" s="405">
        <f t="shared" si="1"/>
        <v>0</v>
      </c>
    </row>
    <row r="39" spans="1:12" ht="15.75">
      <c r="A39" s="390" t="s">
        <v>542</v>
      </c>
      <c r="B39" s="398" t="s">
        <v>748</v>
      </c>
      <c r="C39" s="399" t="s">
        <v>749</v>
      </c>
      <c r="D39" s="401">
        <f>D33-D38</f>
        <v>26457</v>
      </c>
      <c r="E39" s="400"/>
      <c r="F39" s="401">
        <f>F33-F38</f>
        <v>5152</v>
      </c>
      <c r="G39" s="402">
        <f>G33-G38</f>
        <v>2578</v>
      </c>
      <c r="H39" s="400"/>
      <c r="I39" s="402">
        <f>I33-I38</f>
        <v>124</v>
      </c>
      <c r="J39" s="403">
        <f t="shared" si="0"/>
        <v>29035</v>
      </c>
      <c r="K39" s="404"/>
      <c r="L39" s="405">
        <f t="shared" si="1"/>
        <v>5276</v>
      </c>
    </row>
    <row r="40" spans="1:12" ht="16.5" thickBot="1">
      <c r="A40" s="390" t="s">
        <v>544</v>
      </c>
      <c r="B40" s="398" t="s">
        <v>750</v>
      </c>
      <c r="C40" s="399" t="s">
        <v>751</v>
      </c>
      <c r="D40" s="401">
        <f>D28+D39</f>
        <v>43739290</v>
      </c>
      <c r="E40" s="400"/>
      <c r="F40" s="401">
        <f>F28+F39</f>
        <v>69679969</v>
      </c>
      <c r="G40" s="402">
        <f>G28+G39</f>
        <v>-2719292</v>
      </c>
      <c r="H40" s="400"/>
      <c r="I40" s="402">
        <f>I28+I39</f>
        <v>-31746204</v>
      </c>
      <c r="J40" s="403">
        <f>SUM(D40+G40)</f>
        <v>41019998</v>
      </c>
      <c r="K40" s="404"/>
      <c r="L40" s="405">
        <f>SUM(F40+I40)</f>
        <v>37933765</v>
      </c>
    </row>
    <row r="41" spans="1:12" ht="15.75" customHeight="1" thickBot="1">
      <c r="A41" s="390" t="s">
        <v>554</v>
      </c>
      <c r="B41" s="406" t="s">
        <v>752</v>
      </c>
      <c r="C41" s="407" t="s">
        <v>753</v>
      </c>
      <c r="D41" s="409">
        <f>D40</f>
        <v>43739290</v>
      </c>
      <c r="E41" s="408"/>
      <c r="F41" s="409">
        <f>F40</f>
        <v>69679969</v>
      </c>
      <c r="G41" s="409">
        <f>G40</f>
        <v>-2719292</v>
      </c>
      <c r="H41" s="409">
        <f>H40</f>
        <v>0</v>
      </c>
      <c r="I41" s="409">
        <f>I40</f>
        <v>-31746204</v>
      </c>
      <c r="J41" s="410">
        <f t="shared" si="0"/>
        <v>41019998</v>
      </c>
      <c r="K41" s="408"/>
      <c r="L41" s="409">
        <f t="shared" si="1"/>
        <v>37933765</v>
      </c>
    </row>
    <row r="42" spans="4:12" ht="12.75">
      <c r="D42" s="374"/>
      <c r="E42" s="374"/>
      <c r="F42" s="374"/>
      <c r="G42" s="374"/>
      <c r="H42" s="374"/>
      <c r="I42" s="374"/>
      <c r="J42" s="374"/>
      <c r="K42" s="374"/>
      <c r="L42" s="374"/>
    </row>
    <row r="43" spans="1:12" ht="12.75">
      <c r="A43" s="375"/>
      <c r="B43" s="375"/>
      <c r="C43" s="375"/>
      <c r="D43" s="374"/>
      <c r="E43" s="374"/>
      <c r="F43" s="374"/>
      <c r="G43" s="374"/>
      <c r="H43" s="374"/>
      <c r="I43" s="374"/>
      <c r="J43" s="374"/>
      <c r="K43" s="374"/>
      <c r="L43" s="374"/>
    </row>
    <row r="44" spans="4:12" ht="12.75">
      <c r="D44" s="374"/>
      <c r="E44" s="374"/>
      <c r="F44" s="374"/>
      <c r="G44" s="374"/>
      <c r="H44" s="374"/>
      <c r="I44" s="374"/>
      <c r="J44" s="374"/>
      <c r="K44" s="374"/>
      <c r="L44" s="374"/>
    </row>
    <row r="45" spans="4:12" ht="12.75">
      <c r="D45" s="374"/>
      <c r="E45" s="374"/>
      <c r="F45" s="374"/>
      <c r="G45" s="374"/>
      <c r="H45" s="374"/>
      <c r="I45" s="374"/>
      <c r="J45" s="374"/>
      <c r="K45" s="374"/>
      <c r="L45" s="374"/>
    </row>
    <row r="46" spans="4:12" ht="12.75">
      <c r="D46" s="374"/>
      <c r="E46" s="374"/>
      <c r="F46" s="374"/>
      <c r="G46" s="374"/>
      <c r="H46" s="374"/>
      <c r="I46" s="374"/>
      <c r="J46" s="374"/>
      <c r="K46" s="374"/>
      <c r="L46" s="374"/>
    </row>
    <row r="47" spans="4:12" ht="12.75">
      <c r="D47" s="374"/>
      <c r="E47" s="374"/>
      <c r="F47" s="374"/>
      <c r="G47" s="374"/>
      <c r="H47" s="374"/>
      <c r="I47" s="374"/>
      <c r="J47" s="374"/>
      <c r="K47" s="374"/>
      <c r="L47" s="374"/>
    </row>
    <row r="48" spans="4:12" ht="12.75">
      <c r="D48" s="374"/>
      <c r="E48" s="374"/>
      <c r="F48" s="374"/>
      <c r="G48" s="374"/>
      <c r="H48" s="374"/>
      <c r="I48" s="374"/>
      <c r="J48" s="374"/>
      <c r="K48" s="374"/>
      <c r="L48" s="374"/>
    </row>
    <row r="49" spans="4:12" ht="12.75">
      <c r="D49" s="374"/>
      <c r="E49" s="374"/>
      <c r="F49" s="374"/>
      <c r="G49" s="374"/>
      <c r="H49" s="374"/>
      <c r="I49" s="374"/>
      <c r="J49" s="374"/>
      <c r="K49" s="374"/>
      <c r="L49" s="374"/>
    </row>
    <row r="50" spans="4:12" ht="12.75">
      <c r="D50" s="374"/>
      <c r="E50" s="374"/>
      <c r="F50" s="374"/>
      <c r="G50" s="374"/>
      <c r="H50" s="374"/>
      <c r="I50" s="374"/>
      <c r="J50" s="374"/>
      <c r="K50" s="374"/>
      <c r="L50" s="374"/>
    </row>
    <row r="51" spans="4:12" ht="12.75">
      <c r="D51" s="374"/>
      <c r="E51" s="374"/>
      <c r="F51" s="374"/>
      <c r="G51" s="374"/>
      <c r="H51" s="374"/>
      <c r="I51" s="374"/>
      <c r="J51" s="374"/>
      <c r="K51" s="374"/>
      <c r="L51" s="374"/>
    </row>
    <row r="52" spans="4:12" ht="12.75">
      <c r="D52" s="374"/>
      <c r="E52" s="374"/>
      <c r="F52" s="374"/>
      <c r="G52" s="374"/>
      <c r="H52" s="374"/>
      <c r="I52" s="374"/>
      <c r="J52" s="374"/>
      <c r="K52" s="374"/>
      <c r="L52" s="374"/>
    </row>
    <row r="53" spans="4:12" ht="12.75">
      <c r="D53" s="374"/>
      <c r="E53" s="374"/>
      <c r="F53" s="374"/>
      <c r="G53" s="374"/>
      <c r="H53" s="374"/>
      <c r="I53" s="374"/>
      <c r="J53" s="374"/>
      <c r="K53" s="374"/>
      <c r="L53" s="374"/>
    </row>
    <row r="54" spans="4:12" ht="12.75">
      <c r="D54" s="374"/>
      <c r="E54" s="374"/>
      <c r="F54" s="374"/>
      <c r="G54" s="374"/>
      <c r="H54" s="374"/>
      <c r="I54" s="374"/>
      <c r="J54" s="374"/>
      <c r="K54" s="374"/>
      <c r="L54" s="374"/>
    </row>
    <row r="55" spans="4:12" ht="12.75">
      <c r="D55" s="374"/>
      <c r="E55" s="374"/>
      <c r="F55" s="374"/>
      <c r="G55" s="374"/>
      <c r="H55" s="374"/>
      <c r="I55" s="374"/>
      <c r="J55" s="374"/>
      <c r="K55" s="374"/>
      <c r="L55" s="374"/>
    </row>
    <row r="56" spans="4:12" ht="12.75">
      <c r="D56" s="374"/>
      <c r="E56" s="374"/>
      <c r="F56" s="374"/>
      <c r="G56" s="374"/>
      <c r="H56" s="374"/>
      <c r="I56" s="374"/>
      <c r="J56" s="374"/>
      <c r="K56" s="374"/>
      <c r="L56" s="374"/>
    </row>
    <row r="57" spans="4:12" ht="12.75">
      <c r="D57" s="374"/>
      <c r="E57" s="374"/>
      <c r="F57" s="374"/>
      <c r="G57" s="374"/>
      <c r="H57" s="374"/>
      <c r="I57" s="374"/>
      <c r="J57" s="374"/>
      <c r="K57" s="374"/>
      <c r="L57" s="374"/>
    </row>
    <row r="58" spans="4:12" ht="12.75">
      <c r="D58" s="374"/>
      <c r="E58" s="374"/>
      <c r="F58" s="374"/>
      <c r="G58" s="374"/>
      <c r="H58" s="374"/>
      <c r="I58" s="374"/>
      <c r="J58" s="374"/>
      <c r="K58" s="374"/>
      <c r="L58" s="374"/>
    </row>
    <row r="59" spans="4:12" ht="12.75">
      <c r="D59" s="374"/>
      <c r="E59" s="374"/>
      <c r="F59" s="374"/>
      <c r="G59" s="374"/>
      <c r="H59" s="374"/>
      <c r="I59" s="374"/>
      <c r="J59" s="374"/>
      <c r="K59" s="374"/>
      <c r="L59" s="374"/>
    </row>
    <row r="60" spans="4:12" ht="12.75">
      <c r="D60" s="374"/>
      <c r="E60" s="374"/>
      <c r="F60" s="374"/>
      <c r="G60" s="374"/>
      <c r="H60" s="374"/>
      <c r="I60" s="374"/>
      <c r="J60" s="374"/>
      <c r="K60" s="374"/>
      <c r="L60" s="374"/>
    </row>
    <row r="61" spans="4:12" ht="12.75">
      <c r="D61" s="374"/>
      <c r="E61" s="374"/>
      <c r="F61" s="374"/>
      <c r="G61" s="374"/>
      <c r="H61" s="374"/>
      <c r="I61" s="374"/>
      <c r="J61" s="374"/>
      <c r="K61" s="374"/>
      <c r="L61" s="374"/>
    </row>
    <row r="62" spans="4:12" ht="12.75">
      <c r="D62" s="374"/>
      <c r="E62" s="374"/>
      <c r="F62" s="374"/>
      <c r="G62" s="374"/>
      <c r="H62" s="374"/>
      <c r="I62" s="374"/>
      <c r="J62" s="374"/>
      <c r="K62" s="374"/>
      <c r="L62" s="374"/>
    </row>
    <row r="63" spans="4:12" ht="12.75">
      <c r="D63" s="374"/>
      <c r="E63" s="374"/>
      <c r="F63" s="374"/>
      <c r="G63" s="374"/>
      <c r="H63" s="374"/>
      <c r="I63" s="374"/>
      <c r="J63" s="374"/>
      <c r="K63" s="374"/>
      <c r="L63" s="374"/>
    </row>
    <row r="64" spans="4:12" ht="12.75">
      <c r="D64" s="374"/>
      <c r="E64" s="374"/>
      <c r="F64" s="374"/>
      <c r="G64" s="374"/>
      <c r="H64" s="374"/>
      <c r="I64" s="374"/>
      <c r="J64" s="374"/>
      <c r="K64" s="374"/>
      <c r="L64" s="374"/>
    </row>
    <row r="65" spans="4:12" ht="12.75">
      <c r="D65" s="374"/>
      <c r="E65" s="374"/>
      <c r="F65" s="374"/>
      <c r="G65" s="374"/>
      <c r="H65" s="374"/>
      <c r="I65" s="374"/>
      <c r="J65" s="374"/>
      <c r="K65" s="374"/>
      <c r="L65" s="374"/>
    </row>
    <row r="66" spans="4:12" ht="12.75">
      <c r="D66" s="374"/>
      <c r="E66" s="374"/>
      <c r="F66" s="374"/>
      <c r="G66" s="374"/>
      <c r="H66" s="374"/>
      <c r="I66" s="374"/>
      <c r="J66" s="374"/>
      <c r="K66" s="374"/>
      <c r="L66" s="374"/>
    </row>
    <row r="67" spans="4:12" ht="12.75">
      <c r="D67" s="374"/>
      <c r="E67" s="374"/>
      <c r="F67" s="374"/>
      <c r="G67" s="374"/>
      <c r="H67" s="374"/>
      <c r="I67" s="374"/>
      <c r="J67" s="374"/>
      <c r="K67" s="374"/>
      <c r="L67" s="374"/>
    </row>
    <row r="68" spans="4:12" ht="12.75">
      <c r="D68" s="374"/>
      <c r="E68" s="374"/>
      <c r="F68" s="374"/>
      <c r="G68" s="374"/>
      <c r="H68" s="374"/>
      <c r="I68" s="374"/>
      <c r="J68" s="374"/>
      <c r="K68" s="374"/>
      <c r="L68" s="374"/>
    </row>
    <row r="69" spans="4:12" ht="12.75">
      <c r="D69" s="374"/>
      <c r="E69" s="374"/>
      <c r="F69" s="374"/>
      <c r="G69" s="374"/>
      <c r="H69" s="374"/>
      <c r="I69" s="374"/>
      <c r="J69" s="374"/>
      <c r="K69" s="374"/>
      <c r="L69" s="374"/>
    </row>
    <row r="70" spans="4:12" ht="12.75">
      <c r="D70" s="374"/>
      <c r="E70" s="374"/>
      <c r="F70" s="374"/>
      <c r="G70" s="374"/>
      <c r="H70" s="374"/>
      <c r="I70" s="374"/>
      <c r="J70" s="374"/>
      <c r="K70" s="374"/>
      <c r="L70" s="374"/>
    </row>
    <row r="71" spans="4:12" ht="12.75">
      <c r="D71" s="374"/>
      <c r="E71" s="374"/>
      <c r="F71" s="374"/>
      <c r="G71" s="374"/>
      <c r="H71" s="374"/>
      <c r="I71" s="374"/>
      <c r="J71" s="374"/>
      <c r="K71" s="374"/>
      <c r="L71" s="374"/>
    </row>
    <row r="72" spans="4:12" ht="12.75">
      <c r="D72" s="374"/>
      <c r="E72" s="374"/>
      <c r="F72" s="374"/>
      <c r="G72" s="374"/>
      <c r="H72" s="374"/>
      <c r="I72" s="374"/>
      <c r="J72" s="374"/>
      <c r="K72" s="374"/>
      <c r="L72" s="374"/>
    </row>
    <row r="73" spans="4:12" ht="12.75">
      <c r="D73" s="374"/>
      <c r="E73" s="374"/>
      <c r="F73" s="374"/>
      <c r="G73" s="374"/>
      <c r="H73" s="374"/>
      <c r="I73" s="374"/>
      <c r="J73" s="374"/>
      <c r="K73" s="374"/>
      <c r="L73" s="374"/>
    </row>
    <row r="74" spans="4:12" ht="12.75">
      <c r="D74" s="374"/>
      <c r="E74" s="374"/>
      <c r="F74" s="374"/>
      <c r="G74" s="374"/>
      <c r="H74" s="374"/>
      <c r="I74" s="374"/>
      <c r="J74" s="374"/>
      <c r="K74" s="374"/>
      <c r="L74" s="374"/>
    </row>
    <row r="75" spans="4:12" ht="12.75">
      <c r="D75" s="374"/>
      <c r="E75" s="374"/>
      <c r="F75" s="374"/>
      <c r="G75" s="374"/>
      <c r="H75" s="374"/>
      <c r="I75" s="374"/>
      <c r="J75" s="374"/>
      <c r="K75" s="374"/>
      <c r="L75" s="374"/>
    </row>
    <row r="76" spans="4:12" ht="12.75">
      <c r="D76" s="374"/>
      <c r="E76" s="374"/>
      <c r="F76" s="374"/>
      <c r="G76" s="374"/>
      <c r="H76" s="374"/>
      <c r="I76" s="374"/>
      <c r="J76" s="374"/>
      <c r="K76" s="374"/>
      <c r="L76" s="374"/>
    </row>
    <row r="77" spans="4:12" ht="12.75">
      <c r="D77" s="374"/>
      <c r="E77" s="374"/>
      <c r="F77" s="374"/>
      <c r="G77" s="374"/>
      <c r="H77" s="374"/>
      <c r="I77" s="374"/>
      <c r="J77" s="374"/>
      <c r="K77" s="374"/>
      <c r="L77" s="374"/>
    </row>
    <row r="78" spans="4:12" ht="12.75">
      <c r="D78" s="374"/>
      <c r="E78" s="374"/>
      <c r="F78" s="374"/>
      <c r="G78" s="374"/>
      <c r="H78" s="374"/>
      <c r="I78" s="374"/>
      <c r="J78" s="374"/>
      <c r="K78" s="374"/>
      <c r="L78" s="374"/>
    </row>
    <row r="79" spans="4:12" ht="12.75">
      <c r="D79" s="374"/>
      <c r="E79" s="374"/>
      <c r="F79" s="374"/>
      <c r="G79" s="374"/>
      <c r="H79" s="374"/>
      <c r="I79" s="374"/>
      <c r="J79" s="374"/>
      <c r="K79" s="374"/>
      <c r="L79" s="374"/>
    </row>
    <row r="80" spans="4:12" ht="12.75">
      <c r="D80" s="374"/>
      <c r="E80" s="374"/>
      <c r="F80" s="374"/>
      <c r="G80" s="374"/>
      <c r="H80" s="374"/>
      <c r="I80" s="374"/>
      <c r="J80" s="374"/>
      <c r="K80" s="374"/>
      <c r="L80" s="374"/>
    </row>
    <row r="81" spans="4:12" ht="12.75">
      <c r="D81" s="374"/>
      <c r="E81" s="374"/>
      <c r="F81" s="374"/>
      <c r="G81" s="374"/>
      <c r="H81" s="374"/>
      <c r="I81" s="374"/>
      <c r="J81" s="374"/>
      <c r="K81" s="374"/>
      <c r="L81" s="374"/>
    </row>
    <row r="82" spans="4:12" ht="12.75">
      <c r="D82" s="374"/>
      <c r="E82" s="374"/>
      <c r="F82" s="374"/>
      <c r="G82" s="374"/>
      <c r="H82" s="374"/>
      <c r="I82" s="374"/>
      <c r="J82" s="374"/>
      <c r="K82" s="374"/>
      <c r="L82" s="374"/>
    </row>
    <row r="83" spans="4:12" ht="12.75">
      <c r="D83" s="374"/>
      <c r="E83" s="374"/>
      <c r="F83" s="374"/>
      <c r="G83" s="374"/>
      <c r="H83" s="374"/>
      <c r="I83" s="374"/>
      <c r="J83" s="374"/>
      <c r="K83" s="374"/>
      <c r="L83" s="374"/>
    </row>
    <row r="84" spans="4:12" ht="12.75">
      <c r="D84" s="374"/>
      <c r="E84" s="374"/>
      <c r="F84" s="374"/>
      <c r="G84" s="374"/>
      <c r="H84" s="374"/>
      <c r="I84" s="374"/>
      <c r="J84" s="374"/>
      <c r="K84" s="374"/>
      <c r="L84" s="374"/>
    </row>
    <row r="85" spans="4:12" ht="12.75">
      <c r="D85" s="374"/>
      <c r="E85" s="374"/>
      <c r="F85" s="374"/>
      <c r="G85" s="374"/>
      <c r="H85" s="374"/>
      <c r="I85" s="374"/>
      <c r="J85" s="374"/>
      <c r="K85" s="374"/>
      <c r="L85" s="374"/>
    </row>
    <row r="86" spans="4:12" ht="12.75">
      <c r="D86" s="374"/>
      <c r="E86" s="374"/>
      <c r="F86" s="374"/>
      <c r="G86" s="374"/>
      <c r="H86" s="374"/>
      <c r="I86" s="374"/>
      <c r="J86" s="374"/>
      <c r="K86" s="374"/>
      <c r="L86" s="374"/>
    </row>
    <row r="87" spans="4:12" ht="12.75">
      <c r="D87" s="374"/>
      <c r="E87" s="374"/>
      <c r="F87" s="374"/>
      <c r="G87" s="374"/>
      <c r="H87" s="374"/>
      <c r="I87" s="374"/>
      <c r="J87" s="374"/>
      <c r="K87" s="374"/>
      <c r="L87" s="374"/>
    </row>
    <row r="88" spans="4:12" ht="12.75">
      <c r="D88" s="374"/>
      <c r="E88" s="374"/>
      <c r="F88" s="374"/>
      <c r="G88" s="374"/>
      <c r="H88" s="374"/>
      <c r="I88" s="374"/>
      <c r="J88" s="374"/>
      <c r="K88" s="374"/>
      <c r="L88" s="374"/>
    </row>
    <row r="89" spans="4:12" ht="12.75">
      <c r="D89" s="374"/>
      <c r="E89" s="374"/>
      <c r="F89" s="374"/>
      <c r="G89" s="374"/>
      <c r="H89" s="374"/>
      <c r="I89" s="374"/>
      <c r="J89" s="374"/>
      <c r="K89" s="374"/>
      <c r="L89" s="374"/>
    </row>
    <row r="90" spans="4:12" ht="12.75">
      <c r="D90" s="374"/>
      <c r="E90" s="374"/>
      <c r="F90" s="374"/>
      <c r="G90" s="374"/>
      <c r="H90" s="374"/>
      <c r="I90" s="374"/>
      <c r="J90" s="374"/>
      <c r="K90" s="374"/>
      <c r="L90" s="374"/>
    </row>
    <row r="91" spans="4:12" ht="12.75">
      <c r="D91" s="374"/>
      <c r="E91" s="374"/>
      <c r="F91" s="374"/>
      <c r="G91" s="374"/>
      <c r="H91" s="374"/>
      <c r="I91" s="374"/>
      <c r="J91" s="374"/>
      <c r="K91" s="374"/>
      <c r="L91" s="374"/>
    </row>
    <row r="92" spans="4:12" ht="12.75">
      <c r="D92" s="374"/>
      <c r="E92" s="374"/>
      <c r="F92" s="374"/>
      <c r="G92" s="374"/>
      <c r="H92" s="374"/>
      <c r="I92" s="374"/>
      <c r="J92" s="374"/>
      <c r="K92" s="374"/>
      <c r="L92" s="374"/>
    </row>
    <row r="93" spans="4:12" ht="12.75">
      <c r="D93" s="374"/>
      <c r="E93" s="374"/>
      <c r="F93" s="374"/>
      <c r="G93" s="374"/>
      <c r="H93" s="374"/>
      <c r="I93" s="374"/>
      <c r="J93" s="374"/>
      <c r="K93" s="374"/>
      <c r="L93" s="374"/>
    </row>
    <row r="94" spans="4:12" ht="12.75">
      <c r="D94" s="374"/>
      <c r="E94" s="374"/>
      <c r="F94" s="374"/>
      <c r="G94" s="374"/>
      <c r="H94" s="374"/>
      <c r="I94" s="374"/>
      <c r="J94" s="374"/>
      <c r="K94" s="374"/>
      <c r="L94" s="374"/>
    </row>
    <row r="95" spans="4:12" ht="12.75">
      <c r="D95" s="374"/>
      <c r="E95" s="374"/>
      <c r="F95" s="374"/>
      <c r="G95" s="374"/>
      <c r="H95" s="374"/>
      <c r="I95" s="374"/>
      <c r="J95" s="374"/>
      <c r="K95" s="374"/>
      <c r="L95" s="374"/>
    </row>
    <row r="96" spans="4:12" ht="12.75">
      <c r="D96" s="374"/>
      <c r="E96" s="374"/>
      <c r="F96" s="374"/>
      <c r="G96" s="374"/>
      <c r="H96" s="374"/>
      <c r="I96" s="374"/>
      <c r="J96" s="374"/>
      <c r="K96" s="374"/>
      <c r="L96" s="374"/>
    </row>
    <row r="97" spans="4:12" ht="12.75">
      <c r="D97" s="374"/>
      <c r="E97" s="374"/>
      <c r="F97" s="374"/>
      <c r="G97" s="374"/>
      <c r="H97" s="374"/>
      <c r="I97" s="374"/>
      <c r="J97" s="374"/>
      <c r="K97" s="374"/>
      <c r="L97" s="374"/>
    </row>
    <row r="98" spans="4:12" ht="12.75">
      <c r="D98" s="374"/>
      <c r="E98" s="374"/>
      <c r="F98" s="374"/>
      <c r="G98" s="374"/>
      <c r="H98" s="374"/>
      <c r="I98" s="374"/>
      <c r="J98" s="374"/>
      <c r="K98" s="374"/>
      <c r="L98" s="374"/>
    </row>
    <row r="99" spans="4:12" ht="12.75">
      <c r="D99" s="374"/>
      <c r="E99" s="374"/>
      <c r="F99" s="374"/>
      <c r="G99" s="374"/>
      <c r="H99" s="374"/>
      <c r="I99" s="374"/>
      <c r="J99" s="374"/>
      <c r="K99" s="374"/>
      <c r="L99" s="374"/>
    </row>
    <row r="100" spans="4:12" ht="12.75">
      <c r="D100" s="374"/>
      <c r="E100" s="374"/>
      <c r="F100" s="374"/>
      <c r="G100" s="374"/>
      <c r="H100" s="374"/>
      <c r="I100" s="374"/>
      <c r="J100" s="374"/>
      <c r="K100" s="374"/>
      <c r="L100" s="374"/>
    </row>
    <row r="101" spans="4:12" ht="12.75">
      <c r="D101" s="374"/>
      <c r="E101" s="374"/>
      <c r="F101" s="374"/>
      <c r="G101" s="374"/>
      <c r="H101" s="374"/>
      <c r="I101" s="374"/>
      <c r="J101" s="374"/>
      <c r="K101" s="374"/>
      <c r="L101" s="374"/>
    </row>
    <row r="102" spans="4:12" ht="12.75">
      <c r="D102" s="374"/>
      <c r="E102" s="374"/>
      <c r="F102" s="374"/>
      <c r="G102" s="374"/>
      <c r="H102" s="374"/>
      <c r="I102" s="374"/>
      <c r="J102" s="374"/>
      <c r="K102" s="374"/>
      <c r="L102" s="374"/>
    </row>
    <row r="103" spans="4:12" ht="12.75">
      <c r="D103" s="374"/>
      <c r="E103" s="374"/>
      <c r="F103" s="374"/>
      <c r="G103" s="374"/>
      <c r="H103" s="374"/>
      <c r="I103" s="374"/>
      <c r="J103" s="374"/>
      <c r="K103" s="374"/>
      <c r="L103" s="374"/>
    </row>
    <row r="104" spans="4:12" ht="12.75">
      <c r="D104" s="374"/>
      <c r="E104" s="374"/>
      <c r="F104" s="374"/>
      <c r="G104" s="374"/>
      <c r="H104" s="374"/>
      <c r="I104" s="374"/>
      <c r="J104" s="374"/>
      <c r="K104" s="374"/>
      <c r="L104" s="374"/>
    </row>
    <row r="105" spans="4:12" ht="12.75">
      <c r="D105" s="374"/>
      <c r="E105" s="374"/>
      <c r="F105" s="374"/>
      <c r="G105" s="374"/>
      <c r="H105" s="374"/>
      <c r="I105" s="374"/>
      <c r="J105" s="374"/>
      <c r="K105" s="374"/>
      <c r="L105" s="374"/>
    </row>
    <row r="106" spans="4:12" ht="12.75">
      <c r="D106" s="374"/>
      <c r="E106" s="374"/>
      <c r="F106" s="374"/>
      <c r="G106" s="374"/>
      <c r="H106" s="374"/>
      <c r="I106" s="374"/>
      <c r="J106" s="374"/>
      <c r="K106" s="374"/>
      <c r="L106" s="374"/>
    </row>
    <row r="107" spans="4:12" ht="12.75">
      <c r="D107" s="374"/>
      <c r="E107" s="374"/>
      <c r="F107" s="374"/>
      <c r="G107" s="374"/>
      <c r="H107" s="374"/>
      <c r="I107" s="374"/>
      <c r="J107" s="374"/>
      <c r="K107" s="374"/>
      <c r="L107" s="374"/>
    </row>
    <row r="108" spans="4:12" ht="12.75">
      <c r="D108" s="374"/>
      <c r="E108" s="374"/>
      <c r="F108" s="374"/>
      <c r="G108" s="374"/>
      <c r="H108" s="374"/>
      <c r="I108" s="374"/>
      <c r="J108" s="374"/>
      <c r="K108" s="374"/>
      <c r="L108" s="374"/>
    </row>
    <row r="109" spans="4:12" ht="12.75">
      <c r="D109" s="374"/>
      <c r="E109" s="374"/>
      <c r="F109" s="374"/>
      <c r="G109" s="374"/>
      <c r="H109" s="374"/>
      <c r="I109" s="374"/>
      <c r="J109" s="374"/>
      <c r="K109" s="374"/>
      <c r="L109" s="374"/>
    </row>
    <row r="110" spans="4:12" ht="12.75">
      <c r="D110" s="374"/>
      <c r="E110" s="374"/>
      <c r="F110" s="374"/>
      <c r="G110" s="374"/>
      <c r="H110" s="374"/>
      <c r="I110" s="374"/>
      <c r="J110" s="374"/>
      <c r="K110" s="374"/>
      <c r="L110" s="374"/>
    </row>
    <row r="111" spans="4:12" ht="12.75">
      <c r="D111" s="374"/>
      <c r="E111" s="374"/>
      <c r="F111" s="374"/>
      <c r="G111" s="374"/>
      <c r="H111" s="374"/>
      <c r="I111" s="374"/>
      <c r="J111" s="374"/>
      <c r="K111" s="374"/>
      <c r="L111" s="374"/>
    </row>
    <row r="112" spans="4:12" ht="12.75">
      <c r="D112" s="374"/>
      <c r="E112" s="374"/>
      <c r="F112" s="374"/>
      <c r="G112" s="374"/>
      <c r="H112" s="374"/>
      <c r="I112" s="374"/>
      <c r="J112" s="374"/>
      <c r="K112" s="374"/>
      <c r="L112" s="374"/>
    </row>
    <row r="113" spans="4:12" ht="12.75">
      <c r="D113" s="374"/>
      <c r="E113" s="374"/>
      <c r="F113" s="374"/>
      <c r="G113" s="374"/>
      <c r="H113" s="374"/>
      <c r="I113" s="374"/>
      <c r="J113" s="374"/>
      <c r="K113" s="374"/>
      <c r="L113" s="374"/>
    </row>
    <row r="114" spans="4:12" ht="12.75">
      <c r="D114" s="374"/>
      <c r="E114" s="374"/>
      <c r="F114" s="374"/>
      <c r="G114" s="374"/>
      <c r="H114" s="374"/>
      <c r="I114" s="374"/>
      <c r="J114" s="374"/>
      <c r="K114" s="374"/>
      <c r="L114" s="374"/>
    </row>
  </sheetData>
  <sheetProtection/>
  <mergeCells count="8">
    <mergeCell ref="G3:I3"/>
    <mergeCell ref="J3:L3"/>
    <mergeCell ref="A2:C2"/>
    <mergeCell ref="D2:E2"/>
    <mergeCell ref="A3:A4"/>
    <mergeCell ref="B3:B4"/>
    <mergeCell ref="C3:C4"/>
    <mergeCell ref="D3:F3"/>
  </mergeCells>
  <printOptions/>
  <pageMargins left="0.25" right="0.29" top="0.94" bottom="0.33" header="0.26" footer="0.17"/>
  <pageSetup horizontalDpi="600" verticalDpi="600" orientation="landscape" paperSize="9" scale="58" r:id="rId1"/>
  <headerFooter alignWithMargins="0">
    <oddHeader>&amp;C&amp;"Arial CE,Félkövér"&amp;12a   3 /2019. ( V.31. ) számú zárszámadási rendelethez
Zalaszabar Község Önkormányzat eredménykimutatása 2018. év december 31-én
&amp;R&amp;A
&amp;P.oldal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view="pageLayout" workbookViewId="0" topLeftCell="A1">
      <selection activeCell="P8" sqref="P8"/>
    </sheetView>
  </sheetViews>
  <sheetFormatPr defaultColWidth="9.00390625" defaultRowHeight="12.75"/>
  <cols>
    <col min="1" max="1" width="12.625" style="31" customWidth="1"/>
    <col min="2" max="2" width="8.125" style="31" customWidth="1"/>
    <col min="3" max="3" width="8.25390625" style="31" customWidth="1"/>
    <col min="4" max="4" width="48.375" style="31" customWidth="1"/>
    <col min="5" max="5" width="14.875" style="31" customWidth="1"/>
    <col min="6" max="6" width="13.375" style="31" customWidth="1"/>
    <col min="7" max="8" width="14.75390625" style="31" customWidth="1"/>
    <col min="9" max="9" width="11.00390625" style="31" customWidth="1"/>
    <col min="10" max="16384" width="9.125" style="31" customWidth="1"/>
  </cols>
  <sheetData>
    <row r="1" spans="7:8" ht="12.75">
      <c r="G1" s="40" t="s">
        <v>18</v>
      </c>
      <c r="H1" s="40"/>
    </row>
    <row r="2" spans="1:10" ht="16.5" customHeight="1">
      <c r="A2" s="786" t="s">
        <v>0</v>
      </c>
      <c r="B2" s="789" t="s">
        <v>51</v>
      </c>
      <c r="C2" s="790"/>
      <c r="D2" s="791"/>
      <c r="E2" s="802" t="s">
        <v>934</v>
      </c>
      <c r="F2" s="802" t="s">
        <v>897</v>
      </c>
      <c r="G2" s="802" t="s">
        <v>898</v>
      </c>
      <c r="H2" s="802" t="s">
        <v>914</v>
      </c>
      <c r="I2" s="43">
        <v>2019</v>
      </c>
      <c r="J2" s="43">
        <v>2020</v>
      </c>
    </row>
    <row r="3" spans="1:10" ht="17.25" customHeight="1">
      <c r="A3" s="787"/>
      <c r="B3" s="792"/>
      <c r="C3" s="793"/>
      <c r="D3" s="794"/>
      <c r="E3" s="803"/>
      <c r="F3" s="803"/>
      <c r="G3" s="803"/>
      <c r="H3" s="803"/>
      <c r="I3" s="805" t="s">
        <v>309</v>
      </c>
      <c r="J3" s="806"/>
    </row>
    <row r="4" spans="1:10" ht="12" customHeight="1">
      <c r="A4" s="788"/>
      <c r="B4" s="795"/>
      <c r="C4" s="796"/>
      <c r="D4" s="797"/>
      <c r="E4" s="804"/>
      <c r="F4" s="804"/>
      <c r="G4" s="804"/>
      <c r="H4" s="804"/>
      <c r="I4" s="807"/>
      <c r="J4" s="808"/>
    </row>
    <row r="5" spans="1:10" ht="34.5" customHeight="1">
      <c r="A5" s="42" t="s">
        <v>2</v>
      </c>
      <c r="B5" s="801" t="s">
        <v>408</v>
      </c>
      <c r="C5" s="801"/>
      <c r="D5" s="801"/>
      <c r="E5" s="88">
        <v>89389072</v>
      </c>
      <c r="F5" s="88">
        <f>83784177+127000</f>
        <v>83911177</v>
      </c>
      <c r="G5" s="88">
        <v>86581334</v>
      </c>
      <c r="H5" s="88">
        <v>78072377</v>
      </c>
      <c r="I5" s="88"/>
      <c r="J5" s="88"/>
    </row>
    <row r="6" spans="1:10" ht="34.5" customHeight="1">
      <c r="A6" s="42" t="s">
        <v>4</v>
      </c>
      <c r="B6" s="801" t="s">
        <v>93</v>
      </c>
      <c r="C6" s="801"/>
      <c r="D6" s="801"/>
      <c r="E6" s="88">
        <v>2100180</v>
      </c>
      <c r="F6" s="88">
        <v>2100180</v>
      </c>
      <c r="G6" s="88">
        <v>2100180</v>
      </c>
      <c r="H6" s="88">
        <v>1755743</v>
      </c>
      <c r="I6" s="88"/>
      <c r="J6" s="88"/>
    </row>
    <row r="7" spans="1:10" ht="34.5" customHeight="1">
      <c r="A7" s="42" t="s">
        <v>5</v>
      </c>
      <c r="B7" s="798" t="s">
        <v>409</v>
      </c>
      <c r="C7" s="799"/>
      <c r="D7" s="800"/>
      <c r="E7" s="88"/>
      <c r="F7" s="88"/>
      <c r="G7" s="88"/>
      <c r="H7" s="88"/>
      <c r="I7" s="88"/>
      <c r="J7" s="88"/>
    </row>
    <row r="8" spans="1:10" ht="34.5" customHeight="1">
      <c r="A8" s="42"/>
      <c r="B8" s="809" t="s">
        <v>81</v>
      </c>
      <c r="C8" s="810"/>
      <c r="D8" s="811"/>
      <c r="E8" s="115">
        <f aca="true" t="shared" si="0" ref="E8:J8">SUM(E5:E7)</f>
        <v>91489252</v>
      </c>
      <c r="F8" s="115">
        <f t="shared" si="0"/>
        <v>86011357</v>
      </c>
      <c r="G8" s="115">
        <f t="shared" si="0"/>
        <v>88681514</v>
      </c>
      <c r="H8" s="115">
        <f t="shared" si="0"/>
        <v>79828120</v>
      </c>
      <c r="I8" s="115">
        <f t="shared" si="0"/>
        <v>0</v>
      </c>
      <c r="J8" s="115">
        <f t="shared" si="0"/>
        <v>0</v>
      </c>
    </row>
  </sheetData>
  <sheetProtection/>
  <mergeCells count="11">
    <mergeCell ref="I3:J4"/>
    <mergeCell ref="H2:H4"/>
    <mergeCell ref="B6:D6"/>
    <mergeCell ref="B8:D8"/>
    <mergeCell ref="E2:E4"/>
    <mergeCell ref="A2:A4"/>
    <mergeCell ref="B2:D4"/>
    <mergeCell ref="B7:D7"/>
    <mergeCell ref="B5:D5"/>
    <mergeCell ref="F2:F4"/>
    <mergeCell ref="G2:G4"/>
  </mergeCells>
  <printOptions horizontalCentered="1"/>
  <pageMargins left="0.2362204724409449" right="0.2362204724409449" top="1.54" bottom="0.19" header="0.45" footer="0.19"/>
  <pageSetup fitToHeight="0" fitToWidth="1" horizontalDpi="600" verticalDpi="600" orientation="landscape" paperSize="9" scale="94" r:id="rId1"/>
  <headerFooter alignWithMargins="0">
    <oddHeader>&amp;C&amp;"Garamond,Félkövér"&amp;14 3/2019. (V.31.) számú költségvetési rendelethez
ZALASZABAR KÖZSÉG ÖNKORMÁNYZAT 
TÖBB ÉVES KIHATÁSSAL JÁRÓ ELŐIRÁNYZATA ÉVES BONTÁSBAN&amp;R&amp;A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49"/>
  <sheetViews>
    <sheetView view="pageLayout" zoomScaleSheetLayoutView="100" workbookViewId="0" topLeftCell="F1">
      <selection activeCell="J21" sqref="J21"/>
    </sheetView>
  </sheetViews>
  <sheetFormatPr defaultColWidth="9.00390625" defaultRowHeight="12.75"/>
  <cols>
    <col min="1" max="1" width="9.00390625" style="0" customWidth="1"/>
    <col min="2" max="2" width="72.00390625" style="0" customWidth="1"/>
    <col min="3" max="3" width="16.375" style="0" customWidth="1"/>
    <col min="4" max="4" width="16.125" style="0" customWidth="1"/>
    <col min="5" max="5" width="16.375" style="438" customWidth="1"/>
  </cols>
  <sheetData>
    <row r="1" spans="1:5" ht="13.5" customHeight="1">
      <c r="A1" s="812" t="s">
        <v>0</v>
      </c>
      <c r="B1" s="814" t="s">
        <v>1</v>
      </c>
      <c r="C1" s="816" t="s">
        <v>754</v>
      </c>
      <c r="D1" s="818" t="s">
        <v>479</v>
      </c>
      <c r="E1" s="820" t="s">
        <v>755</v>
      </c>
    </row>
    <row r="2" spans="1:5" ht="36.75" customHeight="1">
      <c r="A2" s="813"/>
      <c r="B2" s="815"/>
      <c r="C2" s="817"/>
      <c r="D2" s="819"/>
      <c r="E2" s="821"/>
    </row>
    <row r="3" spans="1:5" ht="24.75" customHeight="1">
      <c r="A3" s="411" t="s">
        <v>129</v>
      </c>
      <c r="B3" s="412" t="s">
        <v>756</v>
      </c>
      <c r="C3" s="413">
        <v>128796242</v>
      </c>
      <c r="D3" s="414">
        <v>17053893</v>
      </c>
      <c r="E3" s="415">
        <f>C3+D3</f>
        <v>145850135</v>
      </c>
    </row>
    <row r="4" spans="1:5" ht="24.75" customHeight="1">
      <c r="A4" s="411" t="s">
        <v>4</v>
      </c>
      <c r="B4" s="412" t="s">
        <v>757</v>
      </c>
      <c r="C4" s="413">
        <v>124140045</v>
      </c>
      <c r="D4" s="413">
        <v>42793869</v>
      </c>
      <c r="E4" s="415">
        <f aca="true" t="shared" si="0" ref="E4:E27">C4+D4</f>
        <v>166933914</v>
      </c>
    </row>
    <row r="5" spans="1:5" s="417" customFormat="1" ht="24.75" customHeight="1">
      <c r="A5" s="411" t="s">
        <v>5</v>
      </c>
      <c r="B5" s="103" t="s">
        <v>758</v>
      </c>
      <c r="C5" s="105">
        <f>C3-C4</f>
        <v>4656197</v>
      </c>
      <c r="D5" s="105">
        <f>D3-D4</f>
        <v>-25739976</v>
      </c>
      <c r="E5" s="416">
        <f t="shared" si="0"/>
        <v>-21083779</v>
      </c>
    </row>
    <row r="6" spans="1:5" s="417" customFormat="1" ht="24.75" customHeight="1">
      <c r="A6" s="411" t="s">
        <v>6</v>
      </c>
      <c r="B6" s="418" t="s">
        <v>759</v>
      </c>
      <c r="C6" s="8">
        <v>61960639</v>
      </c>
      <c r="D6" s="8">
        <v>26084567</v>
      </c>
      <c r="E6" s="415">
        <f t="shared" si="0"/>
        <v>88045206</v>
      </c>
    </row>
    <row r="7" spans="1:5" s="417" customFormat="1" ht="24.75" customHeight="1">
      <c r="A7" s="411" t="s">
        <v>8</v>
      </c>
      <c r="B7" s="419" t="s">
        <v>760</v>
      </c>
      <c r="C7" s="8">
        <v>25458081</v>
      </c>
      <c r="D7" s="8"/>
      <c r="E7" s="415">
        <f t="shared" si="0"/>
        <v>25458081</v>
      </c>
    </row>
    <row r="8" spans="1:5" s="417" customFormat="1" ht="24.75" customHeight="1">
      <c r="A8" s="411" t="s">
        <v>487</v>
      </c>
      <c r="B8" s="420" t="s">
        <v>761</v>
      </c>
      <c r="C8" s="32">
        <f>C6-C7</f>
        <v>36502558</v>
      </c>
      <c r="D8" s="32">
        <f>D6-D7</f>
        <v>26084567</v>
      </c>
      <c r="E8" s="416">
        <f t="shared" si="0"/>
        <v>62587125</v>
      </c>
    </row>
    <row r="9" spans="1:5" s="417" customFormat="1" ht="24.75" customHeight="1">
      <c r="A9" s="411" t="s">
        <v>15</v>
      </c>
      <c r="B9" s="421" t="s">
        <v>762</v>
      </c>
      <c r="C9" s="32">
        <f>C5+C8</f>
        <v>41158755</v>
      </c>
      <c r="D9" s="32">
        <f>D5+D8</f>
        <v>344591</v>
      </c>
      <c r="E9" s="416">
        <f t="shared" si="0"/>
        <v>41503346</v>
      </c>
    </row>
    <row r="10" spans="1:5" s="417" customFormat="1" ht="24.75" customHeight="1">
      <c r="A10" s="411" t="s">
        <v>20</v>
      </c>
      <c r="B10" s="418" t="s">
        <v>763</v>
      </c>
      <c r="C10" s="8"/>
      <c r="D10" s="422"/>
      <c r="E10" s="415">
        <f t="shared" si="0"/>
        <v>0</v>
      </c>
    </row>
    <row r="11" spans="1:5" s="417" customFormat="1" ht="30" customHeight="1">
      <c r="A11" s="411" t="s">
        <v>491</v>
      </c>
      <c r="B11" s="418" t="s">
        <v>764</v>
      </c>
      <c r="C11" s="8"/>
      <c r="D11" s="8"/>
      <c r="E11" s="415">
        <f t="shared" si="0"/>
        <v>0</v>
      </c>
    </row>
    <row r="12" spans="1:5" s="417" customFormat="1" ht="30" customHeight="1">
      <c r="A12" s="411" t="s">
        <v>16</v>
      </c>
      <c r="B12" s="423" t="s">
        <v>765</v>
      </c>
      <c r="C12" s="32">
        <f>C10-C11</f>
        <v>0</v>
      </c>
      <c r="D12" s="32">
        <f>D10-D11</f>
        <v>0</v>
      </c>
      <c r="E12" s="416">
        <f t="shared" si="0"/>
        <v>0</v>
      </c>
    </row>
    <row r="13" spans="1:5" s="417" customFormat="1" ht="24.75" customHeight="1">
      <c r="A13" s="411" t="s">
        <v>494</v>
      </c>
      <c r="B13" s="418" t="s">
        <v>766</v>
      </c>
      <c r="C13" s="59"/>
      <c r="D13" s="59"/>
      <c r="E13" s="415">
        <f t="shared" si="0"/>
        <v>0</v>
      </c>
    </row>
    <row r="14" spans="1:5" s="417" customFormat="1" ht="24.75" customHeight="1">
      <c r="A14" s="411" t="s">
        <v>496</v>
      </c>
      <c r="B14" s="418" t="s">
        <v>767</v>
      </c>
      <c r="C14" s="132"/>
      <c r="D14" s="132"/>
      <c r="E14" s="415">
        <f t="shared" si="0"/>
        <v>0</v>
      </c>
    </row>
    <row r="15" spans="1:5" s="417" customFormat="1" ht="30" customHeight="1">
      <c r="A15" s="411" t="s">
        <v>498</v>
      </c>
      <c r="B15" s="423" t="s">
        <v>768</v>
      </c>
      <c r="C15" s="32">
        <f>C13-C14</f>
        <v>0</v>
      </c>
      <c r="D15" s="32">
        <f>D13-D14</f>
        <v>0</v>
      </c>
      <c r="E15" s="416">
        <f t="shared" si="0"/>
        <v>0</v>
      </c>
    </row>
    <row r="16" spans="1:5" s="417" customFormat="1" ht="30" customHeight="1">
      <c r="A16" s="411" t="s">
        <v>500</v>
      </c>
      <c r="B16" s="424" t="s">
        <v>769</v>
      </c>
      <c r="C16" s="425"/>
      <c r="D16" s="8"/>
      <c r="E16" s="415">
        <f t="shared" si="0"/>
        <v>0</v>
      </c>
    </row>
    <row r="17" spans="1:5" s="417" customFormat="1" ht="24.75" customHeight="1">
      <c r="A17" s="411" t="s">
        <v>502</v>
      </c>
      <c r="B17" s="424" t="s">
        <v>770</v>
      </c>
      <c r="C17" s="105">
        <f>C9+C16</f>
        <v>41158755</v>
      </c>
      <c r="D17" s="32">
        <f>D9+D16</f>
        <v>344591</v>
      </c>
      <c r="E17" s="416">
        <f>C17+D17</f>
        <v>41503346</v>
      </c>
    </row>
    <row r="18" spans="1:5" s="417" customFormat="1" ht="30" customHeight="1">
      <c r="A18" s="411" t="s">
        <v>504</v>
      </c>
      <c r="B18" s="423" t="s">
        <v>771</v>
      </c>
      <c r="C18" s="105">
        <f>SUM(C20:C24)</f>
        <v>41158755</v>
      </c>
      <c r="D18" s="105">
        <f>SUM(D19:D22)</f>
        <v>344591</v>
      </c>
      <c r="E18" s="472">
        <f t="shared" si="0"/>
        <v>41503346</v>
      </c>
    </row>
    <row r="19" spans="1:5" s="417" customFormat="1" ht="30" customHeight="1">
      <c r="A19" s="411"/>
      <c r="B19" s="471" t="s">
        <v>1047</v>
      </c>
      <c r="C19" s="315"/>
      <c r="D19" s="8">
        <v>344591</v>
      </c>
      <c r="E19" s="472"/>
    </row>
    <row r="20" spans="1:5" s="417" customFormat="1" ht="30" customHeight="1">
      <c r="A20" s="411"/>
      <c r="B20" s="471" t="s">
        <v>1046</v>
      </c>
      <c r="C20" s="59">
        <v>11755691</v>
      </c>
      <c r="D20" s="8"/>
      <c r="E20" s="472"/>
    </row>
    <row r="21" spans="1:5" s="417" customFormat="1" ht="30" customHeight="1">
      <c r="A21" s="411"/>
      <c r="B21" s="471" t="s">
        <v>1030</v>
      </c>
      <c r="C21" s="315">
        <v>9923590</v>
      </c>
      <c r="D21" s="8"/>
      <c r="E21" s="415"/>
    </row>
    <row r="22" spans="1:5" s="417" customFormat="1" ht="30" customHeight="1">
      <c r="A22" s="411"/>
      <c r="B22" s="471" t="s">
        <v>1031</v>
      </c>
      <c r="C22" s="315">
        <v>17621650</v>
      </c>
      <c r="D22" s="8"/>
      <c r="E22" s="415"/>
    </row>
    <row r="23" spans="1:5" s="417" customFormat="1" ht="30" customHeight="1">
      <c r="A23" s="411"/>
      <c r="B23" s="426" t="s">
        <v>857</v>
      </c>
      <c r="C23" s="315">
        <v>310303</v>
      </c>
      <c r="D23" s="8"/>
      <c r="E23" s="415"/>
    </row>
    <row r="24" spans="1:5" s="417" customFormat="1" ht="30" customHeight="1">
      <c r="A24" s="411"/>
      <c r="B24" s="426" t="s">
        <v>858</v>
      </c>
      <c r="C24" s="315">
        <v>1547521</v>
      </c>
      <c r="D24" s="8"/>
      <c r="E24" s="415"/>
    </row>
    <row r="25" spans="1:5" s="417" customFormat="1" ht="24.75" customHeight="1">
      <c r="A25" s="411" t="s">
        <v>506</v>
      </c>
      <c r="B25" s="427" t="s">
        <v>772</v>
      </c>
      <c r="C25" s="8">
        <f>C9-C18</f>
        <v>0</v>
      </c>
      <c r="D25" s="8">
        <f>D9-D18</f>
        <v>0</v>
      </c>
      <c r="E25" s="415">
        <f t="shared" si="0"/>
        <v>0</v>
      </c>
    </row>
    <row r="26" spans="1:5" s="417" customFormat="1" ht="30" customHeight="1">
      <c r="A26" s="411" t="s">
        <v>508</v>
      </c>
      <c r="B26" s="428" t="s">
        <v>773</v>
      </c>
      <c r="C26" s="8"/>
      <c r="D26" s="8"/>
      <c r="E26" s="415">
        <f t="shared" si="0"/>
        <v>0</v>
      </c>
    </row>
    <row r="27" spans="1:5" s="417" customFormat="1" ht="30" customHeight="1">
      <c r="A27" s="411" t="s">
        <v>510</v>
      </c>
      <c r="B27" s="429" t="s">
        <v>774</v>
      </c>
      <c r="C27" s="418"/>
      <c r="D27" s="8"/>
      <c r="E27" s="415">
        <f t="shared" si="0"/>
        <v>0</v>
      </c>
    </row>
    <row r="28" spans="1:5" ht="24.75" customHeight="1">
      <c r="A28" s="430"/>
      <c r="B28" s="431"/>
      <c r="C28" s="431"/>
      <c r="D28" s="432"/>
      <c r="E28" s="433"/>
    </row>
    <row r="29" spans="1:5" ht="24.75" customHeight="1">
      <c r="A29" s="430"/>
      <c r="B29" s="434"/>
      <c r="C29" s="434"/>
      <c r="D29" s="435"/>
      <c r="E29" s="433"/>
    </row>
    <row r="30" spans="1:5" ht="13.5" customHeight="1">
      <c r="A30" s="430"/>
      <c r="B30" s="436"/>
      <c r="C30" s="436"/>
      <c r="D30" s="435"/>
      <c r="E30" s="433"/>
    </row>
    <row r="31" spans="1:5" ht="13.5" customHeight="1">
      <c r="A31" s="437"/>
      <c r="B31" s="436"/>
      <c r="C31" s="436"/>
      <c r="D31" s="435"/>
      <c r="E31" s="433"/>
    </row>
    <row r="32" spans="1:5" ht="13.5" customHeight="1">
      <c r="A32" s="430"/>
      <c r="B32" s="434"/>
      <c r="C32" s="434"/>
      <c r="D32" s="435"/>
      <c r="E32" s="433"/>
    </row>
    <row r="33" spans="1:5" ht="13.5" customHeight="1">
      <c r="A33" s="430"/>
      <c r="B33" s="434"/>
      <c r="C33" s="434"/>
      <c r="D33" s="435"/>
      <c r="E33" s="433"/>
    </row>
    <row r="34" spans="1:4" ht="13.5" customHeight="1">
      <c r="A34" s="430"/>
      <c r="B34" s="434"/>
      <c r="C34" s="434"/>
      <c r="D34" s="435"/>
    </row>
    <row r="35" spans="1:4" ht="13.5" customHeight="1">
      <c r="A35" s="430"/>
      <c r="B35" s="434"/>
      <c r="C35" s="434"/>
      <c r="D35" s="435"/>
    </row>
    <row r="36" spans="1:4" ht="13.5" customHeight="1">
      <c r="A36" s="430"/>
      <c r="B36" s="436"/>
      <c r="C36" s="436"/>
      <c r="D36" s="435"/>
    </row>
    <row r="37" spans="1:4" ht="13.5" customHeight="1">
      <c r="A37" s="430"/>
      <c r="B37" s="436"/>
      <c r="C37" s="436"/>
      <c r="D37" s="435"/>
    </row>
    <row r="38" spans="1:4" ht="13.5" customHeight="1">
      <c r="A38" s="430"/>
      <c r="B38" s="436"/>
      <c r="C38" s="436"/>
      <c r="D38" s="435"/>
    </row>
    <row r="39" spans="1:4" ht="13.5" customHeight="1">
      <c r="A39" s="430"/>
      <c r="B39" s="436"/>
      <c r="C39" s="436"/>
      <c r="D39" s="435"/>
    </row>
    <row r="40" spans="1:4" ht="13.5" customHeight="1">
      <c r="A40" s="430"/>
      <c r="B40" s="436"/>
      <c r="C40" s="436"/>
      <c r="D40" s="435"/>
    </row>
    <row r="41" spans="1:4" ht="13.5" customHeight="1">
      <c r="A41" s="430"/>
      <c r="B41" s="436"/>
      <c r="C41" s="436"/>
      <c r="D41" s="435"/>
    </row>
    <row r="42" spans="1:4" ht="13.5" customHeight="1">
      <c r="A42" s="430"/>
      <c r="B42" s="436"/>
      <c r="C42" s="436"/>
      <c r="D42" s="435"/>
    </row>
    <row r="43" spans="1:4" ht="13.5" customHeight="1">
      <c r="A43" s="430"/>
      <c r="B43" s="436"/>
      <c r="C43" s="436"/>
      <c r="D43" s="435"/>
    </row>
    <row r="44" spans="1:4" ht="13.5" customHeight="1">
      <c r="A44" s="430"/>
      <c r="B44" s="436"/>
      <c r="C44" s="436"/>
      <c r="D44" s="435"/>
    </row>
    <row r="45" spans="1:4" ht="13.5" customHeight="1">
      <c r="A45" s="430"/>
      <c r="B45" s="436"/>
      <c r="C45" s="436"/>
      <c r="D45" s="435"/>
    </row>
    <row r="46" spans="1:4" ht="13.5" customHeight="1">
      <c r="A46" s="430"/>
      <c r="B46" s="436"/>
      <c r="C46" s="436"/>
      <c r="D46" s="435"/>
    </row>
    <row r="47" spans="1:4" ht="13.5" customHeight="1">
      <c r="A47" s="430"/>
      <c r="B47" s="434"/>
      <c r="C47" s="434"/>
      <c r="D47" s="439"/>
    </row>
    <row r="48" spans="1:4" ht="13.5" customHeight="1">
      <c r="A48" s="1"/>
      <c r="B48" s="440"/>
      <c r="C48" s="440"/>
      <c r="D48" s="441"/>
    </row>
    <row r="49" spans="1:4" ht="13.5" customHeight="1">
      <c r="A49" s="1"/>
      <c r="B49" s="1"/>
      <c r="C49" s="1"/>
      <c r="D49" s="1"/>
    </row>
  </sheetData>
  <sheetProtection/>
  <mergeCells count="5">
    <mergeCell ref="A1:A2"/>
    <mergeCell ref="B1:B2"/>
    <mergeCell ref="C1:C2"/>
    <mergeCell ref="D1:D2"/>
    <mergeCell ref="E1:E2"/>
  </mergeCells>
  <printOptions horizontalCentered="1"/>
  <pageMargins left="0.35433070866141736" right="0.31496062992125984" top="1.3385826771653544" bottom="0.1968503937007874" header="0.3937007874015748" footer="0.15748031496062992"/>
  <pageSetup fitToHeight="1" fitToWidth="1" horizontalDpi="600" verticalDpi="600" orientation="portrait" paperSize="9" scale="76" r:id="rId1"/>
  <headerFooter alignWithMargins="0">
    <oddHeader>&amp;C&amp;"Garamond,Félkövér"&amp;12a    3/2019. ( V.31.) számú zárszámadási rendelethez
Zalaszabar Község Önkormányzatának maradvány elszámolása
 2018. évben
&amp;R&amp;A
&amp;P.oldal
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4"/>
  <sheetViews>
    <sheetView view="pageLayout" zoomScaleSheetLayoutView="100" workbookViewId="0" topLeftCell="A1">
      <selection activeCell="H18" sqref="H18"/>
    </sheetView>
  </sheetViews>
  <sheetFormatPr defaultColWidth="9.00390625" defaultRowHeight="12.75"/>
  <cols>
    <col min="1" max="1" width="9.00390625" style="0" customWidth="1"/>
    <col min="2" max="2" width="75.875" style="0" customWidth="1"/>
    <col min="3" max="3" width="15.75390625" style="0" customWidth="1"/>
    <col min="4" max="4" width="16.375" style="0" customWidth="1"/>
    <col min="5" max="5" width="12.875" style="438" customWidth="1"/>
    <col min="7" max="7" width="10.125" style="0" bestFit="1" customWidth="1"/>
  </cols>
  <sheetData>
    <row r="1" spans="1:5" ht="12.75" customHeight="1">
      <c r="A1" s="812" t="s">
        <v>0</v>
      </c>
      <c r="B1" s="814" t="s">
        <v>1</v>
      </c>
      <c r="C1" s="816" t="s">
        <v>785</v>
      </c>
      <c r="D1" s="818" t="s">
        <v>784</v>
      </c>
      <c r="E1" s="820" t="s">
        <v>860</v>
      </c>
    </row>
    <row r="2" spans="1:5" ht="42.75" customHeight="1">
      <c r="A2" s="813"/>
      <c r="B2" s="815"/>
      <c r="C2" s="817"/>
      <c r="D2" s="819"/>
      <c r="E2" s="821"/>
    </row>
    <row r="3" spans="1:5" ht="24.75" customHeight="1">
      <c r="A3" s="411" t="s">
        <v>17</v>
      </c>
      <c r="B3" s="454" t="s">
        <v>783</v>
      </c>
      <c r="C3" s="453">
        <v>41158755</v>
      </c>
      <c r="D3" s="453">
        <v>344591</v>
      </c>
      <c r="E3" s="416"/>
    </row>
    <row r="4" spans="1:5" ht="24.75" customHeight="1">
      <c r="A4" s="447" t="s">
        <v>391</v>
      </c>
      <c r="B4" s="132" t="s">
        <v>782</v>
      </c>
      <c r="C4" s="316"/>
      <c r="D4" s="316"/>
      <c r="E4" s="451"/>
    </row>
    <row r="5" spans="1:5" s="417" customFormat="1" ht="24.75" customHeight="1">
      <c r="A5" s="452" t="s">
        <v>2</v>
      </c>
      <c r="B5" s="103" t="s">
        <v>781</v>
      </c>
      <c r="C5" s="105"/>
      <c r="D5" s="105"/>
      <c r="E5" s="451"/>
    </row>
    <row r="6" spans="1:5" s="417" customFormat="1" ht="24.75" customHeight="1">
      <c r="A6" s="663"/>
      <c r="B6" s="419" t="s">
        <v>1036</v>
      </c>
      <c r="C6" s="8">
        <v>1547521</v>
      </c>
      <c r="D6" s="105"/>
      <c r="E6" s="451"/>
    </row>
    <row r="7" spans="1:5" s="417" customFormat="1" ht="24.75" customHeight="1">
      <c r="A7" s="663"/>
      <c r="B7" s="419" t="s">
        <v>1037</v>
      </c>
      <c r="C7" s="8">
        <v>310303</v>
      </c>
      <c r="D7" s="105"/>
      <c r="E7" s="451"/>
    </row>
    <row r="8" spans="1:5" s="417" customFormat="1" ht="24.75" customHeight="1">
      <c r="A8" s="448"/>
      <c r="B8" s="132" t="s">
        <v>780</v>
      </c>
      <c r="C8" s="32">
        <f>SUM(C6:C7)</f>
        <v>1857824</v>
      </c>
      <c r="D8" s="32">
        <f>SUM(D6:D7)</f>
        <v>0</v>
      </c>
      <c r="E8" s="32">
        <f>SUM(E5)</f>
        <v>0</v>
      </c>
    </row>
    <row r="9" spans="1:5" s="417" customFormat="1" ht="24.75" customHeight="1">
      <c r="A9" s="450" t="s">
        <v>4</v>
      </c>
      <c r="B9" s="449" t="s">
        <v>779</v>
      </c>
      <c r="C9" s="32"/>
      <c r="D9" s="32"/>
      <c r="E9" s="446">
        <f>SUM(C9:D9)</f>
        <v>0</v>
      </c>
    </row>
    <row r="10" spans="1:5" s="417" customFormat="1" ht="24.75" customHeight="1">
      <c r="A10" s="450"/>
      <c r="B10" s="471" t="s">
        <v>1048</v>
      </c>
      <c r="C10" s="8">
        <v>11755691</v>
      </c>
      <c r="D10" s="32"/>
      <c r="E10" s="446"/>
    </row>
    <row r="11" spans="1:5" s="417" customFormat="1" ht="24.75" customHeight="1">
      <c r="A11" s="450"/>
      <c r="B11" s="471" t="s">
        <v>1030</v>
      </c>
      <c r="C11" s="8">
        <v>9923590</v>
      </c>
      <c r="D11" s="32"/>
      <c r="E11" s="446"/>
    </row>
    <row r="12" spans="1:7" s="417" customFormat="1" ht="24.75" customHeight="1">
      <c r="A12" s="450"/>
      <c r="B12" s="471" t="s">
        <v>1031</v>
      </c>
      <c r="C12" s="8">
        <f>18041801-420151</f>
        <v>17621650</v>
      </c>
      <c r="D12" s="32"/>
      <c r="E12" s="446"/>
      <c r="G12" s="664"/>
    </row>
    <row r="13" spans="1:7" s="417" customFormat="1" ht="24.75" customHeight="1" hidden="1">
      <c r="A13" s="450"/>
      <c r="B13" s="471" t="s">
        <v>1032</v>
      </c>
      <c r="C13" s="8"/>
      <c r="D13" s="32"/>
      <c r="E13" s="446"/>
      <c r="G13" s="664"/>
    </row>
    <row r="14" spans="1:5" s="417" customFormat="1" ht="24.75" customHeight="1" hidden="1">
      <c r="A14" s="450"/>
      <c r="B14" s="471" t="s">
        <v>1033</v>
      </c>
      <c r="C14" s="8"/>
      <c r="D14" s="32"/>
      <c r="E14" s="446"/>
    </row>
    <row r="15" spans="1:5" s="417" customFormat="1" ht="24.75" customHeight="1" hidden="1">
      <c r="A15" s="450"/>
      <c r="B15" s="471" t="s">
        <v>1034</v>
      </c>
      <c r="C15" s="8"/>
      <c r="D15" s="32"/>
      <c r="E15" s="446"/>
    </row>
    <row r="16" spans="1:5" s="417" customFormat="1" ht="24.75" customHeight="1" hidden="1">
      <c r="A16" s="450"/>
      <c r="B16" s="471" t="s">
        <v>1035</v>
      </c>
      <c r="C16" s="8"/>
      <c r="D16" s="32"/>
      <c r="E16" s="446"/>
    </row>
    <row r="17" spans="1:5" s="417" customFormat="1" ht="24.75" customHeight="1">
      <c r="A17" s="450"/>
      <c r="B17" s="471" t="s">
        <v>1049</v>
      </c>
      <c r="C17" s="8"/>
      <c r="D17" s="8">
        <v>344591</v>
      </c>
      <c r="E17" s="446"/>
    </row>
    <row r="18" spans="1:5" s="417" customFormat="1" ht="25.5" customHeight="1">
      <c r="A18" s="448"/>
      <c r="B18" s="132" t="s">
        <v>778</v>
      </c>
      <c r="C18" s="32">
        <f>SUM(C10:C17)</f>
        <v>39300931</v>
      </c>
      <c r="D18" s="32">
        <f>SUM(D10:D17)</f>
        <v>344591</v>
      </c>
      <c r="E18" s="442">
        <f>SUM(C18:D18)</f>
        <v>39645522</v>
      </c>
    </row>
    <row r="19" spans="1:5" s="417" customFormat="1" ht="25.5" customHeight="1">
      <c r="A19" s="447" t="s">
        <v>391</v>
      </c>
      <c r="B19" s="132" t="s">
        <v>777</v>
      </c>
      <c r="C19" s="105">
        <f>C8+C18</f>
        <v>41158755</v>
      </c>
      <c r="D19" s="105">
        <f>D8+D18</f>
        <v>344591</v>
      </c>
      <c r="E19" s="442">
        <f>SUM(C19:D19)</f>
        <v>41503346</v>
      </c>
    </row>
    <row r="20" spans="1:5" s="417" customFormat="1" ht="25.5" customHeight="1">
      <c r="A20" s="110" t="s">
        <v>715</v>
      </c>
      <c r="B20" s="132" t="s">
        <v>776</v>
      </c>
      <c r="C20" s="105">
        <f>C3-C19</f>
        <v>0</v>
      </c>
      <c r="D20" s="105">
        <f>D3-D19</f>
        <v>0</v>
      </c>
      <c r="E20" s="442">
        <f>SUM(C20:D20)</f>
        <v>0</v>
      </c>
    </row>
    <row r="21" spans="1:5" s="417" customFormat="1" ht="25.5" customHeight="1">
      <c r="A21" s="110"/>
      <c r="B21" s="424" t="s">
        <v>859</v>
      </c>
      <c r="C21" s="32"/>
      <c r="D21" s="32"/>
      <c r="E21" s="442"/>
    </row>
    <row r="22" spans="1:5" s="417" customFormat="1" ht="24.75" customHeight="1">
      <c r="A22" s="445"/>
      <c r="B22" s="444" t="s">
        <v>775</v>
      </c>
      <c r="C22" s="443">
        <f>C19+C20</f>
        <v>41158755</v>
      </c>
      <c r="D22" s="443">
        <f>D19+D20</f>
        <v>344591</v>
      </c>
      <c r="E22" s="442">
        <f>SUM(C22:D22)</f>
        <v>41503346</v>
      </c>
    </row>
    <row r="23" spans="1:7" s="417" customFormat="1" ht="24.75" customHeight="1">
      <c r="A23" s="430"/>
      <c r="B23" s="431"/>
      <c r="C23" s="431"/>
      <c r="D23" s="432"/>
      <c r="E23" s="433"/>
      <c r="G23" s="664"/>
    </row>
    <row r="24" spans="1:5" s="417" customFormat="1" ht="19.5" customHeight="1">
      <c r="A24" s="430"/>
      <c r="B24" s="434"/>
      <c r="C24" s="434"/>
      <c r="D24" s="435"/>
      <c r="E24" s="433"/>
    </row>
    <row r="25" spans="1:5" s="417" customFormat="1" ht="34.5" customHeight="1">
      <c r="A25" s="430"/>
      <c r="B25" s="436"/>
      <c r="C25" s="436"/>
      <c r="D25" s="435"/>
      <c r="E25" s="433"/>
    </row>
    <row r="26" spans="1:5" s="417" customFormat="1" ht="15" customHeight="1">
      <c r="A26" s="437"/>
      <c r="B26" s="436"/>
      <c r="C26" s="436"/>
      <c r="D26" s="435"/>
      <c r="E26" s="433"/>
    </row>
    <row r="27" spans="1:5" s="417" customFormat="1" ht="15" customHeight="1">
      <c r="A27" s="430"/>
      <c r="B27" s="434"/>
      <c r="C27" s="434"/>
      <c r="D27" s="435"/>
      <c r="E27" s="433"/>
    </row>
    <row r="28" spans="1:5" s="417" customFormat="1" ht="15" customHeight="1">
      <c r="A28" s="430"/>
      <c r="B28" s="434"/>
      <c r="C28" s="434"/>
      <c r="D28" s="435"/>
      <c r="E28" s="433"/>
    </row>
    <row r="29" spans="1:5" s="417" customFormat="1" ht="15" customHeight="1">
      <c r="A29" s="430"/>
      <c r="B29" s="434"/>
      <c r="C29" s="434"/>
      <c r="D29" s="435"/>
      <c r="E29" s="438"/>
    </row>
    <row r="30" spans="1:4" ht="24.75" customHeight="1">
      <c r="A30" s="430"/>
      <c r="B30" s="434"/>
      <c r="C30" s="434"/>
      <c r="D30" s="435"/>
    </row>
    <row r="31" spans="1:4" ht="24.75" customHeight="1">
      <c r="A31" s="430"/>
      <c r="B31" s="436"/>
      <c r="C31" s="436"/>
      <c r="D31" s="435"/>
    </row>
    <row r="32" spans="1:4" ht="13.5" customHeight="1">
      <c r="A32" s="430"/>
      <c r="B32" s="436"/>
      <c r="C32" s="436"/>
      <c r="D32" s="435"/>
    </row>
    <row r="33" spans="1:4" ht="13.5" customHeight="1">
      <c r="A33" s="430"/>
      <c r="B33" s="436"/>
      <c r="C33" s="436"/>
      <c r="D33" s="435"/>
    </row>
    <row r="34" spans="1:4" ht="13.5" customHeight="1">
      <c r="A34" s="430"/>
      <c r="B34" s="436"/>
      <c r="C34" s="436"/>
      <c r="D34" s="435"/>
    </row>
    <row r="35" spans="1:4" ht="13.5" customHeight="1">
      <c r="A35" s="430"/>
      <c r="B35" s="436"/>
      <c r="C35" s="436"/>
      <c r="D35" s="435"/>
    </row>
    <row r="36" spans="1:4" ht="13.5" customHeight="1">
      <c r="A36" s="430"/>
      <c r="B36" s="436"/>
      <c r="C36" s="436"/>
      <c r="D36" s="435"/>
    </row>
    <row r="37" spans="1:4" ht="13.5" customHeight="1">
      <c r="A37" s="430"/>
      <c r="B37" s="436"/>
      <c r="C37" s="436"/>
      <c r="D37" s="435"/>
    </row>
    <row r="38" spans="1:4" ht="13.5" customHeight="1">
      <c r="A38" s="430"/>
      <c r="B38" s="436"/>
      <c r="C38" s="436"/>
      <c r="D38" s="435"/>
    </row>
    <row r="39" spans="1:4" ht="13.5" customHeight="1">
      <c r="A39" s="430"/>
      <c r="B39" s="436"/>
      <c r="C39" s="436"/>
      <c r="D39" s="435"/>
    </row>
    <row r="40" spans="1:4" ht="13.5" customHeight="1">
      <c r="A40" s="430"/>
      <c r="B40" s="436"/>
      <c r="C40" s="436"/>
      <c r="D40" s="435"/>
    </row>
    <row r="41" spans="1:4" ht="13.5" customHeight="1">
      <c r="A41" s="430"/>
      <c r="B41" s="436"/>
      <c r="C41" s="436"/>
      <c r="D41" s="435"/>
    </row>
    <row r="42" spans="1:4" ht="13.5" customHeight="1">
      <c r="A42" s="430"/>
      <c r="B42" s="434"/>
      <c r="C42" s="434"/>
      <c r="D42" s="439"/>
    </row>
    <row r="43" spans="1:4" ht="13.5" customHeight="1">
      <c r="A43" s="1"/>
      <c r="B43" s="440"/>
      <c r="C43" s="440"/>
      <c r="D43" s="441"/>
    </row>
    <row r="44" spans="1:4" ht="13.5" customHeight="1">
      <c r="A44" s="1"/>
      <c r="B44" s="1"/>
      <c r="C44" s="1"/>
      <c r="D44" s="1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5">
    <mergeCell ref="E1:E2"/>
    <mergeCell ref="A1:A2"/>
    <mergeCell ref="B1:B2"/>
    <mergeCell ref="C1:C2"/>
    <mergeCell ref="D1:D2"/>
  </mergeCells>
  <printOptions horizontalCentered="1"/>
  <pageMargins left="0.35433070866141736" right="0.31496062992125984" top="1.3385826771653544" bottom="0.1968503937007874" header="0.3937007874015748" footer="0.15748031496062992"/>
  <pageSetup fitToHeight="1" fitToWidth="1" horizontalDpi="600" verticalDpi="600" orientation="portrait" paperSize="9" scale="76" r:id="rId1"/>
  <headerFooter alignWithMargins="0">
    <oddHeader>&amp;C&amp;"Garamond,Félkövér"&amp;12a    3/2019. ( V.31.) számú zárszámadási rendelethez
Zalaszabar Község Önkrományzatának maradványának felhasználása  
2018. évre
&amp;R&amp;A
&amp;P.oldal
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3:I35"/>
  <sheetViews>
    <sheetView view="pageLayout" workbookViewId="0" topLeftCell="A1">
      <selection activeCell="E1" sqref="E1"/>
    </sheetView>
  </sheetViews>
  <sheetFormatPr defaultColWidth="9.00390625" defaultRowHeight="12.75"/>
  <cols>
    <col min="1" max="1" width="5.125" style="455" customWidth="1"/>
    <col min="2" max="2" width="63.875" style="455" customWidth="1"/>
    <col min="3" max="3" width="14.125" style="455" customWidth="1"/>
    <col min="4" max="4" width="17.875" style="455" customWidth="1"/>
    <col min="5" max="5" width="16.625" style="455" customWidth="1"/>
    <col min="6" max="6" width="14.625" style="455" customWidth="1"/>
    <col min="7" max="7" width="12.375" style="455" customWidth="1"/>
    <col min="8" max="8" width="17.25390625" style="455" customWidth="1"/>
    <col min="9" max="9" width="16.25390625" style="455" customWidth="1"/>
    <col min="10" max="16384" width="9.125" style="455" customWidth="1"/>
  </cols>
  <sheetData>
    <row r="3" spans="1:9" ht="15.75">
      <c r="A3" s="822" t="s">
        <v>856</v>
      </c>
      <c r="B3" s="823"/>
      <c r="C3" s="823"/>
      <c r="D3" s="823"/>
      <c r="E3" s="823"/>
      <c r="F3" s="823"/>
      <c r="G3" s="823"/>
      <c r="H3" s="823"/>
      <c r="I3" s="824"/>
    </row>
    <row r="4" spans="1:9" ht="64.5" customHeight="1">
      <c r="A4" s="470" t="s">
        <v>855</v>
      </c>
      <c r="B4" s="469" t="s">
        <v>13</v>
      </c>
      <c r="C4" s="469" t="s">
        <v>854</v>
      </c>
      <c r="D4" s="469" t="s">
        <v>853</v>
      </c>
      <c r="E4" s="469" t="s">
        <v>852</v>
      </c>
      <c r="F4" s="469" t="s">
        <v>851</v>
      </c>
      <c r="G4" s="469" t="s">
        <v>850</v>
      </c>
      <c r="H4" s="469" t="s">
        <v>849</v>
      </c>
      <c r="I4" s="469" t="s">
        <v>848</v>
      </c>
    </row>
    <row r="5" spans="1:9" ht="15.75">
      <c r="A5" s="461" t="s">
        <v>847</v>
      </c>
      <c r="B5" s="461" t="s">
        <v>846</v>
      </c>
      <c r="C5" s="467" t="s">
        <v>845</v>
      </c>
      <c r="D5" s="467" t="s">
        <v>844</v>
      </c>
      <c r="E5" s="467" t="s">
        <v>843</v>
      </c>
      <c r="F5" s="461" t="s">
        <v>842</v>
      </c>
      <c r="G5" s="467" t="s">
        <v>841</v>
      </c>
      <c r="H5" s="461" t="s">
        <v>840</v>
      </c>
      <c r="I5" s="467" t="s">
        <v>839</v>
      </c>
    </row>
    <row r="6" spans="1:9" ht="15.75">
      <c r="A6" s="464" t="s">
        <v>838</v>
      </c>
      <c r="B6" s="466" t="s">
        <v>837</v>
      </c>
      <c r="C6" s="465">
        <v>5077622</v>
      </c>
      <c r="D6" s="465">
        <v>531732858</v>
      </c>
      <c r="E6" s="465">
        <v>30257012</v>
      </c>
      <c r="F6" s="465" t="s">
        <v>806</v>
      </c>
      <c r="G6" s="465">
        <v>17419836</v>
      </c>
      <c r="H6" s="465" t="s">
        <v>806</v>
      </c>
      <c r="I6" s="465">
        <f aca="true" t="shared" si="0" ref="I6:I31">C6+D6+E6+F6+G6+H6</f>
        <v>584487328</v>
      </c>
    </row>
    <row r="7" spans="1:9" ht="15.75">
      <c r="A7" s="461" t="s">
        <v>836</v>
      </c>
      <c r="B7" s="460" t="s">
        <v>835</v>
      </c>
      <c r="C7" s="459">
        <v>0</v>
      </c>
      <c r="D7" s="459"/>
      <c r="E7" s="459"/>
      <c r="F7" s="459"/>
      <c r="G7" s="459">
        <v>3791943</v>
      </c>
      <c r="H7" s="459"/>
      <c r="I7" s="459">
        <f t="shared" si="0"/>
        <v>3791943</v>
      </c>
    </row>
    <row r="8" spans="1:9" ht="15.75">
      <c r="A8" s="467" t="s">
        <v>834</v>
      </c>
      <c r="B8" s="460" t="s">
        <v>833</v>
      </c>
      <c r="C8" s="459"/>
      <c r="D8" s="459"/>
      <c r="E8" s="459"/>
      <c r="F8" s="459"/>
      <c r="G8" s="459">
        <v>60549188</v>
      </c>
      <c r="H8" s="459"/>
      <c r="I8" s="459">
        <f t="shared" si="0"/>
        <v>60549188</v>
      </c>
    </row>
    <row r="9" spans="1:9" ht="15.75">
      <c r="A9" s="467" t="s">
        <v>832</v>
      </c>
      <c r="B9" s="460" t="s">
        <v>831</v>
      </c>
      <c r="C9" s="459"/>
      <c r="D9" s="459">
        <v>30914469</v>
      </c>
      <c r="E9" s="459">
        <v>4955919</v>
      </c>
      <c r="F9" s="459"/>
      <c r="G9" s="459"/>
      <c r="H9" s="459"/>
      <c r="I9" s="459">
        <f t="shared" si="0"/>
        <v>35870388</v>
      </c>
    </row>
    <row r="10" spans="1:9" ht="15.75">
      <c r="A10" s="467" t="s">
        <v>830</v>
      </c>
      <c r="B10" s="460" t="s">
        <v>829</v>
      </c>
      <c r="C10" s="459"/>
      <c r="D10" s="459">
        <v>0</v>
      </c>
      <c r="E10" s="459"/>
      <c r="F10" s="459"/>
      <c r="G10" s="459"/>
      <c r="H10" s="459"/>
      <c r="I10" s="459">
        <f t="shared" si="0"/>
        <v>0</v>
      </c>
    </row>
    <row r="11" spans="1:9" ht="31.5">
      <c r="A11" s="461" t="s">
        <v>828</v>
      </c>
      <c r="B11" s="460" t="s">
        <v>827</v>
      </c>
      <c r="C11" s="459"/>
      <c r="D11" s="459">
        <v>0</v>
      </c>
      <c r="E11" s="459">
        <v>0</v>
      </c>
      <c r="F11" s="459"/>
      <c r="G11" s="459"/>
      <c r="H11" s="459"/>
      <c r="I11" s="459">
        <f t="shared" si="0"/>
        <v>0</v>
      </c>
    </row>
    <row r="12" spans="1:9" ht="15.75">
      <c r="A12" s="461" t="s">
        <v>826</v>
      </c>
      <c r="B12" s="460" t="s">
        <v>825</v>
      </c>
      <c r="C12" s="459"/>
      <c r="D12" s="459">
        <v>553182197</v>
      </c>
      <c r="E12" s="459">
        <v>4596857</v>
      </c>
      <c r="F12" s="459"/>
      <c r="G12" s="459">
        <v>72303644</v>
      </c>
      <c r="H12" s="459"/>
      <c r="I12" s="459">
        <f t="shared" si="0"/>
        <v>630082698</v>
      </c>
    </row>
    <row r="13" spans="1:9" ht="15.75">
      <c r="A13" s="464" t="s">
        <v>824</v>
      </c>
      <c r="B13" s="468" t="s">
        <v>823</v>
      </c>
      <c r="C13" s="458">
        <f aca="true" t="shared" si="1" ref="C13:H13">SUM(C7:C12)</f>
        <v>0</v>
      </c>
      <c r="D13" s="458">
        <f t="shared" si="1"/>
        <v>584096666</v>
      </c>
      <c r="E13" s="458">
        <f t="shared" si="1"/>
        <v>9552776</v>
      </c>
      <c r="F13" s="458">
        <f t="shared" si="1"/>
        <v>0</v>
      </c>
      <c r="G13" s="458">
        <f t="shared" si="1"/>
        <v>136644775</v>
      </c>
      <c r="H13" s="458">
        <f t="shared" si="1"/>
        <v>0</v>
      </c>
      <c r="I13" s="458">
        <f t="shared" si="0"/>
        <v>730294217</v>
      </c>
    </row>
    <row r="14" spans="1:9" ht="15.75">
      <c r="A14" s="467" t="s">
        <v>822</v>
      </c>
      <c r="B14" s="460" t="s">
        <v>821</v>
      </c>
      <c r="C14" s="459"/>
      <c r="D14" s="459">
        <v>470000</v>
      </c>
      <c r="E14" s="459"/>
      <c r="F14" s="459"/>
      <c r="G14" s="459"/>
      <c r="H14" s="459"/>
      <c r="I14" s="459">
        <f t="shared" si="0"/>
        <v>470000</v>
      </c>
    </row>
    <row r="15" spans="1:9" ht="15.75">
      <c r="A15" s="461" t="s">
        <v>820</v>
      </c>
      <c r="B15" s="460" t="s">
        <v>819</v>
      </c>
      <c r="C15" s="459"/>
      <c r="D15" s="459"/>
      <c r="E15" s="459">
        <v>0</v>
      </c>
      <c r="F15" s="459"/>
      <c r="G15" s="459"/>
      <c r="H15" s="459"/>
      <c r="I15" s="459">
        <f t="shared" si="0"/>
        <v>0</v>
      </c>
    </row>
    <row r="16" spans="1:9" ht="15.75">
      <c r="A16" s="461" t="s">
        <v>818</v>
      </c>
      <c r="B16" s="460" t="s">
        <v>817</v>
      </c>
      <c r="C16" s="459"/>
      <c r="D16" s="459"/>
      <c r="E16" s="459"/>
      <c r="F16" s="459"/>
      <c r="G16" s="459"/>
      <c r="H16" s="459"/>
      <c r="I16" s="459">
        <f t="shared" si="0"/>
        <v>0</v>
      </c>
    </row>
    <row r="17" spans="1:9" ht="31.5">
      <c r="A17" s="467" t="s">
        <v>816</v>
      </c>
      <c r="B17" s="460" t="s">
        <v>815</v>
      </c>
      <c r="C17" s="459"/>
      <c r="D17" s="459">
        <v>0</v>
      </c>
      <c r="E17" s="459">
        <v>0</v>
      </c>
      <c r="F17" s="459"/>
      <c r="G17" s="459"/>
      <c r="H17" s="459"/>
      <c r="I17" s="459">
        <f t="shared" si="0"/>
        <v>0</v>
      </c>
    </row>
    <row r="18" spans="1:9" ht="15.75">
      <c r="A18" s="461" t="s">
        <v>814</v>
      </c>
      <c r="B18" s="460" t="s">
        <v>813</v>
      </c>
      <c r="C18" s="459"/>
      <c r="D18" s="459">
        <v>494263839</v>
      </c>
      <c r="E18" s="459">
        <v>4596857</v>
      </c>
      <c r="F18" s="459"/>
      <c r="G18" s="459">
        <v>108174032</v>
      </c>
      <c r="H18" s="459"/>
      <c r="I18" s="459">
        <f t="shared" si="0"/>
        <v>607034728</v>
      </c>
    </row>
    <row r="19" spans="1:9" ht="15.75">
      <c r="A19" s="464" t="s">
        <v>812</v>
      </c>
      <c r="B19" s="468" t="s">
        <v>811</v>
      </c>
      <c r="C19" s="458">
        <f aca="true" t="shared" si="2" ref="C19:H19">SUM(C14:C18)</f>
        <v>0</v>
      </c>
      <c r="D19" s="458">
        <f t="shared" si="2"/>
        <v>494733839</v>
      </c>
      <c r="E19" s="458">
        <f t="shared" si="2"/>
        <v>4596857</v>
      </c>
      <c r="F19" s="458">
        <f t="shared" si="2"/>
        <v>0</v>
      </c>
      <c r="G19" s="458">
        <f t="shared" si="2"/>
        <v>108174032</v>
      </c>
      <c r="H19" s="458">
        <f t="shared" si="2"/>
        <v>0</v>
      </c>
      <c r="I19" s="458">
        <f t="shared" si="0"/>
        <v>607504728</v>
      </c>
    </row>
    <row r="20" spans="1:9" ht="15.75">
      <c r="A20" s="464" t="s">
        <v>810</v>
      </c>
      <c r="B20" s="466" t="s">
        <v>809</v>
      </c>
      <c r="C20" s="465">
        <f aca="true" t="shared" si="3" ref="C20:H20">C6+C13-C19</f>
        <v>5077622</v>
      </c>
      <c r="D20" s="465">
        <f t="shared" si="3"/>
        <v>621095685</v>
      </c>
      <c r="E20" s="465">
        <f t="shared" si="3"/>
        <v>35212931</v>
      </c>
      <c r="F20" s="465">
        <f t="shared" si="3"/>
        <v>0</v>
      </c>
      <c r="G20" s="465">
        <f t="shared" si="3"/>
        <v>45890579</v>
      </c>
      <c r="H20" s="465">
        <f t="shared" si="3"/>
        <v>0</v>
      </c>
      <c r="I20" s="465">
        <f t="shared" si="0"/>
        <v>707276817</v>
      </c>
    </row>
    <row r="21" spans="1:9" ht="15.75">
      <c r="A21" s="464" t="s">
        <v>808</v>
      </c>
      <c r="B21" s="466" t="s">
        <v>807</v>
      </c>
      <c r="C21" s="465">
        <v>4298763</v>
      </c>
      <c r="D21" s="465">
        <v>179025600</v>
      </c>
      <c r="E21" s="465">
        <v>23373805</v>
      </c>
      <c r="F21" s="465" t="s">
        <v>806</v>
      </c>
      <c r="G21" s="465" t="s">
        <v>806</v>
      </c>
      <c r="H21" s="465" t="s">
        <v>806</v>
      </c>
      <c r="I21" s="465">
        <f t="shared" si="0"/>
        <v>206698168</v>
      </c>
    </row>
    <row r="22" spans="1:9" ht="15.75">
      <c r="A22" s="467" t="s">
        <v>805</v>
      </c>
      <c r="B22" s="460" t="s">
        <v>804</v>
      </c>
      <c r="C22" s="459">
        <v>259844</v>
      </c>
      <c r="D22" s="459">
        <v>186820992</v>
      </c>
      <c r="E22" s="459">
        <v>8315741</v>
      </c>
      <c r="F22" s="459"/>
      <c r="G22" s="459"/>
      <c r="H22" s="459"/>
      <c r="I22" s="459">
        <f t="shared" si="0"/>
        <v>195396577</v>
      </c>
    </row>
    <row r="23" spans="1:9" ht="15.75">
      <c r="A23" s="461" t="s">
        <v>803</v>
      </c>
      <c r="B23" s="460" t="s">
        <v>802</v>
      </c>
      <c r="C23" s="459">
        <v>0</v>
      </c>
      <c r="D23" s="459">
        <v>161115103</v>
      </c>
      <c r="E23" s="459">
        <v>3729319</v>
      </c>
      <c r="F23" s="459"/>
      <c r="G23" s="459"/>
      <c r="H23" s="459"/>
      <c r="I23" s="459">
        <f t="shared" si="0"/>
        <v>164844422</v>
      </c>
    </row>
    <row r="24" spans="1:9" ht="15.75">
      <c r="A24" s="464" t="s">
        <v>801</v>
      </c>
      <c r="B24" s="468" t="s">
        <v>800</v>
      </c>
      <c r="C24" s="458">
        <f aca="true" t="shared" si="4" ref="C24:H24">C21+C22-C23</f>
        <v>4558607</v>
      </c>
      <c r="D24" s="458">
        <f t="shared" si="4"/>
        <v>204731489</v>
      </c>
      <c r="E24" s="458">
        <f t="shared" si="4"/>
        <v>27960227</v>
      </c>
      <c r="F24" s="458">
        <f t="shared" si="4"/>
        <v>0</v>
      </c>
      <c r="G24" s="458">
        <f t="shared" si="4"/>
        <v>0</v>
      </c>
      <c r="H24" s="458">
        <f t="shared" si="4"/>
        <v>0</v>
      </c>
      <c r="I24" s="458">
        <f t="shared" si="0"/>
        <v>237250323</v>
      </c>
    </row>
    <row r="25" spans="1:9" ht="15.75">
      <c r="A25" s="464" t="s">
        <v>799</v>
      </c>
      <c r="B25" s="468" t="s">
        <v>798</v>
      </c>
      <c r="C25" s="458">
        <v>0</v>
      </c>
      <c r="D25" s="458">
        <v>0</v>
      </c>
      <c r="E25" s="458">
        <v>0</v>
      </c>
      <c r="F25" s="458">
        <v>0</v>
      </c>
      <c r="G25" s="458">
        <v>0</v>
      </c>
      <c r="H25" s="458">
        <v>0</v>
      </c>
      <c r="I25" s="458">
        <f t="shared" si="0"/>
        <v>0</v>
      </c>
    </row>
    <row r="26" spans="1:9" ht="15.75">
      <c r="A26" s="461" t="s">
        <v>797</v>
      </c>
      <c r="B26" s="460" t="s">
        <v>796</v>
      </c>
      <c r="C26" s="459"/>
      <c r="D26" s="459"/>
      <c r="E26" s="459"/>
      <c r="F26" s="459"/>
      <c r="G26" s="459"/>
      <c r="H26" s="459"/>
      <c r="I26" s="459">
        <f t="shared" si="0"/>
        <v>0</v>
      </c>
    </row>
    <row r="27" spans="1:9" ht="15.75">
      <c r="A27" s="461" t="s">
        <v>795</v>
      </c>
      <c r="B27" s="460" t="s">
        <v>794</v>
      </c>
      <c r="C27" s="459"/>
      <c r="D27" s="459"/>
      <c r="E27" s="459"/>
      <c r="F27" s="459"/>
      <c r="G27" s="459"/>
      <c r="H27" s="459"/>
      <c r="I27" s="459">
        <f t="shared" si="0"/>
        <v>0</v>
      </c>
    </row>
    <row r="28" spans="1:9" ht="15.75">
      <c r="A28" s="467" t="s">
        <v>793</v>
      </c>
      <c r="B28" s="460" t="s">
        <v>792</v>
      </c>
      <c r="C28" s="458">
        <f aca="true" t="shared" si="5" ref="C28:H28">C25+C26-C27</f>
        <v>0</v>
      </c>
      <c r="D28" s="458">
        <f t="shared" si="5"/>
        <v>0</v>
      </c>
      <c r="E28" s="458">
        <f t="shared" si="5"/>
        <v>0</v>
      </c>
      <c r="F28" s="458">
        <f t="shared" si="5"/>
        <v>0</v>
      </c>
      <c r="G28" s="458">
        <f t="shared" si="5"/>
        <v>0</v>
      </c>
      <c r="H28" s="458">
        <f t="shared" si="5"/>
        <v>0</v>
      </c>
      <c r="I28" s="458">
        <f t="shared" si="0"/>
        <v>0</v>
      </c>
    </row>
    <row r="29" spans="1:9" ht="15.75">
      <c r="A29" s="464" t="s">
        <v>791</v>
      </c>
      <c r="B29" s="466" t="s">
        <v>790</v>
      </c>
      <c r="C29" s="465">
        <f aca="true" t="shared" si="6" ref="C29:H29">C24+C28</f>
        <v>4558607</v>
      </c>
      <c r="D29" s="465">
        <f t="shared" si="6"/>
        <v>204731489</v>
      </c>
      <c r="E29" s="465">
        <f t="shared" si="6"/>
        <v>27960227</v>
      </c>
      <c r="F29" s="465">
        <f t="shared" si="6"/>
        <v>0</v>
      </c>
      <c r="G29" s="465">
        <f t="shared" si="6"/>
        <v>0</v>
      </c>
      <c r="H29" s="465">
        <f t="shared" si="6"/>
        <v>0</v>
      </c>
      <c r="I29" s="465">
        <f t="shared" si="0"/>
        <v>237250323</v>
      </c>
    </row>
    <row r="30" spans="1:9" ht="15.75">
      <c r="A30" s="464" t="s">
        <v>789</v>
      </c>
      <c r="B30" s="463" t="s">
        <v>788</v>
      </c>
      <c r="C30" s="462">
        <f aca="true" t="shared" si="7" ref="C30:H30">C20-C29</f>
        <v>519015</v>
      </c>
      <c r="D30" s="462">
        <f t="shared" si="7"/>
        <v>416364196</v>
      </c>
      <c r="E30" s="462">
        <f t="shared" si="7"/>
        <v>7252704</v>
      </c>
      <c r="F30" s="462">
        <f t="shared" si="7"/>
        <v>0</v>
      </c>
      <c r="G30" s="462">
        <f t="shared" si="7"/>
        <v>45890579</v>
      </c>
      <c r="H30" s="462">
        <f t="shared" si="7"/>
        <v>0</v>
      </c>
      <c r="I30" s="462">
        <f t="shared" si="0"/>
        <v>470026494</v>
      </c>
    </row>
    <row r="31" spans="1:9" ht="15.75">
      <c r="A31" s="461" t="s">
        <v>787</v>
      </c>
      <c r="B31" s="460" t="s">
        <v>786</v>
      </c>
      <c r="C31" s="459">
        <v>4290220</v>
      </c>
      <c r="D31" s="459">
        <v>0</v>
      </c>
      <c r="E31" s="459">
        <v>15343902</v>
      </c>
      <c r="F31" s="459"/>
      <c r="G31" s="459"/>
      <c r="H31" s="459"/>
      <c r="I31" s="458">
        <f t="shared" si="0"/>
        <v>19634122</v>
      </c>
    </row>
    <row r="32" spans="1:9" ht="15">
      <c r="A32" s="457"/>
      <c r="B32" s="457"/>
      <c r="C32" s="457"/>
      <c r="D32" s="457"/>
      <c r="E32" s="457"/>
      <c r="F32" s="457"/>
      <c r="G32" s="457"/>
      <c r="H32" s="457"/>
      <c r="I32" s="457"/>
    </row>
    <row r="33" ht="12.75">
      <c r="A33" s="456"/>
    </row>
    <row r="35" ht="12.75">
      <c r="A35" s="456"/>
    </row>
  </sheetData>
  <sheetProtection/>
  <mergeCells count="1">
    <mergeCell ref="A3:I3"/>
  </mergeCells>
  <printOptions horizontalCentered="1"/>
  <pageMargins left="0.22" right="0.19" top="0.984251968503937" bottom="0.5905511811023623" header="0.5118110236220472" footer="0.5118110236220472"/>
  <pageSetup horizontalDpi="600" verticalDpi="600" orientation="landscape" paperSize="9" scale="82" r:id="rId1"/>
  <headerFooter alignWithMargins="0">
    <oddHeader>&amp;C&amp;"Arial CE,Félkövér"&amp;12 3/2019.( V.31.  ) számú zárszámadási rendelethez&amp;"Arial CE,Normál"&amp;10
&amp;"Arial CE,Félkövér"&amp;12Zalaszabar Község Önkormányzatának vagyon kimutatása 
2018.évben  &amp;R&amp;A
&amp;P.oldal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J1" sqref="J1:K1"/>
    </sheetView>
  </sheetViews>
  <sheetFormatPr defaultColWidth="9.00390625" defaultRowHeight="12.75"/>
  <cols>
    <col min="1" max="1" width="3.75390625" style="28" customWidth="1"/>
    <col min="2" max="2" width="9.125" style="28" customWidth="1"/>
    <col min="3" max="3" width="8.375" style="28" customWidth="1"/>
    <col min="4" max="4" width="22.875" style="28" customWidth="1"/>
    <col min="5" max="5" width="25.625" style="28" customWidth="1"/>
    <col min="6" max="6" width="10.875" style="28" customWidth="1"/>
    <col min="7" max="7" width="11.125" style="28" customWidth="1"/>
    <col min="8" max="8" width="16.75390625" style="28" customWidth="1"/>
    <col min="9" max="9" width="9.125" style="28" customWidth="1"/>
    <col min="10" max="10" width="11.125" style="28" customWidth="1"/>
    <col min="11" max="11" width="11.375" style="28" customWidth="1"/>
    <col min="12" max="16384" width="9.125" style="28" customWidth="1"/>
  </cols>
  <sheetData>
    <row r="1" spans="10:11" ht="12.75">
      <c r="J1" s="825" t="s">
        <v>1050</v>
      </c>
      <c r="K1" s="825"/>
    </row>
    <row r="2" spans="1:11" ht="24.75" customHeight="1">
      <c r="A2" s="826" t="s">
        <v>21</v>
      </c>
      <c r="B2" s="826" t="s">
        <v>24</v>
      </c>
      <c r="C2" s="826"/>
      <c r="D2" s="826"/>
      <c r="E2" s="828" t="s">
        <v>63</v>
      </c>
      <c r="F2" s="828"/>
      <c r="G2" s="828"/>
      <c r="H2" s="828" t="s">
        <v>64</v>
      </c>
      <c r="I2" s="828"/>
      <c r="J2" s="828"/>
      <c r="K2" s="29" t="s">
        <v>11</v>
      </c>
    </row>
    <row r="3" spans="1:11" ht="24.75" customHeight="1">
      <c r="A3" s="826"/>
      <c r="B3" s="826"/>
      <c r="C3" s="826"/>
      <c r="D3" s="826"/>
      <c r="E3" s="826" t="s">
        <v>25</v>
      </c>
      <c r="F3" s="826" t="s">
        <v>26</v>
      </c>
      <c r="G3" s="826" t="s">
        <v>27</v>
      </c>
      <c r="H3" s="826" t="s">
        <v>25</v>
      </c>
      <c r="I3" s="826" t="s">
        <v>26</v>
      </c>
      <c r="J3" s="826" t="s">
        <v>467</v>
      </c>
      <c r="K3" s="827" t="s">
        <v>468</v>
      </c>
    </row>
    <row r="4" spans="1:11" ht="24.75" customHeight="1">
      <c r="A4" s="826"/>
      <c r="B4" s="826"/>
      <c r="C4" s="826"/>
      <c r="D4" s="826"/>
      <c r="E4" s="826"/>
      <c r="F4" s="826"/>
      <c r="G4" s="826"/>
      <c r="H4" s="826"/>
      <c r="I4" s="826"/>
      <c r="J4" s="826"/>
      <c r="K4" s="827"/>
    </row>
    <row r="5" spans="1:11" ht="24.75" customHeight="1">
      <c r="A5" s="57" t="s">
        <v>32</v>
      </c>
      <c r="B5" s="836" t="s">
        <v>65</v>
      </c>
      <c r="C5" s="837"/>
      <c r="D5" s="838"/>
      <c r="E5" s="57"/>
      <c r="F5" s="57"/>
      <c r="G5" s="57"/>
      <c r="H5" s="57"/>
      <c r="I5" s="57"/>
      <c r="J5" s="57"/>
      <c r="K5" s="58"/>
    </row>
    <row r="6" spans="1:11" ht="49.5" customHeight="1">
      <c r="A6" s="30" t="s">
        <v>3</v>
      </c>
      <c r="B6" s="833" t="s">
        <v>28</v>
      </c>
      <c r="C6" s="834"/>
      <c r="D6" s="834"/>
      <c r="E6" s="45"/>
      <c r="F6" s="96"/>
      <c r="G6" s="101"/>
      <c r="H6" s="41" t="s">
        <v>50</v>
      </c>
      <c r="I6" s="41" t="s">
        <v>50</v>
      </c>
      <c r="J6" s="41" t="s">
        <v>50</v>
      </c>
      <c r="K6" s="101">
        <f>SUM(G6:J6)</f>
        <v>0</v>
      </c>
    </row>
    <row r="7" spans="1:11" ht="30" customHeight="1">
      <c r="A7" s="30" t="s">
        <v>10</v>
      </c>
      <c r="B7" s="833" t="s">
        <v>29</v>
      </c>
      <c r="C7" s="834"/>
      <c r="D7" s="834"/>
      <c r="E7" s="41"/>
      <c r="F7" s="41"/>
      <c r="G7" s="41"/>
      <c r="H7" s="41" t="s">
        <v>50</v>
      </c>
      <c r="I7" s="41" t="s">
        <v>50</v>
      </c>
      <c r="J7" s="41" t="s">
        <v>50</v>
      </c>
      <c r="K7" s="41" t="s">
        <v>50</v>
      </c>
    </row>
    <row r="8" spans="1:11" ht="30" customHeight="1">
      <c r="A8" s="30" t="s">
        <v>5</v>
      </c>
      <c r="B8" s="833" t="s">
        <v>30</v>
      </c>
      <c r="C8" s="834"/>
      <c r="D8" s="834"/>
      <c r="E8" s="41"/>
      <c r="F8" s="41"/>
      <c r="G8" s="41"/>
      <c r="H8" s="41" t="s">
        <v>50</v>
      </c>
      <c r="I8" s="41" t="s">
        <v>50</v>
      </c>
      <c r="J8" s="41" t="s">
        <v>50</v>
      </c>
      <c r="K8" s="45" t="s">
        <v>50</v>
      </c>
    </row>
    <row r="9" spans="1:11" ht="33" customHeight="1">
      <c r="A9" s="30" t="s">
        <v>6</v>
      </c>
      <c r="B9" s="833" t="s">
        <v>31</v>
      </c>
      <c r="C9" s="834"/>
      <c r="D9" s="834"/>
      <c r="E9" s="44"/>
      <c r="F9" s="45"/>
      <c r="G9" s="46"/>
      <c r="H9" s="44" t="s">
        <v>60</v>
      </c>
      <c r="I9" s="48">
        <v>1</v>
      </c>
      <c r="J9" s="46">
        <v>149488</v>
      </c>
      <c r="K9" s="101">
        <f>SUM(G9+J9)</f>
        <v>149488</v>
      </c>
    </row>
    <row r="10" spans="1:11" ht="33" customHeight="1">
      <c r="A10" s="30"/>
      <c r="B10" s="832" t="s">
        <v>424</v>
      </c>
      <c r="C10" s="832"/>
      <c r="D10" s="832"/>
      <c r="E10" s="53"/>
      <c r="F10" s="54"/>
      <c r="G10" s="100"/>
      <c r="H10" s="53"/>
      <c r="I10" s="56"/>
      <c r="J10" s="55">
        <f>SUM(J9)</f>
        <v>149488</v>
      </c>
      <c r="K10" s="214">
        <f>SUM(K6:K9)</f>
        <v>149488</v>
      </c>
    </row>
    <row r="11" spans="1:11" ht="33" customHeight="1">
      <c r="A11" s="30"/>
      <c r="B11" s="833"/>
      <c r="C11" s="834"/>
      <c r="D11" s="834"/>
      <c r="E11" s="44"/>
      <c r="F11" s="215"/>
      <c r="G11" s="46"/>
      <c r="H11" s="44"/>
      <c r="I11" s="48"/>
      <c r="J11" s="46"/>
      <c r="K11" s="101"/>
    </row>
    <row r="12" spans="1:11" ht="33" customHeight="1">
      <c r="A12" s="52"/>
      <c r="B12" s="829" t="s">
        <v>308</v>
      </c>
      <c r="C12" s="830"/>
      <c r="D12" s="831"/>
      <c r="E12" s="53"/>
      <c r="F12" s="54"/>
      <c r="G12" s="100"/>
      <c r="H12" s="53"/>
      <c r="I12" s="56"/>
      <c r="J12" s="55">
        <f>SUM(J10:J11)</f>
        <v>149488</v>
      </c>
      <c r="K12" s="100">
        <f>SUM(K10:K11)</f>
        <v>149488</v>
      </c>
    </row>
    <row r="13" spans="2:4" ht="12.75">
      <c r="B13" s="835"/>
      <c r="C13" s="835"/>
      <c r="D13" s="835"/>
    </row>
    <row r="21" ht="12.75">
      <c r="D21" s="49"/>
    </row>
  </sheetData>
  <sheetProtection/>
  <mergeCells count="21">
    <mergeCell ref="B13:D13"/>
    <mergeCell ref="B8:D8"/>
    <mergeCell ref="B9:D9"/>
    <mergeCell ref="B6:D6"/>
    <mergeCell ref="B7:D7"/>
    <mergeCell ref="E3:E4"/>
    <mergeCell ref="B2:D4"/>
    <mergeCell ref="B5:D5"/>
    <mergeCell ref="A2:A4"/>
    <mergeCell ref="H3:H4"/>
    <mergeCell ref="I3:I4"/>
    <mergeCell ref="B12:D12"/>
    <mergeCell ref="B10:D10"/>
    <mergeCell ref="B11:D11"/>
    <mergeCell ref="J1:K1"/>
    <mergeCell ref="J3:J4"/>
    <mergeCell ref="K3:K4"/>
    <mergeCell ref="E2:G2"/>
    <mergeCell ref="H2:J2"/>
    <mergeCell ref="F3:F4"/>
    <mergeCell ref="G3:G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3/2019. (V.31.) számú zárszámadási rendelethez
ZALASZABAR KÖZSÉG  ÖNKORMÁNYZATA
2018. ÉVI KÖZVETETT TÁMOGATÁSAI
&amp;R&amp;A
&amp;P.oldal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21"/>
  <sheetViews>
    <sheetView view="pageLayout" workbookViewId="0" topLeftCell="A1">
      <selection activeCell="Q24" sqref="Q24"/>
    </sheetView>
  </sheetViews>
  <sheetFormatPr defaultColWidth="9.00390625" defaultRowHeight="12.75"/>
  <cols>
    <col min="1" max="1" width="3.00390625" style="33" customWidth="1"/>
    <col min="2" max="3" width="9.125" style="33" customWidth="1"/>
    <col min="4" max="4" width="8.75390625" style="33" customWidth="1"/>
    <col min="5" max="5" width="11.625" style="33" customWidth="1"/>
    <col min="6" max="6" width="12.00390625" style="33" customWidth="1"/>
    <col min="7" max="7" width="11.375" style="33" customWidth="1"/>
    <col min="8" max="9" width="11.00390625" style="33" customWidth="1"/>
    <col min="10" max="10" width="11.75390625" style="33" customWidth="1"/>
    <col min="11" max="11" width="12.75390625" style="33" customWidth="1"/>
    <col min="12" max="12" width="11.00390625" style="33" customWidth="1"/>
    <col min="13" max="13" width="12.00390625" style="33" customWidth="1"/>
    <col min="14" max="14" width="12.25390625" style="33" customWidth="1"/>
    <col min="15" max="15" width="15.125" style="33" customWidth="1"/>
    <col min="16" max="16" width="11.375" style="33" customWidth="1"/>
    <col min="17" max="17" width="14.00390625" style="33" customWidth="1"/>
    <col min="18" max="16384" width="9.125" style="33" customWidth="1"/>
  </cols>
  <sheetData>
    <row r="1" spans="15:17" ht="12.75">
      <c r="O1" s="841" t="s">
        <v>1051</v>
      </c>
      <c r="P1" s="841"/>
      <c r="Q1" s="841"/>
    </row>
    <row r="2" spans="1:17" ht="27.75" customHeight="1">
      <c r="A2" s="34" t="s">
        <v>310</v>
      </c>
      <c r="B2" s="842" t="s">
        <v>13</v>
      </c>
      <c r="C2" s="842"/>
      <c r="D2" s="842"/>
      <c r="E2" s="227" t="s">
        <v>34</v>
      </c>
      <c r="F2" s="227" t="s">
        <v>35</v>
      </c>
      <c r="G2" s="227" t="s">
        <v>36</v>
      </c>
      <c r="H2" s="227" t="s">
        <v>37</v>
      </c>
      <c r="I2" s="227" t="s">
        <v>38</v>
      </c>
      <c r="J2" s="227" t="s">
        <v>39</v>
      </c>
      <c r="K2" s="227" t="s">
        <v>40</v>
      </c>
      <c r="L2" s="227" t="s">
        <v>41</v>
      </c>
      <c r="M2" s="227" t="s">
        <v>42</v>
      </c>
      <c r="N2" s="227" t="s">
        <v>43</v>
      </c>
      <c r="O2" s="227" t="s">
        <v>44</v>
      </c>
      <c r="P2" s="227" t="s">
        <v>45</v>
      </c>
      <c r="Q2" s="227" t="s">
        <v>11</v>
      </c>
    </row>
    <row r="3" spans="1:17" ht="27.75" customHeight="1">
      <c r="A3" s="36"/>
      <c r="B3" s="840" t="s">
        <v>46</v>
      </c>
      <c r="C3" s="840"/>
      <c r="D3" s="840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7" ht="27.75" customHeight="1">
      <c r="A4" s="37" t="s">
        <v>2</v>
      </c>
      <c r="B4" s="839" t="s">
        <v>82</v>
      </c>
      <c r="C4" s="839"/>
      <c r="D4" s="839"/>
      <c r="E4" s="225">
        <v>13152213.127833223</v>
      </c>
      <c r="F4" s="225">
        <v>13152213.127833223</v>
      </c>
      <c r="G4" s="225">
        <v>45299635.71097315</v>
      </c>
      <c r="H4" s="225">
        <v>13152213.127833223</v>
      </c>
      <c r="I4" s="225">
        <v>10005000</v>
      </c>
      <c r="J4" s="225">
        <v>13283131.890982114</v>
      </c>
      <c r="K4" s="225">
        <v>14530446.869931718</v>
      </c>
      <c r="L4" s="225">
        <v>13152213.127833223</v>
      </c>
      <c r="M4" s="225">
        <f>15715000-122+510</f>
        <v>15715388</v>
      </c>
      <c r="N4" s="225">
        <v>13152213.127833223</v>
      </c>
      <c r="O4" s="225">
        <v>13100213</v>
      </c>
      <c r="P4" s="225">
        <v>13062000</v>
      </c>
      <c r="Q4" s="229">
        <f>SUM(E4:P4)</f>
        <v>190756881.11105308</v>
      </c>
    </row>
    <row r="5" spans="1:17" ht="27.75" customHeight="1">
      <c r="A5" s="37" t="s">
        <v>4</v>
      </c>
      <c r="B5" s="839" t="s">
        <v>419</v>
      </c>
      <c r="C5" s="839"/>
      <c r="D5" s="839"/>
      <c r="E5" s="225">
        <v>1445756.2055001052</v>
      </c>
      <c r="F5" s="225">
        <v>1445756.2055001052</v>
      </c>
      <c r="G5" s="225">
        <v>4979559.622360165</v>
      </c>
      <c r="H5" s="225">
        <v>1445756.2055001052</v>
      </c>
      <c r="I5" s="225">
        <v>1149000</v>
      </c>
      <c r="J5" s="225">
        <v>1300147</v>
      </c>
      <c r="K5" s="225">
        <v>1097248</v>
      </c>
      <c r="L5" s="225">
        <v>1442756</v>
      </c>
      <c r="M5" s="225">
        <v>1947756</v>
      </c>
      <c r="N5" s="225">
        <v>945756</v>
      </c>
      <c r="O5" s="225">
        <f>945756+626</f>
        <v>946382</v>
      </c>
      <c r="P5" s="225">
        <v>945756</v>
      </c>
      <c r="Q5" s="229">
        <f>SUM(E5:P5)</f>
        <v>19091629.23886048</v>
      </c>
    </row>
    <row r="6" spans="1:17" ht="27.75" customHeight="1">
      <c r="A6" s="37"/>
      <c r="B6" s="840" t="s">
        <v>72</v>
      </c>
      <c r="C6" s="840"/>
      <c r="D6" s="840"/>
      <c r="E6" s="226">
        <f aca="true" t="shared" si="0" ref="E6:Q6">SUM(E4:E5)</f>
        <v>14597969.333333328</v>
      </c>
      <c r="F6" s="226">
        <f t="shared" si="0"/>
        <v>14597969.333333328</v>
      </c>
      <c r="G6" s="226">
        <f t="shared" si="0"/>
        <v>50279195.33333331</v>
      </c>
      <c r="H6" s="226">
        <f t="shared" si="0"/>
        <v>14597969.333333328</v>
      </c>
      <c r="I6" s="226">
        <f t="shared" si="0"/>
        <v>11154000</v>
      </c>
      <c r="J6" s="226">
        <f t="shared" si="0"/>
        <v>14583278.890982114</v>
      </c>
      <c r="K6" s="226">
        <f t="shared" si="0"/>
        <v>15627694.869931718</v>
      </c>
      <c r="L6" s="226">
        <f t="shared" si="0"/>
        <v>14594969.127833223</v>
      </c>
      <c r="M6" s="226">
        <f t="shared" si="0"/>
        <v>17663144</v>
      </c>
      <c r="N6" s="226">
        <f t="shared" si="0"/>
        <v>14097969.127833223</v>
      </c>
      <c r="O6" s="226">
        <f t="shared" si="0"/>
        <v>14046595</v>
      </c>
      <c r="P6" s="226">
        <f t="shared" si="0"/>
        <v>14007756</v>
      </c>
      <c r="Q6" s="229">
        <f t="shared" si="0"/>
        <v>209848510.34991357</v>
      </c>
    </row>
    <row r="7" spans="1:17" ht="27.75" customHeight="1">
      <c r="A7" s="36"/>
      <c r="B7" s="840" t="s">
        <v>47</v>
      </c>
      <c r="C7" s="840"/>
      <c r="D7" s="840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228"/>
    </row>
    <row r="8" spans="1:17" ht="27.75" customHeight="1">
      <c r="A8" s="37" t="s">
        <v>5</v>
      </c>
      <c r="B8" s="839" t="s">
        <v>82</v>
      </c>
      <c r="C8" s="839"/>
      <c r="D8" s="839"/>
      <c r="E8" s="225">
        <v>5275147</v>
      </c>
      <c r="F8" s="225">
        <v>5275147</v>
      </c>
      <c r="G8" s="225">
        <v>33993303.890094</v>
      </c>
      <c r="H8" s="225">
        <v>5275147</v>
      </c>
      <c r="I8" s="225">
        <v>24831752.677907504</v>
      </c>
      <c r="J8" s="225">
        <v>5275147</v>
      </c>
      <c r="K8" s="225">
        <v>5275147</v>
      </c>
      <c r="L8" s="225">
        <f>14250000+62</f>
        <v>14250062</v>
      </c>
      <c r="M8" s="225">
        <v>10275000</v>
      </c>
      <c r="N8" s="225">
        <v>5275147</v>
      </c>
      <c r="O8" s="225">
        <v>5275147</v>
      </c>
      <c r="P8" s="225">
        <v>5275147</v>
      </c>
      <c r="Q8" s="229">
        <f>SUM(E8:P8)</f>
        <v>125551294.56800151</v>
      </c>
    </row>
    <row r="9" spans="1:17" ht="27.75" customHeight="1">
      <c r="A9" s="37" t="s">
        <v>6</v>
      </c>
      <c r="B9" s="839" t="s">
        <v>419</v>
      </c>
      <c r="C9" s="839"/>
      <c r="D9" s="839"/>
      <c r="E9" s="225">
        <v>2443477.756563508</v>
      </c>
      <c r="F9" s="225">
        <v>2443477.756563508</v>
      </c>
      <c r="G9" s="225">
        <v>8955317.443239339</v>
      </c>
      <c r="H9" s="225">
        <v>2443477.756563508</v>
      </c>
      <c r="I9" s="225">
        <v>6541765.655425832</v>
      </c>
      <c r="J9" s="225">
        <v>2473776.6843818766</v>
      </c>
      <c r="K9" s="225">
        <v>4460583.576765985</v>
      </c>
      <c r="L9" s="225">
        <f>2201147+52</f>
        <v>2201199</v>
      </c>
      <c r="M9" s="225">
        <v>3500360.2818772225</v>
      </c>
      <c r="N9" s="225">
        <v>2443477.756563508</v>
      </c>
      <c r="O9" s="225">
        <v>2443477.756563508</v>
      </c>
      <c r="P9" s="225">
        <v>2443477.756563508</v>
      </c>
      <c r="Q9" s="229">
        <f>SUM(E9:P9)</f>
        <v>42793869.1810713</v>
      </c>
    </row>
    <row r="10" spans="1:17" ht="27.75" customHeight="1">
      <c r="A10" s="37"/>
      <c r="B10" s="840" t="s">
        <v>73</v>
      </c>
      <c r="C10" s="840"/>
      <c r="D10" s="840"/>
      <c r="E10" s="226">
        <f aca="true" t="shared" si="1" ref="E10:Q10">SUM(E8:E9)</f>
        <v>7718624.756563508</v>
      </c>
      <c r="F10" s="226">
        <f t="shared" si="1"/>
        <v>7718624.756563508</v>
      </c>
      <c r="G10" s="226">
        <f t="shared" si="1"/>
        <v>42948621.333333336</v>
      </c>
      <c r="H10" s="226">
        <f t="shared" si="1"/>
        <v>7718624.756563508</v>
      </c>
      <c r="I10" s="226">
        <f t="shared" si="1"/>
        <v>31373518.333333336</v>
      </c>
      <c r="J10" s="226">
        <f t="shared" si="1"/>
        <v>7748923.684381876</v>
      </c>
      <c r="K10" s="226">
        <f t="shared" si="1"/>
        <v>9735730.576765984</v>
      </c>
      <c r="L10" s="226">
        <f t="shared" si="1"/>
        <v>16451261</v>
      </c>
      <c r="M10" s="226">
        <f t="shared" si="1"/>
        <v>13775360.281877223</v>
      </c>
      <c r="N10" s="226">
        <f t="shared" si="1"/>
        <v>7718624.756563508</v>
      </c>
      <c r="O10" s="226">
        <f t="shared" si="1"/>
        <v>7718624.756563508</v>
      </c>
      <c r="P10" s="226">
        <f t="shared" si="1"/>
        <v>7718624.756563508</v>
      </c>
      <c r="Q10" s="229">
        <f t="shared" si="1"/>
        <v>168345163.7490728</v>
      </c>
    </row>
    <row r="14" spans="2:16" ht="12.75" hidden="1">
      <c r="B14" s="33" t="s">
        <v>72</v>
      </c>
      <c r="C14" s="33">
        <v>14597969.33333333</v>
      </c>
      <c r="D14" s="33">
        <v>14597969.33333333</v>
      </c>
      <c r="E14" s="33">
        <v>50279195.33333333</v>
      </c>
      <c r="F14" s="33">
        <v>14597969.33333333</v>
      </c>
      <c r="G14" s="33">
        <v>16654971.33333333</v>
      </c>
      <c r="H14" s="33">
        <v>14743279.33333333</v>
      </c>
      <c r="I14" s="33">
        <v>16127705.33333333</v>
      </c>
      <c r="J14" s="33">
        <v>14597969.33333333</v>
      </c>
      <c r="K14" s="33">
        <v>19666650.33333333</v>
      </c>
      <c r="L14" s="33">
        <v>14597969.33333333</v>
      </c>
      <c r="M14" s="33">
        <v>14597969.33333333</v>
      </c>
      <c r="N14" s="33">
        <v>14597969.33333333</v>
      </c>
      <c r="O14" s="33">
        <v>219657587.00000003</v>
      </c>
      <c r="P14" s="33">
        <v>197903101</v>
      </c>
    </row>
    <row r="15" spans="3:16" ht="22.5" customHeight="1" hidden="1">
      <c r="C15" s="33">
        <f>C14*$Q$17</f>
        <v>13152213.127833223</v>
      </c>
      <c r="D15" s="33">
        <f aca="true" t="shared" si="2" ref="D15:O15">D14*$Q$17</f>
        <v>13152213.127833223</v>
      </c>
      <c r="E15" s="33">
        <f t="shared" si="2"/>
        <v>45299635.71097315</v>
      </c>
      <c r="F15" s="33">
        <f t="shared" si="2"/>
        <v>13152213.127833223</v>
      </c>
      <c r="G15" s="33">
        <f t="shared" si="2"/>
        <v>15005493.408851705</v>
      </c>
      <c r="H15" s="33">
        <f t="shared" si="2"/>
        <v>13283131.890982114</v>
      </c>
      <c r="I15" s="33">
        <f t="shared" si="2"/>
        <v>14530446.869931718</v>
      </c>
      <c r="J15" s="33">
        <f t="shared" si="2"/>
        <v>13152213.127833223</v>
      </c>
      <c r="K15" s="33">
        <f t="shared" si="2"/>
        <v>17718901.224428676</v>
      </c>
      <c r="L15" s="33">
        <f t="shared" si="2"/>
        <v>13152213.127833223</v>
      </c>
      <c r="M15" s="33">
        <f t="shared" si="2"/>
        <v>13152213.127833223</v>
      </c>
      <c r="N15" s="33">
        <f t="shared" si="2"/>
        <v>13152213.127833223</v>
      </c>
      <c r="O15" s="33">
        <f t="shared" si="2"/>
        <v>197903101</v>
      </c>
      <c r="P15" s="33">
        <v>21754486</v>
      </c>
    </row>
    <row r="16" spans="3:15" ht="12.75" hidden="1">
      <c r="C16" s="33">
        <f>C14*$Q$18</f>
        <v>1445756.2055001052</v>
      </c>
      <c r="D16" s="33">
        <f aca="true" t="shared" si="3" ref="D16:O16">D14*$Q$18</f>
        <v>1445756.2055001052</v>
      </c>
      <c r="E16" s="33">
        <f t="shared" si="3"/>
        <v>4979559.622360165</v>
      </c>
      <c r="F16" s="33">
        <f t="shared" si="3"/>
        <v>1445756.2055001052</v>
      </c>
      <c r="G16" s="33">
        <f t="shared" si="3"/>
        <v>1649477.9244816215</v>
      </c>
      <c r="H16" s="33">
        <f t="shared" si="3"/>
        <v>1460147.4423512137</v>
      </c>
      <c r="I16" s="33">
        <f t="shared" si="3"/>
        <v>1597258.4634016089</v>
      </c>
      <c r="J16" s="33">
        <f t="shared" si="3"/>
        <v>1445756.2055001052</v>
      </c>
      <c r="K16" s="33">
        <f t="shared" si="3"/>
        <v>1947749.1089046479</v>
      </c>
      <c r="L16" s="33">
        <f t="shared" si="3"/>
        <v>1445756.2055001052</v>
      </c>
      <c r="M16" s="33">
        <f t="shared" si="3"/>
        <v>1445756.2055001052</v>
      </c>
      <c r="N16" s="33">
        <f t="shared" si="3"/>
        <v>1445756.2055001052</v>
      </c>
      <c r="O16" s="33">
        <f t="shared" si="3"/>
        <v>21754486</v>
      </c>
    </row>
    <row r="17" spans="2:17" ht="12.75" hidden="1">
      <c r="B17" s="33" t="s">
        <v>73</v>
      </c>
      <c r="C17" s="33">
        <v>11718624.33333333</v>
      </c>
      <c r="D17" s="33">
        <v>11718624.33333333</v>
      </c>
      <c r="E17" s="33">
        <v>42948621.33333333</v>
      </c>
      <c r="F17" s="33">
        <v>11718624.33333333</v>
      </c>
      <c r="G17" s="33">
        <v>31373518.33333333</v>
      </c>
      <c r="H17" s="33">
        <v>11863934.33333333</v>
      </c>
      <c r="I17" s="33">
        <v>21392420.33333333</v>
      </c>
      <c r="J17" s="33">
        <v>24980041.33333333</v>
      </c>
      <c r="K17" s="33">
        <v>16787305.33333333</v>
      </c>
      <c r="L17" s="33">
        <v>11718624.33333333</v>
      </c>
      <c r="M17" s="33">
        <v>11718624.33333333</v>
      </c>
      <c r="N17" s="33">
        <v>11718624.33333333</v>
      </c>
      <c r="O17" s="33">
        <v>219657586.99999997</v>
      </c>
      <c r="P17" s="33">
        <v>173856270</v>
      </c>
      <c r="Q17" s="33">
        <f>P14/O14</f>
        <v>0.900961827464671</v>
      </c>
    </row>
    <row r="18" spans="3:17" ht="12.75" hidden="1">
      <c r="C18" s="33">
        <f>C17*$Q$20</f>
        <v>9275146.576769825</v>
      </c>
      <c r="D18" s="33">
        <f aca="true" t="shared" si="4" ref="D18:O18">D17*$Q$20</f>
        <v>9275146.576769825</v>
      </c>
      <c r="E18" s="33">
        <f t="shared" si="4"/>
        <v>33993303.890094</v>
      </c>
      <c r="F18" s="33">
        <f t="shared" si="4"/>
        <v>9275146.576769825</v>
      </c>
      <c r="G18" s="33">
        <f t="shared" si="4"/>
        <v>24831752.677907504</v>
      </c>
      <c r="H18" s="33">
        <f t="shared" si="4"/>
        <v>9390157.648951456</v>
      </c>
      <c r="I18" s="33">
        <f t="shared" si="4"/>
        <v>16931836.756567348</v>
      </c>
      <c r="J18" s="33">
        <f t="shared" si="4"/>
        <v>19771394.51440464</v>
      </c>
      <c r="K18" s="33">
        <f t="shared" si="4"/>
        <v>13286945.051456109</v>
      </c>
      <c r="L18" s="33">
        <f t="shared" si="4"/>
        <v>9275146.576769825</v>
      </c>
      <c r="M18" s="33">
        <f t="shared" si="4"/>
        <v>9275146.576769825</v>
      </c>
      <c r="N18" s="33">
        <f t="shared" si="4"/>
        <v>9275146.576769825</v>
      </c>
      <c r="O18" s="33">
        <f t="shared" si="4"/>
        <v>173856270</v>
      </c>
      <c r="P18" s="33">
        <v>45801317</v>
      </c>
      <c r="Q18" s="33">
        <f>P15/O14</f>
        <v>0.0990381725353288</v>
      </c>
    </row>
    <row r="19" spans="3:15" ht="12.75" hidden="1">
      <c r="C19" s="33">
        <f>C17*$Q$21</f>
        <v>2443477.756563508</v>
      </c>
      <c r="D19" s="33">
        <f aca="true" t="shared" si="5" ref="D19:O19">D17*$Q$21</f>
        <v>2443477.756563508</v>
      </c>
      <c r="E19" s="33">
        <f t="shared" si="5"/>
        <v>8955317.443239339</v>
      </c>
      <c r="F19" s="33">
        <f t="shared" si="5"/>
        <v>2443477.756563508</v>
      </c>
      <c r="G19" s="33">
        <f t="shared" si="5"/>
        <v>6541765.655425832</v>
      </c>
      <c r="H19" s="33">
        <f t="shared" si="5"/>
        <v>2473776.6843818766</v>
      </c>
      <c r="I19" s="33">
        <f t="shared" si="5"/>
        <v>4460583.576765985</v>
      </c>
      <c r="J19" s="33">
        <f t="shared" si="5"/>
        <v>5208646.8189286925</v>
      </c>
      <c r="K19" s="33">
        <f t="shared" si="5"/>
        <v>3500360.2818772225</v>
      </c>
      <c r="L19" s="33">
        <f t="shared" si="5"/>
        <v>2443477.756563508</v>
      </c>
      <c r="M19" s="33">
        <f t="shared" si="5"/>
        <v>2443477.756563508</v>
      </c>
      <c r="N19" s="33">
        <f t="shared" si="5"/>
        <v>2443477.756563508</v>
      </c>
      <c r="O19" s="33">
        <f t="shared" si="5"/>
        <v>45801317</v>
      </c>
    </row>
    <row r="20" ht="12.75" hidden="1">
      <c r="Q20" s="33">
        <f>P17/O17</f>
        <v>0.7914876621129414</v>
      </c>
    </row>
    <row r="21" ht="12.75" hidden="1">
      <c r="Q21" s="33">
        <f>P18/O17</f>
        <v>0.20851233788705875</v>
      </c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fitToHeight="0" fitToWidth="1" horizontalDpi="600" verticalDpi="600" orientation="landscape" paperSize="9" scale="78" r:id="rId1"/>
  <headerFooter alignWithMargins="0">
    <oddHeader>&amp;C&amp;"Garamond,Félkövér"&amp;12  3/2019. (V.31.) számú költségvetési rendelethez
ZALASZABAR KÖZSÉG  ÖNKORMÁNYZATA 2018.ÉVI ELŐIRÁNYZAT  FELHASZNÁLÁSI ÜTEMTERVE
&amp;R&amp;A
&amp;P.oldal
Ft-ban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view="pageLayout" zoomScaleSheetLayoutView="100" workbookViewId="0" topLeftCell="B4">
      <selection activeCell="M19" sqref="M19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16" t="s">
        <v>265</v>
      </c>
      <c r="B1" s="274" t="s">
        <v>1019</v>
      </c>
      <c r="C1" s="274" t="s">
        <v>268</v>
      </c>
      <c r="D1" s="274" t="s">
        <v>269</v>
      </c>
      <c r="E1" s="274" t="s">
        <v>1020</v>
      </c>
      <c r="F1" s="274" t="s">
        <v>276</v>
      </c>
      <c r="G1" s="274" t="s">
        <v>270</v>
      </c>
      <c r="H1" s="274" t="s">
        <v>274</v>
      </c>
      <c r="I1" s="274" t="s">
        <v>266</v>
      </c>
      <c r="J1" s="274" t="s">
        <v>277</v>
      </c>
      <c r="K1" s="274" t="s">
        <v>1021</v>
      </c>
    </row>
    <row r="2" spans="1:11" ht="24.75" customHeight="1">
      <c r="A2" s="181" t="s">
        <v>267</v>
      </c>
      <c r="B2" s="85"/>
      <c r="C2" s="69"/>
      <c r="D2" s="69"/>
      <c r="E2" s="69"/>
      <c r="F2" s="69"/>
      <c r="G2" s="69"/>
      <c r="H2" s="69"/>
      <c r="I2" s="69"/>
      <c r="J2" s="69"/>
      <c r="K2" s="85"/>
    </row>
    <row r="3" spans="1:11" ht="24.75" customHeight="1">
      <c r="A3" s="69" t="s">
        <v>428</v>
      </c>
      <c r="B3" s="85">
        <v>0</v>
      </c>
      <c r="C3" s="69"/>
      <c r="D3" s="69"/>
      <c r="E3" s="69"/>
      <c r="F3" s="69"/>
      <c r="G3" s="69"/>
      <c r="H3" s="69"/>
      <c r="I3" s="69"/>
      <c r="J3" s="69"/>
      <c r="K3" s="85">
        <f>SUM(C3:J3)</f>
        <v>0</v>
      </c>
    </row>
    <row r="4" spans="1:11" ht="24.75" customHeight="1">
      <c r="A4" s="69" t="s">
        <v>272</v>
      </c>
      <c r="B4" s="85">
        <v>5</v>
      </c>
      <c r="C4" s="69"/>
      <c r="D4" s="69"/>
      <c r="E4" s="69"/>
      <c r="F4" s="69"/>
      <c r="G4" s="69"/>
      <c r="H4" s="69"/>
      <c r="I4" s="69"/>
      <c r="J4" s="69">
        <v>5</v>
      </c>
      <c r="K4" s="85">
        <f>SUM(C4:J4)</f>
        <v>5</v>
      </c>
    </row>
    <row r="5" spans="1:11" ht="24.75" customHeight="1">
      <c r="A5" s="69" t="s">
        <v>448</v>
      </c>
      <c r="B5" s="85">
        <v>0</v>
      </c>
      <c r="C5" s="69"/>
      <c r="D5" s="69"/>
      <c r="E5" s="69"/>
      <c r="F5" s="69">
        <v>1</v>
      </c>
      <c r="G5" s="69"/>
      <c r="H5" s="69"/>
      <c r="I5" s="69"/>
      <c r="J5" s="69"/>
      <c r="K5" s="85">
        <f>SUM(C5:J5)</f>
        <v>1</v>
      </c>
    </row>
    <row r="6" spans="1:11" s="142" customFormat="1" ht="24.75" customHeight="1">
      <c r="A6" s="209" t="s">
        <v>273</v>
      </c>
      <c r="B6" s="209">
        <f aca="true" t="shared" si="0" ref="B6:J6">SUM(B3:B4)</f>
        <v>5</v>
      </c>
      <c r="C6" s="209">
        <f t="shared" si="0"/>
        <v>0</v>
      </c>
      <c r="D6" s="209">
        <f t="shared" si="0"/>
        <v>0</v>
      </c>
      <c r="E6" s="209">
        <f t="shared" si="0"/>
        <v>0</v>
      </c>
      <c r="F6" s="209">
        <f t="shared" si="0"/>
        <v>0</v>
      </c>
      <c r="G6" s="209">
        <f t="shared" si="0"/>
        <v>0</v>
      </c>
      <c r="H6" s="209">
        <f t="shared" si="0"/>
        <v>0</v>
      </c>
      <c r="I6" s="209">
        <f t="shared" si="0"/>
        <v>0</v>
      </c>
      <c r="J6" s="209">
        <f t="shared" si="0"/>
        <v>5</v>
      </c>
      <c r="K6" s="209">
        <f>SUM(K3:K5)</f>
        <v>6</v>
      </c>
    </row>
    <row r="7" spans="1:11" s="142" customFormat="1" ht="24.75" customHeight="1">
      <c r="A7" s="210" t="s">
        <v>425</v>
      </c>
      <c r="B7" s="210"/>
      <c r="C7" s="210"/>
      <c r="D7" s="210"/>
      <c r="E7" s="210"/>
      <c r="F7" s="210"/>
      <c r="G7" s="210"/>
      <c r="H7" s="210"/>
      <c r="I7" s="210"/>
      <c r="J7" s="210"/>
      <c r="K7" s="210">
        <f>SUM(C7:J7)</f>
        <v>0</v>
      </c>
    </row>
    <row r="8" spans="1:11" ht="24.75" customHeight="1">
      <c r="A8" s="69" t="s">
        <v>271</v>
      </c>
      <c r="B8" s="85">
        <v>4</v>
      </c>
      <c r="C8" s="69"/>
      <c r="D8" s="69">
        <v>2</v>
      </c>
      <c r="E8" s="69">
        <v>2</v>
      </c>
      <c r="F8" s="69"/>
      <c r="G8" s="69"/>
      <c r="H8" s="69"/>
      <c r="I8" s="69"/>
      <c r="J8" s="69"/>
      <c r="K8" s="85">
        <f>SUM(D8:J8)</f>
        <v>4</v>
      </c>
    </row>
    <row r="9" spans="1:11" ht="24.75" customHeight="1">
      <c r="A9" s="69" t="s">
        <v>426</v>
      </c>
      <c r="B9" s="85">
        <v>4</v>
      </c>
      <c r="C9" s="69"/>
      <c r="D9" s="69"/>
      <c r="E9" s="69"/>
      <c r="F9" s="69"/>
      <c r="G9" s="69"/>
      <c r="H9" s="69"/>
      <c r="I9" s="69">
        <v>4</v>
      </c>
      <c r="J9" s="69"/>
      <c r="K9" s="85">
        <f>SUM(D9:J9)</f>
        <v>4</v>
      </c>
    </row>
    <row r="10" spans="1:11" ht="24.75" customHeight="1">
      <c r="A10" s="209" t="s">
        <v>427</v>
      </c>
      <c r="B10" s="209">
        <f aca="true" t="shared" si="1" ref="B10:K10">SUM(B8:B9)</f>
        <v>8</v>
      </c>
      <c r="C10" s="209">
        <f t="shared" si="1"/>
        <v>0</v>
      </c>
      <c r="D10" s="209">
        <f t="shared" si="1"/>
        <v>2</v>
      </c>
      <c r="E10" s="209">
        <f t="shared" si="1"/>
        <v>2</v>
      </c>
      <c r="F10" s="209">
        <f t="shared" si="1"/>
        <v>0</v>
      </c>
      <c r="G10" s="209">
        <f t="shared" si="1"/>
        <v>0</v>
      </c>
      <c r="H10" s="209">
        <f t="shared" si="1"/>
        <v>0</v>
      </c>
      <c r="I10" s="209">
        <f t="shared" si="1"/>
        <v>4</v>
      </c>
      <c r="J10" s="209">
        <f t="shared" si="1"/>
        <v>0</v>
      </c>
      <c r="K10" s="209">
        <f t="shared" si="1"/>
        <v>8</v>
      </c>
    </row>
    <row r="11" spans="1:11" s="142" customFormat="1" ht="24.75" customHeight="1">
      <c r="A11" s="210" t="s">
        <v>275</v>
      </c>
      <c r="B11" s="210">
        <f aca="true" t="shared" si="2" ref="B11:K11">SUM(B10+B7+B6)</f>
        <v>13</v>
      </c>
      <c r="C11" s="210">
        <f t="shared" si="2"/>
        <v>0</v>
      </c>
      <c r="D11" s="210">
        <f t="shared" si="2"/>
        <v>2</v>
      </c>
      <c r="E11" s="210">
        <f t="shared" si="2"/>
        <v>2</v>
      </c>
      <c r="F11" s="210">
        <f t="shared" si="2"/>
        <v>0</v>
      </c>
      <c r="G11" s="210">
        <f t="shared" si="2"/>
        <v>0</v>
      </c>
      <c r="H11" s="210">
        <f t="shared" si="2"/>
        <v>0</v>
      </c>
      <c r="I11" s="210">
        <f t="shared" si="2"/>
        <v>4</v>
      </c>
      <c r="J11" s="210">
        <f t="shared" si="2"/>
        <v>5</v>
      </c>
      <c r="K11" s="210">
        <f t="shared" si="2"/>
        <v>14</v>
      </c>
    </row>
    <row r="13" spans="1:9" ht="15.75">
      <c r="A13" s="217"/>
      <c r="B13" s="217"/>
      <c r="C13" s="217"/>
      <c r="D13" s="217"/>
      <c r="I13" s="208"/>
    </row>
    <row r="14" ht="12.75">
      <c r="A14" s="142"/>
    </row>
    <row r="15" ht="12.75">
      <c r="A15" s="142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&amp;C.../2019.(V.30.) számú rendelethez
ZALASZABAR  KÖZSÉG ÖNKORMÁNYZATÁNAK ÉS INTÉZMÉNYÉNEK  2018. ÉVI LÉTSZÁMÁNAK ALAKULÁSA&amp;R11.számú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3"/>
  <sheetViews>
    <sheetView view="pageLayout" zoomScale="75" zoomScaleSheetLayoutView="100" zoomScalePageLayoutView="75" workbookViewId="0" topLeftCell="A1">
      <selection activeCell="P44" sqref="P44"/>
    </sheetView>
  </sheetViews>
  <sheetFormatPr defaultColWidth="9.00390625" defaultRowHeight="12.75"/>
  <cols>
    <col min="1" max="1" width="76.75390625" style="144" customWidth="1"/>
    <col min="2" max="2" width="9.25390625" style="144" bestFit="1" customWidth="1"/>
    <col min="3" max="3" width="13.125" style="144" customWidth="1"/>
    <col min="4" max="4" width="12.00390625" style="144" customWidth="1"/>
    <col min="5" max="5" width="11.125" style="144" customWidth="1"/>
    <col min="6" max="6" width="12.875" style="144" customWidth="1"/>
    <col min="7" max="7" width="11.75390625" style="144" customWidth="1"/>
    <col min="8" max="8" width="9.125" style="144" customWidth="1"/>
    <col min="9" max="9" width="11.25390625" style="144" customWidth="1"/>
    <col min="10" max="10" width="12.375" style="144" customWidth="1"/>
    <col min="11" max="11" width="9.125" style="144" customWidth="1"/>
    <col min="12" max="12" width="10.25390625" style="144" customWidth="1"/>
    <col min="13" max="13" width="12.375" style="144" customWidth="1"/>
    <col min="14" max="14" width="9.125" style="144" customWidth="1"/>
    <col min="15" max="15" width="11.00390625" style="144" customWidth="1"/>
    <col min="16" max="16" width="12.00390625" style="144" customWidth="1"/>
    <col min="17" max="17" width="9.125" style="144" customWidth="1"/>
    <col min="18" max="18" width="10.125" style="144" customWidth="1"/>
    <col min="19" max="19" width="10.75390625" style="144" customWidth="1"/>
    <col min="20" max="16384" width="9.125" style="144" customWidth="1"/>
  </cols>
  <sheetData>
    <row r="1" spans="1:19" ht="15">
      <c r="A1" s="686" t="s">
        <v>48</v>
      </c>
      <c r="B1" s="688" t="s">
        <v>895</v>
      </c>
      <c r="C1" s="689"/>
      <c r="D1" s="690"/>
      <c r="E1" s="688" t="s">
        <v>896</v>
      </c>
      <c r="F1" s="689"/>
      <c r="G1" s="690"/>
      <c r="H1" s="688" t="s">
        <v>897</v>
      </c>
      <c r="I1" s="689"/>
      <c r="J1" s="689"/>
      <c r="K1" s="691" t="s">
        <v>898</v>
      </c>
      <c r="L1" s="691"/>
      <c r="M1" s="691"/>
      <c r="N1" s="691" t="s">
        <v>914</v>
      </c>
      <c r="O1" s="691"/>
      <c r="P1" s="691"/>
      <c r="Q1" s="685"/>
      <c r="R1" s="685"/>
      <c r="S1" s="685"/>
    </row>
    <row r="2" spans="1:19" s="167" customFormat="1" ht="30">
      <c r="A2" s="687"/>
      <c r="B2" s="169" t="s">
        <v>261</v>
      </c>
      <c r="C2" s="169" t="s">
        <v>116</v>
      </c>
      <c r="D2" s="170" t="s">
        <v>262</v>
      </c>
      <c r="E2" s="169" t="s">
        <v>261</v>
      </c>
      <c r="F2" s="169" t="s">
        <v>116</v>
      </c>
      <c r="G2" s="170" t="s">
        <v>262</v>
      </c>
      <c r="H2" s="169" t="s">
        <v>261</v>
      </c>
      <c r="I2" s="169" t="s">
        <v>116</v>
      </c>
      <c r="J2" s="547" t="s">
        <v>262</v>
      </c>
      <c r="K2" s="568" t="s">
        <v>261</v>
      </c>
      <c r="L2" s="568" t="s">
        <v>116</v>
      </c>
      <c r="M2" s="569" t="s">
        <v>262</v>
      </c>
      <c r="N2" s="568" t="s">
        <v>261</v>
      </c>
      <c r="O2" s="568" t="s">
        <v>116</v>
      </c>
      <c r="P2" s="569" t="s">
        <v>262</v>
      </c>
      <c r="Q2" s="551"/>
      <c r="R2" s="551"/>
      <c r="S2" s="552"/>
    </row>
    <row r="3" spans="1:19" ht="15">
      <c r="A3" s="171"/>
      <c r="B3" s="172"/>
      <c r="C3" s="173" t="s">
        <v>49</v>
      </c>
      <c r="D3" s="174" t="s">
        <v>468</v>
      </c>
      <c r="E3" s="172"/>
      <c r="F3" s="173" t="s">
        <v>49</v>
      </c>
      <c r="G3" s="174" t="s">
        <v>468</v>
      </c>
      <c r="H3" s="500"/>
      <c r="I3" s="673"/>
      <c r="J3" s="673"/>
      <c r="K3" s="674"/>
      <c r="L3" s="673"/>
      <c r="M3" s="673"/>
      <c r="N3" s="674"/>
      <c r="O3" s="673"/>
      <c r="P3" s="673"/>
      <c r="Q3" s="553"/>
      <c r="R3" s="550"/>
      <c r="S3" s="550"/>
    </row>
    <row r="4" spans="1:19" ht="15">
      <c r="A4" s="267" t="s">
        <v>100</v>
      </c>
      <c r="B4" s="268"/>
      <c r="C4" s="268"/>
      <c r="D4" s="269"/>
      <c r="E4" s="268"/>
      <c r="F4" s="268"/>
      <c r="G4" s="501"/>
      <c r="H4" s="145"/>
      <c r="I4" s="502"/>
      <c r="J4" s="548"/>
      <c r="K4" s="145"/>
      <c r="L4" s="502"/>
      <c r="M4" s="502"/>
      <c r="N4" s="145"/>
      <c r="O4" s="502"/>
      <c r="P4" s="502"/>
      <c r="Q4" s="554"/>
      <c r="R4" s="554"/>
      <c r="S4" s="554"/>
    </row>
    <row r="5" spans="1:19" ht="15">
      <c r="A5" s="165" t="s">
        <v>101</v>
      </c>
      <c r="B5" s="270"/>
      <c r="C5" s="271"/>
      <c r="D5" s="272"/>
      <c r="E5" s="270"/>
      <c r="F5" s="271"/>
      <c r="G5" s="503"/>
      <c r="H5" s="145"/>
      <c r="I5" s="502"/>
      <c r="J5" s="548"/>
      <c r="K5" s="145"/>
      <c r="L5" s="502"/>
      <c r="M5" s="502"/>
      <c r="N5" s="145"/>
      <c r="O5" s="502"/>
      <c r="P5" s="502"/>
      <c r="Q5" s="555"/>
      <c r="R5" s="554"/>
      <c r="S5" s="554"/>
    </row>
    <row r="6" spans="1:19" ht="15">
      <c r="A6" s="165" t="s">
        <v>102</v>
      </c>
      <c r="B6" s="271"/>
      <c r="C6" s="271"/>
      <c r="D6" s="272"/>
      <c r="E6" s="271"/>
      <c r="F6" s="271"/>
      <c r="G6" s="503"/>
      <c r="H6" s="145"/>
      <c r="I6" s="502"/>
      <c r="J6" s="548"/>
      <c r="K6" s="145"/>
      <c r="L6" s="502"/>
      <c r="M6" s="502"/>
      <c r="N6" s="145"/>
      <c r="O6" s="502"/>
      <c r="P6" s="502"/>
      <c r="Q6" s="554"/>
      <c r="R6" s="554"/>
      <c r="S6" s="554"/>
    </row>
    <row r="7" spans="1:19" ht="15">
      <c r="A7" s="165" t="s">
        <v>312</v>
      </c>
      <c r="B7" s="271"/>
      <c r="C7" s="271"/>
      <c r="D7" s="272">
        <f>D9+D11+D13+D15</f>
        <v>7120052</v>
      </c>
      <c r="E7" s="271"/>
      <c r="F7" s="271"/>
      <c r="G7" s="503">
        <f>G9+G11+G13+G15</f>
        <v>7120052</v>
      </c>
      <c r="H7" s="145"/>
      <c r="I7" s="145"/>
      <c r="J7" s="549">
        <f>J9+J11+J13+J15</f>
        <v>7120052</v>
      </c>
      <c r="K7" s="145"/>
      <c r="L7" s="145"/>
      <c r="M7" s="145">
        <f>M9+M11+M13+M15</f>
        <v>7120052</v>
      </c>
      <c r="N7" s="145"/>
      <c r="O7" s="145"/>
      <c r="P7" s="145">
        <f>P9+P11+P13+P15</f>
        <v>7120052</v>
      </c>
      <c r="Q7" s="554"/>
      <c r="R7" s="554"/>
      <c r="S7" s="554"/>
    </row>
    <row r="8" spans="1:19" ht="14.25">
      <c r="A8" s="234" t="s">
        <v>103</v>
      </c>
      <c r="B8" s="504"/>
      <c r="C8" s="505"/>
      <c r="D8" s="506">
        <v>2321430</v>
      </c>
      <c r="E8" s="504"/>
      <c r="F8" s="505"/>
      <c r="G8" s="507">
        <v>2321430</v>
      </c>
      <c r="H8" s="508"/>
      <c r="I8" s="502"/>
      <c r="J8" s="534">
        <v>2321430</v>
      </c>
      <c r="K8" s="508"/>
      <c r="L8" s="502"/>
      <c r="M8" s="508">
        <v>2321430</v>
      </c>
      <c r="N8" s="508"/>
      <c r="O8" s="502"/>
      <c r="P8" s="508">
        <v>2321430</v>
      </c>
      <c r="Q8" s="556"/>
      <c r="R8" s="557"/>
      <c r="S8" s="558"/>
    </row>
    <row r="9" spans="1:19" ht="14.25">
      <c r="A9" s="234" t="s">
        <v>182</v>
      </c>
      <c r="B9" s="504"/>
      <c r="C9" s="505"/>
      <c r="D9" s="506">
        <v>2321430</v>
      </c>
      <c r="E9" s="504"/>
      <c r="F9" s="505"/>
      <c r="G9" s="507">
        <v>2321430</v>
      </c>
      <c r="H9" s="508"/>
      <c r="I9" s="502"/>
      <c r="J9" s="534">
        <v>2321430</v>
      </c>
      <c r="K9" s="508"/>
      <c r="L9" s="502"/>
      <c r="M9" s="508">
        <v>2321430</v>
      </c>
      <c r="N9" s="508"/>
      <c r="O9" s="502"/>
      <c r="P9" s="508">
        <v>2321430</v>
      </c>
      <c r="Q9" s="556"/>
      <c r="R9" s="557"/>
      <c r="S9" s="558"/>
    </row>
    <row r="10" spans="1:19" ht="14.25">
      <c r="A10" s="234" t="s">
        <v>104</v>
      </c>
      <c r="B10" s="509"/>
      <c r="C10" s="509"/>
      <c r="D10" s="506">
        <v>3360000</v>
      </c>
      <c r="E10" s="509"/>
      <c r="F10" s="509"/>
      <c r="G10" s="507">
        <v>3360000</v>
      </c>
      <c r="H10" s="508"/>
      <c r="I10" s="502"/>
      <c r="J10" s="534">
        <v>3360000</v>
      </c>
      <c r="K10" s="508"/>
      <c r="L10" s="502"/>
      <c r="M10" s="508">
        <v>3360000</v>
      </c>
      <c r="N10" s="508"/>
      <c r="O10" s="502"/>
      <c r="P10" s="508">
        <v>3360000</v>
      </c>
      <c r="Q10" s="558"/>
      <c r="R10" s="558"/>
      <c r="S10" s="558"/>
    </row>
    <row r="11" spans="1:19" ht="14.25">
      <c r="A11" s="234" t="s">
        <v>183</v>
      </c>
      <c r="B11" s="509"/>
      <c r="C11" s="509"/>
      <c r="D11" s="506">
        <v>3360000</v>
      </c>
      <c r="E11" s="509"/>
      <c r="F11" s="509"/>
      <c r="G11" s="507">
        <v>3360000</v>
      </c>
      <c r="H11" s="508"/>
      <c r="I11" s="502"/>
      <c r="J11" s="534">
        <v>3360000</v>
      </c>
      <c r="K11" s="508"/>
      <c r="L11" s="502"/>
      <c r="M11" s="508">
        <v>3360000</v>
      </c>
      <c r="N11" s="508"/>
      <c r="O11" s="502"/>
      <c r="P11" s="508">
        <v>3360000</v>
      </c>
      <c r="Q11" s="558"/>
      <c r="R11" s="558"/>
      <c r="S11" s="558"/>
    </row>
    <row r="12" spans="1:19" ht="14.25">
      <c r="A12" s="234" t="s">
        <v>105</v>
      </c>
      <c r="B12" s="509"/>
      <c r="C12" s="509"/>
      <c r="D12" s="506">
        <v>646392</v>
      </c>
      <c r="E12" s="509"/>
      <c r="F12" s="509"/>
      <c r="G12" s="507">
        <v>646392</v>
      </c>
      <c r="H12" s="508"/>
      <c r="I12" s="502"/>
      <c r="J12" s="534">
        <v>646392</v>
      </c>
      <c r="K12" s="508"/>
      <c r="L12" s="502"/>
      <c r="M12" s="508">
        <v>646392</v>
      </c>
      <c r="N12" s="508"/>
      <c r="O12" s="502"/>
      <c r="P12" s="508">
        <v>646392</v>
      </c>
      <c r="Q12" s="558"/>
      <c r="R12" s="558"/>
      <c r="S12" s="558"/>
    </row>
    <row r="13" spans="1:19" ht="14.25">
      <c r="A13" s="234" t="s">
        <v>184</v>
      </c>
      <c r="B13" s="509"/>
      <c r="C13" s="509"/>
      <c r="D13" s="506">
        <v>646392</v>
      </c>
      <c r="E13" s="509"/>
      <c r="F13" s="509"/>
      <c r="G13" s="507">
        <v>646392</v>
      </c>
      <c r="H13" s="508"/>
      <c r="I13" s="502"/>
      <c r="J13" s="534">
        <v>646392</v>
      </c>
      <c r="K13" s="508"/>
      <c r="L13" s="502"/>
      <c r="M13" s="508">
        <v>646392</v>
      </c>
      <c r="N13" s="508"/>
      <c r="O13" s="502"/>
      <c r="P13" s="508">
        <v>646392</v>
      </c>
      <c r="Q13" s="558"/>
      <c r="R13" s="558"/>
      <c r="S13" s="558"/>
    </row>
    <row r="14" spans="1:19" ht="14.25">
      <c r="A14" s="234" t="s">
        <v>106</v>
      </c>
      <c r="B14" s="509"/>
      <c r="C14" s="509"/>
      <c r="D14" s="506">
        <v>792230</v>
      </c>
      <c r="E14" s="509"/>
      <c r="F14" s="509"/>
      <c r="G14" s="507">
        <v>792230</v>
      </c>
      <c r="H14" s="508"/>
      <c r="I14" s="502"/>
      <c r="J14" s="534">
        <v>792230</v>
      </c>
      <c r="K14" s="508"/>
      <c r="L14" s="502"/>
      <c r="M14" s="508">
        <v>792230</v>
      </c>
      <c r="N14" s="508"/>
      <c r="O14" s="502"/>
      <c r="P14" s="508">
        <v>792230</v>
      </c>
      <c r="Q14" s="558"/>
      <c r="R14" s="558"/>
      <c r="S14" s="558"/>
    </row>
    <row r="15" spans="1:19" ht="14.25">
      <c r="A15" s="234" t="s">
        <v>106</v>
      </c>
      <c r="B15" s="509"/>
      <c r="C15" s="509"/>
      <c r="D15" s="506">
        <v>792230</v>
      </c>
      <c r="E15" s="509"/>
      <c r="F15" s="509"/>
      <c r="G15" s="507">
        <v>792230</v>
      </c>
      <c r="H15" s="508"/>
      <c r="I15" s="502"/>
      <c r="J15" s="534">
        <v>792230</v>
      </c>
      <c r="K15" s="508"/>
      <c r="L15" s="502"/>
      <c r="M15" s="508">
        <v>792230</v>
      </c>
      <c r="N15" s="508"/>
      <c r="O15" s="502"/>
      <c r="P15" s="508">
        <v>792230</v>
      </c>
      <c r="Q15" s="558"/>
      <c r="R15" s="558"/>
      <c r="S15" s="558"/>
    </row>
    <row r="16" spans="1:19" ht="15">
      <c r="A16" s="165" t="s">
        <v>399</v>
      </c>
      <c r="B16" s="146"/>
      <c r="C16" s="146"/>
      <c r="D16" s="147"/>
      <c r="E16" s="146"/>
      <c r="F16" s="146"/>
      <c r="G16" s="336"/>
      <c r="H16" s="149"/>
      <c r="I16" s="502"/>
      <c r="J16" s="539"/>
      <c r="K16" s="149"/>
      <c r="L16" s="502"/>
      <c r="M16" s="149"/>
      <c r="N16" s="149"/>
      <c r="O16" s="502"/>
      <c r="P16" s="149"/>
      <c r="Q16" s="559"/>
      <c r="R16" s="559"/>
      <c r="S16" s="559"/>
    </row>
    <row r="17" spans="1:19" ht="15">
      <c r="A17" s="165" t="s">
        <v>400</v>
      </c>
      <c r="B17" s="146"/>
      <c r="C17" s="146"/>
      <c r="D17" s="147">
        <v>5000000</v>
      </c>
      <c r="E17" s="146"/>
      <c r="F17" s="146"/>
      <c r="G17" s="336">
        <v>5000000</v>
      </c>
      <c r="H17" s="149"/>
      <c r="I17" s="502"/>
      <c r="J17" s="539">
        <v>5000000</v>
      </c>
      <c r="K17" s="149"/>
      <c r="L17" s="502"/>
      <c r="M17" s="149">
        <v>5000000</v>
      </c>
      <c r="N17" s="149"/>
      <c r="O17" s="502"/>
      <c r="P17" s="149">
        <v>5000000</v>
      </c>
      <c r="Q17" s="559"/>
      <c r="R17" s="559"/>
      <c r="S17" s="559"/>
    </row>
    <row r="18" spans="1:19" ht="14.25" customHeight="1">
      <c r="A18" s="165" t="s">
        <v>403</v>
      </c>
      <c r="B18" s="146"/>
      <c r="C18" s="146"/>
      <c r="D18" s="147"/>
      <c r="E18" s="146"/>
      <c r="F18" s="146"/>
      <c r="G18" s="336"/>
      <c r="H18" s="149"/>
      <c r="I18" s="502"/>
      <c r="J18" s="539"/>
      <c r="K18" s="149"/>
      <c r="L18" s="502"/>
      <c r="M18" s="149"/>
      <c r="N18" s="149"/>
      <c r="O18" s="502"/>
      <c r="P18" s="149"/>
      <c r="Q18" s="559"/>
      <c r="R18" s="559"/>
      <c r="S18" s="559"/>
    </row>
    <row r="19" spans="1:19" ht="14.25" customHeight="1">
      <c r="A19" s="165" t="s">
        <v>401</v>
      </c>
      <c r="B19" s="146"/>
      <c r="C19" s="146"/>
      <c r="D19" s="147">
        <v>28050</v>
      </c>
      <c r="E19" s="146"/>
      <c r="F19" s="146"/>
      <c r="G19" s="336">
        <v>40800</v>
      </c>
      <c r="H19" s="149"/>
      <c r="I19" s="502"/>
      <c r="J19" s="539">
        <v>40800</v>
      </c>
      <c r="K19" s="149"/>
      <c r="L19" s="502"/>
      <c r="M19" s="149">
        <v>40800</v>
      </c>
      <c r="N19" s="149"/>
      <c r="O19" s="502"/>
      <c r="P19" s="149">
        <v>40800</v>
      </c>
      <c r="Q19" s="559"/>
      <c r="R19" s="559"/>
      <c r="S19" s="559"/>
    </row>
    <row r="20" spans="1:19" ht="14.25" customHeight="1">
      <c r="A20" s="165" t="s">
        <v>402</v>
      </c>
      <c r="B20" s="146"/>
      <c r="C20" s="146"/>
      <c r="D20" s="147"/>
      <c r="E20" s="146"/>
      <c r="F20" s="146"/>
      <c r="G20" s="507"/>
      <c r="H20" s="508"/>
      <c r="I20" s="502"/>
      <c r="J20" s="534"/>
      <c r="K20" s="508"/>
      <c r="L20" s="502"/>
      <c r="M20" s="508"/>
      <c r="N20" s="508"/>
      <c r="O20" s="502"/>
      <c r="P20" s="508"/>
      <c r="Q20" s="559"/>
      <c r="R20" s="559"/>
      <c r="S20" s="559"/>
    </row>
    <row r="21" spans="1:19" ht="14.25" customHeight="1">
      <c r="A21" s="165" t="s">
        <v>404</v>
      </c>
      <c r="B21" s="146"/>
      <c r="C21" s="146"/>
      <c r="D21" s="147"/>
      <c r="E21" s="146"/>
      <c r="F21" s="146"/>
      <c r="G21" s="336"/>
      <c r="H21" s="149"/>
      <c r="I21" s="502"/>
      <c r="J21" s="539"/>
      <c r="K21" s="149"/>
      <c r="L21" s="502"/>
      <c r="M21" s="149"/>
      <c r="N21" s="149"/>
      <c r="O21" s="502"/>
      <c r="P21" s="149"/>
      <c r="Q21" s="559"/>
      <c r="R21" s="559"/>
      <c r="S21" s="559"/>
    </row>
    <row r="22" spans="1:19" ht="14.25" customHeight="1">
      <c r="A22" s="165" t="s">
        <v>405</v>
      </c>
      <c r="B22" s="146"/>
      <c r="C22" s="146"/>
      <c r="D22" s="147"/>
      <c r="E22" s="146"/>
      <c r="F22" s="146"/>
      <c r="G22" s="507"/>
      <c r="H22" s="508"/>
      <c r="I22" s="502"/>
      <c r="J22" s="534"/>
      <c r="K22" s="508"/>
      <c r="L22" s="502"/>
      <c r="M22" s="508"/>
      <c r="N22" s="508"/>
      <c r="O22" s="502"/>
      <c r="P22" s="508"/>
      <c r="Q22" s="559"/>
      <c r="R22" s="559"/>
      <c r="S22" s="559"/>
    </row>
    <row r="23" spans="1:19" ht="14.25" customHeight="1">
      <c r="A23" s="165" t="s">
        <v>406</v>
      </c>
      <c r="B23" s="146"/>
      <c r="C23" s="146"/>
      <c r="D23" s="147">
        <v>4373317</v>
      </c>
      <c r="E23" s="146"/>
      <c r="F23" s="146"/>
      <c r="G23" s="336">
        <v>2432170</v>
      </c>
      <c r="H23" s="149"/>
      <c r="I23" s="502"/>
      <c r="J23" s="539">
        <v>2432170</v>
      </c>
      <c r="K23" s="149"/>
      <c r="L23" s="502"/>
      <c r="M23" s="149">
        <v>2432170</v>
      </c>
      <c r="N23" s="149"/>
      <c r="O23" s="502"/>
      <c r="P23" s="149">
        <v>2432170</v>
      </c>
      <c r="Q23" s="559"/>
      <c r="R23" s="559"/>
      <c r="S23" s="559"/>
    </row>
    <row r="24" spans="1:19" ht="14.25" customHeight="1">
      <c r="A24" s="165" t="s">
        <v>899</v>
      </c>
      <c r="B24" s="336"/>
      <c r="C24" s="336"/>
      <c r="D24" s="147">
        <v>24130</v>
      </c>
      <c r="E24" s="336"/>
      <c r="F24" s="336"/>
      <c r="G24" s="336">
        <v>0</v>
      </c>
      <c r="H24" s="149"/>
      <c r="I24" s="502"/>
      <c r="J24" s="539">
        <v>0</v>
      </c>
      <c r="K24" s="149"/>
      <c r="L24" s="502"/>
      <c r="M24" s="149">
        <v>25010</v>
      </c>
      <c r="N24" s="149"/>
      <c r="O24" s="502"/>
      <c r="P24" s="149">
        <v>25010</v>
      </c>
      <c r="Q24" s="559"/>
      <c r="R24" s="559"/>
      <c r="S24" s="559"/>
    </row>
    <row r="25" spans="1:19" ht="14.25" customHeight="1">
      <c r="A25" s="165" t="s">
        <v>900</v>
      </c>
      <c r="B25" s="336"/>
      <c r="C25" s="336"/>
      <c r="D25" s="147"/>
      <c r="E25" s="336"/>
      <c r="F25" s="336"/>
      <c r="G25" s="336">
        <v>585200</v>
      </c>
      <c r="H25" s="149"/>
      <c r="I25" s="502"/>
      <c r="J25" s="539">
        <v>585200</v>
      </c>
      <c r="K25" s="149"/>
      <c r="L25" s="502"/>
      <c r="M25" s="149">
        <v>585200</v>
      </c>
      <c r="N25" s="149"/>
      <c r="O25" s="502"/>
      <c r="P25" s="149">
        <v>585200</v>
      </c>
      <c r="Q25" s="559"/>
      <c r="R25" s="559"/>
      <c r="S25" s="559"/>
    </row>
    <row r="26" spans="1:19" ht="15">
      <c r="A26" s="510" t="s">
        <v>107</v>
      </c>
      <c r="B26" s="511">
        <f>B5+B7+B22+B20+B18+B23</f>
        <v>0</v>
      </c>
      <c r="C26" s="511">
        <f>C5+C7+C22+C20+C18+C23</f>
        <v>0</v>
      </c>
      <c r="D26" s="511">
        <f>D7+D17+D23+D24+D19</f>
        <v>16545549</v>
      </c>
      <c r="E26" s="511">
        <f>E5+E7+E22+E20+E18+E23</f>
        <v>0</v>
      </c>
      <c r="F26" s="511">
        <f>F5+F7+F22+F20+F18+F23</f>
        <v>0</v>
      </c>
      <c r="G26" s="512">
        <f aca="true" t="shared" si="0" ref="G26:M26">G7+G17+G23+G24+G19+G25</f>
        <v>15178222</v>
      </c>
      <c r="H26" s="513">
        <f t="shared" si="0"/>
        <v>0</v>
      </c>
      <c r="I26" s="513">
        <f t="shared" si="0"/>
        <v>0</v>
      </c>
      <c r="J26" s="523">
        <f t="shared" si="0"/>
        <v>15178222</v>
      </c>
      <c r="K26" s="513">
        <f t="shared" si="0"/>
        <v>0</v>
      </c>
      <c r="L26" s="513">
        <f t="shared" si="0"/>
        <v>0</v>
      </c>
      <c r="M26" s="513">
        <f t="shared" si="0"/>
        <v>15203232</v>
      </c>
      <c r="N26" s="513">
        <f>N7+N17+N23+N24+N19+N25</f>
        <v>0</v>
      </c>
      <c r="O26" s="513">
        <f>O7+O17+O23+O24+O19+O25</f>
        <v>0</v>
      </c>
      <c r="P26" s="513">
        <f>P7+P17+P23+P24+P19+P25</f>
        <v>15203232</v>
      </c>
      <c r="Q26" s="554"/>
      <c r="R26" s="554"/>
      <c r="S26" s="554"/>
    </row>
    <row r="27" spans="1:19" ht="15">
      <c r="A27" s="165" t="s">
        <v>108</v>
      </c>
      <c r="B27" s="271"/>
      <c r="C27" s="271"/>
      <c r="D27" s="272"/>
      <c r="E27" s="271"/>
      <c r="F27" s="271"/>
      <c r="G27" s="503"/>
      <c r="H27" s="145"/>
      <c r="I27" s="502"/>
      <c r="J27" s="548"/>
      <c r="K27" s="145"/>
      <c r="L27" s="502"/>
      <c r="M27" s="502"/>
      <c r="N27" s="145"/>
      <c r="O27" s="502"/>
      <c r="P27" s="502"/>
      <c r="Q27" s="554"/>
      <c r="R27" s="554"/>
      <c r="S27" s="554"/>
    </row>
    <row r="28" spans="1:19" ht="14.25">
      <c r="A28" s="234" t="s">
        <v>901</v>
      </c>
      <c r="B28" s="514"/>
      <c r="C28" s="515"/>
      <c r="D28" s="516">
        <v>11621740</v>
      </c>
      <c r="E28" s="514"/>
      <c r="F28" s="515"/>
      <c r="G28" s="517">
        <v>10605600</v>
      </c>
      <c r="H28" s="518"/>
      <c r="I28" s="502"/>
      <c r="J28" s="525">
        <v>10605600</v>
      </c>
      <c r="K28" s="518"/>
      <c r="L28" s="502"/>
      <c r="M28" s="518">
        <v>12959400</v>
      </c>
      <c r="N28" s="518"/>
      <c r="O28" s="502"/>
      <c r="P28" s="518">
        <v>12959400</v>
      </c>
      <c r="Q28" s="560"/>
      <c r="R28" s="561"/>
      <c r="S28" s="561"/>
    </row>
    <row r="29" spans="1:19" ht="14.25">
      <c r="A29" s="234" t="s">
        <v>902</v>
      </c>
      <c r="B29" s="514"/>
      <c r="C29" s="515"/>
      <c r="D29" s="516">
        <v>91680</v>
      </c>
      <c r="E29" s="514"/>
      <c r="F29" s="515"/>
      <c r="G29" s="517">
        <v>0</v>
      </c>
      <c r="H29" s="518"/>
      <c r="I29" s="502"/>
      <c r="J29" s="525">
        <v>0</v>
      </c>
      <c r="K29" s="518"/>
      <c r="L29" s="502"/>
      <c r="M29" s="518">
        <v>0</v>
      </c>
      <c r="N29" s="518"/>
      <c r="O29" s="502"/>
      <c r="P29" s="518">
        <v>0</v>
      </c>
      <c r="Q29" s="560"/>
      <c r="R29" s="561"/>
      <c r="S29" s="561"/>
    </row>
    <row r="30" spans="1:19" ht="14.25">
      <c r="A30" s="303" t="s">
        <v>903</v>
      </c>
      <c r="B30" s="509"/>
      <c r="C30" s="515"/>
      <c r="D30" s="516">
        <v>1800000</v>
      </c>
      <c r="E30" s="509"/>
      <c r="F30" s="515"/>
      <c r="G30" s="517">
        <v>2205000</v>
      </c>
      <c r="H30" s="518"/>
      <c r="I30" s="502"/>
      <c r="J30" s="525">
        <v>2205000</v>
      </c>
      <c r="K30" s="518"/>
      <c r="L30" s="502"/>
      <c r="M30" s="518">
        <v>735000</v>
      </c>
      <c r="N30" s="518"/>
      <c r="O30" s="502"/>
      <c r="P30" s="518">
        <v>735000</v>
      </c>
      <c r="Q30" s="560"/>
      <c r="R30" s="561"/>
      <c r="S30" s="561"/>
    </row>
    <row r="31" spans="1:19" ht="14.25">
      <c r="A31" s="304" t="s">
        <v>904</v>
      </c>
      <c r="B31" s="519"/>
      <c r="C31" s="519"/>
      <c r="D31" s="520">
        <v>1960800</v>
      </c>
      <c r="E31" s="519"/>
      <c r="F31" s="519"/>
      <c r="G31" s="521">
        <v>1715700</v>
      </c>
      <c r="H31" s="518"/>
      <c r="I31" s="502"/>
      <c r="J31" s="525">
        <v>1715700</v>
      </c>
      <c r="K31" s="518"/>
      <c r="L31" s="502"/>
      <c r="M31" s="518">
        <f>1715700+54467+108933</f>
        <v>1879100</v>
      </c>
      <c r="N31" s="518"/>
      <c r="O31" s="502"/>
      <c r="P31" s="518">
        <f>1715700+54467+108933</f>
        <v>1879100</v>
      </c>
      <c r="Q31" s="558"/>
      <c r="R31" s="561"/>
      <c r="S31" s="561"/>
    </row>
    <row r="32" spans="1:19" ht="15">
      <c r="A32" s="522" t="s">
        <v>109</v>
      </c>
      <c r="B32" s="513"/>
      <c r="C32" s="513"/>
      <c r="D32" s="513">
        <f>SUM(D28:D31)</f>
        <v>15474220</v>
      </c>
      <c r="E32" s="513"/>
      <c r="F32" s="513"/>
      <c r="G32" s="523">
        <f aca="true" t="shared" si="1" ref="G32:M32">SUM(G28:G31)</f>
        <v>14526300</v>
      </c>
      <c r="H32" s="513">
        <f t="shared" si="1"/>
        <v>0</v>
      </c>
      <c r="I32" s="513">
        <f t="shared" si="1"/>
        <v>0</v>
      </c>
      <c r="J32" s="523">
        <f t="shared" si="1"/>
        <v>14526300</v>
      </c>
      <c r="K32" s="513">
        <f t="shared" si="1"/>
        <v>0</v>
      </c>
      <c r="L32" s="513">
        <f t="shared" si="1"/>
        <v>0</v>
      </c>
      <c r="M32" s="513">
        <f t="shared" si="1"/>
        <v>15573500</v>
      </c>
      <c r="N32" s="513">
        <f>SUM(N28:N31)</f>
        <v>0</v>
      </c>
      <c r="O32" s="513">
        <f>SUM(O28:O31)</f>
        <v>0</v>
      </c>
      <c r="P32" s="513">
        <f>SUM(P28:P31)</f>
        <v>15573500</v>
      </c>
      <c r="Q32" s="558"/>
      <c r="R32" s="558"/>
      <c r="S32" s="561"/>
    </row>
    <row r="33" spans="1:19" ht="15">
      <c r="A33" s="232" t="s">
        <v>110</v>
      </c>
      <c r="B33" s="233"/>
      <c r="C33" s="233"/>
      <c r="D33" s="233"/>
      <c r="E33" s="233"/>
      <c r="F33" s="233"/>
      <c r="G33" s="524"/>
      <c r="H33" s="145"/>
      <c r="I33" s="502"/>
      <c r="J33" s="548"/>
      <c r="K33" s="145"/>
      <c r="L33" s="502"/>
      <c r="M33" s="502"/>
      <c r="N33" s="145"/>
      <c r="O33" s="502"/>
      <c r="P33" s="502"/>
      <c r="Q33" s="558"/>
      <c r="R33" s="558"/>
      <c r="S33" s="561"/>
    </row>
    <row r="34" spans="1:19" ht="15">
      <c r="A34" s="234" t="s">
        <v>111</v>
      </c>
      <c r="B34" s="518"/>
      <c r="C34" s="518"/>
      <c r="D34" s="518"/>
      <c r="E34" s="518"/>
      <c r="F34" s="518"/>
      <c r="G34" s="525"/>
      <c r="H34" s="518"/>
      <c r="I34" s="502"/>
      <c r="J34" s="548"/>
      <c r="K34" s="518"/>
      <c r="L34" s="502"/>
      <c r="M34" s="502"/>
      <c r="N34" s="518"/>
      <c r="O34" s="502"/>
      <c r="P34" s="502"/>
      <c r="Q34" s="554"/>
      <c r="R34" s="554"/>
      <c r="S34" s="554"/>
    </row>
    <row r="35" spans="1:19" ht="15">
      <c r="A35" s="234" t="s">
        <v>905</v>
      </c>
      <c r="B35" s="518"/>
      <c r="C35" s="518"/>
      <c r="D35" s="518">
        <v>4620000</v>
      </c>
      <c r="E35" s="518"/>
      <c r="F35" s="518"/>
      <c r="G35" s="525">
        <v>4395000</v>
      </c>
      <c r="H35" s="518"/>
      <c r="I35" s="502"/>
      <c r="J35" s="525">
        <v>4395000</v>
      </c>
      <c r="K35" s="518"/>
      <c r="L35" s="502"/>
      <c r="M35" s="518">
        <v>4395000</v>
      </c>
      <c r="N35" s="518"/>
      <c r="O35" s="502"/>
      <c r="P35" s="518">
        <v>4395000</v>
      </c>
      <c r="Q35" s="554"/>
      <c r="R35" s="554"/>
      <c r="S35" s="554"/>
    </row>
    <row r="36" spans="1:19" ht="14.25">
      <c r="A36" s="234" t="s">
        <v>112</v>
      </c>
      <c r="B36" s="518"/>
      <c r="C36" s="509"/>
      <c r="D36" s="509"/>
      <c r="E36" s="518"/>
      <c r="F36" s="509"/>
      <c r="G36" s="507"/>
      <c r="H36" s="508"/>
      <c r="I36" s="502"/>
      <c r="J36" s="534"/>
      <c r="K36" s="508"/>
      <c r="L36" s="502"/>
      <c r="M36" s="508"/>
      <c r="N36" s="508"/>
      <c r="O36" s="502"/>
      <c r="P36" s="508"/>
      <c r="Q36" s="561"/>
      <c r="R36" s="561"/>
      <c r="S36" s="561"/>
    </row>
    <row r="37" spans="1:19" ht="14.25">
      <c r="A37" s="234" t="s">
        <v>114</v>
      </c>
      <c r="B37" s="526">
        <v>55360</v>
      </c>
      <c r="C37" s="527">
        <v>23</v>
      </c>
      <c r="D37" s="528">
        <v>1273280</v>
      </c>
      <c r="E37" s="526">
        <v>55360</v>
      </c>
      <c r="F37" s="527">
        <v>25</v>
      </c>
      <c r="G37" s="529">
        <v>1384000</v>
      </c>
      <c r="H37" s="526">
        <v>55360</v>
      </c>
      <c r="I37" s="527">
        <v>25</v>
      </c>
      <c r="J37" s="534">
        <v>1384000</v>
      </c>
      <c r="K37" s="570">
        <v>55360</v>
      </c>
      <c r="L37" s="571">
        <v>25</v>
      </c>
      <c r="M37" s="508">
        <v>1217920</v>
      </c>
      <c r="N37" s="570">
        <v>55360</v>
      </c>
      <c r="O37" s="571">
        <v>25</v>
      </c>
      <c r="P37" s="508">
        <v>1217920</v>
      </c>
      <c r="Q37" s="561"/>
      <c r="R37" s="561"/>
      <c r="S37" s="561"/>
    </row>
    <row r="38" spans="1:19" ht="14.25">
      <c r="A38" s="530" t="s">
        <v>906</v>
      </c>
      <c r="B38" s="531"/>
      <c r="C38" s="532"/>
      <c r="D38" s="528">
        <v>342570</v>
      </c>
      <c r="E38" s="531">
        <v>570</v>
      </c>
      <c r="F38" s="532">
        <v>454</v>
      </c>
      <c r="G38" s="529">
        <v>258780</v>
      </c>
      <c r="H38" s="508"/>
      <c r="I38" s="502"/>
      <c r="J38" s="534">
        <v>258780</v>
      </c>
      <c r="K38" s="508"/>
      <c r="L38" s="502"/>
      <c r="M38" s="508">
        <v>196080</v>
      </c>
      <c r="N38" s="508"/>
      <c r="O38" s="502"/>
      <c r="P38" s="508">
        <v>196080</v>
      </c>
      <c r="Q38" s="561"/>
      <c r="R38" s="558"/>
      <c r="S38" s="558"/>
    </row>
    <row r="39" spans="1:19" ht="14.25">
      <c r="A39" s="533" t="s">
        <v>907</v>
      </c>
      <c r="B39" s="531"/>
      <c r="C39" s="532"/>
      <c r="D39" s="528">
        <v>2624961</v>
      </c>
      <c r="E39" s="531"/>
      <c r="F39" s="532"/>
      <c r="G39" s="529">
        <v>2581046</v>
      </c>
      <c r="H39" s="508"/>
      <c r="I39" s="502"/>
      <c r="J39" s="534">
        <v>2581046</v>
      </c>
      <c r="K39" s="508"/>
      <c r="L39" s="502"/>
      <c r="M39" s="508">
        <v>2438046</v>
      </c>
      <c r="N39" s="508"/>
      <c r="O39" s="502"/>
      <c r="P39" s="508">
        <v>2438046</v>
      </c>
      <c r="Q39" s="562"/>
      <c r="R39" s="558"/>
      <c r="S39" s="558"/>
    </row>
    <row r="40" spans="1:19" ht="14.25">
      <c r="A40" s="211"/>
      <c r="B40" s="273"/>
      <c r="C40" s="532"/>
      <c r="D40" s="528"/>
      <c r="E40" s="273"/>
      <c r="F40" s="532"/>
      <c r="G40" s="529"/>
      <c r="H40" s="508"/>
      <c r="I40" s="502"/>
      <c r="J40" s="534"/>
      <c r="K40" s="508"/>
      <c r="L40" s="502"/>
      <c r="M40" s="508"/>
      <c r="N40" s="508"/>
      <c r="O40" s="502"/>
      <c r="P40" s="508"/>
      <c r="Q40" s="561"/>
      <c r="R40" s="563"/>
      <c r="S40" s="558"/>
    </row>
    <row r="41" spans="1:19" ht="14.25">
      <c r="A41" s="211"/>
      <c r="B41" s="273"/>
      <c r="C41" s="532"/>
      <c r="D41" s="508"/>
      <c r="E41" s="273"/>
      <c r="F41" s="532"/>
      <c r="G41" s="534"/>
      <c r="H41" s="508"/>
      <c r="I41" s="502"/>
      <c r="J41" s="534"/>
      <c r="K41" s="508"/>
      <c r="L41" s="502"/>
      <c r="M41" s="508"/>
      <c r="N41" s="508"/>
      <c r="O41" s="502"/>
      <c r="P41" s="508"/>
      <c r="Q41" s="561"/>
      <c r="R41" s="563"/>
      <c r="S41" s="558"/>
    </row>
    <row r="42" spans="1:19" ht="15">
      <c r="A42" s="522" t="s">
        <v>113</v>
      </c>
      <c r="B42" s="535"/>
      <c r="C42" s="536"/>
      <c r="D42" s="537">
        <f>SUM(D35:D41)</f>
        <v>8860811</v>
      </c>
      <c r="E42" s="535"/>
      <c r="F42" s="536"/>
      <c r="G42" s="538">
        <f aca="true" t="shared" si="2" ref="G42:L42">SUM(G35:G41)</f>
        <v>8618826</v>
      </c>
      <c r="H42" s="537">
        <f t="shared" si="2"/>
        <v>55360</v>
      </c>
      <c r="I42" s="537">
        <f t="shared" si="2"/>
        <v>25</v>
      </c>
      <c r="J42" s="538">
        <f t="shared" si="2"/>
        <v>8618826</v>
      </c>
      <c r="K42" s="537">
        <f t="shared" si="2"/>
        <v>55360</v>
      </c>
      <c r="L42" s="537">
        <f t="shared" si="2"/>
        <v>25</v>
      </c>
      <c r="M42" s="537">
        <f>SUM(M35:M41)</f>
        <v>8247046</v>
      </c>
      <c r="N42" s="537">
        <f>SUM(N35:N41)</f>
        <v>55360</v>
      </c>
      <c r="O42" s="537">
        <f>SUM(O35:O41)</f>
        <v>25</v>
      </c>
      <c r="P42" s="537">
        <f>SUM(P35:P41)</f>
        <v>8247046</v>
      </c>
      <c r="Q42" s="564"/>
      <c r="R42" s="563"/>
      <c r="S42" s="558"/>
    </row>
    <row r="43" spans="1:19" ht="15">
      <c r="A43" s="166" t="s">
        <v>302</v>
      </c>
      <c r="B43" s="145"/>
      <c r="C43" s="148"/>
      <c r="D43" s="149">
        <v>1200000</v>
      </c>
      <c r="E43" s="145"/>
      <c r="F43" s="148"/>
      <c r="G43" s="539">
        <v>1800000</v>
      </c>
      <c r="H43" s="149"/>
      <c r="I43" s="502"/>
      <c r="J43" s="539">
        <v>1800000</v>
      </c>
      <c r="K43" s="149"/>
      <c r="L43" s="502"/>
      <c r="M43" s="149">
        <v>1800000</v>
      </c>
      <c r="N43" s="149"/>
      <c r="O43" s="502"/>
      <c r="P43" s="149">
        <v>1800000</v>
      </c>
      <c r="Q43" s="565"/>
      <c r="R43" s="563"/>
      <c r="S43" s="558"/>
    </row>
    <row r="44" spans="1:19" ht="15">
      <c r="A44" s="168" t="s">
        <v>115</v>
      </c>
      <c r="B44" s="219"/>
      <c r="C44" s="220"/>
      <c r="D44" s="221">
        <f>D26+D32+D42+D43</f>
        <v>42080580</v>
      </c>
      <c r="E44" s="219"/>
      <c r="F44" s="220"/>
      <c r="G44" s="540">
        <f aca="true" t="shared" si="3" ref="G44:M44">G26+G32+G42+G43</f>
        <v>40123348</v>
      </c>
      <c r="H44" s="221">
        <f t="shared" si="3"/>
        <v>55360</v>
      </c>
      <c r="I44" s="221">
        <f t="shared" si="3"/>
        <v>25</v>
      </c>
      <c r="J44" s="540">
        <f t="shared" si="3"/>
        <v>40123348</v>
      </c>
      <c r="K44" s="221">
        <f t="shared" si="3"/>
        <v>55360</v>
      </c>
      <c r="L44" s="221">
        <f t="shared" si="3"/>
        <v>25</v>
      </c>
      <c r="M44" s="221">
        <f t="shared" si="3"/>
        <v>40823778</v>
      </c>
      <c r="N44" s="221">
        <f>N26+N32+N42+N43</f>
        <v>55360</v>
      </c>
      <c r="O44" s="221">
        <f>O26+O32+O42+O43</f>
        <v>25</v>
      </c>
      <c r="P44" s="221">
        <f>P26+P32+P42+P43</f>
        <v>40823778</v>
      </c>
      <c r="Q44" s="565"/>
      <c r="R44" s="563"/>
      <c r="S44" s="558"/>
    </row>
    <row r="45" spans="1:19" ht="15">
      <c r="A45" s="166" t="s">
        <v>908</v>
      </c>
      <c r="B45" s="518"/>
      <c r="C45" s="541"/>
      <c r="D45" s="518"/>
      <c r="E45" s="518"/>
      <c r="F45" s="541"/>
      <c r="G45" s="525"/>
      <c r="H45" s="518"/>
      <c r="I45" s="502"/>
      <c r="J45" s="525"/>
      <c r="K45" s="518"/>
      <c r="L45" s="502"/>
      <c r="M45" s="518"/>
      <c r="N45" s="518"/>
      <c r="O45" s="502"/>
      <c r="P45" s="518"/>
      <c r="Q45" s="566"/>
      <c r="R45" s="567"/>
      <c r="S45" s="559"/>
    </row>
    <row r="46" spans="1:19" ht="15">
      <c r="A46" s="211" t="s">
        <v>909</v>
      </c>
      <c r="B46" s="518"/>
      <c r="C46" s="541"/>
      <c r="D46" s="518">
        <f>B46*C46</f>
        <v>0</v>
      </c>
      <c r="E46" s="518"/>
      <c r="F46" s="541"/>
      <c r="G46" s="525">
        <f>E46*F46</f>
        <v>0</v>
      </c>
      <c r="H46" s="518"/>
      <c r="I46" s="502"/>
      <c r="J46" s="525">
        <f>H46*I46</f>
        <v>0</v>
      </c>
      <c r="K46" s="518"/>
      <c r="L46" s="502"/>
      <c r="M46" s="518">
        <f>K46*L46</f>
        <v>0</v>
      </c>
      <c r="N46" s="518"/>
      <c r="O46" s="502"/>
      <c r="P46" s="518">
        <f>N46*O46</f>
        <v>0</v>
      </c>
      <c r="Q46" s="554"/>
      <c r="R46" s="567"/>
      <c r="S46" s="559"/>
    </row>
    <row r="47" spans="1:19" ht="15">
      <c r="A47" s="211" t="s">
        <v>910</v>
      </c>
      <c r="B47" s="145"/>
      <c r="C47" s="148"/>
      <c r="D47" s="508"/>
      <c r="E47" s="145"/>
      <c r="F47" s="148"/>
      <c r="G47" s="534"/>
      <c r="H47" s="508"/>
      <c r="I47" s="502"/>
      <c r="J47" s="534"/>
      <c r="K47" s="508"/>
      <c r="L47" s="502"/>
      <c r="M47" s="508"/>
      <c r="N47" s="508"/>
      <c r="O47" s="502"/>
      <c r="P47" s="508"/>
      <c r="Q47" s="554"/>
      <c r="R47" s="567"/>
      <c r="S47" s="559"/>
    </row>
    <row r="48" spans="1:19" ht="15">
      <c r="A48" s="542" t="s">
        <v>908</v>
      </c>
      <c r="B48" s="219"/>
      <c r="C48" s="671"/>
      <c r="D48" s="671">
        <f>SUM(D46:D47)</f>
        <v>0</v>
      </c>
      <c r="E48" s="671"/>
      <c r="F48" s="671"/>
      <c r="G48" s="672">
        <f>SUM(G46:G47)</f>
        <v>0</v>
      </c>
      <c r="H48" s="671"/>
      <c r="I48" s="673"/>
      <c r="J48" s="672">
        <f>SUM(J46:J47)</f>
        <v>0</v>
      </c>
      <c r="K48" s="671"/>
      <c r="L48" s="673"/>
      <c r="M48" s="671">
        <f>SUM(M46:M47)</f>
        <v>0</v>
      </c>
      <c r="N48" s="671"/>
      <c r="O48" s="673"/>
      <c r="P48" s="671">
        <f>SUM(P46:P47)</f>
        <v>0</v>
      </c>
      <c r="Q48" s="554"/>
      <c r="R48" s="567"/>
      <c r="S48" s="559"/>
    </row>
    <row r="49" spans="1:19" ht="15">
      <c r="A49" s="337" t="s">
        <v>911</v>
      </c>
      <c r="B49" s="219"/>
      <c r="C49" s="671"/>
      <c r="D49" s="671"/>
      <c r="E49" s="671"/>
      <c r="F49" s="671"/>
      <c r="G49" s="672"/>
      <c r="H49" s="671"/>
      <c r="I49" s="673"/>
      <c r="J49" s="672">
        <v>188465</v>
      </c>
      <c r="K49" s="671"/>
      <c r="L49" s="673"/>
      <c r="M49" s="671">
        <f>188465+86270</f>
        <v>274735</v>
      </c>
      <c r="N49" s="671"/>
      <c r="O49" s="673"/>
      <c r="P49" s="671">
        <f>188465+86270</f>
        <v>274735</v>
      </c>
      <c r="Q49" s="554"/>
      <c r="R49" s="567"/>
      <c r="S49" s="559"/>
    </row>
    <row r="50" spans="1:19" ht="15">
      <c r="A50" s="211" t="s">
        <v>912</v>
      </c>
      <c r="B50" s="219"/>
      <c r="C50" s="671"/>
      <c r="D50" s="671"/>
      <c r="E50" s="671"/>
      <c r="F50" s="671"/>
      <c r="G50" s="672"/>
      <c r="H50" s="671"/>
      <c r="I50" s="673"/>
      <c r="J50" s="672">
        <v>266700</v>
      </c>
      <c r="K50" s="671"/>
      <c r="L50" s="673"/>
      <c r="M50" s="671">
        <f>266700+1200150+624000</f>
        <v>2090850</v>
      </c>
      <c r="N50" s="671"/>
      <c r="O50" s="673"/>
      <c r="P50" s="671">
        <f>266700+1200150+624000</f>
        <v>2090850</v>
      </c>
      <c r="Q50" s="554"/>
      <c r="R50" s="567"/>
      <c r="S50" s="559"/>
    </row>
    <row r="51" spans="1:19" ht="15">
      <c r="A51" s="166" t="s">
        <v>471</v>
      </c>
      <c r="B51" s="219"/>
      <c r="C51" s="219"/>
      <c r="D51" s="219">
        <v>0</v>
      </c>
      <c r="E51" s="219"/>
      <c r="F51" s="219"/>
      <c r="G51" s="543">
        <f aca="true" t="shared" si="4" ref="G51:M51">SUM(G49:G50)</f>
        <v>0</v>
      </c>
      <c r="H51" s="543">
        <f t="shared" si="4"/>
        <v>0</v>
      </c>
      <c r="I51" s="543">
        <f t="shared" si="4"/>
        <v>0</v>
      </c>
      <c r="J51" s="543">
        <f t="shared" si="4"/>
        <v>455165</v>
      </c>
      <c r="K51" s="219">
        <f t="shared" si="4"/>
        <v>0</v>
      </c>
      <c r="L51" s="219">
        <f t="shared" si="4"/>
        <v>0</v>
      </c>
      <c r="M51" s="219">
        <f t="shared" si="4"/>
        <v>2365585</v>
      </c>
      <c r="N51" s="219">
        <f>SUM(N49:N50)</f>
        <v>0</v>
      </c>
      <c r="O51" s="219">
        <f>SUM(O49:O50)</f>
        <v>0</v>
      </c>
      <c r="P51" s="219">
        <f>SUM(P49:P50)</f>
        <v>2365585</v>
      </c>
      <c r="Q51" s="554"/>
      <c r="R51" s="567"/>
      <c r="S51" s="559"/>
    </row>
    <row r="52" spans="1:19" s="212" customFormat="1" ht="15">
      <c r="A52" s="168" t="s">
        <v>913</v>
      </c>
      <c r="B52" s="544"/>
      <c r="C52" s="544"/>
      <c r="D52" s="545">
        <f>D44+D48+D51</f>
        <v>42080580</v>
      </c>
      <c r="E52" s="544"/>
      <c r="F52" s="544"/>
      <c r="G52" s="546">
        <f aca="true" t="shared" si="5" ref="G52:M52">G44+G48+G51</f>
        <v>40123348</v>
      </c>
      <c r="H52" s="545">
        <f t="shared" si="5"/>
        <v>55360</v>
      </c>
      <c r="I52" s="545">
        <f t="shared" si="5"/>
        <v>25</v>
      </c>
      <c r="J52" s="546">
        <f t="shared" si="5"/>
        <v>40578513</v>
      </c>
      <c r="K52" s="545">
        <f t="shared" si="5"/>
        <v>55360</v>
      </c>
      <c r="L52" s="545">
        <f t="shared" si="5"/>
        <v>25</v>
      </c>
      <c r="M52" s="545">
        <f t="shared" si="5"/>
        <v>43189363</v>
      </c>
      <c r="N52" s="545">
        <f>N44+N48+N51</f>
        <v>55360</v>
      </c>
      <c r="O52" s="545">
        <f>O44+O48+O51</f>
        <v>25</v>
      </c>
      <c r="P52" s="545">
        <f>P44+P48+P51</f>
        <v>43189363</v>
      </c>
      <c r="Q52" s="554"/>
      <c r="R52" s="567"/>
      <c r="S52" s="559"/>
    </row>
    <row r="53" spans="1:2" ht="14.25">
      <c r="A53" s="223"/>
      <c r="B53" s="224"/>
    </row>
  </sheetData>
  <sheetProtection/>
  <mergeCells count="7">
    <mergeCell ref="Q1:S1"/>
    <mergeCell ref="A1:A2"/>
    <mergeCell ref="B1:D1"/>
    <mergeCell ref="E1:G1"/>
    <mergeCell ref="H1:J1"/>
    <mergeCell ref="K1:M1"/>
    <mergeCell ref="N1:P1"/>
  </mergeCells>
  <printOptions horizontalCentered="1"/>
  <pageMargins left="0.2362204724409449" right="0.2362204724409449" top="0.8069444444444445" bottom="0.19" header="0.19" footer="0.19"/>
  <pageSetup fitToHeight="1" fitToWidth="1" horizontalDpi="600" verticalDpi="600" orientation="landscape" paperSize="9" scale="53" r:id="rId1"/>
  <headerFooter alignWithMargins="0">
    <oddHeader>&amp;C&amp;"Garamond,Félkövér"&amp;14 3/2019. (V.31.) számú rendelethez 
ZALASZABAR KÖZSÉG ÖNKORMÁNYZATÁNAK 
ÁLLAMI HOZZÁJÁRULÁSA 2018. ÉVBEN 
&amp;12
&amp;14
&amp;R&amp;A
&amp;P.oldal
adatok Ft-ban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0"/>
  <sheetViews>
    <sheetView view="pageLayout" zoomScaleSheetLayoutView="100" workbookViewId="0" topLeftCell="C1">
      <selection activeCell="I7" sqref="I7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4.75390625" style="0" customWidth="1"/>
    <col min="4" max="4" width="15.75390625" style="0" customWidth="1"/>
    <col min="5" max="7" width="14.375" style="0" customWidth="1"/>
    <col min="8" max="8" width="6.875" style="0" customWidth="1"/>
    <col min="9" max="9" width="41.375" style="0" customWidth="1"/>
    <col min="10" max="11" width="15.00390625" style="0" customWidth="1"/>
    <col min="12" max="12" width="15.25390625" style="0" customWidth="1"/>
    <col min="13" max="13" width="14.625" style="0" customWidth="1"/>
    <col min="14" max="14" width="17.875" style="0" customWidth="1"/>
    <col min="15" max="15" width="13.875" style="0" customWidth="1"/>
    <col min="16" max="17" width="15.00390625" style="0" customWidth="1"/>
  </cols>
  <sheetData>
    <row r="1" spans="1:14" ht="18" customHeight="1">
      <c r="A1" s="704" t="s">
        <v>14</v>
      </c>
      <c r="B1" s="713" t="s">
        <v>1</v>
      </c>
      <c r="C1" s="2" t="s">
        <v>458</v>
      </c>
      <c r="D1" s="2" t="s">
        <v>915</v>
      </c>
      <c r="E1" s="2" t="s">
        <v>915</v>
      </c>
      <c r="F1" s="2" t="s">
        <v>915</v>
      </c>
      <c r="G1" s="2" t="s">
        <v>915</v>
      </c>
      <c r="H1" s="704" t="s">
        <v>14</v>
      </c>
      <c r="I1" s="713" t="s">
        <v>1</v>
      </c>
      <c r="J1" s="2" t="s">
        <v>459</v>
      </c>
      <c r="K1" s="2" t="s">
        <v>916</v>
      </c>
      <c r="L1" s="2" t="s">
        <v>915</v>
      </c>
      <c r="M1" s="2" t="s">
        <v>915</v>
      </c>
      <c r="N1" s="2" t="s">
        <v>915</v>
      </c>
    </row>
    <row r="2" spans="1:14" ht="28.5" customHeight="1">
      <c r="A2" s="705"/>
      <c r="B2" s="714"/>
      <c r="C2" s="38" t="s">
        <v>57</v>
      </c>
      <c r="D2" s="38" t="s">
        <v>57</v>
      </c>
      <c r="E2" s="38" t="s">
        <v>917</v>
      </c>
      <c r="F2" s="38" t="s">
        <v>918</v>
      </c>
      <c r="G2" s="38" t="s">
        <v>933</v>
      </c>
      <c r="H2" s="705"/>
      <c r="I2" s="714"/>
      <c r="J2" s="38" t="s">
        <v>57</v>
      </c>
      <c r="K2" s="38" t="s">
        <v>57</v>
      </c>
      <c r="L2" s="38" t="s">
        <v>917</v>
      </c>
      <c r="M2" s="38" t="s">
        <v>918</v>
      </c>
      <c r="N2" s="38" t="s">
        <v>933</v>
      </c>
    </row>
    <row r="3" spans="1:10" ht="15" customHeight="1">
      <c r="A3" s="706" t="s">
        <v>58</v>
      </c>
      <c r="B3" s="707"/>
      <c r="C3" s="708"/>
      <c r="D3" s="323"/>
      <c r="E3" s="323"/>
      <c r="F3" s="323"/>
      <c r="G3" s="323"/>
      <c r="H3" s="706" t="s">
        <v>22</v>
      </c>
      <c r="I3" s="707"/>
      <c r="J3" s="708"/>
    </row>
    <row r="4" spans="1:14" ht="15" customHeight="1">
      <c r="A4" s="110" t="s">
        <v>88</v>
      </c>
      <c r="B4" s="11" t="s">
        <v>82</v>
      </c>
      <c r="C4" s="3"/>
      <c r="D4" s="3"/>
      <c r="E4" s="3"/>
      <c r="F4" s="3"/>
      <c r="G4" s="3"/>
      <c r="H4" s="104" t="s">
        <v>88</v>
      </c>
      <c r="I4" s="107" t="s">
        <v>82</v>
      </c>
      <c r="J4" s="3"/>
      <c r="K4" s="3"/>
      <c r="L4" s="3"/>
      <c r="M4" s="3"/>
      <c r="N4" s="3"/>
    </row>
    <row r="5" spans="1:14" ht="15" customHeight="1">
      <c r="A5" s="110"/>
      <c r="B5" s="193" t="s">
        <v>411</v>
      </c>
      <c r="C5" s="194">
        <v>46651680</v>
      </c>
      <c r="D5" s="194">
        <v>43413227</v>
      </c>
      <c r="E5" s="194">
        <v>47772228</v>
      </c>
      <c r="F5" s="194">
        <v>52347219</v>
      </c>
      <c r="G5" s="194">
        <v>50817483</v>
      </c>
      <c r="H5" s="109"/>
      <c r="I5" s="61" t="s">
        <v>281</v>
      </c>
      <c r="J5" s="59">
        <v>29346903</v>
      </c>
      <c r="K5" s="59">
        <v>25704670</v>
      </c>
      <c r="L5" s="59">
        <f>38155608</f>
        <v>38155608</v>
      </c>
      <c r="M5" s="59">
        <v>40102600</v>
      </c>
      <c r="N5" s="59">
        <f>7703980+1456080+30475046</f>
        <v>39635106</v>
      </c>
    </row>
    <row r="6" spans="1:14" ht="15" customHeight="1">
      <c r="A6" s="110"/>
      <c r="B6" s="195" t="s">
        <v>412</v>
      </c>
      <c r="C6" s="196">
        <v>12300000</v>
      </c>
      <c r="D6" s="196">
        <v>13300000</v>
      </c>
      <c r="E6" s="196">
        <v>13300000</v>
      </c>
      <c r="F6" s="196">
        <v>15644117</v>
      </c>
      <c r="G6" s="196">
        <v>15237412</v>
      </c>
      <c r="H6" s="104"/>
      <c r="I6" s="192" t="s">
        <v>282</v>
      </c>
      <c r="J6" s="59">
        <v>4620000</v>
      </c>
      <c r="K6" s="59">
        <v>4395000</v>
      </c>
      <c r="L6" s="59">
        <v>4661700</v>
      </c>
      <c r="M6" s="59">
        <v>5297000</v>
      </c>
      <c r="N6" s="59">
        <v>4331200</v>
      </c>
    </row>
    <row r="7" spans="1:14" ht="15" customHeight="1">
      <c r="A7" s="110"/>
      <c r="B7" s="193" t="s">
        <v>413</v>
      </c>
      <c r="C7" s="196">
        <v>2913000</v>
      </c>
      <c r="D7" s="196">
        <v>3301600</v>
      </c>
      <c r="E7" s="196">
        <v>3301600</v>
      </c>
      <c r="F7" s="196">
        <f>3301600+5442001-1529736</f>
        <v>7213865</v>
      </c>
      <c r="G7" s="196">
        <v>8743601</v>
      </c>
      <c r="H7" s="104"/>
      <c r="I7" s="61" t="s">
        <v>283</v>
      </c>
      <c r="J7" s="59">
        <v>2200000</v>
      </c>
      <c r="K7" s="59">
        <v>2785080</v>
      </c>
      <c r="L7" s="59">
        <v>2797346</v>
      </c>
      <c r="M7" s="59">
        <v>2797346</v>
      </c>
      <c r="N7" s="59">
        <v>1755743</v>
      </c>
    </row>
    <row r="8" spans="1:14" ht="15" customHeight="1">
      <c r="A8" s="110"/>
      <c r="B8" s="193" t="s">
        <v>414</v>
      </c>
      <c r="C8" s="196">
        <v>0</v>
      </c>
      <c r="D8" s="196">
        <v>0</v>
      </c>
      <c r="E8" s="196">
        <v>0</v>
      </c>
      <c r="F8" s="196">
        <v>0</v>
      </c>
      <c r="G8" s="196">
        <v>0</v>
      </c>
      <c r="H8" s="104"/>
      <c r="I8" s="61" t="s">
        <v>284</v>
      </c>
      <c r="J8" s="59">
        <v>0</v>
      </c>
      <c r="K8" s="59">
        <v>100000</v>
      </c>
      <c r="L8" s="59">
        <v>100000</v>
      </c>
      <c r="M8" s="59">
        <v>100000</v>
      </c>
      <c r="N8" s="59">
        <v>50000</v>
      </c>
    </row>
    <row r="9" spans="1:14" ht="15" customHeight="1">
      <c r="A9" s="110"/>
      <c r="B9" s="572" t="s">
        <v>919</v>
      </c>
      <c r="C9" s="196">
        <v>0</v>
      </c>
      <c r="D9" s="196">
        <v>0</v>
      </c>
      <c r="E9" s="196">
        <v>1529736</v>
      </c>
      <c r="F9" s="196">
        <v>1529736</v>
      </c>
      <c r="G9" s="196">
        <v>0</v>
      </c>
      <c r="H9" s="104"/>
      <c r="I9" s="61" t="s">
        <v>920</v>
      </c>
      <c r="J9" s="59"/>
      <c r="K9" s="59"/>
      <c r="L9" s="59"/>
      <c r="M9" s="59">
        <v>0</v>
      </c>
      <c r="N9" s="59">
        <v>697166</v>
      </c>
    </row>
    <row r="10" spans="1:14" ht="15" customHeight="1">
      <c r="A10" s="110"/>
      <c r="B10" s="70" t="s">
        <v>87</v>
      </c>
      <c r="C10" s="187">
        <f>SUM(C5:C9)</f>
        <v>61864680</v>
      </c>
      <c r="D10" s="187">
        <f>SUM(D5:D9)</f>
        <v>60014827</v>
      </c>
      <c r="E10" s="187">
        <f>SUM(E5:E9)</f>
        <v>65903564</v>
      </c>
      <c r="F10" s="187">
        <f>SUM(F5:F9)</f>
        <v>76734937</v>
      </c>
      <c r="G10" s="187">
        <f>SUM(G5:G9)</f>
        <v>74798496</v>
      </c>
      <c r="H10" s="104"/>
      <c r="I10" s="61" t="s">
        <v>921</v>
      </c>
      <c r="J10" s="59">
        <v>7386927</v>
      </c>
      <c r="K10" s="59">
        <v>17377931</v>
      </c>
      <c r="L10" s="59">
        <v>15826194</v>
      </c>
      <c r="M10" s="59">
        <v>38102708</v>
      </c>
      <c r="N10" s="59">
        <v>0</v>
      </c>
    </row>
    <row r="11" spans="1:14" ht="15" customHeight="1">
      <c r="A11" s="110"/>
      <c r="B11" s="70"/>
      <c r="C11" s="187"/>
      <c r="D11" s="187"/>
      <c r="E11" s="187"/>
      <c r="F11" s="187"/>
      <c r="G11" s="187"/>
      <c r="H11" s="278"/>
      <c r="I11" s="11" t="s">
        <v>87</v>
      </c>
      <c r="J11" s="32">
        <f>SUM(J4:J10)</f>
        <v>43553830</v>
      </c>
      <c r="K11" s="32">
        <f>SUM(K4:K10)</f>
        <v>50362681</v>
      </c>
      <c r="L11" s="32">
        <f>SUM(L4:L10)</f>
        <v>61540848</v>
      </c>
      <c r="M11" s="32">
        <f>SUM(M4:M10)</f>
        <v>86399654</v>
      </c>
      <c r="N11" s="32">
        <f>SUM(N4:N10)</f>
        <v>46469215</v>
      </c>
    </row>
    <row r="12" spans="1:14" ht="15" customHeight="1">
      <c r="A12" s="110"/>
      <c r="B12" s="70"/>
      <c r="C12" s="184"/>
      <c r="D12" s="184"/>
      <c r="E12" s="184"/>
      <c r="F12" s="184"/>
      <c r="G12" s="184"/>
      <c r="H12" s="104" t="s">
        <v>89</v>
      </c>
      <c r="I12" s="70" t="s">
        <v>419</v>
      </c>
      <c r="J12" s="3"/>
      <c r="K12" s="3"/>
      <c r="L12" s="3"/>
      <c r="M12" s="3"/>
      <c r="N12" s="3"/>
    </row>
    <row r="13" spans="1:14" ht="15" customHeight="1">
      <c r="A13" s="110" t="s">
        <v>89</v>
      </c>
      <c r="B13" s="70" t="s">
        <v>419</v>
      </c>
      <c r="C13" s="184"/>
      <c r="D13" s="184"/>
      <c r="E13" s="184"/>
      <c r="F13" s="184"/>
      <c r="G13" s="184"/>
      <c r="H13" s="104"/>
      <c r="I13" s="61" t="s">
        <v>86</v>
      </c>
      <c r="J13" s="59">
        <v>42636912</v>
      </c>
      <c r="K13" s="59">
        <v>42266185</v>
      </c>
      <c r="L13" s="59">
        <f>42266185+108000+400000+157711+30754</f>
        <v>42962650</v>
      </c>
      <c r="M13" s="59">
        <v>43735613</v>
      </c>
      <c r="N13" s="59">
        <f>22382897+4637520+15371905</f>
        <v>42392322</v>
      </c>
    </row>
    <row r="14" spans="1:14" ht="15" customHeight="1">
      <c r="A14" s="110"/>
      <c r="B14" s="61" t="s">
        <v>418</v>
      </c>
      <c r="C14" s="186">
        <v>19716750</v>
      </c>
      <c r="D14" s="186">
        <v>19716750</v>
      </c>
      <c r="E14" s="186">
        <v>19716750</v>
      </c>
      <c r="F14" s="186">
        <v>19716750</v>
      </c>
      <c r="G14" s="186">
        <v>17053893</v>
      </c>
      <c r="H14" s="104"/>
      <c r="I14" s="197" t="s">
        <v>922</v>
      </c>
      <c r="J14" s="59">
        <v>0</v>
      </c>
      <c r="K14" s="59">
        <v>0</v>
      </c>
      <c r="L14" s="59">
        <v>1529736</v>
      </c>
      <c r="M14" s="59">
        <v>1529736</v>
      </c>
      <c r="N14" s="59">
        <v>0</v>
      </c>
    </row>
    <row r="15" spans="1:14" ht="15" customHeight="1">
      <c r="A15" s="110"/>
      <c r="B15" s="197"/>
      <c r="C15" s="186"/>
      <c r="D15" s="186"/>
      <c r="E15" s="186"/>
      <c r="F15" s="186"/>
      <c r="G15" s="186"/>
      <c r="H15" s="104"/>
      <c r="I15" s="70" t="s">
        <v>420</v>
      </c>
      <c r="J15" s="32">
        <f>SUM(J13)</f>
        <v>42636912</v>
      </c>
      <c r="K15" s="32">
        <f>SUM(K13)</f>
        <v>42266185</v>
      </c>
      <c r="L15" s="32">
        <f>SUM(L13:L14)</f>
        <v>44492386</v>
      </c>
      <c r="M15" s="32">
        <f>SUM(M13:M14)</f>
        <v>45265349</v>
      </c>
      <c r="N15" s="32">
        <f>SUM(N13:N14)</f>
        <v>42392322</v>
      </c>
    </row>
    <row r="16" spans="1:14" ht="15" customHeight="1">
      <c r="A16" s="110"/>
      <c r="B16" s="70" t="s">
        <v>420</v>
      </c>
      <c r="C16" s="276">
        <f>SUM(C14)</f>
        <v>19716750</v>
      </c>
      <c r="D16" s="276">
        <f>SUM(D14)</f>
        <v>19716750</v>
      </c>
      <c r="E16" s="276">
        <f>SUM(E14)</f>
        <v>19716750</v>
      </c>
      <c r="F16" s="276">
        <f>SUM(F14)</f>
        <v>19716750</v>
      </c>
      <c r="G16" s="276">
        <f>SUM(G14)</f>
        <v>17053893</v>
      </c>
      <c r="H16" s="573"/>
      <c r="I16" s="70"/>
      <c r="J16" s="32"/>
      <c r="K16" s="32"/>
      <c r="L16" s="32"/>
      <c r="M16" s="32"/>
      <c r="N16" s="32"/>
    </row>
    <row r="17" spans="1:14" ht="15" customHeight="1">
      <c r="A17" s="279"/>
      <c r="B17" s="70"/>
      <c r="C17" s="276"/>
      <c r="D17" s="276"/>
      <c r="E17" s="276"/>
      <c r="F17" s="276"/>
      <c r="G17" s="276"/>
      <c r="H17" s="573"/>
      <c r="I17" s="70"/>
      <c r="J17" s="32"/>
      <c r="K17" s="32"/>
      <c r="L17" s="32"/>
      <c r="M17" s="32"/>
      <c r="N17" s="32"/>
    </row>
    <row r="18" spans="1:14" ht="15" customHeight="1">
      <c r="A18" s="279"/>
      <c r="B18" s="70"/>
      <c r="C18" s="276"/>
      <c r="D18" s="276"/>
      <c r="E18" s="276"/>
      <c r="F18" s="276"/>
      <c r="G18" s="276"/>
      <c r="H18" s="695" t="s">
        <v>434</v>
      </c>
      <c r="I18" s="696"/>
      <c r="J18" s="32">
        <f>J11+J15</f>
        <v>86190742</v>
      </c>
      <c r="K18" s="32">
        <f>K11+K15</f>
        <v>92628866</v>
      </c>
      <c r="L18" s="32">
        <f>L11+L15</f>
        <v>106033234</v>
      </c>
      <c r="M18" s="32">
        <f>M11+M15</f>
        <v>131665003</v>
      </c>
      <c r="N18" s="32">
        <f>N11+N15</f>
        <v>88861537</v>
      </c>
    </row>
    <row r="19" spans="1:14" ht="15" customHeight="1">
      <c r="A19" s="709" t="s">
        <v>435</v>
      </c>
      <c r="B19" s="710"/>
      <c r="C19" s="187">
        <f>C10+C16</f>
        <v>81581430</v>
      </c>
      <c r="D19" s="187">
        <f>D10+D16</f>
        <v>79731577</v>
      </c>
      <c r="E19" s="187">
        <f>E10+E16</f>
        <v>85620314</v>
      </c>
      <c r="F19" s="187">
        <f>F10+F16</f>
        <v>96451687</v>
      </c>
      <c r="G19" s="187">
        <f>G10+G16</f>
        <v>91852389</v>
      </c>
      <c r="H19" s="711" t="s">
        <v>450</v>
      </c>
      <c r="I19" s="712"/>
      <c r="J19" s="59">
        <v>1487589</v>
      </c>
      <c r="K19" s="59">
        <v>1411250</v>
      </c>
      <c r="L19" s="59">
        <v>1411250</v>
      </c>
      <c r="M19" s="59">
        <v>1411250</v>
      </c>
      <c r="N19" s="59">
        <v>1411250</v>
      </c>
    </row>
    <row r="20" spans="1:14" ht="15" customHeight="1">
      <c r="A20" s="695" t="s">
        <v>449</v>
      </c>
      <c r="B20" s="696"/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299"/>
      <c r="I20" s="300"/>
      <c r="J20" s="59"/>
      <c r="K20" s="59"/>
      <c r="L20" s="59"/>
      <c r="M20" s="59"/>
      <c r="N20" s="59"/>
    </row>
    <row r="21" spans="1:14" ht="15" customHeight="1">
      <c r="A21" s="277" t="s">
        <v>441</v>
      </c>
      <c r="B21" s="70" t="s">
        <v>82</v>
      </c>
      <c r="C21" s="186"/>
      <c r="D21" s="186"/>
      <c r="E21" s="327"/>
      <c r="F21" s="327"/>
      <c r="G21" s="327"/>
      <c r="H21" s="299"/>
      <c r="I21" s="300"/>
      <c r="J21" s="59"/>
      <c r="K21" s="59"/>
      <c r="L21" s="59"/>
      <c r="M21" s="59"/>
      <c r="N21" s="59"/>
    </row>
    <row r="22" spans="1:14" ht="15" customHeight="1">
      <c r="A22" s="277"/>
      <c r="B22" s="198" t="s">
        <v>415</v>
      </c>
      <c r="C22" s="122">
        <v>8696901</v>
      </c>
      <c r="D22" s="122">
        <v>60413118</v>
      </c>
      <c r="E22" s="122">
        <v>60413118</v>
      </c>
      <c r="F22" s="122">
        <v>60413118</v>
      </c>
      <c r="G22" s="122">
        <v>60413118</v>
      </c>
      <c r="H22" s="299"/>
      <c r="I22" s="314" t="s">
        <v>461</v>
      </c>
      <c r="J22" s="59">
        <v>1487589</v>
      </c>
      <c r="K22" s="59">
        <v>1411250</v>
      </c>
      <c r="L22" s="59">
        <v>1411250</v>
      </c>
      <c r="M22" s="59">
        <v>1411250</v>
      </c>
      <c r="N22" s="59">
        <v>1411250</v>
      </c>
    </row>
    <row r="23" spans="1:14" ht="15" customHeight="1">
      <c r="A23" s="277"/>
      <c r="B23" s="198" t="s">
        <v>460</v>
      </c>
      <c r="C23" s="122"/>
      <c r="D23" s="122"/>
      <c r="E23" s="328"/>
      <c r="F23" s="328"/>
      <c r="G23" s="328">
        <v>1547521</v>
      </c>
      <c r="H23" s="299"/>
      <c r="I23" s="300"/>
      <c r="J23" s="59"/>
      <c r="K23" s="59"/>
      <c r="L23" s="59"/>
      <c r="M23" s="59"/>
      <c r="N23" s="59"/>
    </row>
    <row r="24" spans="1:14" ht="15" customHeight="1">
      <c r="A24" s="277"/>
      <c r="B24" s="11" t="s">
        <v>439</v>
      </c>
      <c r="C24" s="32">
        <f>SUM(C22:C23)</f>
        <v>8696901</v>
      </c>
      <c r="D24" s="32">
        <f>SUM(D22:D23)</f>
        <v>60413118</v>
      </c>
      <c r="E24" s="32">
        <f>SUM(E22:E23)</f>
        <v>60413118</v>
      </c>
      <c r="F24" s="32">
        <f>SUM(F22:F23)</f>
        <v>60413118</v>
      </c>
      <c r="G24" s="32">
        <f>SUM(G22:G23)</f>
        <v>61960639</v>
      </c>
      <c r="H24" s="110" t="s">
        <v>89</v>
      </c>
      <c r="I24" s="70" t="s">
        <v>419</v>
      </c>
      <c r="J24" s="59"/>
      <c r="K24" s="59"/>
      <c r="L24" s="59"/>
      <c r="M24" s="59"/>
      <c r="N24" s="59"/>
    </row>
    <row r="25" spans="1:14" ht="15" customHeight="1">
      <c r="A25" s="110" t="s">
        <v>89</v>
      </c>
      <c r="B25" s="70" t="s">
        <v>419</v>
      </c>
      <c r="C25" s="32"/>
      <c r="D25" s="32"/>
      <c r="E25" s="32"/>
      <c r="F25" s="32"/>
      <c r="G25" s="32"/>
      <c r="H25" s="299"/>
      <c r="I25" s="198" t="s">
        <v>923</v>
      </c>
      <c r="J25" s="59"/>
      <c r="K25" s="59"/>
      <c r="L25" s="59"/>
      <c r="M25" s="59"/>
      <c r="N25" s="59"/>
    </row>
    <row r="26" spans="1:14" ht="15" customHeight="1">
      <c r="A26" s="277"/>
      <c r="B26" s="198" t="s">
        <v>923</v>
      </c>
      <c r="C26" s="8">
        <v>0</v>
      </c>
      <c r="D26" s="8">
        <v>0</v>
      </c>
      <c r="E26" s="8">
        <v>2037736</v>
      </c>
      <c r="F26" s="8">
        <v>2037736</v>
      </c>
      <c r="G26" s="8">
        <v>2037736</v>
      </c>
      <c r="H26" s="299"/>
      <c r="I26" s="198"/>
      <c r="J26" s="59"/>
      <c r="K26" s="59"/>
      <c r="L26" s="59"/>
      <c r="M26" s="59"/>
      <c r="N26" s="59"/>
    </row>
    <row r="27" spans="1:14" ht="15" customHeight="1">
      <c r="A27" s="277"/>
      <c r="B27" s="11" t="s">
        <v>924</v>
      </c>
      <c r="C27" s="32"/>
      <c r="D27" s="32"/>
      <c r="E27" s="32">
        <f>SUM(E26)</f>
        <v>2037736</v>
      </c>
      <c r="F27" s="32">
        <f>SUM(F26)</f>
        <v>2037736</v>
      </c>
      <c r="G27" s="32">
        <f>SUM(G26)</f>
        <v>2037736</v>
      </c>
      <c r="H27" s="701" t="s">
        <v>9</v>
      </c>
      <c r="I27" s="701" t="s">
        <v>9</v>
      </c>
      <c r="J27" s="222">
        <f>J18+J19</f>
        <v>87678331</v>
      </c>
      <c r="K27" s="222">
        <f>K18+K19</f>
        <v>94040116</v>
      </c>
      <c r="L27" s="222">
        <f>L18+L19</f>
        <v>107444484</v>
      </c>
      <c r="M27" s="222">
        <f>M18+M19</f>
        <v>133076253</v>
      </c>
      <c r="N27" s="222">
        <f>N18+N19</f>
        <v>90272787</v>
      </c>
    </row>
    <row r="28" spans="1:14" ht="15" customHeight="1">
      <c r="A28" s="701" t="s">
        <v>55</v>
      </c>
      <c r="B28" s="701"/>
      <c r="C28" s="222">
        <f>C19+C24</f>
        <v>90278331</v>
      </c>
      <c r="D28" s="222">
        <f>D19+D24+D27</f>
        <v>140144695</v>
      </c>
      <c r="E28" s="222">
        <f>E19+E24+E27</f>
        <v>148071168</v>
      </c>
      <c r="F28" s="222">
        <f>F19+F24+F27</f>
        <v>158902541</v>
      </c>
      <c r="G28" s="222">
        <f>G19+G24+G27</f>
        <v>155850764</v>
      </c>
      <c r="H28" s="702" t="s">
        <v>96</v>
      </c>
      <c r="I28" s="703"/>
      <c r="J28" s="63"/>
      <c r="K28" s="63"/>
      <c r="L28" s="63"/>
      <c r="M28" s="63"/>
      <c r="N28" s="63"/>
    </row>
    <row r="29" spans="1:14" ht="15" customHeight="1">
      <c r="A29" s="702" t="s">
        <v>23</v>
      </c>
      <c r="B29" s="703"/>
      <c r="C29" s="62"/>
      <c r="D29" s="62"/>
      <c r="E29" s="62"/>
      <c r="F29" s="62"/>
      <c r="G29" s="62"/>
      <c r="H29" s="110" t="s">
        <v>88</v>
      </c>
      <c r="I29" s="107" t="s">
        <v>82</v>
      </c>
      <c r="J29" s="3"/>
      <c r="K29" s="3"/>
      <c r="L29" s="3"/>
      <c r="M29" s="3"/>
      <c r="N29" s="3"/>
    </row>
    <row r="30" spans="1:14" s="190" customFormat="1" ht="15.75">
      <c r="A30" s="110" t="s">
        <v>88</v>
      </c>
      <c r="B30" s="111" t="s">
        <v>82</v>
      </c>
      <c r="C30" s="8"/>
      <c r="D30" s="8"/>
      <c r="E30" s="8"/>
      <c r="F30" s="8"/>
      <c r="G30" s="8"/>
      <c r="H30" s="110"/>
      <c r="I30" s="61" t="s">
        <v>925</v>
      </c>
      <c r="J30" s="59">
        <v>0</v>
      </c>
      <c r="K30" s="59">
        <v>152400</v>
      </c>
      <c r="L30" s="59">
        <v>4086407</v>
      </c>
      <c r="M30" s="59">
        <v>4807387</v>
      </c>
      <c r="N30" s="59">
        <v>4807387</v>
      </c>
    </row>
    <row r="31" spans="1:14" ht="15" customHeight="1">
      <c r="A31" s="108"/>
      <c r="B31" s="197" t="s">
        <v>926</v>
      </c>
      <c r="C31" s="59"/>
      <c r="D31" s="59">
        <v>43284493</v>
      </c>
      <c r="E31" s="59">
        <v>43284493</v>
      </c>
      <c r="F31" s="59">
        <v>50750046</v>
      </c>
      <c r="G31" s="59">
        <v>48692746</v>
      </c>
      <c r="H31" s="110"/>
      <c r="I31" s="60" t="s">
        <v>927</v>
      </c>
      <c r="J31" s="59">
        <v>2000000</v>
      </c>
      <c r="K31" s="59">
        <v>89036672</v>
      </c>
      <c r="L31" s="59">
        <v>79497770</v>
      </c>
      <c r="M31" s="59">
        <v>81237979</v>
      </c>
      <c r="N31" s="59">
        <v>72863443</v>
      </c>
    </row>
    <row r="32" spans="1:14" ht="15" customHeight="1">
      <c r="A32" s="108"/>
      <c r="B32" s="197" t="s">
        <v>928</v>
      </c>
      <c r="C32" s="59"/>
      <c r="D32" s="59"/>
      <c r="E32" s="59"/>
      <c r="F32" s="59">
        <v>10005000</v>
      </c>
      <c r="G32" s="59">
        <v>5305000</v>
      </c>
      <c r="H32" s="110"/>
      <c r="I32" s="60" t="s">
        <v>929</v>
      </c>
      <c r="J32" s="59"/>
      <c r="K32" s="59"/>
      <c r="L32" s="59"/>
      <c r="M32" s="59"/>
      <c r="N32" s="59"/>
    </row>
    <row r="33" spans="1:14" ht="15" customHeight="1">
      <c r="A33" s="108"/>
      <c r="B33" s="197" t="s">
        <v>930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110"/>
      <c r="I33" s="11" t="s">
        <v>87</v>
      </c>
      <c r="J33" s="105">
        <f>SUM(J30:J32)</f>
        <v>2000000</v>
      </c>
      <c r="K33" s="105">
        <f>SUM(K30:K32)</f>
        <v>89189072</v>
      </c>
      <c r="L33" s="105">
        <f>SUM(L30:L32)</f>
        <v>83584177</v>
      </c>
      <c r="M33" s="105">
        <f>SUM(M30:M32)</f>
        <v>86045366</v>
      </c>
      <c r="N33" s="105">
        <f>SUM(N30:N32)</f>
        <v>77670830</v>
      </c>
    </row>
    <row r="34" spans="1:14" ht="15" customHeight="1">
      <c r="A34" s="108"/>
      <c r="B34" s="197" t="s">
        <v>931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9"/>
      <c r="I34" s="11"/>
      <c r="J34" s="191"/>
      <c r="K34" s="191"/>
      <c r="L34" s="191"/>
      <c r="M34" s="191"/>
      <c r="N34" s="191"/>
    </row>
    <row r="35" spans="1:14" ht="15" customHeight="1">
      <c r="A35" s="188"/>
      <c r="B35" s="11" t="s">
        <v>87</v>
      </c>
      <c r="C35" s="105">
        <f>SUM(C31:C34)</f>
        <v>0</v>
      </c>
      <c r="D35" s="105">
        <f>SUM(D31:D34)</f>
        <v>43284493</v>
      </c>
      <c r="E35" s="105">
        <f>SUM(E31:E34)</f>
        <v>43284493</v>
      </c>
      <c r="F35" s="105">
        <f>SUM(F31:F34)</f>
        <v>60755046</v>
      </c>
      <c r="G35" s="105">
        <f>SUM(G31:G34)</f>
        <v>53997746</v>
      </c>
      <c r="H35" s="110" t="s">
        <v>89</v>
      </c>
      <c r="I35" s="70" t="s">
        <v>419</v>
      </c>
      <c r="J35" s="59"/>
      <c r="K35" s="59"/>
      <c r="L35" s="59"/>
      <c r="M35" s="59"/>
      <c r="N35" s="59"/>
    </row>
    <row r="36" spans="1:14" ht="15" customHeight="1">
      <c r="A36" s="110"/>
      <c r="B36" s="11"/>
      <c r="C36" s="3"/>
      <c r="D36" s="3"/>
      <c r="E36" s="3"/>
      <c r="F36" s="3"/>
      <c r="G36" s="3"/>
      <c r="H36" s="110"/>
      <c r="I36" s="60" t="s">
        <v>932</v>
      </c>
      <c r="J36" s="3">
        <v>600000</v>
      </c>
      <c r="K36" s="3">
        <v>200000</v>
      </c>
      <c r="L36" s="3">
        <v>327000</v>
      </c>
      <c r="M36" s="3">
        <v>535968</v>
      </c>
      <c r="N36" s="3">
        <v>401547</v>
      </c>
    </row>
    <row r="37" spans="1:14" ht="15" customHeight="1">
      <c r="A37" s="108"/>
      <c r="B37" s="198"/>
      <c r="C37" s="59"/>
      <c r="D37" s="59"/>
      <c r="E37" s="59"/>
      <c r="F37" s="59"/>
      <c r="G37" s="59"/>
      <c r="H37" s="110"/>
      <c r="I37" s="70" t="s">
        <v>420</v>
      </c>
      <c r="J37" s="105">
        <f>SUM(J36)</f>
        <v>600000</v>
      </c>
      <c r="K37" s="105">
        <f>SUM(K36)</f>
        <v>200000</v>
      </c>
      <c r="L37" s="105">
        <f>SUM(L36)</f>
        <v>327000</v>
      </c>
      <c r="M37" s="105">
        <f>SUM(M36)</f>
        <v>535968</v>
      </c>
      <c r="N37" s="105">
        <f>SUM(N36)</f>
        <v>401547</v>
      </c>
    </row>
    <row r="38" spans="1:14" ht="15" customHeight="1">
      <c r="A38" s="108"/>
      <c r="B38" s="280"/>
      <c r="C38" s="105"/>
      <c r="D38" s="105"/>
      <c r="E38" s="105"/>
      <c r="F38" s="105"/>
      <c r="G38" s="105"/>
      <c r="H38" s="693" t="s">
        <v>437</v>
      </c>
      <c r="I38" s="694"/>
      <c r="J38" s="287">
        <f>J33+J37</f>
        <v>2600000</v>
      </c>
      <c r="K38" s="287">
        <f>K33+K37</f>
        <v>89389072</v>
      </c>
      <c r="L38" s="287">
        <f>L33+L37</f>
        <v>83911177</v>
      </c>
      <c r="M38" s="287">
        <f>M33+M37</f>
        <v>86581334</v>
      </c>
      <c r="N38" s="287">
        <f>N33+N37</f>
        <v>78072377</v>
      </c>
    </row>
    <row r="39" spans="1:14" ht="15" customHeight="1">
      <c r="A39" s="693" t="s">
        <v>452</v>
      </c>
      <c r="B39" s="694"/>
      <c r="C39" s="287">
        <f>C35+C38</f>
        <v>0</v>
      </c>
      <c r="D39" s="287">
        <f>D35+D38</f>
        <v>43284493</v>
      </c>
      <c r="E39" s="287">
        <f>E35+E38</f>
        <v>43284493</v>
      </c>
      <c r="F39" s="287">
        <f>F35+F38</f>
        <v>60755046</v>
      </c>
      <c r="G39" s="287">
        <f>G35+G38</f>
        <v>53997746</v>
      </c>
      <c r="H39" s="695" t="s">
        <v>451</v>
      </c>
      <c r="I39" s="696"/>
      <c r="J39" s="59"/>
      <c r="K39" s="59"/>
      <c r="L39" s="59"/>
      <c r="M39" s="59"/>
      <c r="N39" s="59"/>
    </row>
    <row r="40" spans="1:14" ht="15" customHeight="1">
      <c r="A40" s="695" t="s">
        <v>301</v>
      </c>
      <c r="B40" s="696"/>
      <c r="C40" s="32"/>
      <c r="D40" s="32"/>
      <c r="E40" s="329"/>
      <c r="F40" s="329"/>
      <c r="G40" s="329"/>
      <c r="H40" s="277" t="s">
        <v>88</v>
      </c>
      <c r="I40" s="70" t="s">
        <v>87</v>
      </c>
      <c r="J40" s="59"/>
      <c r="K40" s="59"/>
      <c r="L40" s="59"/>
      <c r="M40" s="59"/>
      <c r="N40" s="59"/>
    </row>
    <row r="41" spans="1:14" ht="15" customHeight="1">
      <c r="A41" s="277" t="s">
        <v>88</v>
      </c>
      <c r="B41" s="132" t="s">
        <v>82</v>
      </c>
      <c r="C41" s="32"/>
      <c r="D41" s="32"/>
      <c r="E41" s="329"/>
      <c r="F41" s="329"/>
      <c r="G41" s="329"/>
      <c r="H41" s="279"/>
      <c r="I41" s="61" t="s">
        <v>438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</row>
    <row r="42" spans="1:14" ht="15" customHeight="1">
      <c r="A42" s="108"/>
      <c r="B42" s="198" t="s">
        <v>415</v>
      </c>
      <c r="C42" s="122"/>
      <c r="D42" s="122"/>
      <c r="E42" s="328"/>
      <c r="F42" s="328"/>
      <c r="G42" s="328"/>
      <c r="H42" s="279"/>
      <c r="I42" s="281" t="s">
        <v>87</v>
      </c>
      <c r="J42" s="32">
        <f>SUM(J41)</f>
        <v>0</v>
      </c>
      <c r="K42" s="32">
        <f>SUM(K41)</f>
        <v>0</v>
      </c>
      <c r="L42" s="32">
        <f>SUM(L41)</f>
        <v>0</v>
      </c>
      <c r="M42" s="32">
        <f>SUM(M41)</f>
        <v>0</v>
      </c>
      <c r="N42" s="32">
        <f>SUM(N41)</f>
        <v>0</v>
      </c>
    </row>
    <row r="43" spans="1:14" ht="15" customHeight="1">
      <c r="A43" s="108"/>
      <c r="B43" s="11" t="s">
        <v>439</v>
      </c>
      <c r="C43" s="32"/>
      <c r="D43" s="32"/>
      <c r="E43" s="329"/>
      <c r="F43" s="329"/>
      <c r="G43" s="329"/>
      <c r="H43" s="279"/>
      <c r="I43" s="281"/>
      <c r="J43" s="32"/>
      <c r="K43" s="32"/>
      <c r="L43" s="32"/>
      <c r="M43" s="32"/>
      <c r="N43" s="32"/>
    </row>
    <row r="44" spans="1:14" ht="15" customHeight="1">
      <c r="A44" s="110" t="s">
        <v>89</v>
      </c>
      <c r="B44" s="11" t="s">
        <v>419</v>
      </c>
      <c r="C44" s="3"/>
      <c r="D44" s="3"/>
      <c r="E44" s="330"/>
      <c r="F44" s="330"/>
      <c r="G44" s="330"/>
      <c r="H44" s="279"/>
      <c r="I44" s="281"/>
      <c r="J44" s="32"/>
      <c r="K44" s="32"/>
      <c r="L44" s="32"/>
      <c r="M44" s="32"/>
      <c r="N44" s="32"/>
    </row>
    <row r="45" spans="1:14" s="1" customFormat="1" ht="15.75">
      <c r="A45" s="108"/>
      <c r="B45" s="198" t="s">
        <v>430</v>
      </c>
      <c r="C45" s="59"/>
      <c r="D45" s="59"/>
      <c r="E45" s="331"/>
      <c r="F45" s="331"/>
      <c r="G45" s="331"/>
      <c r="H45" s="279"/>
      <c r="I45" s="281"/>
      <c r="J45" s="32"/>
      <c r="K45" s="32"/>
      <c r="L45" s="32"/>
      <c r="M45" s="32"/>
      <c r="N45" s="32"/>
    </row>
    <row r="46" spans="1:14" s="1" customFormat="1" ht="15.75">
      <c r="A46" s="108"/>
      <c r="B46" s="280" t="s">
        <v>436</v>
      </c>
      <c r="C46" s="105"/>
      <c r="D46" s="105"/>
      <c r="E46" s="332"/>
      <c r="F46" s="332"/>
      <c r="G46" s="332"/>
      <c r="H46" s="279"/>
      <c r="I46" s="281"/>
      <c r="J46" s="32"/>
      <c r="K46" s="32"/>
      <c r="L46" s="32"/>
      <c r="M46" s="32"/>
      <c r="N46" s="32"/>
    </row>
    <row r="47" spans="1:14" s="1" customFormat="1" ht="15.75">
      <c r="A47" s="693" t="s">
        <v>453</v>
      </c>
      <c r="B47" s="694"/>
      <c r="C47" s="287">
        <f>C43+C46</f>
        <v>0</v>
      </c>
      <c r="D47" s="287">
        <f>D43+D46</f>
        <v>0</v>
      </c>
      <c r="E47" s="287">
        <f>E43+E46</f>
        <v>0</v>
      </c>
      <c r="F47" s="287">
        <f>F43+F46</f>
        <v>0</v>
      </c>
      <c r="G47" s="287">
        <f>G43+G46</f>
        <v>0</v>
      </c>
      <c r="H47" s="697" t="s">
        <v>455</v>
      </c>
      <c r="I47" s="698"/>
      <c r="J47" s="282">
        <f>J42</f>
        <v>0</v>
      </c>
      <c r="K47" s="282">
        <f>K42</f>
        <v>0</v>
      </c>
      <c r="L47" s="282">
        <f>L42</f>
        <v>0</v>
      </c>
      <c r="M47" s="282">
        <f>M42</f>
        <v>0</v>
      </c>
      <c r="N47" s="282">
        <f>N42</f>
        <v>0</v>
      </c>
    </row>
    <row r="48" spans="1:14" s="1" customFormat="1" ht="15.75">
      <c r="A48" s="699" t="s">
        <v>454</v>
      </c>
      <c r="B48" s="700"/>
      <c r="C48" s="283">
        <f>C39+C47</f>
        <v>0</v>
      </c>
      <c r="D48" s="283">
        <f>D39+D47</f>
        <v>43284493</v>
      </c>
      <c r="E48" s="283">
        <f>E39+E47</f>
        <v>43284493</v>
      </c>
      <c r="F48" s="283">
        <f>F39+F47</f>
        <v>60755046</v>
      </c>
      <c r="G48" s="283">
        <f>G39+G47</f>
        <v>53997746</v>
      </c>
      <c r="H48" s="284"/>
      <c r="I48" s="285" t="s">
        <v>421</v>
      </c>
      <c r="J48" s="286">
        <f>J38+J47</f>
        <v>2600000</v>
      </c>
      <c r="K48" s="286">
        <f>K38+K47</f>
        <v>89389072</v>
      </c>
      <c r="L48" s="286">
        <f>L38+L47</f>
        <v>83911177</v>
      </c>
      <c r="M48" s="286">
        <f>M38+M47</f>
        <v>86581334</v>
      </c>
      <c r="N48" s="286">
        <f>N38+N47</f>
        <v>78072377</v>
      </c>
    </row>
    <row r="49" spans="1:14" s="1" customFormat="1" ht="15.75">
      <c r="A49" s="692" t="s">
        <v>56</v>
      </c>
      <c r="B49" s="692"/>
      <c r="C49" s="64">
        <f>C28+C48</f>
        <v>90278331</v>
      </c>
      <c r="D49" s="64">
        <f>D28+D48</f>
        <v>183429188</v>
      </c>
      <c r="E49" s="64">
        <f>E28+E48</f>
        <v>191355661</v>
      </c>
      <c r="F49" s="64">
        <f>F28+F48</f>
        <v>219657587</v>
      </c>
      <c r="G49" s="64">
        <f>G28+G48</f>
        <v>209848510</v>
      </c>
      <c r="H49" s="185"/>
      <c r="I49" s="185" t="s">
        <v>280</v>
      </c>
      <c r="J49" s="64">
        <f>J27+J48</f>
        <v>90278331</v>
      </c>
      <c r="K49" s="64">
        <f>K27+K48</f>
        <v>183429188</v>
      </c>
      <c r="L49" s="64">
        <f>L27+L48</f>
        <v>191355661</v>
      </c>
      <c r="M49" s="64">
        <f>M27+M48</f>
        <v>219657587</v>
      </c>
      <c r="N49" s="64">
        <f>N27+N48</f>
        <v>168345164</v>
      </c>
    </row>
    <row r="50" s="1" customFormat="1" ht="12.75">
      <c r="K50" s="47"/>
    </row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</sheetData>
  <sheetProtection/>
  <mergeCells count="22">
    <mergeCell ref="H1:H2"/>
    <mergeCell ref="A3:C3"/>
    <mergeCell ref="H3:J3"/>
    <mergeCell ref="H18:I18"/>
    <mergeCell ref="A19:B19"/>
    <mergeCell ref="H19:I19"/>
    <mergeCell ref="B1:B2"/>
    <mergeCell ref="A1:A2"/>
    <mergeCell ref="I1:I2"/>
    <mergeCell ref="A20:B20"/>
    <mergeCell ref="H27:I27"/>
    <mergeCell ref="A28:B28"/>
    <mergeCell ref="H28:I28"/>
    <mergeCell ref="A29:B29"/>
    <mergeCell ref="H38:I38"/>
    <mergeCell ref="A49:B49"/>
    <mergeCell ref="A39:B39"/>
    <mergeCell ref="H39:I39"/>
    <mergeCell ref="A40:B40"/>
    <mergeCell ref="A47:B47"/>
    <mergeCell ref="H47:I47"/>
    <mergeCell ref="A48:B48"/>
  </mergeCells>
  <printOptions horizontalCentered="1"/>
  <pageMargins left="0.2362204724409449" right="0.2362204724409449" top="1.0236220472440944" bottom="0.1968503937007874" header="0.2755905511811024" footer="0.1968503937007874"/>
  <pageSetup fitToHeight="0" fitToWidth="1" horizontalDpi="600" verticalDpi="600" orientation="landscape" paperSize="9" scale="59" r:id="rId1"/>
  <headerFooter alignWithMargins="0">
    <oddHeader>&amp;C&amp;"Garamond,Félkövér"&amp;12 3/2019. (V.31.) számú költségvetési rendelethez
ZALASZABAR KÖZSÉG  ÖNKORMÁNYZATA ÉS INTÉZMÉNYE
2018. ÉVI MŰKÖDÉSI ÉS FELHALMOZÁSI CÉLÚ BEVÉTELEI ÉS KIADÁSAI
&amp;R&amp;A
&amp;P.oldal
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2"/>
  <sheetViews>
    <sheetView view="pageLayout" zoomScaleSheetLayoutView="100" workbookViewId="0" topLeftCell="A1">
      <selection activeCell="H7" sqref="H7"/>
    </sheetView>
  </sheetViews>
  <sheetFormatPr defaultColWidth="9.00390625" defaultRowHeight="12.75"/>
  <cols>
    <col min="1" max="1" width="5.625" style="21" customWidth="1"/>
    <col min="2" max="2" width="68.375" style="21" customWidth="1"/>
    <col min="3" max="3" width="14.00390625" style="21" customWidth="1"/>
    <col min="4" max="4" width="15.75390625" style="21" customWidth="1"/>
    <col min="5" max="5" width="12.25390625" style="21" customWidth="1"/>
    <col min="6" max="6" width="13.625" style="21" customWidth="1"/>
    <col min="7" max="7" width="17.625" style="21" customWidth="1"/>
    <col min="8" max="8" width="15.625" style="21" customWidth="1"/>
    <col min="9" max="16384" width="9.125" style="21" customWidth="1"/>
  </cols>
  <sheetData>
    <row r="1" spans="1:7" ht="12.75" customHeight="1">
      <c r="A1" s="679" t="s">
        <v>19</v>
      </c>
      <c r="B1" s="684" t="s">
        <v>13</v>
      </c>
      <c r="C1" s="715" t="s">
        <v>462</v>
      </c>
      <c r="D1" s="715" t="s">
        <v>934</v>
      </c>
      <c r="E1" s="715" t="s">
        <v>897</v>
      </c>
      <c r="F1" s="715" t="s">
        <v>898</v>
      </c>
      <c r="G1" s="679" t="s">
        <v>882</v>
      </c>
    </row>
    <row r="2" spans="1:7" ht="15" customHeight="1">
      <c r="A2" s="679"/>
      <c r="B2" s="684"/>
      <c r="C2" s="716"/>
      <c r="D2" s="716"/>
      <c r="E2" s="716"/>
      <c r="F2" s="716"/>
      <c r="G2" s="679"/>
    </row>
    <row r="3" spans="1:7" ht="15" customHeight="1">
      <c r="A3" s="26" t="s">
        <v>88</v>
      </c>
      <c r="B3" s="68" t="s">
        <v>285</v>
      </c>
      <c r="C3" s="259"/>
      <c r="D3" s="259"/>
      <c r="E3" s="259"/>
      <c r="F3" s="259"/>
      <c r="G3" s="259"/>
    </row>
    <row r="4" spans="1:7" ht="19.5" customHeight="1">
      <c r="A4" s="26" t="s">
        <v>32</v>
      </c>
      <c r="B4" s="68" t="s">
        <v>286</v>
      </c>
      <c r="C4" s="22"/>
      <c r="D4" s="22"/>
      <c r="E4" s="22"/>
      <c r="F4" s="22"/>
      <c r="G4" s="22"/>
    </row>
    <row r="5" spans="1:7" ht="19.5" customHeight="1">
      <c r="A5" s="26">
        <v>1</v>
      </c>
      <c r="B5" s="68" t="s">
        <v>935</v>
      </c>
      <c r="C5" s="22"/>
      <c r="D5" s="22"/>
      <c r="E5" s="22"/>
      <c r="F5" s="22"/>
      <c r="G5" s="22"/>
    </row>
    <row r="6" spans="1:7" ht="19.5" customHeight="1">
      <c r="A6" s="26"/>
      <c r="B6" s="119" t="s">
        <v>389</v>
      </c>
      <c r="C6" s="22"/>
      <c r="D6" s="22"/>
      <c r="E6" s="22"/>
      <c r="F6" s="22"/>
      <c r="G6" s="22"/>
    </row>
    <row r="7" spans="1:7" ht="19.5" customHeight="1">
      <c r="A7" s="26"/>
      <c r="B7" s="207" t="s">
        <v>936</v>
      </c>
      <c r="C7" s="201">
        <v>16545549</v>
      </c>
      <c r="D7" s="201">
        <v>15178222</v>
      </c>
      <c r="E7" s="201">
        <v>15178222</v>
      </c>
      <c r="F7" s="201">
        <v>15203232</v>
      </c>
      <c r="G7" s="201">
        <v>15203232</v>
      </c>
    </row>
    <row r="8" spans="1:7" ht="19.5" customHeight="1">
      <c r="A8" s="26"/>
      <c r="B8" s="203" t="s">
        <v>937</v>
      </c>
      <c r="C8" s="201">
        <v>15474220</v>
      </c>
      <c r="D8" s="201">
        <v>14526300</v>
      </c>
      <c r="E8" s="201">
        <v>14526300</v>
      </c>
      <c r="F8" s="201">
        <v>15224433</v>
      </c>
      <c r="G8" s="201">
        <v>15224433</v>
      </c>
    </row>
    <row r="9" spans="1:7" ht="19.5" customHeight="1">
      <c r="A9" s="26"/>
      <c r="B9" s="203" t="s">
        <v>938</v>
      </c>
      <c r="C9" s="201">
        <v>8860811</v>
      </c>
      <c r="D9" s="201">
        <v>8618826</v>
      </c>
      <c r="E9" s="201">
        <v>8618826</v>
      </c>
      <c r="F9" s="201">
        <v>8321216</v>
      </c>
      <c r="G9" s="201">
        <v>8321216</v>
      </c>
    </row>
    <row r="10" spans="1:7" ht="19.5" customHeight="1">
      <c r="A10" s="26"/>
      <c r="B10" s="203" t="s">
        <v>390</v>
      </c>
      <c r="C10" s="201">
        <v>1200000</v>
      </c>
      <c r="D10" s="201">
        <v>1800000</v>
      </c>
      <c r="E10" s="201">
        <v>1800000</v>
      </c>
      <c r="F10" s="201">
        <v>1800000</v>
      </c>
      <c r="G10" s="201">
        <v>1800000</v>
      </c>
    </row>
    <row r="11" spans="1:7" ht="19.5" customHeight="1">
      <c r="A11" s="26"/>
      <c r="B11" s="203" t="s">
        <v>939</v>
      </c>
      <c r="C11" s="201"/>
      <c r="D11" s="201"/>
      <c r="E11" s="201">
        <v>455165</v>
      </c>
      <c r="F11" s="201">
        <v>2365585</v>
      </c>
      <c r="G11" s="201">
        <v>2365585</v>
      </c>
    </row>
    <row r="12" spans="1:7" ht="19.5" customHeight="1">
      <c r="A12" s="480"/>
      <c r="B12" s="288" t="s">
        <v>287</v>
      </c>
      <c r="C12" s="289">
        <f>SUM(C7:C11)</f>
        <v>42080580</v>
      </c>
      <c r="D12" s="289">
        <f>SUM(D7:D11)</f>
        <v>40123348</v>
      </c>
      <c r="E12" s="289">
        <f>SUM(E7:E11)</f>
        <v>40578513</v>
      </c>
      <c r="F12" s="289">
        <f>SUM(F7:F11)</f>
        <v>42914466</v>
      </c>
      <c r="G12" s="289">
        <f>SUM(G7:G11)</f>
        <v>42914466</v>
      </c>
    </row>
    <row r="13" spans="1:7" ht="19.5" customHeight="1">
      <c r="A13" s="200"/>
      <c r="B13" s="199" t="s">
        <v>940</v>
      </c>
      <c r="C13" s="201">
        <v>0</v>
      </c>
      <c r="D13" s="201">
        <v>0</v>
      </c>
      <c r="E13" s="201">
        <v>1529736</v>
      </c>
      <c r="F13" s="201">
        <v>1529736</v>
      </c>
      <c r="G13" s="201">
        <v>0</v>
      </c>
    </row>
    <row r="14" spans="1:7" ht="19.5" customHeight="1">
      <c r="A14" s="200"/>
      <c r="B14" s="199" t="s">
        <v>941</v>
      </c>
      <c r="C14" s="201"/>
      <c r="D14" s="201"/>
      <c r="E14" s="201"/>
      <c r="F14" s="201">
        <f>SUM(F15:F19)</f>
        <v>7903017</v>
      </c>
      <c r="G14" s="201">
        <f>SUM(G15:G19)</f>
        <v>7903017</v>
      </c>
    </row>
    <row r="15" spans="1:7" ht="19.5" customHeight="1">
      <c r="A15" s="26"/>
      <c r="B15" s="205" t="s">
        <v>942</v>
      </c>
      <c r="C15" s="201">
        <v>2671100</v>
      </c>
      <c r="D15" s="201">
        <v>1389879</v>
      </c>
      <c r="E15" s="201">
        <f>1389879+3903836</f>
        <v>5293715</v>
      </c>
      <c r="F15" s="201">
        <f>1389879+3903836+555379</f>
        <v>5849094</v>
      </c>
      <c r="G15" s="201">
        <f>1389879+3903836+555379</f>
        <v>5849094</v>
      </c>
    </row>
    <row r="16" spans="1:7" ht="19.5" customHeight="1">
      <c r="A16" s="26"/>
      <c r="B16" s="205" t="s">
        <v>943</v>
      </c>
      <c r="C16" s="201">
        <v>1200000</v>
      </c>
      <c r="D16" s="201">
        <v>1200000</v>
      </c>
      <c r="E16" s="201">
        <v>1200000</v>
      </c>
      <c r="F16" s="201">
        <v>1200000</v>
      </c>
      <c r="G16" s="201">
        <v>1200000</v>
      </c>
    </row>
    <row r="17" spans="1:7" ht="19.5" customHeight="1">
      <c r="A17" s="26"/>
      <c r="B17" s="205" t="s">
        <v>944</v>
      </c>
      <c r="C17" s="201">
        <v>700000</v>
      </c>
      <c r="D17" s="201">
        <v>700000</v>
      </c>
      <c r="E17" s="201">
        <v>700000</v>
      </c>
      <c r="F17" s="201">
        <v>535923</v>
      </c>
      <c r="G17" s="201">
        <v>535923</v>
      </c>
    </row>
    <row r="18" spans="1:7" ht="19.5" customHeight="1">
      <c r="A18" s="26"/>
      <c r="B18" s="204" t="s">
        <v>945</v>
      </c>
      <c r="C18" s="201"/>
      <c r="D18" s="201"/>
      <c r="E18" s="201"/>
      <c r="F18" s="201">
        <v>40000</v>
      </c>
      <c r="G18" s="201">
        <v>40000</v>
      </c>
    </row>
    <row r="19" spans="1:7" ht="19.5" customHeight="1">
      <c r="A19" s="26"/>
      <c r="B19" s="204" t="s">
        <v>946</v>
      </c>
      <c r="C19" s="201"/>
      <c r="D19" s="201"/>
      <c r="E19" s="201"/>
      <c r="F19" s="201">
        <v>278000</v>
      </c>
      <c r="G19" s="201">
        <v>278000</v>
      </c>
    </row>
    <row r="20" spans="1:7" ht="19.5" customHeight="1">
      <c r="A20" s="480"/>
      <c r="B20" s="290" t="s">
        <v>304</v>
      </c>
      <c r="C20" s="289">
        <f>SUM(C15:C17)</f>
        <v>4571100</v>
      </c>
      <c r="D20" s="289">
        <f>SUM(D15:D17)</f>
        <v>3289879</v>
      </c>
      <c r="E20" s="289">
        <f>SUM(E13:E17)</f>
        <v>8723451</v>
      </c>
      <c r="F20" s="289">
        <f>SUM(F13:F14)</f>
        <v>9432753</v>
      </c>
      <c r="G20" s="289">
        <f>SUM(G13:G14)</f>
        <v>7903017</v>
      </c>
    </row>
    <row r="21" spans="1:7" ht="19.5" customHeight="1">
      <c r="A21" s="574"/>
      <c r="B21" s="291" t="s">
        <v>288</v>
      </c>
      <c r="C21" s="292">
        <f>C12+C20</f>
        <v>46651680</v>
      </c>
      <c r="D21" s="292">
        <f>D12+D20</f>
        <v>43413227</v>
      </c>
      <c r="E21" s="292">
        <f>E12+E20</f>
        <v>49301964</v>
      </c>
      <c r="F21" s="292">
        <f>F12+F20</f>
        <v>52347219</v>
      </c>
      <c r="G21" s="292">
        <f>G12+G20</f>
        <v>50817483</v>
      </c>
    </row>
    <row r="22" spans="1:7" ht="19.5" customHeight="1">
      <c r="A22" s="26">
        <v>2</v>
      </c>
      <c r="B22" s="68" t="s">
        <v>947</v>
      </c>
      <c r="C22" s="22">
        <f>SUM(C23:C26)</f>
        <v>0</v>
      </c>
      <c r="D22" s="22">
        <f>SUM(D23:D26)</f>
        <v>43284493</v>
      </c>
      <c r="E22" s="22">
        <f>SUM(E23:E26)</f>
        <v>43284493</v>
      </c>
      <c r="F22" s="22">
        <f>SUM(F23:F26)</f>
        <v>50750046</v>
      </c>
      <c r="G22" s="22">
        <f>SUM(G23:G26)</f>
        <v>48692746</v>
      </c>
    </row>
    <row r="23" spans="1:7" ht="19.5" customHeight="1">
      <c r="A23" s="26"/>
      <c r="B23" s="202" t="s">
        <v>948</v>
      </c>
      <c r="C23" s="22"/>
      <c r="D23" s="201">
        <v>33498180</v>
      </c>
      <c r="E23" s="201">
        <v>33498180</v>
      </c>
      <c r="F23" s="201">
        <v>33521040</v>
      </c>
      <c r="G23" s="201">
        <v>33521040</v>
      </c>
    </row>
    <row r="24" spans="1:7" ht="19.5" customHeight="1">
      <c r="A24" s="26"/>
      <c r="B24" s="202" t="s">
        <v>949</v>
      </c>
      <c r="C24" s="22"/>
      <c r="D24" s="201">
        <v>7729013</v>
      </c>
      <c r="E24" s="201">
        <v>7729013</v>
      </c>
      <c r="F24" s="201">
        <v>7729013</v>
      </c>
      <c r="G24" s="201">
        <v>7729013</v>
      </c>
    </row>
    <row r="25" spans="1:7" ht="19.5" customHeight="1">
      <c r="A25" s="26"/>
      <c r="B25" s="202" t="s">
        <v>950</v>
      </c>
      <c r="C25" s="22"/>
      <c r="D25" s="201">
        <v>2057300</v>
      </c>
      <c r="E25" s="201">
        <v>2057300</v>
      </c>
      <c r="F25" s="201">
        <v>2057300</v>
      </c>
      <c r="G25" s="201">
        <v>0</v>
      </c>
    </row>
    <row r="26" spans="1:7" ht="36" customHeight="1">
      <c r="A26" s="26"/>
      <c r="B26" s="678" t="s">
        <v>1045</v>
      </c>
      <c r="C26" s="22"/>
      <c r="D26" s="201">
        <v>0</v>
      </c>
      <c r="E26" s="201">
        <v>0</v>
      </c>
      <c r="F26" s="201">
        <v>7442693</v>
      </c>
      <c r="G26" s="201">
        <v>7442693</v>
      </c>
    </row>
    <row r="27" spans="1:7" ht="19.5" customHeight="1">
      <c r="A27" s="574"/>
      <c r="B27" s="291" t="s">
        <v>388</v>
      </c>
      <c r="C27" s="292">
        <f>SUM(C22:C22)</f>
        <v>0</v>
      </c>
      <c r="D27" s="292">
        <f>SUM(D22:D22)</f>
        <v>43284493</v>
      </c>
      <c r="E27" s="292">
        <f>SUM(E22:E22)</f>
        <v>43284493</v>
      </c>
      <c r="F27" s="292">
        <f>SUM(F22:F22)</f>
        <v>50750046</v>
      </c>
      <c r="G27" s="292">
        <f>SUM(G22:G22)</f>
        <v>48692746</v>
      </c>
    </row>
    <row r="28" spans="1:7" ht="19.5" customHeight="1">
      <c r="A28" s="26" t="s">
        <v>5</v>
      </c>
      <c r="B28" s="68" t="s">
        <v>289</v>
      </c>
      <c r="C28" s="22"/>
      <c r="D28" s="22"/>
      <c r="E28" s="22"/>
      <c r="F28" s="22"/>
      <c r="G28" s="22"/>
    </row>
    <row r="29" spans="1:7" ht="19.5" customHeight="1">
      <c r="A29" s="26"/>
      <c r="B29" s="204" t="s">
        <v>292</v>
      </c>
      <c r="C29" s="201">
        <v>2500000</v>
      </c>
      <c r="D29" s="201">
        <v>2500000</v>
      </c>
      <c r="E29" s="201">
        <v>2500000</v>
      </c>
      <c r="F29" s="201">
        <v>2500000</v>
      </c>
      <c r="G29" s="201">
        <v>2497071</v>
      </c>
    </row>
    <row r="30" spans="1:7" ht="19.5" customHeight="1">
      <c r="A30" s="26"/>
      <c r="B30" s="204" t="s">
        <v>293</v>
      </c>
      <c r="C30" s="201">
        <v>2500000</v>
      </c>
      <c r="D30" s="201">
        <v>2500000</v>
      </c>
      <c r="E30" s="201">
        <v>2500000</v>
      </c>
      <c r="F30" s="201">
        <v>2500000</v>
      </c>
      <c r="G30" s="201">
        <v>2096224</v>
      </c>
    </row>
    <row r="31" spans="1:7" ht="19.5" customHeight="1">
      <c r="A31" s="26"/>
      <c r="B31" s="205" t="s">
        <v>951</v>
      </c>
      <c r="C31" s="201"/>
      <c r="D31" s="201"/>
      <c r="E31" s="201"/>
      <c r="F31" s="201"/>
      <c r="G31" s="201"/>
    </row>
    <row r="32" spans="1:7" ht="19.5" customHeight="1">
      <c r="A32" s="26"/>
      <c r="B32" s="202" t="s">
        <v>294</v>
      </c>
      <c r="C32" s="201">
        <v>6000000</v>
      </c>
      <c r="D32" s="201">
        <v>7000000</v>
      </c>
      <c r="E32" s="201">
        <v>7000000</v>
      </c>
      <c r="F32" s="201">
        <v>9072651</v>
      </c>
      <c r="G32" s="201">
        <v>9072651</v>
      </c>
    </row>
    <row r="33" spans="1:7" ht="19.5" customHeight="1">
      <c r="A33" s="26"/>
      <c r="B33" s="71" t="s">
        <v>295</v>
      </c>
      <c r="C33" s="39">
        <v>1300000</v>
      </c>
      <c r="D33" s="39">
        <v>1300000</v>
      </c>
      <c r="E33" s="39">
        <v>1300000</v>
      </c>
      <c r="F33" s="39">
        <v>1439345</v>
      </c>
      <c r="G33" s="39">
        <v>1439345</v>
      </c>
    </row>
    <row r="34" spans="1:7" ht="19.5" customHeight="1">
      <c r="A34" s="26"/>
      <c r="B34" s="71" t="s">
        <v>296</v>
      </c>
      <c r="C34" s="39"/>
      <c r="D34" s="39"/>
      <c r="E34" s="39"/>
      <c r="F34" s="39">
        <v>132121</v>
      </c>
      <c r="G34" s="39">
        <v>132121</v>
      </c>
    </row>
    <row r="35" spans="1:7" ht="19.5" customHeight="1">
      <c r="A35" s="26"/>
      <c r="B35" s="68" t="s">
        <v>97</v>
      </c>
      <c r="C35" s="22">
        <f>SUM(C29:C34)</f>
        <v>12300000</v>
      </c>
      <c r="D35" s="22">
        <f>SUM(D29:D34)</f>
        <v>13300000</v>
      </c>
      <c r="E35" s="22">
        <f>SUM(E29:E34)</f>
        <v>13300000</v>
      </c>
      <c r="F35" s="22">
        <f>SUM(F29:F34)</f>
        <v>15644117</v>
      </c>
      <c r="G35" s="22">
        <f>SUM(G29:G34)</f>
        <v>15237412</v>
      </c>
    </row>
    <row r="36" spans="1:7" ht="19.5" customHeight="1">
      <c r="A36" s="26" t="s">
        <v>6</v>
      </c>
      <c r="B36" s="68" t="s">
        <v>290</v>
      </c>
      <c r="C36" s="22">
        <v>2913000</v>
      </c>
      <c r="D36" s="22">
        <v>3301600</v>
      </c>
      <c r="E36" s="22">
        <v>3301600</v>
      </c>
      <c r="F36" s="22">
        <v>8743601</v>
      </c>
      <c r="G36" s="22">
        <v>8743601</v>
      </c>
    </row>
    <row r="37" spans="1:7" ht="19.5" customHeight="1">
      <c r="A37" s="26" t="s">
        <v>7</v>
      </c>
      <c r="B37" s="68" t="s">
        <v>952</v>
      </c>
      <c r="C37" s="22">
        <v>0</v>
      </c>
      <c r="D37" s="22">
        <v>0</v>
      </c>
      <c r="E37" s="22">
        <v>0</v>
      </c>
      <c r="F37" s="22">
        <v>10005000</v>
      </c>
      <c r="G37" s="22">
        <v>5305000</v>
      </c>
    </row>
    <row r="38" spans="1:7" ht="19.5" customHeight="1">
      <c r="A38" s="26" t="s">
        <v>291</v>
      </c>
      <c r="B38" s="68" t="s">
        <v>297</v>
      </c>
      <c r="C38" s="22"/>
      <c r="D38" s="22"/>
      <c r="E38" s="22"/>
      <c r="F38" s="22"/>
      <c r="G38" s="22"/>
    </row>
    <row r="39" spans="1:7" ht="19.5" customHeight="1">
      <c r="A39" s="335"/>
      <c r="B39" s="203" t="s">
        <v>953</v>
      </c>
      <c r="C39" s="201"/>
      <c r="D39" s="201"/>
      <c r="E39" s="201"/>
      <c r="F39" s="201"/>
      <c r="G39" s="201"/>
    </row>
    <row r="40" spans="1:7" ht="19.5" customHeight="1">
      <c r="A40" s="26"/>
      <c r="B40" s="68" t="s">
        <v>298</v>
      </c>
      <c r="C40" s="22">
        <f>SUM(C39:C39)</f>
        <v>0</v>
      </c>
      <c r="D40" s="22">
        <f>SUM(D39:D39)</f>
        <v>0</v>
      </c>
      <c r="E40" s="22">
        <f>SUM(E39:E39)</f>
        <v>0</v>
      </c>
      <c r="F40" s="22">
        <f>SUM(F39:F39)</f>
        <v>0</v>
      </c>
      <c r="G40" s="22">
        <f>SUM(G39:G39)</f>
        <v>0</v>
      </c>
    </row>
    <row r="41" spans="1:7" ht="19.5" customHeight="1">
      <c r="A41" s="153" t="s">
        <v>15</v>
      </c>
      <c r="B41" s="206" t="s">
        <v>299</v>
      </c>
      <c r="C41" s="201">
        <v>0</v>
      </c>
      <c r="D41" s="201">
        <v>0</v>
      </c>
      <c r="E41" s="201">
        <v>0</v>
      </c>
      <c r="F41" s="201">
        <v>0</v>
      </c>
      <c r="G41" s="201">
        <v>0</v>
      </c>
    </row>
    <row r="42" spans="1:7" ht="19.5" customHeight="1">
      <c r="A42" s="24" t="s">
        <v>20</v>
      </c>
      <c r="B42" s="68" t="s">
        <v>954</v>
      </c>
      <c r="C42" s="201"/>
      <c r="D42" s="201"/>
      <c r="E42" s="201"/>
      <c r="F42" s="201"/>
      <c r="G42" s="201"/>
    </row>
    <row r="43" spans="1:7" ht="19.5" customHeight="1">
      <c r="A43" s="24"/>
      <c r="B43" s="68" t="s">
        <v>217</v>
      </c>
      <c r="C43" s="22">
        <f>C21+C27+C35+C36+C37+C40</f>
        <v>61864680</v>
      </c>
      <c r="D43" s="22">
        <f>D21+D27+D35+D36+D37+D40</f>
        <v>103299320</v>
      </c>
      <c r="E43" s="22">
        <f>E21+E27+E35+E36+E37+E40</f>
        <v>109188057</v>
      </c>
      <c r="F43" s="22">
        <f>F21+F27+F35+F36+F37+F40</f>
        <v>137489983</v>
      </c>
      <c r="G43" s="22">
        <f>G21+G27+G35+G36+G37+G40</f>
        <v>128796242</v>
      </c>
    </row>
    <row r="44" spans="1:7" ht="19.5" customHeight="1">
      <c r="A44" s="24" t="s">
        <v>120</v>
      </c>
      <c r="B44" s="68" t="s">
        <v>301</v>
      </c>
      <c r="C44" s="22">
        <f>SUM(C45:C46)</f>
        <v>8696901</v>
      </c>
      <c r="D44" s="22">
        <f>SUM(D45:D46)</f>
        <v>60413118</v>
      </c>
      <c r="E44" s="22">
        <f>SUM(E45:E46)</f>
        <v>60413118</v>
      </c>
      <c r="F44" s="22">
        <f>SUM(F45:F46)</f>
        <v>60413118</v>
      </c>
      <c r="G44" s="22">
        <f>SUM(G45:G46)</f>
        <v>61960639</v>
      </c>
    </row>
    <row r="45" spans="1:7" ht="19.5" customHeight="1">
      <c r="A45" s="24"/>
      <c r="B45" s="202" t="s">
        <v>300</v>
      </c>
      <c r="C45" s="201">
        <v>8696901</v>
      </c>
      <c r="D45" s="201">
        <v>60413118</v>
      </c>
      <c r="E45" s="201">
        <v>60413118</v>
      </c>
      <c r="F45" s="201">
        <v>60413118</v>
      </c>
      <c r="G45" s="201">
        <v>60413118</v>
      </c>
    </row>
    <row r="46" spans="1:7" ht="19.5" customHeight="1">
      <c r="A46" s="24"/>
      <c r="B46" s="202" t="s">
        <v>1038</v>
      </c>
      <c r="C46" s="201"/>
      <c r="D46" s="201"/>
      <c r="E46" s="201"/>
      <c r="F46" s="201"/>
      <c r="G46" s="201">
        <v>1547521</v>
      </c>
    </row>
    <row r="47" spans="1:7" ht="19.5" customHeight="1">
      <c r="A47" s="475"/>
      <c r="B47" s="159" t="s">
        <v>84</v>
      </c>
      <c r="C47" s="160">
        <f>C21+C27+C35+C36+C37+C40+C44</f>
        <v>70561581</v>
      </c>
      <c r="D47" s="160">
        <f>D21+D27+D35+D36+D37+D40+D44</f>
        <v>163712438</v>
      </c>
      <c r="E47" s="160">
        <f>E21+E27+E35+E36+E37+E40+E44</f>
        <v>169601175</v>
      </c>
      <c r="F47" s="160">
        <f>F21+F27+F35+F36+F37+F40+F44</f>
        <v>197903101</v>
      </c>
      <c r="G47" s="160">
        <f>G21+G27+G35+G36+G37+G40+G44</f>
        <v>190756881</v>
      </c>
    </row>
    <row r="48" spans="1:7" ht="19.5" customHeight="1">
      <c r="A48" s="24" t="s">
        <v>89</v>
      </c>
      <c r="B48" s="72" t="s">
        <v>419</v>
      </c>
      <c r="C48" s="160"/>
      <c r="D48" s="160"/>
      <c r="E48" s="160"/>
      <c r="F48" s="160"/>
      <c r="G48" s="160"/>
    </row>
    <row r="49" spans="1:7" ht="19.5" customHeight="1">
      <c r="A49" s="24" t="s">
        <v>32</v>
      </c>
      <c r="B49" s="68" t="s">
        <v>52</v>
      </c>
      <c r="C49" s="201">
        <v>19716750</v>
      </c>
      <c r="D49" s="201">
        <v>19716750</v>
      </c>
      <c r="E49" s="201">
        <v>19716750</v>
      </c>
      <c r="F49" s="201">
        <v>19716750</v>
      </c>
      <c r="G49" s="201">
        <f>SUM(G50)</f>
        <v>17053893</v>
      </c>
    </row>
    <row r="50" spans="1:7" ht="19.5" customHeight="1">
      <c r="A50" s="24" t="s">
        <v>2</v>
      </c>
      <c r="B50" s="202" t="s">
        <v>54</v>
      </c>
      <c r="C50" s="22">
        <f>C49</f>
        <v>19716750</v>
      </c>
      <c r="D50" s="22">
        <f>D49</f>
        <v>19716750</v>
      </c>
      <c r="E50" s="22">
        <f>E49</f>
        <v>19716750</v>
      </c>
      <c r="F50" s="22">
        <f>F49</f>
        <v>19716750</v>
      </c>
      <c r="G50" s="22">
        <v>17053893</v>
      </c>
    </row>
    <row r="51" spans="1:7" ht="19.5" customHeight="1">
      <c r="A51" s="24"/>
      <c r="B51" s="68" t="s">
        <v>53</v>
      </c>
      <c r="E51" s="160"/>
      <c r="F51" s="160"/>
      <c r="G51" s="160"/>
    </row>
    <row r="52" spans="1:7" ht="19.5" customHeight="1">
      <c r="A52" s="24" t="s">
        <v>120</v>
      </c>
      <c r="B52" s="68" t="s">
        <v>300</v>
      </c>
      <c r="C52" s="201">
        <v>0</v>
      </c>
      <c r="D52" s="201"/>
      <c r="E52" s="160">
        <v>2037736</v>
      </c>
      <c r="F52" s="160">
        <v>2037736</v>
      </c>
      <c r="G52" s="160">
        <v>2037736</v>
      </c>
    </row>
    <row r="53" spans="1:7" ht="19.5" customHeight="1">
      <c r="A53" s="162"/>
      <c r="B53" s="159" t="s">
        <v>422</v>
      </c>
      <c r="C53" s="575">
        <f>C52+C50</f>
        <v>19716750</v>
      </c>
      <c r="D53" s="575">
        <f>D52+D50</f>
        <v>19716750</v>
      </c>
      <c r="E53" s="575">
        <f>E52+E50</f>
        <v>21754486</v>
      </c>
      <c r="F53" s="575">
        <f>F52+F50</f>
        <v>21754486</v>
      </c>
      <c r="G53" s="575">
        <f>G52+G50</f>
        <v>19091629</v>
      </c>
    </row>
    <row r="54" spans="1:7" ht="19.5" customHeight="1">
      <c r="A54" s="475"/>
      <c r="B54" s="159"/>
      <c r="C54" s="575"/>
      <c r="D54" s="160"/>
      <c r="E54" s="160"/>
      <c r="F54" s="160"/>
      <c r="G54" s="160"/>
    </row>
    <row r="55" spans="1:7" ht="19.5" customHeight="1">
      <c r="A55" s="475"/>
      <c r="B55" s="159" t="s">
        <v>85</v>
      </c>
      <c r="C55" s="160">
        <f>C47+C53</f>
        <v>90278331</v>
      </c>
      <c r="D55" s="160">
        <f>D47+D53</f>
        <v>183429188</v>
      </c>
      <c r="E55" s="160">
        <f>E47+E53</f>
        <v>191355661</v>
      </c>
      <c r="F55" s="160">
        <f>F47+F53</f>
        <v>219657587</v>
      </c>
      <c r="G55" s="160">
        <f>G47+G53</f>
        <v>209848510</v>
      </c>
    </row>
    <row r="56" ht="19.5" customHeight="1"/>
    <row r="57" ht="19.5" customHeight="1"/>
    <row r="58" ht="19.5" customHeight="1"/>
    <row r="59" spans="1:4" ht="14.25">
      <c r="A59" s="23"/>
      <c r="B59" s="23"/>
      <c r="C59" s="23"/>
      <c r="D59" s="23"/>
    </row>
    <row r="60" spans="1:4" ht="14.25">
      <c r="A60" s="23"/>
      <c r="B60" s="23"/>
      <c r="C60" s="23"/>
      <c r="D60" s="23"/>
    </row>
    <row r="61" spans="1:4" ht="14.25">
      <c r="A61" s="23"/>
      <c r="B61" s="23"/>
      <c r="C61" s="23"/>
      <c r="D61" s="23"/>
    </row>
    <row r="62" spans="1:4" ht="14.25">
      <c r="A62" s="23"/>
      <c r="B62" s="23"/>
      <c r="C62" s="23"/>
      <c r="D62" s="23"/>
    </row>
    <row r="63" spans="1:4" ht="14.25">
      <c r="A63" s="23"/>
      <c r="B63" s="23"/>
      <c r="C63" s="23"/>
      <c r="D63" s="23"/>
    </row>
    <row r="64" spans="1:4" ht="18" customHeight="1">
      <c r="A64" s="23"/>
      <c r="B64" s="23"/>
      <c r="C64" s="23"/>
      <c r="D64" s="23"/>
    </row>
    <row r="65" spans="1:4" ht="14.25">
      <c r="A65" s="23"/>
      <c r="B65" s="23"/>
      <c r="C65" s="23"/>
      <c r="D65" s="23"/>
    </row>
    <row r="66" spans="1:4" ht="14.25">
      <c r="A66" s="23"/>
      <c r="B66" s="23"/>
      <c r="C66" s="23"/>
      <c r="D66" s="23"/>
    </row>
    <row r="67" spans="1:4" ht="13.5" customHeight="1">
      <c r="A67" s="23"/>
      <c r="B67" s="23"/>
      <c r="C67" s="23"/>
      <c r="D67" s="23"/>
    </row>
    <row r="68" spans="1:4" ht="14.25">
      <c r="A68" s="23"/>
      <c r="B68" s="23"/>
      <c r="C68" s="23"/>
      <c r="D68" s="23"/>
    </row>
    <row r="69" spans="1:4" ht="14.25">
      <c r="A69" s="23"/>
      <c r="B69" s="23"/>
      <c r="C69" s="23"/>
      <c r="D69" s="23"/>
    </row>
    <row r="70" spans="1:4" ht="14.25">
      <c r="A70" s="23"/>
      <c r="B70" s="23"/>
      <c r="C70" s="23"/>
      <c r="D70" s="23"/>
    </row>
    <row r="71" spans="1:4" ht="14.25">
      <c r="A71" s="23"/>
      <c r="B71" s="23"/>
      <c r="C71" s="23"/>
      <c r="D71" s="23"/>
    </row>
    <row r="72" spans="1:4" ht="14.25">
      <c r="A72" s="23"/>
      <c r="B72" s="23"/>
      <c r="C72" s="23"/>
      <c r="D72" s="23"/>
    </row>
    <row r="73" spans="1:4" ht="14.25">
      <c r="A73" s="23"/>
      <c r="B73" s="23"/>
      <c r="C73" s="23"/>
      <c r="D73" s="23"/>
    </row>
    <row r="74" spans="1:4" ht="14.25">
      <c r="A74" s="23"/>
      <c r="B74" s="23"/>
      <c r="C74" s="23"/>
      <c r="D74" s="23"/>
    </row>
    <row r="75" spans="1:4" ht="14.25">
      <c r="A75" s="23"/>
      <c r="B75" s="23"/>
      <c r="C75" s="23"/>
      <c r="D75" s="23"/>
    </row>
    <row r="76" spans="1:4" ht="14.25">
      <c r="A76" s="23"/>
      <c r="B76" s="23"/>
      <c r="C76" s="23"/>
      <c r="D76" s="23"/>
    </row>
    <row r="77" spans="1:4" ht="14.25">
      <c r="A77" s="23"/>
      <c r="B77" s="23"/>
      <c r="C77" s="23"/>
      <c r="D77" s="23"/>
    </row>
    <row r="78" spans="1:4" ht="14.25">
      <c r="A78" s="23"/>
      <c r="B78" s="23"/>
      <c r="C78" s="23"/>
      <c r="D78" s="23"/>
    </row>
    <row r="79" spans="1:4" ht="18" customHeight="1">
      <c r="A79" s="23"/>
      <c r="B79" s="23"/>
      <c r="C79" s="23"/>
      <c r="D79" s="23"/>
    </row>
    <row r="80" spans="1:4" ht="12.75" customHeight="1">
      <c r="A80" s="23"/>
      <c r="B80" s="23"/>
      <c r="C80" s="23"/>
      <c r="D80" s="23"/>
    </row>
    <row r="81" spans="1:4" ht="14.25">
      <c r="A81" s="23"/>
      <c r="B81" s="23"/>
      <c r="C81" s="23"/>
      <c r="D81" s="23"/>
    </row>
    <row r="82" spans="1:4" ht="14.25">
      <c r="A82" s="23"/>
      <c r="B82" s="23"/>
      <c r="C82" s="23"/>
      <c r="D82" s="23"/>
    </row>
    <row r="83" spans="1:4" ht="15" customHeight="1">
      <c r="A83" s="23"/>
      <c r="B83" s="23"/>
      <c r="C83" s="23"/>
      <c r="D83" s="23"/>
    </row>
    <row r="84" spans="1:4" ht="14.25">
      <c r="A84" s="23"/>
      <c r="B84" s="23"/>
      <c r="C84" s="23"/>
      <c r="D84" s="23"/>
    </row>
    <row r="85" spans="1:4" ht="14.25">
      <c r="A85" s="23"/>
      <c r="B85" s="23"/>
      <c r="C85" s="23"/>
      <c r="D85" s="23"/>
    </row>
    <row r="86" spans="1:4" ht="14.25">
      <c r="A86" s="23"/>
      <c r="B86" s="23"/>
      <c r="C86" s="23"/>
      <c r="D86" s="23"/>
    </row>
    <row r="87" spans="1:4" ht="14.25">
      <c r="A87" s="23"/>
      <c r="B87" s="23"/>
      <c r="C87" s="23"/>
      <c r="D87" s="23"/>
    </row>
    <row r="88" spans="1:4" ht="14.25">
      <c r="A88" s="23"/>
      <c r="B88" s="23"/>
      <c r="C88" s="23"/>
      <c r="D88" s="23"/>
    </row>
    <row r="89" spans="1:4" ht="14.25">
      <c r="A89" s="23"/>
      <c r="B89" s="23"/>
      <c r="C89" s="23"/>
      <c r="D89" s="23"/>
    </row>
    <row r="90" spans="1:4" ht="14.25">
      <c r="A90" s="23"/>
      <c r="B90" s="23"/>
      <c r="C90" s="23"/>
      <c r="D90" s="23"/>
    </row>
    <row r="91" spans="1:4" ht="14.25">
      <c r="A91" s="23"/>
      <c r="B91" s="23"/>
      <c r="C91" s="23"/>
      <c r="D91" s="23"/>
    </row>
    <row r="92" spans="1:4" ht="14.25">
      <c r="A92" s="23"/>
      <c r="B92" s="23"/>
      <c r="C92" s="23"/>
      <c r="D92" s="23"/>
    </row>
    <row r="93" spans="1:4" ht="14.25">
      <c r="A93" s="23"/>
      <c r="B93" s="23"/>
      <c r="C93" s="23"/>
      <c r="D93" s="23"/>
    </row>
    <row r="94" spans="1:4" ht="14.25">
      <c r="A94" s="23"/>
      <c r="B94" s="23"/>
      <c r="C94" s="23"/>
      <c r="D94" s="23"/>
    </row>
    <row r="95" spans="1:4" ht="14.25">
      <c r="A95" s="23"/>
      <c r="B95" s="23"/>
      <c r="C95" s="23"/>
      <c r="D95" s="23"/>
    </row>
    <row r="96" spans="1:4" ht="14.25">
      <c r="A96" s="23"/>
      <c r="B96" s="23"/>
      <c r="C96" s="23"/>
      <c r="D96" s="23"/>
    </row>
    <row r="97" spans="1:4" ht="14.25">
      <c r="A97" s="23"/>
      <c r="B97" s="23"/>
      <c r="C97" s="23"/>
      <c r="D97" s="23"/>
    </row>
    <row r="98" spans="1:4" ht="14.25">
      <c r="A98" s="23"/>
      <c r="B98" s="23"/>
      <c r="C98" s="23"/>
      <c r="D98" s="23"/>
    </row>
    <row r="99" spans="1:4" ht="14.25">
      <c r="A99" s="23"/>
      <c r="B99" s="23"/>
      <c r="C99" s="23"/>
      <c r="D99" s="23"/>
    </row>
    <row r="100" spans="1:4" ht="14.25">
      <c r="A100" s="23"/>
      <c r="B100" s="23"/>
      <c r="C100" s="23"/>
      <c r="D100" s="23"/>
    </row>
    <row r="101" spans="1:4" ht="14.25">
      <c r="A101" s="23"/>
      <c r="B101" s="23"/>
      <c r="C101" s="23"/>
      <c r="D101" s="23"/>
    </row>
    <row r="102" spans="1:4" ht="14.25">
      <c r="A102" s="23"/>
      <c r="B102" s="23"/>
      <c r="C102" s="23"/>
      <c r="D102" s="23"/>
    </row>
    <row r="103" spans="1:4" ht="14.25">
      <c r="A103" s="23"/>
      <c r="B103" s="23"/>
      <c r="C103" s="23"/>
      <c r="D103" s="23"/>
    </row>
    <row r="104" spans="1:4" ht="14.25">
      <c r="A104" s="23"/>
      <c r="B104" s="23"/>
      <c r="C104" s="23"/>
      <c r="D104" s="23"/>
    </row>
    <row r="105" spans="1:4" ht="14.25">
      <c r="A105" s="23"/>
      <c r="B105" s="23"/>
      <c r="C105" s="23"/>
      <c r="D105" s="23"/>
    </row>
    <row r="106" spans="1:4" ht="14.25">
      <c r="A106" s="23"/>
      <c r="B106" s="23"/>
      <c r="C106" s="23"/>
      <c r="D106" s="23"/>
    </row>
    <row r="107" spans="1:4" ht="14.25">
      <c r="A107" s="23"/>
      <c r="B107" s="23"/>
      <c r="C107" s="23"/>
      <c r="D107" s="23"/>
    </row>
    <row r="108" spans="1:4" ht="14.25">
      <c r="A108" s="23"/>
      <c r="B108" s="23"/>
      <c r="C108" s="23"/>
      <c r="D108" s="23"/>
    </row>
    <row r="109" spans="1:4" ht="14.25">
      <c r="A109" s="23"/>
      <c r="B109" s="23"/>
      <c r="C109" s="23"/>
      <c r="D109" s="23"/>
    </row>
    <row r="110" spans="1:4" ht="14.25">
      <c r="A110" s="23"/>
      <c r="B110" s="23"/>
      <c r="C110" s="23"/>
      <c r="D110" s="23"/>
    </row>
    <row r="111" spans="1:4" ht="14.25">
      <c r="A111" s="23"/>
      <c r="B111" s="23"/>
      <c r="C111" s="23"/>
      <c r="D111" s="23"/>
    </row>
    <row r="112" spans="1:4" ht="14.25">
      <c r="A112" s="23"/>
      <c r="B112" s="23"/>
      <c r="C112" s="23"/>
      <c r="D112" s="23"/>
    </row>
    <row r="113" spans="1:4" ht="14.25">
      <c r="A113" s="23"/>
      <c r="B113" s="23"/>
      <c r="C113" s="23"/>
      <c r="D113" s="23"/>
    </row>
    <row r="114" spans="1:4" ht="14.25">
      <c r="A114" s="23"/>
      <c r="B114" s="23"/>
      <c r="C114" s="23"/>
      <c r="D114" s="23"/>
    </row>
    <row r="115" spans="1:4" ht="14.25">
      <c r="A115" s="23"/>
      <c r="B115" s="23"/>
      <c r="C115" s="23"/>
      <c r="D115" s="23"/>
    </row>
    <row r="116" spans="1:4" ht="14.25">
      <c r="A116" s="23"/>
      <c r="B116" s="23"/>
      <c r="C116" s="23"/>
      <c r="D116" s="23"/>
    </row>
    <row r="117" spans="1:4" ht="14.25">
      <c r="A117" s="23"/>
      <c r="B117" s="23"/>
      <c r="C117" s="23"/>
      <c r="D117" s="23"/>
    </row>
    <row r="118" spans="1:4" ht="14.25">
      <c r="A118" s="23"/>
      <c r="B118" s="23"/>
      <c r="C118" s="23"/>
      <c r="D118" s="23"/>
    </row>
    <row r="119" spans="1:4" ht="14.25">
      <c r="A119" s="23"/>
      <c r="B119" s="23"/>
      <c r="C119" s="23"/>
      <c r="D119" s="23"/>
    </row>
    <row r="120" spans="1:4" ht="14.25">
      <c r="A120" s="23"/>
      <c r="B120" s="23"/>
      <c r="C120" s="23"/>
      <c r="D120" s="23"/>
    </row>
    <row r="121" spans="1:4" ht="14.25">
      <c r="A121" s="23"/>
      <c r="B121" s="23"/>
      <c r="C121" s="23"/>
      <c r="D121" s="23"/>
    </row>
    <row r="122" spans="1:4" ht="14.25">
      <c r="A122" s="23"/>
      <c r="B122" s="23"/>
      <c r="C122" s="23"/>
      <c r="D122" s="23"/>
    </row>
    <row r="123" spans="1:4" ht="14.25">
      <c r="A123" s="23"/>
      <c r="B123" s="23"/>
      <c r="C123" s="23"/>
      <c r="D123" s="23"/>
    </row>
    <row r="124" spans="1:4" ht="14.25">
      <c r="A124" s="23"/>
      <c r="B124" s="23"/>
      <c r="C124" s="23"/>
      <c r="D124" s="23"/>
    </row>
    <row r="125" spans="1:4" ht="14.25">
      <c r="A125" s="23"/>
      <c r="B125" s="23"/>
      <c r="C125" s="23"/>
      <c r="D125" s="23"/>
    </row>
    <row r="126" spans="1:4" ht="14.25">
      <c r="A126" s="23"/>
      <c r="B126" s="23"/>
      <c r="C126" s="23"/>
      <c r="D126" s="23"/>
    </row>
    <row r="127" spans="1:4" ht="14.25">
      <c r="A127" s="23"/>
      <c r="B127" s="23"/>
      <c r="C127" s="23"/>
      <c r="D127" s="23"/>
    </row>
    <row r="128" spans="1:4" ht="14.25">
      <c r="A128" s="23"/>
      <c r="B128" s="23"/>
      <c r="C128" s="23"/>
      <c r="D128" s="23"/>
    </row>
    <row r="129" spans="1:4" ht="14.25">
      <c r="A129" s="23"/>
      <c r="B129" s="23"/>
      <c r="C129" s="23"/>
      <c r="D129" s="23"/>
    </row>
    <row r="130" spans="1:4" ht="14.25">
      <c r="A130" s="23"/>
      <c r="B130" s="23"/>
      <c r="C130" s="23"/>
      <c r="D130" s="23"/>
    </row>
    <row r="131" spans="1:4" ht="14.25">
      <c r="A131" s="23"/>
      <c r="B131" s="23"/>
      <c r="C131" s="23"/>
      <c r="D131" s="23"/>
    </row>
    <row r="132" spans="1:4" ht="14.25">
      <c r="A132" s="23"/>
      <c r="B132" s="23"/>
      <c r="C132" s="23"/>
      <c r="D132" s="23"/>
    </row>
    <row r="133" spans="1:4" ht="14.25">
      <c r="A133" s="23"/>
      <c r="B133" s="23"/>
      <c r="C133" s="23"/>
      <c r="D133" s="23"/>
    </row>
    <row r="134" spans="1:4" ht="14.25">
      <c r="A134" s="23"/>
      <c r="B134" s="23"/>
      <c r="C134" s="23"/>
      <c r="D134" s="23"/>
    </row>
    <row r="135" spans="1:4" ht="14.25">
      <c r="A135" s="23"/>
      <c r="B135" s="23"/>
      <c r="C135" s="23"/>
      <c r="D135" s="23"/>
    </row>
    <row r="136" spans="1:4" ht="14.25">
      <c r="A136" s="23"/>
      <c r="B136" s="23"/>
      <c r="C136" s="23"/>
      <c r="D136" s="23"/>
    </row>
    <row r="137" spans="1:4" ht="14.25">
      <c r="A137" s="23"/>
      <c r="B137" s="23"/>
      <c r="C137" s="23"/>
      <c r="D137" s="23"/>
    </row>
    <row r="138" spans="1:4" ht="14.25">
      <c r="A138" s="23"/>
      <c r="B138" s="23"/>
      <c r="C138" s="23"/>
      <c r="D138" s="23"/>
    </row>
    <row r="139" spans="1:4" ht="14.25">
      <c r="A139" s="23"/>
      <c r="B139" s="23"/>
      <c r="C139" s="23"/>
      <c r="D139" s="23"/>
    </row>
    <row r="140" spans="1:4" ht="14.25">
      <c r="A140" s="23"/>
      <c r="B140" s="23"/>
      <c r="C140" s="23"/>
      <c r="D140" s="23"/>
    </row>
    <row r="141" spans="1:4" ht="14.25">
      <c r="A141" s="23"/>
      <c r="B141" s="23"/>
      <c r="C141" s="23"/>
      <c r="D141" s="23"/>
    </row>
    <row r="142" spans="1:4" ht="14.25">
      <c r="A142" s="23"/>
      <c r="B142" s="23"/>
      <c r="C142" s="23"/>
      <c r="D142" s="23"/>
    </row>
    <row r="143" spans="1:4" ht="14.25">
      <c r="A143" s="23"/>
      <c r="B143" s="23"/>
      <c r="C143" s="23"/>
      <c r="D143" s="23"/>
    </row>
    <row r="144" spans="1:4" ht="14.25">
      <c r="A144" s="23"/>
      <c r="B144" s="23"/>
      <c r="C144" s="23"/>
      <c r="D144" s="23"/>
    </row>
    <row r="145" spans="1:4" ht="14.25">
      <c r="A145" s="23"/>
      <c r="B145" s="23"/>
      <c r="C145" s="23"/>
      <c r="D145" s="23"/>
    </row>
    <row r="146" spans="1:4" ht="14.25">
      <c r="A146" s="23"/>
      <c r="B146" s="23"/>
      <c r="C146" s="23"/>
      <c r="D146" s="23"/>
    </row>
    <row r="147" spans="1:4" ht="14.25">
      <c r="A147" s="23"/>
      <c r="B147" s="23"/>
      <c r="C147" s="23"/>
      <c r="D147" s="23"/>
    </row>
    <row r="148" spans="1:4" ht="14.25">
      <c r="A148" s="23"/>
      <c r="B148" s="23"/>
      <c r="C148" s="23"/>
      <c r="D148" s="23"/>
    </row>
    <row r="149" spans="1:4" ht="14.25">
      <c r="A149" s="23"/>
      <c r="B149" s="23"/>
      <c r="C149" s="23"/>
      <c r="D149" s="23"/>
    </row>
    <row r="150" spans="1:4" ht="14.25">
      <c r="A150" s="23"/>
      <c r="B150" s="23"/>
      <c r="C150" s="23"/>
      <c r="D150" s="23"/>
    </row>
    <row r="151" spans="1:4" ht="14.25">
      <c r="A151" s="23"/>
      <c r="B151" s="23"/>
      <c r="C151" s="23"/>
      <c r="D151" s="23"/>
    </row>
    <row r="152" spans="1:4" ht="14.25">
      <c r="A152" s="23"/>
      <c r="B152" s="23"/>
      <c r="C152" s="23"/>
      <c r="D152" s="23"/>
    </row>
    <row r="153" spans="1:4" ht="14.25">
      <c r="A153" s="23"/>
      <c r="B153" s="23"/>
      <c r="C153" s="23"/>
      <c r="D153" s="23"/>
    </row>
    <row r="154" spans="1:4" ht="14.25">
      <c r="A154" s="23"/>
      <c r="B154" s="23"/>
      <c r="C154" s="23"/>
      <c r="D154" s="23"/>
    </row>
    <row r="155" spans="1:4" ht="14.25">
      <c r="A155" s="23"/>
      <c r="B155" s="23"/>
      <c r="C155" s="23"/>
      <c r="D155" s="23"/>
    </row>
    <row r="156" spans="1:4" ht="14.25">
      <c r="A156" s="23"/>
      <c r="B156" s="23"/>
      <c r="C156" s="23"/>
      <c r="D156" s="23"/>
    </row>
    <row r="157" spans="1:4" ht="14.25">
      <c r="A157" s="23"/>
      <c r="B157" s="23"/>
      <c r="C157" s="23"/>
      <c r="D157" s="23"/>
    </row>
    <row r="158" spans="1:4" ht="14.25">
      <c r="A158" s="23"/>
      <c r="B158" s="23"/>
      <c r="C158" s="23"/>
      <c r="D158" s="23"/>
    </row>
    <row r="159" spans="1:4" ht="14.25">
      <c r="A159" s="23"/>
      <c r="B159" s="23"/>
      <c r="C159" s="23"/>
      <c r="D159" s="23"/>
    </row>
    <row r="160" spans="1:4" ht="14.25">
      <c r="A160" s="23"/>
      <c r="B160" s="23"/>
      <c r="C160" s="23"/>
      <c r="D160" s="23"/>
    </row>
    <row r="161" spans="1:4" ht="14.25">
      <c r="A161" s="23"/>
      <c r="B161" s="23"/>
      <c r="C161" s="23"/>
      <c r="D161" s="23"/>
    </row>
    <row r="162" spans="1:4" ht="14.25">
      <c r="A162" s="23"/>
      <c r="B162" s="23"/>
      <c r="C162" s="23"/>
      <c r="D162" s="23"/>
    </row>
    <row r="163" spans="1:4" ht="14.25">
      <c r="A163" s="23"/>
      <c r="B163" s="23"/>
      <c r="C163" s="23"/>
      <c r="D163" s="23"/>
    </row>
    <row r="164" spans="1:4" ht="14.25">
      <c r="A164" s="23"/>
      <c r="B164" s="23"/>
      <c r="C164" s="23"/>
      <c r="D164" s="23"/>
    </row>
    <row r="165" spans="1:4" ht="14.25">
      <c r="A165" s="23"/>
      <c r="B165" s="23"/>
      <c r="C165" s="23"/>
      <c r="D165" s="23"/>
    </row>
    <row r="166" spans="1:4" ht="14.25">
      <c r="A166" s="23"/>
      <c r="B166" s="23"/>
      <c r="C166" s="23"/>
      <c r="D166" s="23"/>
    </row>
    <row r="167" spans="1:4" ht="14.25">
      <c r="A167" s="23"/>
      <c r="B167" s="23"/>
      <c r="C167" s="23"/>
      <c r="D167" s="23"/>
    </row>
    <row r="168" spans="1:4" ht="14.25">
      <c r="A168" s="23"/>
      <c r="B168" s="23"/>
      <c r="C168" s="23"/>
      <c r="D168" s="23"/>
    </row>
    <row r="169" spans="1:4" ht="14.25">
      <c r="A169" s="23"/>
      <c r="B169" s="23"/>
      <c r="C169" s="23"/>
      <c r="D169" s="23"/>
    </row>
    <row r="170" spans="1:4" ht="14.25">
      <c r="A170" s="23"/>
      <c r="B170" s="23"/>
      <c r="C170" s="23"/>
      <c r="D170" s="23"/>
    </row>
    <row r="171" spans="1:4" ht="14.25">
      <c r="A171" s="23"/>
      <c r="B171" s="23"/>
      <c r="C171" s="23"/>
      <c r="D171" s="23"/>
    </row>
    <row r="172" spans="1:4" ht="14.25">
      <c r="A172" s="23"/>
      <c r="B172" s="23"/>
      <c r="C172" s="23"/>
      <c r="D172" s="23"/>
    </row>
    <row r="173" spans="1:4" ht="14.25">
      <c r="A173" s="23"/>
      <c r="B173" s="23"/>
      <c r="C173" s="23"/>
      <c r="D173" s="23"/>
    </row>
    <row r="174" spans="1:4" ht="14.25">
      <c r="A174" s="23"/>
      <c r="B174" s="23"/>
      <c r="C174" s="23"/>
      <c r="D174" s="23"/>
    </row>
    <row r="175" spans="1:4" ht="14.25">
      <c r="A175" s="23"/>
      <c r="B175" s="23"/>
      <c r="C175" s="23"/>
      <c r="D175" s="23"/>
    </row>
    <row r="176" spans="1:4" ht="14.25">
      <c r="A176" s="23"/>
      <c r="B176" s="23"/>
      <c r="C176" s="23"/>
      <c r="D176" s="23"/>
    </row>
    <row r="177" spans="1:4" ht="14.25">
      <c r="A177" s="23"/>
      <c r="B177" s="23"/>
      <c r="C177" s="23"/>
      <c r="D177" s="23"/>
    </row>
    <row r="178" spans="1:4" ht="14.25">
      <c r="A178" s="23"/>
      <c r="B178" s="23"/>
      <c r="C178" s="23"/>
      <c r="D178" s="23"/>
    </row>
    <row r="179" spans="1:4" ht="14.25">
      <c r="A179" s="23"/>
      <c r="B179" s="23"/>
      <c r="C179" s="23"/>
      <c r="D179" s="23"/>
    </row>
    <row r="180" spans="1:4" ht="14.25">
      <c r="A180" s="23"/>
      <c r="B180" s="23"/>
      <c r="C180" s="23"/>
      <c r="D180" s="23"/>
    </row>
    <row r="181" spans="1:4" ht="14.25">
      <c r="A181" s="23"/>
      <c r="B181" s="23"/>
      <c r="C181" s="23"/>
      <c r="D181" s="23"/>
    </row>
    <row r="182" spans="1:4" ht="14.25">
      <c r="A182" s="23"/>
      <c r="B182" s="23"/>
      <c r="C182" s="23"/>
      <c r="D182" s="23"/>
    </row>
    <row r="183" spans="1:4" ht="14.25">
      <c r="A183" s="23"/>
      <c r="B183" s="23"/>
      <c r="C183" s="23"/>
      <c r="D183" s="23"/>
    </row>
    <row r="184" spans="1:4" ht="14.25">
      <c r="A184" s="23"/>
      <c r="B184" s="23"/>
      <c r="C184" s="23"/>
      <c r="D184" s="23"/>
    </row>
    <row r="185" spans="1:4" ht="14.25">
      <c r="A185" s="23"/>
      <c r="B185" s="23"/>
      <c r="C185" s="23"/>
      <c r="D185" s="23"/>
    </row>
    <row r="186" spans="1:4" ht="14.25">
      <c r="A186" s="23"/>
      <c r="B186" s="23"/>
      <c r="C186" s="23"/>
      <c r="D186" s="23"/>
    </row>
    <row r="187" spans="1:4" ht="14.25">
      <c r="A187" s="23"/>
      <c r="B187" s="23"/>
      <c r="C187" s="23"/>
      <c r="D187" s="23"/>
    </row>
    <row r="188" spans="1:4" ht="14.25">
      <c r="A188" s="23"/>
      <c r="B188" s="23"/>
      <c r="C188" s="23"/>
      <c r="D188" s="23"/>
    </row>
    <row r="189" spans="1:4" ht="14.25">
      <c r="A189" s="23"/>
      <c r="B189" s="23"/>
      <c r="C189" s="23"/>
      <c r="D189" s="23"/>
    </row>
    <row r="190" spans="1:4" ht="14.25">
      <c r="A190" s="23"/>
      <c r="B190" s="23"/>
      <c r="C190" s="23"/>
      <c r="D190" s="23"/>
    </row>
    <row r="191" spans="1:4" ht="14.25">
      <c r="A191" s="23"/>
      <c r="B191" s="23"/>
      <c r="C191" s="23"/>
      <c r="D191" s="23"/>
    </row>
    <row r="192" spans="1:4" ht="14.25">
      <c r="A192" s="23"/>
      <c r="B192" s="23"/>
      <c r="C192" s="23"/>
      <c r="D192" s="23"/>
    </row>
    <row r="193" spans="1:4" ht="14.25">
      <c r="A193" s="23"/>
      <c r="B193" s="23"/>
      <c r="C193" s="23"/>
      <c r="D193" s="23"/>
    </row>
    <row r="194" spans="1:4" ht="14.25">
      <c r="A194" s="23"/>
      <c r="B194" s="23"/>
      <c r="C194" s="23"/>
      <c r="D194" s="23"/>
    </row>
    <row r="195" spans="1:4" ht="14.25">
      <c r="A195" s="23"/>
      <c r="B195" s="23"/>
      <c r="C195" s="23"/>
      <c r="D195" s="23"/>
    </row>
    <row r="196" spans="1:4" ht="14.25">
      <c r="A196" s="23"/>
      <c r="B196" s="23"/>
      <c r="C196" s="23"/>
      <c r="D196" s="23"/>
    </row>
    <row r="197" spans="1:4" ht="14.25">
      <c r="A197" s="23"/>
      <c r="B197" s="23"/>
      <c r="C197" s="23"/>
      <c r="D197" s="23"/>
    </row>
    <row r="198" spans="1:4" ht="14.25">
      <c r="A198" s="23"/>
      <c r="B198" s="23"/>
      <c r="C198" s="23"/>
      <c r="D198" s="23"/>
    </row>
    <row r="199" spans="1:4" ht="14.25">
      <c r="A199" s="23"/>
      <c r="B199" s="23"/>
      <c r="C199" s="23"/>
      <c r="D199" s="23"/>
    </row>
    <row r="200" spans="1:4" ht="14.25">
      <c r="A200" s="23"/>
      <c r="B200" s="23"/>
      <c r="C200" s="23"/>
      <c r="D200" s="23"/>
    </row>
    <row r="201" spans="1:4" ht="14.25">
      <c r="A201" s="23"/>
      <c r="B201" s="23"/>
      <c r="C201" s="23"/>
      <c r="D201" s="23"/>
    </row>
    <row r="202" spans="1:4" ht="14.25">
      <c r="A202" s="23"/>
      <c r="B202" s="23"/>
      <c r="C202" s="23"/>
      <c r="D202" s="23"/>
    </row>
    <row r="203" spans="1:4" ht="14.25">
      <c r="A203" s="23"/>
      <c r="B203" s="23"/>
      <c r="C203" s="23"/>
      <c r="D203" s="23"/>
    </row>
    <row r="204" spans="1:4" ht="14.25">
      <c r="A204" s="23"/>
      <c r="B204" s="23"/>
      <c r="C204" s="23"/>
      <c r="D204" s="23"/>
    </row>
    <row r="205" spans="1:4" ht="14.25">
      <c r="A205" s="23"/>
      <c r="B205" s="23"/>
      <c r="C205" s="23"/>
      <c r="D205" s="23"/>
    </row>
    <row r="206" spans="1:4" ht="14.25">
      <c r="A206" s="23"/>
      <c r="B206" s="23"/>
      <c r="C206" s="23"/>
      <c r="D206" s="23"/>
    </row>
    <row r="207" spans="1:4" ht="14.25">
      <c r="A207" s="23"/>
      <c r="B207" s="23"/>
      <c r="C207" s="23"/>
      <c r="D207" s="23"/>
    </row>
    <row r="208" spans="1:4" ht="14.25">
      <c r="A208" s="23"/>
      <c r="B208" s="23"/>
      <c r="C208" s="23"/>
      <c r="D208" s="23"/>
    </row>
    <row r="209" spans="1:4" ht="14.25">
      <c r="A209" s="23"/>
      <c r="B209" s="23"/>
      <c r="C209" s="23"/>
      <c r="D209" s="23"/>
    </row>
    <row r="210" spans="1:4" ht="14.25">
      <c r="A210" s="23"/>
      <c r="B210" s="23"/>
      <c r="C210" s="23"/>
      <c r="D210" s="23"/>
    </row>
    <row r="211" spans="1:4" ht="14.25">
      <c r="A211" s="23"/>
      <c r="B211" s="23"/>
      <c r="C211" s="23"/>
      <c r="D211" s="23"/>
    </row>
    <row r="212" spans="1:4" ht="14.25">
      <c r="A212" s="23"/>
      <c r="B212" s="23"/>
      <c r="C212" s="23"/>
      <c r="D212" s="23"/>
    </row>
  </sheetData>
  <sheetProtection/>
  <mergeCells count="7">
    <mergeCell ref="C1:C2"/>
    <mergeCell ref="D1:D2"/>
    <mergeCell ref="E1:E2"/>
    <mergeCell ref="F1:F2"/>
    <mergeCell ref="G1:G2"/>
    <mergeCell ref="A1:A2"/>
    <mergeCell ref="B1:B2"/>
  </mergeCells>
  <printOptions horizontalCentered="1"/>
  <pageMargins left="0.2362204724409449" right="0.2362204724409449" top="0.88" bottom="0.19" header="0.2" footer="0.19"/>
  <pageSetup horizontalDpi="600" verticalDpi="600" orientation="portrait" paperSize="9" scale="64" r:id="rId1"/>
  <headerFooter alignWithMargins="0">
    <oddHeader>&amp;C&amp;"Garamond,Félkövér"&amp;12 3/2019.(V.31) költségvetési rendelethez Zalaszabar Község Önkormányzata 
és intézménye bevételeiről 2018. évben&amp;R&amp;A
&amp;P.oldal
adatok Ft-ban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U66"/>
  <sheetViews>
    <sheetView view="pageLayout" zoomScale="70" zoomScaleNormal="65" zoomScaleSheetLayoutView="100" zoomScalePageLayoutView="70" workbookViewId="0" topLeftCell="A1">
      <selection activeCell="AV38" sqref="AV38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10" width="14.125" style="0" customWidth="1"/>
    <col min="11" max="17" width="13.375" style="0" customWidth="1"/>
    <col min="18" max="30" width="13.625" style="0" customWidth="1"/>
    <col min="31" max="32" width="14.125" style="0" customWidth="1"/>
    <col min="33" max="37" width="13.875" style="0" customWidth="1"/>
    <col min="38" max="40" width="12.625" style="0" customWidth="1"/>
    <col min="41" max="44" width="14.125" style="0" customWidth="1"/>
    <col min="45" max="45" width="12.875" style="0" customWidth="1"/>
    <col min="46" max="48" width="14.00390625" style="0" customWidth="1"/>
    <col min="49" max="57" width="12.875" style="0" customWidth="1"/>
    <col min="58" max="58" width="16.25390625" style="0" customWidth="1"/>
    <col min="59" max="63" width="14.375" style="0" customWidth="1"/>
    <col min="64" max="66" width="16.75390625" style="0" customWidth="1"/>
    <col min="67" max="67" width="17.00390625" style="0" customWidth="1"/>
    <col min="68" max="68" width="16.75390625" style="0" customWidth="1"/>
    <col min="69" max="69" width="17.625" style="0" customWidth="1"/>
    <col min="70" max="70" width="16.875" style="0" customWidth="1"/>
  </cols>
  <sheetData>
    <row r="1" spans="1:64" ht="21.75" customHeight="1">
      <c r="A1" s="725" t="s">
        <v>278</v>
      </c>
      <c r="B1" s="736" t="s">
        <v>126</v>
      </c>
      <c r="C1" s="736" t="s">
        <v>279</v>
      </c>
      <c r="D1" s="726" t="s">
        <v>13</v>
      </c>
      <c r="E1" s="733" t="s">
        <v>330</v>
      </c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5"/>
      <c r="Q1" s="723" t="s">
        <v>379</v>
      </c>
      <c r="R1" s="724"/>
      <c r="S1" s="724"/>
      <c r="T1" s="725"/>
      <c r="U1" s="723" t="s">
        <v>127</v>
      </c>
      <c r="V1" s="724"/>
      <c r="W1" s="724"/>
      <c r="X1" s="725"/>
      <c r="Y1" s="723" t="s">
        <v>377</v>
      </c>
      <c r="Z1" s="724"/>
      <c r="AA1" s="724"/>
      <c r="AB1" s="725"/>
      <c r="AC1" s="723" t="s">
        <v>378</v>
      </c>
      <c r="AD1" s="724"/>
      <c r="AE1" s="724"/>
      <c r="AF1" s="725"/>
      <c r="AG1" s="723" t="s">
        <v>331</v>
      </c>
      <c r="AH1" s="724"/>
      <c r="AI1" s="724"/>
      <c r="AJ1" s="724"/>
      <c r="AK1" s="724"/>
      <c r="AL1" s="724"/>
      <c r="AM1" s="724"/>
      <c r="AN1" s="725"/>
      <c r="AO1" s="723" t="s">
        <v>332</v>
      </c>
      <c r="AP1" s="724"/>
      <c r="AQ1" s="724"/>
      <c r="AR1" s="724"/>
      <c r="AS1" s="724"/>
      <c r="AT1" s="724"/>
      <c r="AU1" s="724"/>
      <c r="AV1" s="725"/>
      <c r="AW1" s="723" t="s">
        <v>955</v>
      </c>
      <c r="AX1" s="724"/>
      <c r="AY1" s="724"/>
      <c r="AZ1" s="725"/>
      <c r="BA1" s="723" t="s">
        <v>1029</v>
      </c>
      <c r="BB1" s="724"/>
      <c r="BC1" s="724"/>
      <c r="BD1" s="725"/>
      <c r="BE1" s="723" t="s">
        <v>128</v>
      </c>
      <c r="BF1" s="724"/>
      <c r="BG1" s="724"/>
      <c r="BH1" s="725"/>
      <c r="BI1" s="732" t="s">
        <v>11</v>
      </c>
      <c r="BJ1" s="732"/>
      <c r="BK1" s="732"/>
      <c r="BL1" s="732"/>
    </row>
    <row r="2" spans="1:64" ht="30" customHeight="1">
      <c r="A2" s="722"/>
      <c r="B2" s="737"/>
      <c r="C2" s="737"/>
      <c r="D2" s="727"/>
      <c r="E2" s="728" t="s">
        <v>333</v>
      </c>
      <c r="F2" s="728"/>
      <c r="G2" s="728"/>
      <c r="H2" s="576"/>
      <c r="I2" s="728" t="s">
        <v>956</v>
      </c>
      <c r="J2" s="728"/>
      <c r="K2" s="728"/>
      <c r="L2" s="728"/>
      <c r="M2" s="728" t="s">
        <v>334</v>
      </c>
      <c r="N2" s="728"/>
      <c r="O2" s="728"/>
      <c r="P2" s="728"/>
      <c r="Q2" s="720"/>
      <c r="R2" s="721"/>
      <c r="S2" s="721"/>
      <c r="T2" s="722"/>
      <c r="U2" s="720"/>
      <c r="V2" s="721"/>
      <c r="W2" s="721"/>
      <c r="X2" s="722"/>
      <c r="Y2" s="720"/>
      <c r="Z2" s="721"/>
      <c r="AA2" s="721"/>
      <c r="AB2" s="722"/>
      <c r="AC2" s="720"/>
      <c r="AD2" s="721"/>
      <c r="AE2" s="721"/>
      <c r="AF2" s="722"/>
      <c r="AG2" s="729" t="s">
        <v>957</v>
      </c>
      <c r="AH2" s="730"/>
      <c r="AI2" s="730"/>
      <c r="AJ2" s="731"/>
      <c r="AK2" s="717" t="s">
        <v>335</v>
      </c>
      <c r="AL2" s="718"/>
      <c r="AM2" s="718"/>
      <c r="AN2" s="719"/>
      <c r="AO2" s="720" t="s">
        <v>336</v>
      </c>
      <c r="AP2" s="721"/>
      <c r="AQ2" s="721"/>
      <c r="AR2" s="722"/>
      <c r="AS2" s="720" t="s">
        <v>337</v>
      </c>
      <c r="AT2" s="721"/>
      <c r="AU2" s="721"/>
      <c r="AV2" s="722"/>
      <c r="AW2" s="720"/>
      <c r="AX2" s="721"/>
      <c r="AY2" s="721"/>
      <c r="AZ2" s="722"/>
      <c r="BA2" s="720"/>
      <c r="BB2" s="721"/>
      <c r="BC2" s="721"/>
      <c r="BD2" s="722"/>
      <c r="BE2" s="720"/>
      <c r="BF2" s="721"/>
      <c r="BG2" s="721"/>
      <c r="BH2" s="722"/>
      <c r="BI2" s="732"/>
      <c r="BJ2" s="732"/>
      <c r="BK2" s="732"/>
      <c r="BL2" s="732"/>
    </row>
    <row r="3" spans="1:64" ht="29.25" customHeight="1">
      <c r="A3" s="324"/>
      <c r="B3" s="324"/>
      <c r="C3" s="324"/>
      <c r="D3" s="333"/>
      <c r="E3" s="334" t="s">
        <v>958</v>
      </c>
      <c r="F3" s="334" t="s">
        <v>959</v>
      </c>
      <c r="G3" s="334" t="s">
        <v>960</v>
      </c>
      <c r="H3" s="325" t="s">
        <v>882</v>
      </c>
      <c r="I3" s="334" t="s">
        <v>958</v>
      </c>
      <c r="J3" s="334" t="s">
        <v>959</v>
      </c>
      <c r="K3" s="334" t="s">
        <v>960</v>
      </c>
      <c r="L3" s="325" t="s">
        <v>882</v>
      </c>
      <c r="M3" s="334" t="s">
        <v>958</v>
      </c>
      <c r="N3" s="334" t="s">
        <v>959</v>
      </c>
      <c r="O3" s="334" t="s">
        <v>960</v>
      </c>
      <c r="P3" s="325" t="s">
        <v>882</v>
      </c>
      <c r="Q3" s="334" t="s">
        <v>958</v>
      </c>
      <c r="R3" s="334" t="s">
        <v>959</v>
      </c>
      <c r="S3" s="334" t="s">
        <v>960</v>
      </c>
      <c r="T3" s="325" t="s">
        <v>882</v>
      </c>
      <c r="U3" s="334" t="s">
        <v>958</v>
      </c>
      <c r="V3" s="334" t="s">
        <v>959</v>
      </c>
      <c r="W3" s="334" t="s">
        <v>960</v>
      </c>
      <c r="X3" s="325" t="s">
        <v>882</v>
      </c>
      <c r="Y3" s="334" t="s">
        <v>958</v>
      </c>
      <c r="Z3" s="334" t="s">
        <v>959</v>
      </c>
      <c r="AA3" s="334" t="s">
        <v>960</v>
      </c>
      <c r="AB3" s="325" t="s">
        <v>882</v>
      </c>
      <c r="AC3" s="334" t="s">
        <v>958</v>
      </c>
      <c r="AD3" s="334" t="s">
        <v>959</v>
      </c>
      <c r="AE3" s="334" t="s">
        <v>960</v>
      </c>
      <c r="AF3" s="325" t="s">
        <v>882</v>
      </c>
      <c r="AG3" s="334" t="s">
        <v>958</v>
      </c>
      <c r="AH3" s="334" t="s">
        <v>959</v>
      </c>
      <c r="AI3" s="334" t="s">
        <v>960</v>
      </c>
      <c r="AJ3" s="325" t="s">
        <v>882</v>
      </c>
      <c r="AK3" s="334" t="s">
        <v>958</v>
      </c>
      <c r="AL3" s="334" t="s">
        <v>959</v>
      </c>
      <c r="AM3" s="334" t="s">
        <v>960</v>
      </c>
      <c r="AN3" s="325" t="s">
        <v>882</v>
      </c>
      <c r="AO3" s="334" t="s">
        <v>958</v>
      </c>
      <c r="AP3" s="334" t="s">
        <v>959</v>
      </c>
      <c r="AQ3" s="334" t="s">
        <v>960</v>
      </c>
      <c r="AR3" s="325" t="s">
        <v>882</v>
      </c>
      <c r="AS3" s="334" t="s">
        <v>958</v>
      </c>
      <c r="AT3" s="334" t="s">
        <v>959</v>
      </c>
      <c r="AU3" s="334" t="s">
        <v>960</v>
      </c>
      <c r="AV3" s="325" t="s">
        <v>882</v>
      </c>
      <c r="AW3" s="334" t="s">
        <v>958</v>
      </c>
      <c r="AX3" s="334" t="s">
        <v>959</v>
      </c>
      <c r="AY3" s="334" t="s">
        <v>960</v>
      </c>
      <c r="AZ3" s="325" t="s">
        <v>882</v>
      </c>
      <c r="BA3" s="334" t="s">
        <v>958</v>
      </c>
      <c r="BB3" s="334" t="s">
        <v>959</v>
      </c>
      <c r="BC3" s="334" t="s">
        <v>960</v>
      </c>
      <c r="BD3" s="325" t="s">
        <v>882</v>
      </c>
      <c r="BE3" s="334" t="s">
        <v>958</v>
      </c>
      <c r="BF3" s="334" t="s">
        <v>959</v>
      </c>
      <c r="BG3" s="334" t="s">
        <v>960</v>
      </c>
      <c r="BH3" s="325" t="s">
        <v>882</v>
      </c>
      <c r="BI3" s="576" t="s">
        <v>958</v>
      </c>
      <c r="BJ3" s="576" t="s">
        <v>959</v>
      </c>
      <c r="BK3" s="576" t="s">
        <v>960</v>
      </c>
      <c r="BL3" s="661" t="s">
        <v>882</v>
      </c>
    </row>
    <row r="4" spans="1:64" ht="15.75" customHeight="1">
      <c r="A4" s="86"/>
      <c r="B4" s="129"/>
      <c r="C4" s="87"/>
      <c r="D4" s="130" t="s">
        <v>118</v>
      </c>
      <c r="E4" s="577"/>
      <c r="F4" s="577"/>
      <c r="G4" s="577"/>
      <c r="H4" s="577"/>
      <c r="I4" s="577"/>
      <c r="J4" s="577"/>
      <c r="K4" s="577"/>
      <c r="L4" s="577"/>
      <c r="M4" s="578"/>
      <c r="N4" s="578"/>
      <c r="O4" s="578"/>
      <c r="P4" s="578"/>
      <c r="Q4" s="578"/>
      <c r="R4" s="578"/>
      <c r="S4" s="578"/>
      <c r="T4" s="578"/>
      <c r="U4" s="579"/>
      <c r="V4" s="579"/>
      <c r="W4" s="579"/>
      <c r="X4" s="579"/>
      <c r="Y4" s="579"/>
      <c r="Z4" s="579"/>
      <c r="AA4" s="579"/>
      <c r="AB4" s="578"/>
      <c r="AC4" s="578"/>
      <c r="AD4" s="578"/>
      <c r="AE4" s="578"/>
      <c r="AF4" s="578"/>
      <c r="AG4" s="579"/>
      <c r="AH4" s="579"/>
      <c r="AI4" s="579"/>
      <c r="AJ4" s="579"/>
      <c r="AK4" s="579"/>
      <c r="AL4" s="579"/>
      <c r="AM4" s="579"/>
      <c r="AN4" s="579"/>
      <c r="AO4" s="579"/>
      <c r="AP4" s="579"/>
      <c r="AQ4" s="579"/>
      <c r="AR4" s="579"/>
      <c r="AS4" s="578"/>
      <c r="AT4" s="578"/>
      <c r="AU4" s="578"/>
      <c r="AV4" s="578"/>
      <c r="AW4" s="578"/>
      <c r="AX4" s="578"/>
      <c r="AY4" s="578"/>
      <c r="AZ4" s="578"/>
      <c r="BA4" s="578"/>
      <c r="BB4" s="578"/>
      <c r="BC4" s="578"/>
      <c r="BD4" s="578"/>
      <c r="BE4" s="578"/>
      <c r="BF4" s="578"/>
      <c r="BG4" s="578"/>
      <c r="BH4" s="578"/>
      <c r="BI4" s="578"/>
      <c r="BJ4" s="578"/>
      <c r="BK4" s="578"/>
      <c r="BL4" s="578"/>
    </row>
    <row r="5" spans="1:64" ht="15.75" customHeight="1">
      <c r="A5" s="104" t="s">
        <v>129</v>
      </c>
      <c r="B5" s="131"/>
      <c r="C5" s="84"/>
      <c r="D5" s="132" t="s">
        <v>130</v>
      </c>
      <c r="E5" s="184"/>
      <c r="F5" s="184"/>
      <c r="G5" s="184"/>
      <c r="H5" s="184"/>
      <c r="I5" s="184"/>
      <c r="J5" s="184"/>
      <c r="K5" s="184"/>
      <c r="L5" s="18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580"/>
      <c r="BJ5" s="580"/>
      <c r="BK5" s="580"/>
      <c r="BL5" s="580"/>
    </row>
    <row r="6" spans="1:64" ht="15.75" customHeight="1">
      <c r="A6" s="104"/>
      <c r="B6" s="244" t="s">
        <v>131</v>
      </c>
      <c r="C6" s="239"/>
      <c r="D6" s="239" t="s">
        <v>132</v>
      </c>
      <c r="E6" s="581"/>
      <c r="F6" s="581"/>
      <c r="G6" s="581"/>
      <c r="H6" s="581"/>
      <c r="I6" s="581"/>
      <c r="J6" s="581"/>
      <c r="K6" s="581"/>
      <c r="L6" s="581"/>
      <c r="M6" s="581">
        <v>1900000</v>
      </c>
      <c r="N6" s="581">
        <v>1900000</v>
      </c>
      <c r="O6" s="581">
        <f>1200000+535923</f>
        <v>1735923</v>
      </c>
      <c r="P6" s="581">
        <f>1200000+535923+278000+40000</f>
        <v>2053923</v>
      </c>
      <c r="Q6" s="581"/>
      <c r="R6" s="581"/>
      <c r="S6" s="581"/>
      <c r="T6" s="581"/>
      <c r="U6" s="581"/>
      <c r="V6" s="581"/>
      <c r="W6" s="581"/>
      <c r="X6" s="581"/>
      <c r="Y6" s="581">
        <v>25000</v>
      </c>
      <c r="Z6" s="581">
        <v>25000</v>
      </c>
      <c r="AA6" s="581">
        <v>25000</v>
      </c>
      <c r="AB6" s="581">
        <f>1094033+21000</f>
        <v>1115033</v>
      </c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P6" s="581"/>
      <c r="AQ6" s="581"/>
      <c r="AR6" s="581"/>
      <c r="AS6" s="581"/>
      <c r="AT6" s="581"/>
      <c r="AU6" s="581"/>
      <c r="AV6" s="581"/>
      <c r="AW6" s="581"/>
      <c r="AX6" s="581"/>
      <c r="AY6" s="581"/>
      <c r="AZ6" s="581"/>
      <c r="BA6" s="581"/>
      <c r="BB6" s="581"/>
      <c r="BC6" s="581"/>
      <c r="BD6" s="581"/>
      <c r="BE6" s="581"/>
      <c r="BF6" s="581"/>
      <c r="BG6" s="581"/>
      <c r="BH6" s="581"/>
      <c r="BI6" s="582">
        <f aca="true" t="shared" si="0" ref="BI6:BJ9">SUM(E6,M6,Q6,U6,Y6,AC6,AG6,AK6,AO6,AS6,AW6,BE6)</f>
        <v>1925000</v>
      </c>
      <c r="BJ6" s="582">
        <f t="shared" si="0"/>
        <v>1925000</v>
      </c>
      <c r="BK6" s="582">
        <f>SUM(G6,O6,S6,W6,AA6,AE6,AI6,AM6,AQ6,AU6,AY6,BG6,K6)</f>
        <v>1760923</v>
      </c>
      <c r="BL6" s="582">
        <f>SUM(H6,P6,T6,X6,AB6,AF6,AJ6,AN6,AR6,AV6,AZ6,BH6,L6,BD6)</f>
        <v>3168956</v>
      </c>
    </row>
    <row r="7" spans="1:64" ht="15.75" customHeight="1">
      <c r="A7" s="104"/>
      <c r="B7" s="245" t="s">
        <v>133</v>
      </c>
      <c r="C7" s="108">
        <v>960302</v>
      </c>
      <c r="D7" s="583" t="s">
        <v>71</v>
      </c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1"/>
      <c r="AO7" s="581"/>
      <c r="AP7" s="581"/>
      <c r="AQ7" s="581"/>
      <c r="AR7" s="581"/>
      <c r="AS7" s="581"/>
      <c r="AT7" s="581"/>
      <c r="AU7" s="581"/>
      <c r="AV7" s="581"/>
      <c r="AW7" s="581"/>
      <c r="AX7" s="581"/>
      <c r="AY7" s="581"/>
      <c r="AZ7" s="581"/>
      <c r="BA7" s="581"/>
      <c r="BB7" s="581"/>
      <c r="BC7" s="581"/>
      <c r="BD7" s="581"/>
      <c r="BE7" s="584"/>
      <c r="BF7" s="584"/>
      <c r="BG7" s="584"/>
      <c r="BH7" s="584"/>
      <c r="BI7" s="582">
        <f t="shared" si="0"/>
        <v>0</v>
      </c>
      <c r="BJ7" s="582">
        <f t="shared" si="0"/>
        <v>0</v>
      </c>
      <c r="BK7" s="582">
        <f>SUM(G7,O7,S7,W7,AA7,AE7,AI7,AM7,AQ7,AU7,AY7,BG7,K7)</f>
        <v>0</v>
      </c>
      <c r="BL7" s="582">
        <f>SUM(H7,P7,T7,X7,AB7,AF7,AJ7,AN7,AR7,AV7,AZ7,BH7,L7,BD7)</f>
        <v>0</v>
      </c>
    </row>
    <row r="8" spans="1:64" ht="15.75" customHeight="1">
      <c r="A8" s="104"/>
      <c r="B8" s="246" t="s">
        <v>134</v>
      </c>
      <c r="C8" s="241"/>
      <c r="D8" s="241" t="s">
        <v>135</v>
      </c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>
        <v>2057300</v>
      </c>
      <c r="R8" s="581">
        <v>2057300</v>
      </c>
      <c r="S8" s="581">
        <v>9499993</v>
      </c>
      <c r="T8" s="581">
        <v>7442693</v>
      </c>
      <c r="U8" s="581"/>
      <c r="V8" s="581"/>
      <c r="W8" s="581"/>
      <c r="X8" s="581"/>
      <c r="Y8" s="581">
        <v>736600</v>
      </c>
      <c r="Z8" s="581">
        <v>736600</v>
      </c>
      <c r="AA8" s="581">
        <f>736600+5442001</f>
        <v>6178601</v>
      </c>
      <c r="AB8" s="581">
        <f>5121857+537792+37857-40000-140000</f>
        <v>5517506</v>
      </c>
      <c r="AC8" s="581"/>
      <c r="AD8" s="581"/>
      <c r="AE8" s="581">
        <v>10005000</v>
      </c>
      <c r="AF8" s="581">
        <v>5305000</v>
      </c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2">
        <f t="shared" si="0"/>
        <v>2793900</v>
      </c>
      <c r="BJ8" s="582">
        <f t="shared" si="0"/>
        <v>2793900</v>
      </c>
      <c r="BK8" s="582">
        <f>SUM(G8,O8,S8,W8,AA8,AE8,AI8,AM8,AQ8,AU8,AY8,BG8,K8)</f>
        <v>25683594</v>
      </c>
      <c r="BL8" s="582">
        <f>SUM(H8,P8,T8,X8,AB8,AF8,AJ8,AN8,AR8,AV8,AZ8,BH8,L8,BD8)</f>
        <v>18265199</v>
      </c>
    </row>
    <row r="9" spans="1:64" ht="15.75" customHeight="1">
      <c r="A9" s="112"/>
      <c r="B9" s="244" t="s">
        <v>136</v>
      </c>
      <c r="C9" s="239"/>
      <c r="D9" s="239" t="s">
        <v>338</v>
      </c>
      <c r="E9" s="585">
        <v>40123348</v>
      </c>
      <c r="F9" s="585">
        <v>40578513</v>
      </c>
      <c r="G9" s="585">
        <v>42914466</v>
      </c>
      <c r="H9" s="585">
        <v>42914466</v>
      </c>
      <c r="I9" s="585"/>
      <c r="J9" s="585"/>
      <c r="K9" s="585"/>
      <c r="L9" s="585"/>
      <c r="M9" s="585"/>
      <c r="N9" s="585"/>
      <c r="O9" s="585"/>
      <c r="P9" s="585"/>
      <c r="Q9" s="586"/>
      <c r="R9" s="586"/>
      <c r="S9" s="586"/>
      <c r="T9" s="586"/>
      <c r="U9" s="586"/>
      <c r="V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86"/>
      <c r="AH9" s="586"/>
      <c r="AI9" s="586"/>
      <c r="AJ9" s="586"/>
      <c r="AK9" s="586"/>
      <c r="AL9" s="586"/>
      <c r="AM9" s="586"/>
      <c r="AN9" s="586"/>
      <c r="AO9" s="586"/>
      <c r="AP9" s="586"/>
      <c r="AQ9" s="586"/>
      <c r="AR9" s="586"/>
      <c r="AS9" s="586"/>
      <c r="AT9" s="586"/>
      <c r="AU9" s="586"/>
      <c r="AV9" s="586"/>
      <c r="AW9" s="586"/>
      <c r="AX9" s="586"/>
      <c r="AY9" s="586"/>
      <c r="AZ9" s="586"/>
      <c r="BA9" s="586">
        <v>0</v>
      </c>
      <c r="BB9" s="586">
        <v>0</v>
      </c>
      <c r="BC9" s="586">
        <v>0</v>
      </c>
      <c r="BD9" s="585">
        <v>1547521</v>
      </c>
      <c r="BE9" s="586"/>
      <c r="BF9" s="586"/>
      <c r="BG9" s="586"/>
      <c r="BH9" s="586"/>
      <c r="BI9" s="582">
        <f t="shared" si="0"/>
        <v>40123348</v>
      </c>
      <c r="BJ9" s="582">
        <f t="shared" si="0"/>
        <v>40578513</v>
      </c>
      <c r="BK9" s="582">
        <f>SUM(G9,O9,S9,W9,AA9,AE9,AI9,AM9,AQ9,AU9,AY9,BG9,K9)</f>
        <v>42914466</v>
      </c>
      <c r="BL9" s="582">
        <f>SUM(H9,P9,T9,X9,AB9,AF9,AJ9,AN9,AR9,AV9,AZ9,BH9,L9,BD9)</f>
        <v>44461987</v>
      </c>
    </row>
    <row r="10" spans="1:64" ht="15.75" customHeight="1">
      <c r="A10" s="112"/>
      <c r="B10" s="247" t="s">
        <v>171</v>
      </c>
      <c r="C10" s="239"/>
      <c r="D10" s="239" t="s">
        <v>178</v>
      </c>
      <c r="E10" s="585"/>
      <c r="F10" s="585"/>
      <c r="G10" s="585"/>
      <c r="H10" s="585"/>
      <c r="I10" s="585">
        <v>0</v>
      </c>
      <c r="J10" s="585">
        <v>1529736</v>
      </c>
      <c r="K10" s="585">
        <v>1529736</v>
      </c>
      <c r="L10" s="585">
        <v>0</v>
      </c>
      <c r="M10" s="585"/>
      <c r="N10" s="585"/>
      <c r="O10" s="585"/>
      <c r="P10" s="585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6"/>
      <c r="AW10" s="585">
        <v>60413118</v>
      </c>
      <c r="AX10" s="585">
        <v>60413118</v>
      </c>
      <c r="AY10" s="585">
        <v>60413118</v>
      </c>
      <c r="AZ10" s="585">
        <v>60413118</v>
      </c>
      <c r="BA10" s="585"/>
      <c r="BB10" s="585"/>
      <c r="BC10" s="585"/>
      <c r="BD10" s="585"/>
      <c r="BE10" s="586"/>
      <c r="BF10" s="586"/>
      <c r="BG10" s="586"/>
      <c r="BH10" s="586"/>
      <c r="BI10" s="582">
        <f>SUM(E10,M10,Q10,U10,Y10,AC10,AG10,AK10,AO10,AS10,AW10,BE10,I10)</f>
        <v>60413118</v>
      </c>
      <c r="BJ10" s="582">
        <f>SUM(F10,N10,R10,V10,Z10,AD10,AH10,AL10,AP10,AT10,AX10,BF10,K10)</f>
        <v>61942854</v>
      </c>
      <c r="BK10" s="582">
        <f>SUM(G10,O10,S10,W10,AA10,AE10,AI10,AM10,AQ10,AU10,AY10,BG10,K10)</f>
        <v>61942854</v>
      </c>
      <c r="BL10" s="582">
        <f>SUM(H10,P10,T10,X10,AB10,AF10,AJ10,AN10,AR10,AV10,AZ10,BH10,L10,BD10)</f>
        <v>60413118</v>
      </c>
    </row>
    <row r="11" spans="1:64" ht="15.75" customHeight="1">
      <c r="A11" s="112"/>
      <c r="B11" s="248"/>
      <c r="C11" s="239"/>
      <c r="D11" s="240" t="s">
        <v>137</v>
      </c>
      <c r="E11" s="587">
        <f aca="true" t="shared" si="1" ref="E11:BK11">SUM(E6:E10)</f>
        <v>40123348</v>
      </c>
      <c r="F11" s="587">
        <f t="shared" si="1"/>
        <v>40578513</v>
      </c>
      <c r="G11" s="587">
        <f t="shared" si="1"/>
        <v>42914466</v>
      </c>
      <c r="H11" s="587">
        <f>SUM(H6:H10)</f>
        <v>42914466</v>
      </c>
      <c r="I11" s="587">
        <f t="shared" si="1"/>
        <v>0</v>
      </c>
      <c r="J11" s="587">
        <f t="shared" si="1"/>
        <v>1529736</v>
      </c>
      <c r="K11" s="587">
        <f t="shared" si="1"/>
        <v>1529736</v>
      </c>
      <c r="L11" s="587">
        <f>SUM(L6:L10)</f>
        <v>0</v>
      </c>
      <c r="M11" s="587">
        <f t="shared" si="1"/>
        <v>1900000</v>
      </c>
      <c r="N11" s="587">
        <f t="shared" si="1"/>
        <v>1900000</v>
      </c>
      <c r="O11" s="587">
        <f t="shared" si="1"/>
        <v>1735923</v>
      </c>
      <c r="P11" s="587">
        <f>SUM(P6:P10)</f>
        <v>2053923</v>
      </c>
      <c r="Q11" s="587">
        <f t="shared" si="1"/>
        <v>2057300</v>
      </c>
      <c r="R11" s="587">
        <f t="shared" si="1"/>
        <v>2057300</v>
      </c>
      <c r="S11" s="587">
        <f t="shared" si="1"/>
        <v>9499993</v>
      </c>
      <c r="T11" s="587">
        <f>SUM(T6:T10)</f>
        <v>7442693</v>
      </c>
      <c r="U11" s="587">
        <f t="shared" si="1"/>
        <v>0</v>
      </c>
      <c r="V11" s="587">
        <f t="shared" si="1"/>
        <v>0</v>
      </c>
      <c r="W11" s="587">
        <f t="shared" si="1"/>
        <v>0</v>
      </c>
      <c r="X11" s="587">
        <v>0</v>
      </c>
      <c r="Y11" s="587">
        <f t="shared" si="1"/>
        <v>761600</v>
      </c>
      <c r="Z11" s="587">
        <f t="shared" si="1"/>
        <v>761600</v>
      </c>
      <c r="AA11" s="587">
        <f t="shared" si="1"/>
        <v>6203601</v>
      </c>
      <c r="AB11" s="587">
        <f>SUM(AB6:AB10)</f>
        <v>6632539</v>
      </c>
      <c r="AC11" s="587">
        <f t="shared" si="1"/>
        <v>0</v>
      </c>
      <c r="AD11" s="587">
        <f t="shared" si="1"/>
        <v>0</v>
      </c>
      <c r="AE11" s="587">
        <f t="shared" si="1"/>
        <v>10005000</v>
      </c>
      <c r="AF11" s="587">
        <f>SUM(AF6:AF10)</f>
        <v>5305000</v>
      </c>
      <c r="AG11" s="587">
        <f t="shared" si="1"/>
        <v>0</v>
      </c>
      <c r="AH11" s="587">
        <f t="shared" si="1"/>
        <v>0</v>
      </c>
      <c r="AI11" s="587">
        <f t="shared" si="1"/>
        <v>0</v>
      </c>
      <c r="AJ11" s="587">
        <f>SUM(AJ6:AJ10)</f>
        <v>0</v>
      </c>
      <c r="AK11" s="587">
        <f t="shared" si="1"/>
        <v>0</v>
      </c>
      <c r="AL11" s="587">
        <f t="shared" si="1"/>
        <v>0</v>
      </c>
      <c r="AM11" s="587">
        <f t="shared" si="1"/>
        <v>0</v>
      </c>
      <c r="AN11" s="587">
        <f>SUM(AN6:AN10)</f>
        <v>0</v>
      </c>
      <c r="AO11" s="587">
        <f t="shared" si="1"/>
        <v>0</v>
      </c>
      <c r="AP11" s="587">
        <f t="shared" si="1"/>
        <v>0</v>
      </c>
      <c r="AQ11" s="587">
        <f t="shared" si="1"/>
        <v>0</v>
      </c>
      <c r="AR11" s="587">
        <f>SUM(AR6:AR10)</f>
        <v>0</v>
      </c>
      <c r="AS11" s="587">
        <f t="shared" si="1"/>
        <v>0</v>
      </c>
      <c r="AT11" s="587">
        <f t="shared" si="1"/>
        <v>0</v>
      </c>
      <c r="AU11" s="587">
        <f t="shared" si="1"/>
        <v>0</v>
      </c>
      <c r="AV11" s="587">
        <f>SUM(AV6:AV10)</f>
        <v>0</v>
      </c>
      <c r="AW11" s="587">
        <f t="shared" si="1"/>
        <v>60413118</v>
      </c>
      <c r="AX11" s="587">
        <f t="shared" si="1"/>
        <v>60413118</v>
      </c>
      <c r="AY11" s="587">
        <f t="shared" si="1"/>
        <v>60413118</v>
      </c>
      <c r="AZ11" s="587">
        <f>SUM(AZ6:AZ10)</f>
        <v>60413118</v>
      </c>
      <c r="BA11" s="587">
        <f>SUM(BA6:BA10)</f>
        <v>0</v>
      </c>
      <c r="BB11" s="587">
        <f>SUM(BB6:BB10)</f>
        <v>0</v>
      </c>
      <c r="BC11" s="587">
        <f>SUM(BC6:BC10)</f>
        <v>0</v>
      </c>
      <c r="BD11" s="587">
        <f>SUM(BD6:BD10)</f>
        <v>1547521</v>
      </c>
      <c r="BE11" s="587">
        <f t="shared" si="1"/>
        <v>0</v>
      </c>
      <c r="BF11" s="587">
        <f t="shared" si="1"/>
        <v>0</v>
      </c>
      <c r="BG11" s="587">
        <f t="shared" si="1"/>
        <v>0</v>
      </c>
      <c r="BH11" s="587">
        <f>SUM(BH6:BH10)</f>
        <v>0</v>
      </c>
      <c r="BI11" s="587">
        <f t="shared" si="1"/>
        <v>105255366</v>
      </c>
      <c r="BJ11" s="587">
        <f t="shared" si="1"/>
        <v>107240267</v>
      </c>
      <c r="BK11" s="587">
        <f t="shared" si="1"/>
        <v>132301837</v>
      </c>
      <c r="BL11" s="587">
        <f>SUM(BL6:BL10)</f>
        <v>126309260</v>
      </c>
    </row>
    <row r="12" spans="1:64" ht="15.75" customHeight="1">
      <c r="A12" s="110" t="s">
        <v>138</v>
      </c>
      <c r="B12" s="108"/>
      <c r="C12" s="249"/>
      <c r="D12" s="242" t="s">
        <v>139</v>
      </c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2"/>
      <c r="BJ12" s="582"/>
      <c r="BK12" s="582"/>
      <c r="BL12" s="582"/>
    </row>
    <row r="13" spans="1:64" ht="15.75" customHeight="1">
      <c r="A13" s="69"/>
      <c r="B13" s="244" t="s">
        <v>140</v>
      </c>
      <c r="C13" s="239"/>
      <c r="D13" s="583" t="s">
        <v>141</v>
      </c>
      <c r="E13" s="581"/>
      <c r="F13" s="581"/>
      <c r="G13" s="581"/>
      <c r="H13" s="581"/>
      <c r="I13" s="581"/>
      <c r="J13" s="581"/>
      <c r="K13" s="581"/>
      <c r="L13" s="581"/>
      <c r="M13" s="581">
        <v>1389879</v>
      </c>
      <c r="N13" s="581">
        <f>1389879+3903836</f>
        <v>5293715</v>
      </c>
      <c r="O13" s="581">
        <v>6167094</v>
      </c>
      <c r="P13" s="581">
        <v>5849094</v>
      </c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2">
        <f aca="true" t="shared" si="2" ref="BI13:BJ16">SUM(E13,M13,Q13,U13,Y13,AC13,AG13,AK13,AO13,AS13,AW13,BE13)</f>
        <v>1389879</v>
      </c>
      <c r="BJ13" s="582">
        <f t="shared" si="2"/>
        <v>5293715</v>
      </c>
      <c r="BK13" s="582">
        <f>SUM(G13,O13,S13,W13,AA13,AE13,AI13,AM13,AQ13,AU13,AY13,BG13,K13)</f>
        <v>6167094</v>
      </c>
      <c r="BL13" s="582">
        <f>SUM(H13,P13,T13,X13,AB13,AF13,AJ13,AN13,AR13,AV13,AZ13,BH13,L13,BD13)</f>
        <v>5849094</v>
      </c>
    </row>
    <row r="14" spans="1:64" ht="15.75" customHeight="1">
      <c r="A14" s="69"/>
      <c r="B14" s="244" t="s">
        <v>339</v>
      </c>
      <c r="C14" s="239"/>
      <c r="D14" s="583" t="s">
        <v>340</v>
      </c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2">
        <f t="shared" si="2"/>
        <v>0</v>
      </c>
      <c r="BJ14" s="582">
        <f t="shared" si="2"/>
        <v>0</v>
      </c>
      <c r="BK14" s="582">
        <f>SUM(G14,O14,S14,W14,AA14,AE14,AI14,AM14,AQ14,AU14,AY14,BG14,K14)</f>
        <v>0</v>
      </c>
      <c r="BL14" s="582">
        <f>SUM(H14,P14,T14,X14,AB14,AF14,AJ14,AN14,AR14,AV14,AZ14,BH14,L14,BD14)</f>
        <v>0</v>
      </c>
    </row>
    <row r="15" spans="1:64" ht="15.75" customHeight="1">
      <c r="A15" s="69"/>
      <c r="B15" s="244" t="s">
        <v>142</v>
      </c>
      <c r="C15" s="239"/>
      <c r="D15" s="583" t="s">
        <v>143</v>
      </c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>
        <v>41227193</v>
      </c>
      <c r="R15" s="581">
        <v>41227193</v>
      </c>
      <c r="S15" s="581">
        <f>33521040+7729013</f>
        <v>41250053</v>
      </c>
      <c r="T15" s="581">
        <f>33521040+7729013</f>
        <v>41250053</v>
      </c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2">
        <f t="shared" si="2"/>
        <v>41227193</v>
      </c>
      <c r="BJ15" s="582">
        <f t="shared" si="2"/>
        <v>41227193</v>
      </c>
      <c r="BK15" s="582">
        <f>SUM(G15,O15,S15,W15,AA15,AE15,AI15,AM15,AQ15,AU15,AY15,BG15,K15)</f>
        <v>41250053</v>
      </c>
      <c r="BL15" s="582">
        <f>SUM(H15,P15,T15,X15,AB15,AF15,AJ15,AN15,AR15,AV15,AZ15,BH15,L15,BD15)</f>
        <v>41250053</v>
      </c>
    </row>
    <row r="16" spans="1:64" ht="15.75" customHeight="1">
      <c r="A16" s="69"/>
      <c r="B16" s="244" t="s">
        <v>144</v>
      </c>
      <c r="C16" s="239"/>
      <c r="D16" s="583" t="s">
        <v>70</v>
      </c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2">
        <f t="shared" si="2"/>
        <v>0</v>
      </c>
      <c r="BJ16" s="582">
        <f t="shared" si="2"/>
        <v>0</v>
      </c>
      <c r="BK16" s="582">
        <f>SUM(G16,O16,S16,W16,AA16,AE16,AI16,AM16,AQ16,AU16,AY16,BG16,K16)</f>
        <v>0</v>
      </c>
      <c r="BL16" s="582">
        <f>SUM(H16,P16,T16,X16,AB16,AF16,AJ16,AN16,AR16,AV16,AZ16,BH16,L16,BD16)</f>
        <v>0</v>
      </c>
    </row>
    <row r="17" spans="1:64" ht="15.75" customHeight="1">
      <c r="A17" s="69"/>
      <c r="B17" s="250"/>
      <c r="C17" s="239"/>
      <c r="D17" s="240" t="s">
        <v>145</v>
      </c>
      <c r="E17" s="588">
        <f>SUM(E13:E16)</f>
        <v>0</v>
      </c>
      <c r="F17" s="588">
        <f>SUM(F13:F16)</f>
        <v>0</v>
      </c>
      <c r="G17" s="588">
        <f>SUM(G13:G16)</f>
        <v>0</v>
      </c>
      <c r="H17" s="588">
        <f>SUM(H13:H16)</f>
        <v>0</v>
      </c>
      <c r="I17" s="588"/>
      <c r="J17" s="588"/>
      <c r="K17" s="588"/>
      <c r="L17" s="588"/>
      <c r="M17" s="588">
        <f aca="true" t="shared" si="3" ref="M17:AQ17">SUM(M13:M16)</f>
        <v>1389879</v>
      </c>
      <c r="N17" s="588">
        <f t="shared" si="3"/>
        <v>5293715</v>
      </c>
      <c r="O17" s="588">
        <f t="shared" si="3"/>
        <v>6167094</v>
      </c>
      <c r="P17" s="588">
        <f>SUM(P13:P16)</f>
        <v>5849094</v>
      </c>
      <c r="Q17" s="588">
        <f t="shared" si="3"/>
        <v>41227193</v>
      </c>
      <c r="R17" s="588">
        <f t="shared" si="3"/>
        <v>41227193</v>
      </c>
      <c r="S17" s="588">
        <f t="shared" si="3"/>
        <v>41250053</v>
      </c>
      <c r="T17" s="588">
        <f>SUM(T13:T16)</f>
        <v>41250053</v>
      </c>
      <c r="U17" s="588">
        <f t="shared" si="3"/>
        <v>0</v>
      </c>
      <c r="V17" s="588">
        <f t="shared" si="3"/>
        <v>0</v>
      </c>
      <c r="W17" s="588">
        <f t="shared" si="3"/>
        <v>0</v>
      </c>
      <c r="X17" s="588">
        <v>0</v>
      </c>
      <c r="Y17" s="588">
        <f t="shared" si="3"/>
        <v>0</v>
      </c>
      <c r="Z17" s="588">
        <f t="shared" si="3"/>
        <v>0</v>
      </c>
      <c r="AA17" s="588">
        <f t="shared" si="3"/>
        <v>0</v>
      </c>
      <c r="AB17" s="588">
        <f>SUM(AB13:AB16)</f>
        <v>0</v>
      </c>
      <c r="AC17" s="588">
        <f t="shared" si="3"/>
        <v>0</v>
      </c>
      <c r="AD17" s="588">
        <f t="shared" si="3"/>
        <v>0</v>
      </c>
      <c r="AE17" s="588">
        <f t="shared" si="3"/>
        <v>0</v>
      </c>
      <c r="AF17" s="588">
        <f>SUM(AF13:AF16)</f>
        <v>0</v>
      </c>
      <c r="AG17" s="588">
        <f t="shared" si="3"/>
        <v>0</v>
      </c>
      <c r="AH17" s="588">
        <f t="shared" si="3"/>
        <v>0</v>
      </c>
      <c r="AI17" s="588">
        <f t="shared" si="3"/>
        <v>0</v>
      </c>
      <c r="AJ17" s="588">
        <f>SUM(AJ13:AJ16)</f>
        <v>0</v>
      </c>
      <c r="AK17" s="588">
        <f t="shared" si="3"/>
        <v>0</v>
      </c>
      <c r="AL17" s="588">
        <f t="shared" si="3"/>
        <v>0</v>
      </c>
      <c r="AM17" s="588">
        <f t="shared" si="3"/>
        <v>0</v>
      </c>
      <c r="AN17" s="588">
        <f>SUM(AN13:AN16)</f>
        <v>0</v>
      </c>
      <c r="AO17" s="588">
        <f t="shared" si="3"/>
        <v>0</v>
      </c>
      <c r="AP17" s="588">
        <f t="shared" si="3"/>
        <v>0</v>
      </c>
      <c r="AQ17" s="588">
        <f t="shared" si="3"/>
        <v>0</v>
      </c>
      <c r="AR17" s="588">
        <f>SUM(AR13:AR16)</f>
        <v>0</v>
      </c>
      <c r="AS17" s="588">
        <v>0</v>
      </c>
      <c r="AT17" s="588">
        <v>0</v>
      </c>
      <c r="AU17" s="588">
        <v>0</v>
      </c>
      <c r="AV17" s="588">
        <v>0</v>
      </c>
      <c r="AW17" s="588">
        <f aca="true" t="shared" si="4" ref="AW17:BL17">SUM(AW13:AW16)</f>
        <v>0</v>
      </c>
      <c r="AX17" s="588">
        <f t="shared" si="4"/>
        <v>0</v>
      </c>
      <c r="AY17" s="588">
        <f t="shared" si="4"/>
        <v>0</v>
      </c>
      <c r="AZ17" s="588">
        <f t="shared" si="4"/>
        <v>0</v>
      </c>
      <c r="BA17" s="588">
        <f t="shared" si="4"/>
        <v>0</v>
      </c>
      <c r="BB17" s="588">
        <f t="shared" si="4"/>
        <v>0</v>
      </c>
      <c r="BC17" s="588">
        <f t="shared" si="4"/>
        <v>0</v>
      </c>
      <c r="BD17" s="588">
        <f t="shared" si="4"/>
        <v>0</v>
      </c>
      <c r="BE17" s="588">
        <f t="shared" si="4"/>
        <v>0</v>
      </c>
      <c r="BF17" s="588">
        <f t="shared" si="4"/>
        <v>0</v>
      </c>
      <c r="BG17" s="588">
        <f t="shared" si="4"/>
        <v>0</v>
      </c>
      <c r="BH17" s="588">
        <f t="shared" si="4"/>
        <v>0</v>
      </c>
      <c r="BI17" s="588">
        <f t="shared" si="4"/>
        <v>42617072</v>
      </c>
      <c r="BJ17" s="588">
        <f t="shared" si="4"/>
        <v>46520908</v>
      </c>
      <c r="BK17" s="588">
        <f t="shared" si="4"/>
        <v>47417147</v>
      </c>
      <c r="BL17" s="588">
        <f t="shared" si="4"/>
        <v>47099147</v>
      </c>
    </row>
    <row r="18" spans="1:64" ht="15.75" customHeight="1">
      <c r="A18" s="110" t="s">
        <v>146</v>
      </c>
      <c r="B18" s="239"/>
      <c r="C18" s="251"/>
      <c r="D18" s="110" t="s">
        <v>147</v>
      </c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1"/>
      <c r="AI18" s="581"/>
      <c r="AJ18" s="581"/>
      <c r="AK18" s="581"/>
      <c r="AL18" s="581"/>
      <c r="AM18" s="581"/>
      <c r="AN18" s="581"/>
      <c r="AO18" s="581"/>
      <c r="AP18" s="581"/>
      <c r="AQ18" s="581"/>
      <c r="AR18" s="581"/>
      <c r="AS18" s="581"/>
      <c r="AT18" s="581"/>
      <c r="AU18" s="581"/>
      <c r="AV18" s="581"/>
      <c r="AW18" s="581"/>
      <c r="AX18" s="581"/>
      <c r="AY18" s="581"/>
      <c r="AZ18" s="581"/>
      <c r="BA18" s="581"/>
      <c r="BB18" s="581"/>
      <c r="BC18" s="581"/>
      <c r="BD18" s="581"/>
      <c r="BE18" s="581"/>
      <c r="BF18" s="581"/>
      <c r="BG18" s="581"/>
      <c r="BH18" s="581"/>
      <c r="BI18" s="582"/>
      <c r="BJ18" s="582"/>
      <c r="BK18" s="582"/>
      <c r="BL18" s="582"/>
    </row>
    <row r="19" spans="1:64" ht="15.75" customHeight="1">
      <c r="A19" s="69"/>
      <c r="B19" s="244" t="s">
        <v>148</v>
      </c>
      <c r="C19" s="239"/>
      <c r="D19" s="583" t="s">
        <v>149</v>
      </c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  <c r="AF19" s="581"/>
      <c r="AG19" s="581"/>
      <c r="AH19" s="581"/>
      <c r="AI19" s="581"/>
      <c r="AJ19" s="581"/>
      <c r="AK19" s="581"/>
      <c r="AL19" s="581"/>
      <c r="AM19" s="581"/>
      <c r="AN19" s="581"/>
      <c r="AO19" s="581"/>
      <c r="AP19" s="581"/>
      <c r="AQ19" s="581"/>
      <c r="AR19" s="581"/>
      <c r="AS19" s="581"/>
      <c r="AT19" s="581"/>
      <c r="AU19" s="581"/>
      <c r="AV19" s="581"/>
      <c r="AW19" s="581"/>
      <c r="AX19" s="581"/>
      <c r="AY19" s="581"/>
      <c r="AZ19" s="581"/>
      <c r="BA19" s="581"/>
      <c r="BB19" s="581"/>
      <c r="BC19" s="581"/>
      <c r="BD19" s="581"/>
      <c r="BE19" s="581"/>
      <c r="BF19" s="581"/>
      <c r="BG19" s="581"/>
      <c r="BH19" s="581"/>
      <c r="BI19" s="582">
        <f aca="true" t="shared" si="5" ref="BI19:BL20">SUM(E19:BE19)</f>
        <v>0</v>
      </c>
      <c r="BJ19" s="582">
        <f t="shared" si="5"/>
        <v>0</v>
      </c>
      <c r="BK19" s="582">
        <f t="shared" si="5"/>
        <v>0</v>
      </c>
      <c r="BL19" s="582">
        <f t="shared" si="5"/>
        <v>0</v>
      </c>
    </row>
    <row r="20" spans="1:64" ht="15.75" customHeight="1">
      <c r="A20" s="69"/>
      <c r="B20" s="244" t="s">
        <v>150</v>
      </c>
      <c r="C20" s="239"/>
      <c r="D20" s="583" t="s">
        <v>151</v>
      </c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1"/>
      <c r="AF20" s="581"/>
      <c r="AG20" s="581"/>
      <c r="AH20" s="581"/>
      <c r="AI20" s="581"/>
      <c r="AJ20" s="581"/>
      <c r="AK20" s="581"/>
      <c r="AL20" s="581"/>
      <c r="AM20" s="581"/>
      <c r="AN20" s="581"/>
      <c r="AO20" s="581"/>
      <c r="AP20" s="581"/>
      <c r="AQ20" s="581"/>
      <c r="AR20" s="581"/>
      <c r="AS20" s="581"/>
      <c r="AT20" s="581"/>
      <c r="AU20" s="581"/>
      <c r="AV20" s="581"/>
      <c r="AW20" s="581"/>
      <c r="AX20" s="581"/>
      <c r="AY20" s="581"/>
      <c r="AZ20" s="581"/>
      <c r="BA20" s="581"/>
      <c r="BB20" s="581"/>
      <c r="BC20" s="581"/>
      <c r="BD20" s="581"/>
      <c r="BE20" s="581"/>
      <c r="BF20" s="581"/>
      <c r="BG20" s="581"/>
      <c r="BH20" s="581"/>
      <c r="BI20" s="582">
        <f t="shared" si="5"/>
        <v>0</v>
      </c>
      <c r="BJ20" s="582">
        <f t="shared" si="5"/>
        <v>0</v>
      </c>
      <c r="BK20" s="582">
        <f t="shared" si="5"/>
        <v>0</v>
      </c>
      <c r="BL20" s="582">
        <f t="shared" si="5"/>
        <v>0</v>
      </c>
    </row>
    <row r="21" spans="1:64" ht="15.75" customHeight="1">
      <c r="A21" s="69"/>
      <c r="B21" s="250"/>
      <c r="C21" s="239"/>
      <c r="D21" s="240" t="s">
        <v>152</v>
      </c>
      <c r="E21" s="589">
        <f>SUM(E19:E20)</f>
        <v>0</v>
      </c>
      <c r="F21" s="589">
        <f>SUM(F19:F20)</f>
        <v>0</v>
      </c>
      <c r="G21" s="589">
        <f>SUM(G19:G20)</f>
        <v>0</v>
      </c>
      <c r="H21" s="589">
        <f>SUM(H19:H20)</f>
        <v>0</v>
      </c>
      <c r="I21" s="589"/>
      <c r="J21" s="589"/>
      <c r="K21" s="589"/>
      <c r="L21" s="589"/>
      <c r="M21" s="589"/>
      <c r="N21" s="589"/>
      <c r="O21" s="589"/>
      <c r="P21" s="589"/>
      <c r="Q21" s="589">
        <f aca="true" t="shared" si="6" ref="Q21:W21">SUM(Q19:Q20)</f>
        <v>0</v>
      </c>
      <c r="R21" s="589">
        <f t="shared" si="6"/>
        <v>0</v>
      </c>
      <c r="S21" s="589">
        <f t="shared" si="6"/>
        <v>0</v>
      </c>
      <c r="T21" s="589">
        <f t="shared" si="6"/>
        <v>0</v>
      </c>
      <c r="U21" s="589">
        <f t="shared" si="6"/>
        <v>0</v>
      </c>
      <c r="V21" s="589">
        <f t="shared" si="6"/>
        <v>0</v>
      </c>
      <c r="W21" s="589">
        <f t="shared" si="6"/>
        <v>0</v>
      </c>
      <c r="X21" s="589">
        <v>0</v>
      </c>
      <c r="Y21" s="589">
        <f aca="true" t="shared" si="7" ref="Y21:BL21">SUM(Y19:Y20)</f>
        <v>0</v>
      </c>
      <c r="Z21" s="589">
        <f t="shared" si="7"/>
        <v>0</v>
      </c>
      <c r="AA21" s="589">
        <f t="shared" si="7"/>
        <v>0</v>
      </c>
      <c r="AB21" s="589">
        <f t="shared" si="7"/>
        <v>0</v>
      </c>
      <c r="AC21" s="589">
        <f t="shared" si="7"/>
        <v>0</v>
      </c>
      <c r="AD21" s="589">
        <f t="shared" si="7"/>
        <v>0</v>
      </c>
      <c r="AE21" s="589">
        <f t="shared" si="7"/>
        <v>0</v>
      </c>
      <c r="AF21" s="589">
        <f t="shared" si="7"/>
        <v>0</v>
      </c>
      <c r="AG21" s="589">
        <f t="shared" si="7"/>
        <v>0</v>
      </c>
      <c r="AH21" s="589">
        <f t="shared" si="7"/>
        <v>0</v>
      </c>
      <c r="AI21" s="589">
        <f t="shared" si="7"/>
        <v>0</v>
      </c>
      <c r="AJ21" s="589">
        <f t="shared" si="7"/>
        <v>0</v>
      </c>
      <c r="AK21" s="589">
        <f t="shared" si="7"/>
        <v>0</v>
      </c>
      <c r="AL21" s="589">
        <f t="shared" si="7"/>
        <v>0</v>
      </c>
      <c r="AM21" s="589">
        <f t="shared" si="7"/>
        <v>0</v>
      </c>
      <c r="AN21" s="589">
        <f t="shared" si="7"/>
        <v>0</v>
      </c>
      <c r="AO21" s="589">
        <f t="shared" si="7"/>
        <v>0</v>
      </c>
      <c r="AP21" s="589">
        <f t="shared" si="7"/>
        <v>0</v>
      </c>
      <c r="AQ21" s="589">
        <f t="shared" si="7"/>
        <v>0</v>
      </c>
      <c r="AR21" s="589">
        <f t="shared" si="7"/>
        <v>0</v>
      </c>
      <c r="AS21" s="589">
        <f t="shared" si="7"/>
        <v>0</v>
      </c>
      <c r="AT21" s="589">
        <f t="shared" si="7"/>
        <v>0</v>
      </c>
      <c r="AU21" s="589">
        <f t="shared" si="7"/>
        <v>0</v>
      </c>
      <c r="AV21" s="589">
        <f t="shared" si="7"/>
        <v>0</v>
      </c>
      <c r="AW21" s="589">
        <f t="shared" si="7"/>
        <v>0</v>
      </c>
      <c r="AX21" s="589">
        <f t="shared" si="7"/>
        <v>0</v>
      </c>
      <c r="AY21" s="589">
        <f t="shared" si="7"/>
        <v>0</v>
      </c>
      <c r="AZ21" s="589">
        <f t="shared" si="7"/>
        <v>0</v>
      </c>
      <c r="BA21" s="589">
        <f t="shared" si="7"/>
        <v>0</v>
      </c>
      <c r="BB21" s="589">
        <f t="shared" si="7"/>
        <v>0</v>
      </c>
      <c r="BC21" s="589">
        <f t="shared" si="7"/>
        <v>0</v>
      </c>
      <c r="BD21" s="589">
        <f t="shared" si="7"/>
        <v>0</v>
      </c>
      <c r="BE21" s="589">
        <f t="shared" si="7"/>
        <v>0</v>
      </c>
      <c r="BF21" s="589">
        <f t="shared" si="7"/>
        <v>0</v>
      </c>
      <c r="BG21" s="589">
        <f t="shared" si="7"/>
        <v>0</v>
      </c>
      <c r="BH21" s="589">
        <f t="shared" si="7"/>
        <v>0</v>
      </c>
      <c r="BI21" s="589">
        <f t="shared" si="7"/>
        <v>0</v>
      </c>
      <c r="BJ21" s="589">
        <f t="shared" si="7"/>
        <v>0</v>
      </c>
      <c r="BK21" s="589">
        <f t="shared" si="7"/>
        <v>0</v>
      </c>
      <c r="BL21" s="589">
        <f t="shared" si="7"/>
        <v>0</v>
      </c>
    </row>
    <row r="22" spans="1:64" ht="15.75" customHeight="1">
      <c r="A22" s="136" t="s">
        <v>153</v>
      </c>
      <c r="B22" s="108"/>
      <c r="C22" s="249"/>
      <c r="D22" s="110" t="s">
        <v>154</v>
      </c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581"/>
      <c r="AL22" s="581"/>
      <c r="AM22" s="581"/>
      <c r="AN22" s="581"/>
      <c r="AO22" s="581"/>
      <c r="AP22" s="581"/>
      <c r="AQ22" s="581"/>
      <c r="AR22" s="581"/>
      <c r="AS22" s="581"/>
      <c r="AT22" s="581"/>
      <c r="AU22" s="581"/>
      <c r="AV22" s="581"/>
      <c r="AW22" s="581"/>
      <c r="AX22" s="581"/>
      <c r="AY22" s="581"/>
      <c r="AZ22" s="581"/>
      <c r="BA22" s="581"/>
      <c r="BB22" s="581"/>
      <c r="BC22" s="581"/>
      <c r="BD22" s="581"/>
      <c r="BE22" s="581"/>
      <c r="BF22" s="581"/>
      <c r="BG22" s="581"/>
      <c r="BH22" s="581"/>
      <c r="BI22" s="582"/>
      <c r="BJ22" s="582"/>
      <c r="BK22" s="582"/>
      <c r="BL22" s="582"/>
    </row>
    <row r="23" spans="1:64" ht="15.75" customHeight="1">
      <c r="A23" s="112"/>
      <c r="B23" s="244" t="s">
        <v>961</v>
      </c>
      <c r="C23" s="239"/>
      <c r="D23" s="239" t="s">
        <v>962</v>
      </c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6"/>
      <c r="R23" s="586"/>
      <c r="S23" s="586"/>
      <c r="T23" s="586"/>
      <c r="U23" s="586"/>
      <c r="V23" s="586"/>
      <c r="W23" s="586"/>
      <c r="X23" s="586"/>
      <c r="Y23" s="586"/>
      <c r="Z23" s="586"/>
      <c r="AA23" s="586"/>
      <c r="AB23" s="586"/>
      <c r="AC23" s="586"/>
      <c r="AD23" s="586"/>
      <c r="AE23" s="586"/>
      <c r="AF23" s="586"/>
      <c r="AG23" s="586"/>
      <c r="AH23" s="586"/>
      <c r="AI23" s="586"/>
      <c r="AJ23" s="586"/>
      <c r="AK23" s="586"/>
      <c r="AL23" s="586"/>
      <c r="AM23" s="586"/>
      <c r="AN23" s="586"/>
      <c r="AO23" s="585"/>
      <c r="AP23" s="585"/>
      <c r="AQ23" s="585"/>
      <c r="AR23" s="585"/>
      <c r="AS23" s="585"/>
      <c r="AT23" s="585"/>
      <c r="AU23" s="585"/>
      <c r="AV23" s="585"/>
      <c r="AW23" s="585"/>
      <c r="AX23" s="585"/>
      <c r="AY23" s="585"/>
      <c r="AZ23" s="585"/>
      <c r="BA23" s="585"/>
      <c r="BB23" s="585"/>
      <c r="BC23" s="585"/>
      <c r="BD23" s="585"/>
      <c r="BE23" s="586"/>
      <c r="BF23" s="586"/>
      <c r="BG23" s="586"/>
      <c r="BH23" s="586"/>
      <c r="BI23" s="582">
        <f aca="true" t="shared" si="8" ref="BI23:BL27">SUM(E23:BE23)</f>
        <v>0</v>
      </c>
      <c r="BJ23" s="582">
        <f t="shared" si="8"/>
        <v>0</v>
      </c>
      <c r="BK23" s="582">
        <f t="shared" si="8"/>
        <v>0</v>
      </c>
      <c r="BL23" s="582">
        <f t="shared" si="8"/>
        <v>0</v>
      </c>
    </row>
    <row r="24" spans="1:64" ht="15.75" customHeight="1">
      <c r="A24" s="69"/>
      <c r="B24" s="244" t="s">
        <v>155</v>
      </c>
      <c r="C24" s="239"/>
      <c r="D24" s="583" t="s">
        <v>156</v>
      </c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581"/>
      <c r="AG24" s="581"/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581"/>
      <c r="AW24" s="581"/>
      <c r="AX24" s="581"/>
      <c r="AY24" s="581"/>
      <c r="AZ24" s="581"/>
      <c r="BA24" s="581"/>
      <c r="BB24" s="581"/>
      <c r="BC24" s="581"/>
      <c r="BD24" s="581"/>
      <c r="BE24" s="581"/>
      <c r="BF24" s="581"/>
      <c r="BG24" s="581"/>
      <c r="BH24" s="581"/>
      <c r="BI24" s="582">
        <f t="shared" si="8"/>
        <v>0</v>
      </c>
      <c r="BJ24" s="582">
        <f t="shared" si="8"/>
        <v>0</v>
      </c>
      <c r="BK24" s="582">
        <f t="shared" si="8"/>
        <v>0</v>
      </c>
      <c r="BL24" s="582">
        <f t="shared" si="8"/>
        <v>0</v>
      </c>
    </row>
    <row r="25" spans="1:64" ht="15.75" customHeight="1">
      <c r="A25" s="69"/>
      <c r="B25" s="244" t="s">
        <v>157</v>
      </c>
      <c r="C25" s="239"/>
      <c r="D25" s="583" t="s">
        <v>66</v>
      </c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1"/>
      <c r="AI25" s="581"/>
      <c r="AJ25" s="581"/>
      <c r="AK25" s="581"/>
      <c r="AL25" s="581"/>
      <c r="AM25" s="581"/>
      <c r="AN25" s="581"/>
      <c r="AO25" s="581"/>
      <c r="AP25" s="581"/>
      <c r="AQ25" s="581"/>
      <c r="AR25" s="581"/>
      <c r="AS25" s="581"/>
      <c r="AT25" s="581"/>
      <c r="AU25" s="581"/>
      <c r="AV25" s="581"/>
      <c r="AW25" s="581"/>
      <c r="AX25" s="581"/>
      <c r="AY25" s="581"/>
      <c r="AZ25" s="581"/>
      <c r="BA25" s="581"/>
      <c r="BB25" s="581"/>
      <c r="BC25" s="581"/>
      <c r="BD25" s="581"/>
      <c r="BE25" s="581"/>
      <c r="BF25" s="581"/>
      <c r="BG25" s="581"/>
      <c r="BH25" s="581"/>
      <c r="BI25" s="582">
        <f t="shared" si="8"/>
        <v>0</v>
      </c>
      <c r="BJ25" s="582">
        <f t="shared" si="8"/>
        <v>0</v>
      </c>
      <c r="BK25" s="582">
        <f t="shared" si="8"/>
        <v>0</v>
      </c>
      <c r="BL25" s="582">
        <f t="shared" si="8"/>
        <v>0</v>
      </c>
    </row>
    <row r="26" spans="1:64" ht="15.75" customHeight="1">
      <c r="A26" s="69"/>
      <c r="B26" s="244" t="s">
        <v>158</v>
      </c>
      <c r="C26" s="239">
        <v>813000</v>
      </c>
      <c r="D26" s="583" t="s">
        <v>67</v>
      </c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581"/>
      <c r="AG26" s="581"/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/>
      <c r="AY26" s="581"/>
      <c r="AZ26" s="581"/>
      <c r="BA26" s="581"/>
      <c r="BB26" s="581"/>
      <c r="BC26" s="581"/>
      <c r="BD26" s="581"/>
      <c r="BE26" s="581"/>
      <c r="BF26" s="581"/>
      <c r="BG26" s="581"/>
      <c r="BH26" s="581"/>
      <c r="BI26" s="582">
        <f t="shared" si="8"/>
        <v>0</v>
      </c>
      <c r="BJ26" s="582">
        <f t="shared" si="8"/>
        <v>0</v>
      </c>
      <c r="BK26" s="582">
        <f t="shared" si="8"/>
        <v>0</v>
      </c>
      <c r="BL26" s="582">
        <f t="shared" si="8"/>
        <v>0</v>
      </c>
    </row>
    <row r="27" spans="1:64" ht="15.75" customHeight="1">
      <c r="A27" s="69"/>
      <c r="B27" s="244" t="s">
        <v>159</v>
      </c>
      <c r="C27" s="239"/>
      <c r="D27" s="583" t="s">
        <v>160</v>
      </c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1"/>
      <c r="AK27" s="581"/>
      <c r="AL27" s="581"/>
      <c r="AM27" s="581"/>
      <c r="AN27" s="581"/>
      <c r="AO27" s="581"/>
      <c r="AP27" s="581"/>
      <c r="AQ27" s="581"/>
      <c r="AR27" s="581"/>
      <c r="AS27" s="581"/>
      <c r="AT27" s="581"/>
      <c r="AU27" s="581"/>
      <c r="AV27" s="581"/>
      <c r="AW27" s="581"/>
      <c r="AX27" s="581"/>
      <c r="AY27" s="581"/>
      <c r="AZ27" s="581"/>
      <c r="BA27" s="581"/>
      <c r="BB27" s="581"/>
      <c r="BC27" s="581"/>
      <c r="BD27" s="581"/>
      <c r="BE27" s="581"/>
      <c r="BF27" s="581"/>
      <c r="BG27" s="581"/>
      <c r="BH27" s="581"/>
      <c r="BI27" s="582">
        <f t="shared" si="8"/>
        <v>0</v>
      </c>
      <c r="BJ27" s="582">
        <f t="shared" si="8"/>
        <v>0</v>
      </c>
      <c r="BK27" s="582">
        <f t="shared" si="8"/>
        <v>0</v>
      </c>
      <c r="BL27" s="582">
        <f t="shared" si="8"/>
        <v>0</v>
      </c>
    </row>
    <row r="28" spans="1:64" ht="15.75" customHeight="1">
      <c r="A28" s="69"/>
      <c r="B28" s="250"/>
      <c r="C28" s="239"/>
      <c r="D28" s="252" t="s">
        <v>161</v>
      </c>
      <c r="E28" s="589">
        <f>SUM(E23:E27)</f>
        <v>0</v>
      </c>
      <c r="F28" s="589">
        <f>SUM(F23:F27)</f>
        <v>0</v>
      </c>
      <c r="G28" s="589">
        <f>SUM(G23:G27)</f>
        <v>0</v>
      </c>
      <c r="H28" s="589">
        <f>SUM(H23:H27)</f>
        <v>0</v>
      </c>
      <c r="I28" s="589"/>
      <c r="J28" s="589"/>
      <c r="K28" s="589"/>
      <c r="L28" s="589"/>
      <c r="M28" s="589"/>
      <c r="N28" s="589"/>
      <c r="O28" s="589"/>
      <c r="P28" s="589"/>
      <c r="Q28" s="589">
        <f aca="true" t="shared" si="9" ref="Q28:W28">SUM(Q23:Q27)</f>
        <v>0</v>
      </c>
      <c r="R28" s="589">
        <f t="shared" si="9"/>
        <v>0</v>
      </c>
      <c r="S28" s="589">
        <f t="shared" si="9"/>
        <v>0</v>
      </c>
      <c r="T28" s="589">
        <f t="shared" si="9"/>
        <v>0</v>
      </c>
      <c r="U28" s="589">
        <f t="shared" si="9"/>
        <v>0</v>
      </c>
      <c r="V28" s="589">
        <f t="shared" si="9"/>
        <v>0</v>
      </c>
      <c r="W28" s="589">
        <f t="shared" si="9"/>
        <v>0</v>
      </c>
      <c r="X28" s="589">
        <v>0</v>
      </c>
      <c r="Y28" s="589">
        <f aca="true" t="shared" si="10" ref="Y28:BL28">SUM(Y23:Y27)</f>
        <v>0</v>
      </c>
      <c r="Z28" s="589">
        <f t="shared" si="10"/>
        <v>0</v>
      </c>
      <c r="AA28" s="589">
        <f t="shared" si="10"/>
        <v>0</v>
      </c>
      <c r="AB28" s="589">
        <f t="shared" si="10"/>
        <v>0</v>
      </c>
      <c r="AC28" s="589">
        <f t="shared" si="10"/>
        <v>0</v>
      </c>
      <c r="AD28" s="589">
        <f t="shared" si="10"/>
        <v>0</v>
      </c>
      <c r="AE28" s="589">
        <f t="shared" si="10"/>
        <v>0</v>
      </c>
      <c r="AF28" s="589">
        <f t="shared" si="10"/>
        <v>0</v>
      </c>
      <c r="AG28" s="589">
        <f t="shared" si="10"/>
        <v>0</v>
      </c>
      <c r="AH28" s="589">
        <f t="shared" si="10"/>
        <v>0</v>
      </c>
      <c r="AI28" s="589">
        <f t="shared" si="10"/>
        <v>0</v>
      </c>
      <c r="AJ28" s="589">
        <f t="shared" si="10"/>
        <v>0</v>
      </c>
      <c r="AK28" s="589">
        <f t="shared" si="10"/>
        <v>0</v>
      </c>
      <c r="AL28" s="589">
        <f t="shared" si="10"/>
        <v>0</v>
      </c>
      <c r="AM28" s="589">
        <f t="shared" si="10"/>
        <v>0</v>
      </c>
      <c r="AN28" s="589">
        <f t="shared" si="10"/>
        <v>0</v>
      </c>
      <c r="AO28" s="589">
        <f t="shared" si="10"/>
        <v>0</v>
      </c>
      <c r="AP28" s="589">
        <f t="shared" si="10"/>
        <v>0</v>
      </c>
      <c r="AQ28" s="589">
        <f t="shared" si="10"/>
        <v>0</v>
      </c>
      <c r="AR28" s="589">
        <f t="shared" si="10"/>
        <v>0</v>
      </c>
      <c r="AS28" s="589">
        <f t="shared" si="10"/>
        <v>0</v>
      </c>
      <c r="AT28" s="589">
        <f t="shared" si="10"/>
        <v>0</v>
      </c>
      <c r="AU28" s="589">
        <f t="shared" si="10"/>
        <v>0</v>
      </c>
      <c r="AV28" s="589">
        <f t="shared" si="10"/>
        <v>0</v>
      </c>
      <c r="AW28" s="589">
        <f t="shared" si="10"/>
        <v>0</v>
      </c>
      <c r="AX28" s="589">
        <f t="shared" si="10"/>
        <v>0</v>
      </c>
      <c r="AY28" s="589">
        <f t="shared" si="10"/>
        <v>0</v>
      </c>
      <c r="AZ28" s="589">
        <f t="shared" si="10"/>
        <v>0</v>
      </c>
      <c r="BA28" s="589">
        <f t="shared" si="10"/>
        <v>0</v>
      </c>
      <c r="BB28" s="589">
        <f t="shared" si="10"/>
        <v>0</v>
      </c>
      <c r="BC28" s="589">
        <f t="shared" si="10"/>
        <v>0</v>
      </c>
      <c r="BD28" s="589">
        <f t="shared" si="10"/>
        <v>0</v>
      </c>
      <c r="BE28" s="589">
        <f t="shared" si="10"/>
        <v>0</v>
      </c>
      <c r="BF28" s="589">
        <f t="shared" si="10"/>
        <v>0</v>
      </c>
      <c r="BG28" s="589">
        <f t="shared" si="10"/>
        <v>0</v>
      </c>
      <c r="BH28" s="589">
        <f t="shared" si="10"/>
        <v>0</v>
      </c>
      <c r="BI28" s="589">
        <f t="shared" si="10"/>
        <v>0</v>
      </c>
      <c r="BJ28" s="589">
        <f t="shared" si="10"/>
        <v>0</v>
      </c>
      <c r="BK28" s="589">
        <f t="shared" si="10"/>
        <v>0</v>
      </c>
      <c r="BL28" s="589">
        <f t="shared" si="10"/>
        <v>0</v>
      </c>
    </row>
    <row r="29" spans="1:73" ht="15.75" customHeight="1">
      <c r="A29" s="136" t="s">
        <v>162</v>
      </c>
      <c r="B29" s="108"/>
      <c r="C29" s="249"/>
      <c r="D29" s="110" t="s">
        <v>163</v>
      </c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1"/>
      <c r="AF29" s="581"/>
      <c r="AG29" s="581"/>
      <c r="AH29" s="581"/>
      <c r="AI29" s="581"/>
      <c r="AJ29" s="581"/>
      <c r="AK29" s="581"/>
      <c r="AL29" s="581"/>
      <c r="AM29" s="581"/>
      <c r="AN29" s="581"/>
      <c r="AO29" s="581"/>
      <c r="AP29" s="581"/>
      <c r="AQ29" s="581"/>
      <c r="AR29" s="581"/>
      <c r="AS29" s="581"/>
      <c r="AT29" s="581"/>
      <c r="AU29" s="581"/>
      <c r="AV29" s="581"/>
      <c r="AW29" s="581"/>
      <c r="AX29" s="581"/>
      <c r="AY29" s="581"/>
      <c r="AZ29" s="581"/>
      <c r="BA29" s="581"/>
      <c r="BB29" s="581"/>
      <c r="BC29" s="581"/>
      <c r="BD29" s="581"/>
      <c r="BE29" s="581"/>
      <c r="BF29" s="581"/>
      <c r="BG29" s="581"/>
      <c r="BH29" s="581"/>
      <c r="BI29" s="582"/>
      <c r="BJ29" s="582"/>
      <c r="BK29" s="582"/>
      <c r="BL29" s="582"/>
      <c r="BM29" s="1"/>
      <c r="BN29" s="1"/>
      <c r="BO29" s="1"/>
      <c r="BP29" s="1"/>
      <c r="BQ29" s="1"/>
      <c r="BR29" s="1"/>
      <c r="BS29" s="1"/>
      <c r="BT29" s="1"/>
      <c r="BU29" s="1"/>
    </row>
    <row r="30" spans="1:64" ht="15.75" customHeight="1">
      <c r="A30" s="136"/>
      <c r="B30" s="244" t="s">
        <v>963</v>
      </c>
      <c r="C30" s="249"/>
      <c r="D30" s="239" t="s">
        <v>964</v>
      </c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581"/>
      <c r="AS30" s="581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1"/>
      <c r="BE30" s="581"/>
      <c r="BF30" s="581"/>
      <c r="BG30" s="581"/>
      <c r="BH30" s="581"/>
      <c r="BI30" s="582">
        <f aca="true" t="shared" si="11" ref="BI30:BL34">SUM(E30:BE30)</f>
        <v>0</v>
      </c>
      <c r="BJ30" s="582">
        <f t="shared" si="11"/>
        <v>0</v>
      </c>
      <c r="BK30" s="582">
        <f t="shared" si="11"/>
        <v>0</v>
      </c>
      <c r="BL30" s="582">
        <f t="shared" si="11"/>
        <v>0</v>
      </c>
    </row>
    <row r="31" spans="1:64" ht="15.75" customHeight="1">
      <c r="A31" s="69"/>
      <c r="B31" s="244" t="s">
        <v>164</v>
      </c>
      <c r="C31" s="239"/>
      <c r="D31" s="583" t="s">
        <v>68</v>
      </c>
      <c r="E31" s="581"/>
      <c r="F31" s="581"/>
      <c r="G31" s="581"/>
      <c r="H31" s="581"/>
      <c r="I31" s="581"/>
      <c r="J31" s="581"/>
      <c r="K31" s="581"/>
      <c r="L31" s="581"/>
      <c r="M31" s="585"/>
      <c r="N31" s="585"/>
      <c r="O31" s="585"/>
      <c r="P31" s="585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581"/>
      <c r="AL31" s="581"/>
      <c r="AM31" s="581"/>
      <c r="AN31" s="581"/>
      <c r="AO31" s="581"/>
      <c r="AP31" s="581"/>
      <c r="AQ31" s="581"/>
      <c r="AR31" s="581"/>
      <c r="AS31" s="581"/>
      <c r="AT31" s="581"/>
      <c r="AU31" s="581"/>
      <c r="AV31" s="581"/>
      <c r="AW31" s="581"/>
      <c r="AX31" s="581"/>
      <c r="AY31" s="581"/>
      <c r="AZ31" s="581"/>
      <c r="BA31" s="581"/>
      <c r="BB31" s="581"/>
      <c r="BC31" s="581"/>
      <c r="BD31" s="581"/>
      <c r="BE31" s="581"/>
      <c r="BF31" s="581"/>
      <c r="BG31" s="581"/>
      <c r="BH31" s="581"/>
      <c r="BI31" s="582">
        <f t="shared" si="11"/>
        <v>0</v>
      </c>
      <c r="BJ31" s="582">
        <f t="shared" si="11"/>
        <v>0</v>
      </c>
      <c r="BK31" s="582">
        <f t="shared" si="11"/>
        <v>0</v>
      </c>
      <c r="BL31" s="582">
        <f t="shared" si="11"/>
        <v>0</v>
      </c>
    </row>
    <row r="32" spans="1:64" ht="15.75" customHeight="1">
      <c r="A32" s="69"/>
      <c r="B32" s="244" t="s">
        <v>341</v>
      </c>
      <c r="C32" s="239"/>
      <c r="D32" s="583" t="s">
        <v>342</v>
      </c>
      <c r="E32" s="581"/>
      <c r="F32" s="581"/>
      <c r="G32" s="581"/>
      <c r="H32" s="581"/>
      <c r="I32" s="581"/>
      <c r="J32" s="581"/>
      <c r="K32" s="581"/>
      <c r="L32" s="581"/>
      <c r="M32" s="585"/>
      <c r="N32" s="585"/>
      <c r="O32" s="585"/>
      <c r="P32" s="585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581"/>
      <c r="AG32" s="581"/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1"/>
      <c r="BA32" s="581"/>
      <c r="BB32" s="581"/>
      <c r="BC32" s="581"/>
      <c r="BD32" s="581"/>
      <c r="BE32" s="581"/>
      <c r="BF32" s="581"/>
      <c r="BG32" s="581"/>
      <c r="BH32" s="581"/>
      <c r="BI32" s="582">
        <f t="shared" si="11"/>
        <v>0</v>
      </c>
      <c r="BJ32" s="582">
        <f t="shared" si="11"/>
        <v>0</v>
      </c>
      <c r="BK32" s="582">
        <f t="shared" si="11"/>
        <v>0</v>
      </c>
      <c r="BL32" s="582">
        <f t="shared" si="11"/>
        <v>0</v>
      </c>
    </row>
    <row r="33" spans="1:64" ht="15.75" customHeight="1">
      <c r="A33" s="69"/>
      <c r="B33" s="244" t="s">
        <v>965</v>
      </c>
      <c r="C33" s="239"/>
      <c r="D33" s="583" t="s">
        <v>966</v>
      </c>
      <c r="E33" s="581"/>
      <c r="F33" s="581"/>
      <c r="G33" s="581"/>
      <c r="H33" s="581"/>
      <c r="I33" s="581"/>
      <c r="J33" s="581"/>
      <c r="K33" s="581"/>
      <c r="L33" s="581"/>
      <c r="M33" s="585"/>
      <c r="N33" s="585"/>
      <c r="O33" s="585"/>
      <c r="P33" s="585"/>
      <c r="Q33" s="581"/>
      <c r="R33" s="581"/>
      <c r="S33" s="581"/>
      <c r="T33" s="581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1"/>
      <c r="AF33" s="581"/>
      <c r="AG33" s="581"/>
      <c r="AH33" s="581"/>
      <c r="AI33" s="581"/>
      <c r="AJ33" s="581"/>
      <c r="AK33" s="581"/>
      <c r="AL33" s="581"/>
      <c r="AM33" s="581"/>
      <c r="AN33" s="581"/>
      <c r="AO33" s="581"/>
      <c r="AP33" s="581"/>
      <c r="AQ33" s="581"/>
      <c r="AR33" s="581"/>
      <c r="AS33" s="581"/>
      <c r="AT33" s="581"/>
      <c r="AU33" s="581"/>
      <c r="AV33" s="581"/>
      <c r="AW33" s="581"/>
      <c r="AX33" s="581"/>
      <c r="AY33" s="581"/>
      <c r="AZ33" s="581"/>
      <c r="BA33" s="581"/>
      <c r="BB33" s="581"/>
      <c r="BC33" s="581"/>
      <c r="BD33" s="581"/>
      <c r="BE33" s="581"/>
      <c r="BF33" s="581"/>
      <c r="BG33" s="581"/>
      <c r="BH33" s="581"/>
      <c r="BI33" s="582">
        <f t="shared" si="11"/>
        <v>0</v>
      </c>
      <c r="BJ33" s="582">
        <f t="shared" si="11"/>
        <v>0</v>
      </c>
      <c r="BK33" s="582">
        <f t="shared" si="11"/>
        <v>0</v>
      </c>
      <c r="BL33" s="582">
        <f t="shared" si="11"/>
        <v>0</v>
      </c>
    </row>
    <row r="34" spans="1:64" ht="15.75" customHeight="1">
      <c r="A34" s="69"/>
      <c r="B34" s="244" t="s">
        <v>967</v>
      </c>
      <c r="C34" s="239"/>
      <c r="D34" s="583" t="s">
        <v>968</v>
      </c>
      <c r="E34" s="581"/>
      <c r="F34" s="581"/>
      <c r="G34" s="581"/>
      <c r="H34" s="581"/>
      <c r="I34" s="581"/>
      <c r="J34" s="581"/>
      <c r="K34" s="581"/>
      <c r="L34" s="581"/>
      <c r="M34" s="585"/>
      <c r="N34" s="585"/>
      <c r="O34" s="585"/>
      <c r="P34" s="585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1"/>
      <c r="BF34" s="581"/>
      <c r="BG34" s="581"/>
      <c r="BH34" s="581"/>
      <c r="BI34" s="582">
        <f t="shared" si="11"/>
        <v>0</v>
      </c>
      <c r="BJ34" s="582">
        <f t="shared" si="11"/>
        <v>0</v>
      </c>
      <c r="BK34" s="582">
        <f t="shared" si="11"/>
        <v>0</v>
      </c>
      <c r="BL34" s="582">
        <f t="shared" si="11"/>
        <v>0</v>
      </c>
    </row>
    <row r="35" spans="1:64" ht="15.75" customHeight="1">
      <c r="A35" s="69"/>
      <c r="B35" s="250"/>
      <c r="C35" s="239"/>
      <c r="D35" s="252" t="s">
        <v>165</v>
      </c>
      <c r="E35" s="589">
        <f>SUM(E30:E34)</f>
        <v>0</v>
      </c>
      <c r="F35" s="589">
        <f>SUM(F30:F34)</f>
        <v>0</v>
      </c>
      <c r="G35" s="589">
        <f>SUM(G30:G34)</f>
        <v>0</v>
      </c>
      <c r="H35" s="589">
        <f>SUM(H30:H34)</f>
        <v>0</v>
      </c>
      <c r="I35" s="589"/>
      <c r="J35" s="589"/>
      <c r="K35" s="589"/>
      <c r="L35" s="589"/>
      <c r="M35" s="589">
        <f>SUM(M30:M34)</f>
        <v>0</v>
      </c>
      <c r="N35" s="589"/>
      <c r="O35" s="589"/>
      <c r="P35" s="589"/>
      <c r="Q35" s="589">
        <f aca="true" t="shared" si="12" ref="Q35:BK35">SUM(Q30:Q34)</f>
        <v>0</v>
      </c>
      <c r="R35" s="589">
        <f t="shared" si="12"/>
        <v>0</v>
      </c>
      <c r="S35" s="589">
        <f t="shared" si="12"/>
        <v>0</v>
      </c>
      <c r="T35" s="589">
        <f>SUM(T30:T34)</f>
        <v>0</v>
      </c>
      <c r="U35" s="589">
        <f t="shared" si="12"/>
        <v>0</v>
      </c>
      <c r="V35" s="589">
        <f t="shared" si="12"/>
        <v>0</v>
      </c>
      <c r="W35" s="589">
        <f t="shared" si="12"/>
        <v>0</v>
      </c>
      <c r="X35" s="589">
        <v>0</v>
      </c>
      <c r="Y35" s="589">
        <f t="shared" si="12"/>
        <v>0</v>
      </c>
      <c r="Z35" s="589">
        <f t="shared" si="12"/>
        <v>0</v>
      </c>
      <c r="AA35" s="589">
        <f t="shared" si="12"/>
        <v>0</v>
      </c>
      <c r="AB35" s="589">
        <f>SUM(AB30:AB34)</f>
        <v>0</v>
      </c>
      <c r="AC35" s="589">
        <f t="shared" si="12"/>
        <v>0</v>
      </c>
      <c r="AD35" s="589">
        <f t="shared" si="12"/>
        <v>0</v>
      </c>
      <c r="AE35" s="589">
        <f t="shared" si="12"/>
        <v>0</v>
      </c>
      <c r="AF35" s="589">
        <f>SUM(AF30:AF34)</f>
        <v>0</v>
      </c>
      <c r="AG35" s="589">
        <f t="shared" si="12"/>
        <v>0</v>
      </c>
      <c r="AH35" s="589">
        <f t="shared" si="12"/>
        <v>0</v>
      </c>
      <c r="AI35" s="589">
        <f t="shared" si="12"/>
        <v>0</v>
      </c>
      <c r="AJ35" s="589">
        <f>SUM(AJ30:AJ34)</f>
        <v>0</v>
      </c>
      <c r="AK35" s="589">
        <f t="shared" si="12"/>
        <v>0</v>
      </c>
      <c r="AL35" s="589">
        <f t="shared" si="12"/>
        <v>0</v>
      </c>
      <c r="AM35" s="589">
        <f t="shared" si="12"/>
        <v>0</v>
      </c>
      <c r="AN35" s="589">
        <f>SUM(AN30:AN34)</f>
        <v>0</v>
      </c>
      <c r="AO35" s="589">
        <f t="shared" si="12"/>
        <v>0</v>
      </c>
      <c r="AP35" s="589">
        <f t="shared" si="12"/>
        <v>0</v>
      </c>
      <c r="AQ35" s="589">
        <f t="shared" si="12"/>
        <v>0</v>
      </c>
      <c r="AR35" s="589">
        <f>SUM(AR30:AR34)</f>
        <v>0</v>
      </c>
      <c r="AS35" s="589">
        <f t="shared" si="12"/>
        <v>0</v>
      </c>
      <c r="AT35" s="589">
        <f t="shared" si="12"/>
        <v>0</v>
      </c>
      <c r="AU35" s="589">
        <f t="shared" si="12"/>
        <v>0</v>
      </c>
      <c r="AV35" s="589">
        <f>SUM(AV30:AV34)</f>
        <v>0</v>
      </c>
      <c r="AW35" s="589">
        <f t="shared" si="12"/>
        <v>0</v>
      </c>
      <c r="AX35" s="589">
        <f t="shared" si="12"/>
        <v>0</v>
      </c>
      <c r="AY35" s="589">
        <f t="shared" si="12"/>
        <v>0</v>
      </c>
      <c r="AZ35" s="589">
        <f>SUM(AZ30:AZ34)</f>
        <v>0</v>
      </c>
      <c r="BA35" s="589">
        <f>SUM(BA30:BA34)</f>
        <v>0</v>
      </c>
      <c r="BB35" s="589">
        <f>SUM(BB30:BB34)</f>
        <v>0</v>
      </c>
      <c r="BC35" s="589">
        <f>SUM(BC30:BC34)</f>
        <v>0</v>
      </c>
      <c r="BD35" s="589">
        <f>SUM(BD30:BD34)</f>
        <v>0</v>
      </c>
      <c r="BE35" s="589">
        <f t="shared" si="12"/>
        <v>0</v>
      </c>
      <c r="BF35" s="589">
        <f t="shared" si="12"/>
        <v>0</v>
      </c>
      <c r="BG35" s="589">
        <f t="shared" si="12"/>
        <v>0</v>
      </c>
      <c r="BH35" s="589">
        <f>SUM(BH30:BH34)</f>
        <v>0</v>
      </c>
      <c r="BI35" s="589">
        <f t="shared" si="12"/>
        <v>0</v>
      </c>
      <c r="BJ35" s="589">
        <f t="shared" si="12"/>
        <v>0</v>
      </c>
      <c r="BK35" s="589">
        <f t="shared" si="12"/>
        <v>0</v>
      </c>
      <c r="BL35" s="589">
        <f>SUM(BL30:BL34)</f>
        <v>0</v>
      </c>
    </row>
    <row r="36" spans="1:64" ht="15.75" customHeight="1">
      <c r="A36" s="136" t="s">
        <v>166</v>
      </c>
      <c r="B36" s="108"/>
      <c r="C36" s="249"/>
      <c r="D36" s="110" t="s">
        <v>167</v>
      </c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1"/>
      <c r="AI36" s="581"/>
      <c r="AJ36" s="581"/>
      <c r="AK36" s="581"/>
      <c r="AL36" s="581"/>
      <c r="AM36" s="581"/>
      <c r="AN36" s="581"/>
      <c r="AO36" s="581"/>
      <c r="AP36" s="581"/>
      <c r="AQ36" s="581"/>
      <c r="AR36" s="581"/>
      <c r="AS36" s="581"/>
      <c r="AT36" s="581"/>
      <c r="AU36" s="581"/>
      <c r="AV36" s="581"/>
      <c r="AW36" s="581"/>
      <c r="AX36" s="581"/>
      <c r="AY36" s="581"/>
      <c r="AZ36" s="581"/>
      <c r="BA36" s="581"/>
      <c r="BB36" s="581"/>
      <c r="BC36" s="581"/>
      <c r="BD36" s="581"/>
      <c r="BE36" s="581"/>
      <c r="BF36" s="581"/>
      <c r="BG36" s="581"/>
      <c r="BH36" s="581"/>
      <c r="BI36" s="582"/>
      <c r="BJ36" s="582"/>
      <c r="BK36" s="582"/>
      <c r="BL36" s="582"/>
    </row>
    <row r="37" spans="1:64" ht="15.75" customHeight="1">
      <c r="A37" s="69"/>
      <c r="B37" s="244" t="s">
        <v>969</v>
      </c>
      <c r="C37" s="239">
        <v>931102</v>
      </c>
      <c r="D37" s="583" t="s">
        <v>970</v>
      </c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1"/>
      <c r="S37" s="581"/>
      <c r="T37" s="581"/>
      <c r="U37" s="581"/>
      <c r="V37" s="581"/>
      <c r="W37" s="581"/>
      <c r="X37" s="581"/>
      <c r="Y37" s="581"/>
      <c r="Z37" s="581"/>
      <c r="AA37" s="581"/>
      <c r="AB37" s="581"/>
      <c r="AC37" s="581"/>
      <c r="AD37" s="581"/>
      <c r="AE37" s="581"/>
      <c r="AF37" s="581"/>
      <c r="AG37" s="581"/>
      <c r="AH37" s="581"/>
      <c r="AI37" s="581"/>
      <c r="AJ37" s="581"/>
      <c r="AK37" s="581"/>
      <c r="AL37" s="581"/>
      <c r="AM37" s="581"/>
      <c r="AN37" s="581"/>
      <c r="AO37" s="581"/>
      <c r="AP37" s="581"/>
      <c r="AQ37" s="581"/>
      <c r="AR37" s="581"/>
      <c r="AS37" s="581"/>
      <c r="AT37" s="581"/>
      <c r="AU37" s="581"/>
      <c r="AV37" s="581"/>
      <c r="AW37" s="581"/>
      <c r="AX37" s="581"/>
      <c r="AY37" s="581"/>
      <c r="AZ37" s="581"/>
      <c r="BA37" s="581"/>
      <c r="BB37" s="581"/>
      <c r="BC37" s="581"/>
      <c r="BD37" s="581"/>
      <c r="BE37" s="581"/>
      <c r="BF37" s="581"/>
      <c r="BG37" s="581"/>
      <c r="BH37" s="581"/>
      <c r="BI37" s="582">
        <f aca="true" t="shared" si="13" ref="BI37:BL39">SUM(E37:BE37)</f>
        <v>0</v>
      </c>
      <c r="BJ37" s="582">
        <f t="shared" si="13"/>
        <v>0</v>
      </c>
      <c r="BK37" s="582">
        <f t="shared" si="13"/>
        <v>0</v>
      </c>
      <c r="BL37" s="582">
        <f t="shared" si="13"/>
        <v>0</v>
      </c>
    </row>
    <row r="38" spans="1:64" ht="15.75" customHeight="1">
      <c r="A38" s="69"/>
      <c r="B38" s="244" t="s">
        <v>971</v>
      </c>
      <c r="C38" s="239">
        <v>910110</v>
      </c>
      <c r="D38" s="583" t="s">
        <v>972</v>
      </c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1"/>
      <c r="T38" s="581"/>
      <c r="U38" s="581"/>
      <c r="V38" s="581"/>
      <c r="W38" s="581"/>
      <c r="X38" s="581"/>
      <c r="Y38" s="581"/>
      <c r="Z38" s="581"/>
      <c r="AA38" s="581"/>
      <c r="AB38" s="581"/>
      <c r="AC38" s="581"/>
      <c r="AD38" s="581"/>
      <c r="AE38" s="581"/>
      <c r="AF38" s="581"/>
      <c r="AG38" s="581"/>
      <c r="AH38" s="581"/>
      <c r="AI38" s="581"/>
      <c r="AJ38" s="581"/>
      <c r="AK38" s="581"/>
      <c r="AL38" s="581"/>
      <c r="AM38" s="581"/>
      <c r="AN38" s="581"/>
      <c r="AO38" s="581"/>
      <c r="AP38" s="581"/>
      <c r="AQ38" s="581"/>
      <c r="AR38" s="581"/>
      <c r="AS38" s="581"/>
      <c r="AT38" s="581"/>
      <c r="AU38" s="581"/>
      <c r="AV38" s="581"/>
      <c r="AW38" s="581"/>
      <c r="AX38" s="581"/>
      <c r="AY38" s="581"/>
      <c r="AZ38" s="581"/>
      <c r="BA38" s="581"/>
      <c r="BB38" s="581"/>
      <c r="BC38" s="581"/>
      <c r="BD38" s="581"/>
      <c r="BE38" s="581"/>
      <c r="BF38" s="581"/>
      <c r="BG38" s="581"/>
      <c r="BH38" s="581"/>
      <c r="BI38" s="582">
        <f t="shared" si="13"/>
        <v>0</v>
      </c>
      <c r="BJ38" s="582">
        <f t="shared" si="13"/>
        <v>0</v>
      </c>
      <c r="BK38" s="582">
        <f t="shared" si="13"/>
        <v>0</v>
      </c>
      <c r="BL38" s="582">
        <f t="shared" si="13"/>
        <v>0</v>
      </c>
    </row>
    <row r="39" spans="1:64" ht="15.75" customHeight="1">
      <c r="A39" s="112"/>
      <c r="B39" s="244" t="s">
        <v>463</v>
      </c>
      <c r="C39" s="239">
        <v>932918</v>
      </c>
      <c r="D39" s="239" t="s">
        <v>973</v>
      </c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585"/>
      <c r="Q39" s="585"/>
      <c r="R39" s="585"/>
      <c r="S39" s="585"/>
      <c r="T39" s="585"/>
      <c r="U39" s="586"/>
      <c r="V39" s="586"/>
      <c r="W39" s="586"/>
      <c r="X39" s="586"/>
      <c r="Y39" s="586"/>
      <c r="Z39" s="586"/>
      <c r="AA39" s="586"/>
      <c r="AB39" s="586"/>
      <c r="AC39" s="586"/>
      <c r="AD39" s="586"/>
      <c r="AE39" s="586"/>
      <c r="AF39" s="586"/>
      <c r="AG39" s="585"/>
      <c r="AH39" s="585"/>
      <c r="AI39" s="585"/>
      <c r="AJ39" s="585"/>
      <c r="AK39" s="585"/>
      <c r="AL39" s="585"/>
      <c r="AM39" s="585"/>
      <c r="AN39" s="585"/>
      <c r="AO39" s="585"/>
      <c r="AP39" s="585"/>
      <c r="AQ39" s="585"/>
      <c r="AR39" s="585"/>
      <c r="AS39" s="585"/>
      <c r="AT39" s="585"/>
      <c r="AU39" s="585"/>
      <c r="AV39" s="585"/>
      <c r="AW39" s="586"/>
      <c r="AX39" s="586"/>
      <c r="AY39" s="586"/>
      <c r="AZ39" s="586"/>
      <c r="BA39" s="586"/>
      <c r="BB39" s="586"/>
      <c r="BC39" s="586"/>
      <c r="BD39" s="586"/>
      <c r="BE39" s="586"/>
      <c r="BF39" s="586"/>
      <c r="BG39" s="586"/>
      <c r="BH39" s="586"/>
      <c r="BI39" s="582">
        <f t="shared" si="13"/>
        <v>0</v>
      </c>
      <c r="BJ39" s="582">
        <f t="shared" si="13"/>
        <v>0</v>
      </c>
      <c r="BK39" s="582">
        <f t="shared" si="13"/>
        <v>0</v>
      </c>
      <c r="BL39" s="582">
        <f t="shared" si="13"/>
        <v>0</v>
      </c>
    </row>
    <row r="40" spans="1:64" ht="15.75" customHeight="1">
      <c r="A40" s="112"/>
      <c r="B40" s="250"/>
      <c r="C40" s="253"/>
      <c r="D40" s="240" t="s">
        <v>168</v>
      </c>
      <c r="E40" s="589">
        <f>SUM(E37:E39)</f>
        <v>0</v>
      </c>
      <c r="F40" s="589">
        <f>SUM(F37:F39)</f>
        <v>0</v>
      </c>
      <c r="G40" s="589">
        <f>SUM(G37:G39)</f>
        <v>0</v>
      </c>
      <c r="H40" s="589">
        <f>SUM(H37:H39)</f>
        <v>0</v>
      </c>
      <c r="I40" s="589"/>
      <c r="J40" s="589"/>
      <c r="K40" s="589"/>
      <c r="L40" s="589"/>
      <c r="M40" s="589">
        <f>SUM(M37:M39)</f>
        <v>0</v>
      </c>
      <c r="N40" s="589"/>
      <c r="O40" s="589"/>
      <c r="P40" s="589"/>
      <c r="Q40" s="589">
        <f aca="true" t="shared" si="14" ref="Q40:AQ40">SUM(Q37:Q39)</f>
        <v>0</v>
      </c>
      <c r="R40" s="589">
        <f t="shared" si="14"/>
        <v>0</v>
      </c>
      <c r="S40" s="589">
        <f t="shared" si="14"/>
        <v>0</v>
      </c>
      <c r="T40" s="589">
        <f>SUM(T37:T39)</f>
        <v>0</v>
      </c>
      <c r="U40" s="589">
        <f t="shared" si="14"/>
        <v>0</v>
      </c>
      <c r="V40" s="589">
        <f t="shared" si="14"/>
        <v>0</v>
      </c>
      <c r="W40" s="589">
        <f t="shared" si="14"/>
        <v>0</v>
      </c>
      <c r="X40" s="589">
        <v>0</v>
      </c>
      <c r="Y40" s="589">
        <f t="shared" si="14"/>
        <v>0</v>
      </c>
      <c r="Z40" s="589">
        <f t="shared" si="14"/>
        <v>0</v>
      </c>
      <c r="AA40" s="589">
        <f t="shared" si="14"/>
        <v>0</v>
      </c>
      <c r="AB40" s="589">
        <f>SUM(AB37:AB39)</f>
        <v>0</v>
      </c>
      <c r="AC40" s="589">
        <f t="shared" si="14"/>
        <v>0</v>
      </c>
      <c r="AD40" s="589">
        <f t="shared" si="14"/>
        <v>0</v>
      </c>
      <c r="AE40" s="589">
        <f t="shared" si="14"/>
        <v>0</v>
      </c>
      <c r="AF40" s="589">
        <f>SUM(AF37:AF39)</f>
        <v>0</v>
      </c>
      <c r="AG40" s="589">
        <f t="shared" si="14"/>
        <v>0</v>
      </c>
      <c r="AH40" s="589">
        <f t="shared" si="14"/>
        <v>0</v>
      </c>
      <c r="AI40" s="589">
        <f t="shared" si="14"/>
        <v>0</v>
      </c>
      <c r="AJ40" s="589">
        <f>SUM(AJ37:AJ39)</f>
        <v>0</v>
      </c>
      <c r="AK40" s="589">
        <f t="shared" si="14"/>
        <v>0</v>
      </c>
      <c r="AL40" s="589">
        <f t="shared" si="14"/>
        <v>0</v>
      </c>
      <c r="AM40" s="589">
        <f t="shared" si="14"/>
        <v>0</v>
      </c>
      <c r="AN40" s="589">
        <f>SUM(AN37:AN39)</f>
        <v>0</v>
      </c>
      <c r="AO40" s="589">
        <f t="shared" si="14"/>
        <v>0</v>
      </c>
      <c r="AP40" s="589">
        <f t="shared" si="14"/>
        <v>0</v>
      </c>
      <c r="AQ40" s="589">
        <f t="shared" si="14"/>
        <v>0</v>
      </c>
      <c r="AR40" s="589">
        <f>SUM(AR37:AR39)</f>
        <v>0</v>
      </c>
      <c r="AS40" s="589">
        <v>0</v>
      </c>
      <c r="AT40" s="589">
        <v>0</v>
      </c>
      <c r="AU40" s="589">
        <v>0</v>
      </c>
      <c r="AV40" s="589">
        <v>0</v>
      </c>
      <c r="AW40" s="589">
        <f aca="true" t="shared" si="15" ref="AW40:BL40">SUM(AW37:AW39)</f>
        <v>0</v>
      </c>
      <c r="AX40" s="589">
        <f t="shared" si="15"/>
        <v>0</v>
      </c>
      <c r="AY40" s="589">
        <f t="shared" si="15"/>
        <v>0</v>
      </c>
      <c r="AZ40" s="589">
        <f t="shared" si="15"/>
        <v>0</v>
      </c>
      <c r="BA40" s="589">
        <f t="shared" si="15"/>
        <v>0</v>
      </c>
      <c r="BB40" s="589">
        <f t="shared" si="15"/>
        <v>0</v>
      </c>
      <c r="BC40" s="589">
        <f t="shared" si="15"/>
        <v>0</v>
      </c>
      <c r="BD40" s="589">
        <f t="shared" si="15"/>
        <v>0</v>
      </c>
      <c r="BE40" s="589">
        <f t="shared" si="15"/>
        <v>0</v>
      </c>
      <c r="BF40" s="589">
        <f t="shared" si="15"/>
        <v>0</v>
      </c>
      <c r="BG40" s="589">
        <f t="shared" si="15"/>
        <v>0</v>
      </c>
      <c r="BH40" s="589">
        <f t="shared" si="15"/>
        <v>0</v>
      </c>
      <c r="BI40" s="589">
        <f t="shared" si="15"/>
        <v>0</v>
      </c>
      <c r="BJ40" s="589">
        <f t="shared" si="15"/>
        <v>0</v>
      </c>
      <c r="BK40" s="589">
        <f t="shared" si="15"/>
        <v>0</v>
      </c>
      <c r="BL40" s="589">
        <f t="shared" si="15"/>
        <v>0</v>
      </c>
    </row>
    <row r="41" spans="1:64" ht="15.75" customHeight="1">
      <c r="A41" s="136" t="s">
        <v>343</v>
      </c>
      <c r="B41" s="244"/>
      <c r="C41" s="254"/>
      <c r="D41" s="255" t="s">
        <v>344</v>
      </c>
      <c r="E41" s="590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0"/>
      <c r="U41" s="590"/>
      <c r="V41" s="590"/>
      <c r="W41" s="590"/>
      <c r="X41" s="590"/>
      <c r="Y41" s="590"/>
      <c r="Z41" s="590"/>
      <c r="AA41" s="590"/>
      <c r="AB41" s="590"/>
      <c r="AC41" s="590"/>
      <c r="AD41" s="590"/>
      <c r="AE41" s="590"/>
      <c r="AF41" s="590"/>
      <c r="AG41" s="590"/>
      <c r="AH41" s="590"/>
      <c r="AI41" s="590"/>
      <c r="AJ41" s="590"/>
      <c r="AK41" s="590"/>
      <c r="AL41" s="590"/>
      <c r="AM41" s="590"/>
      <c r="AN41" s="590"/>
      <c r="AO41" s="590"/>
      <c r="AP41" s="590"/>
      <c r="AQ41" s="590"/>
      <c r="AR41" s="590"/>
      <c r="AS41" s="590"/>
      <c r="AT41" s="590"/>
      <c r="AU41" s="590"/>
      <c r="AV41" s="590"/>
      <c r="AW41" s="590"/>
      <c r="AX41" s="590"/>
      <c r="AY41" s="590"/>
      <c r="AZ41" s="590"/>
      <c r="BA41" s="590"/>
      <c r="BB41" s="590"/>
      <c r="BC41" s="590"/>
      <c r="BD41" s="590"/>
      <c r="BE41" s="590"/>
      <c r="BF41" s="590"/>
      <c r="BG41" s="590"/>
      <c r="BH41" s="590"/>
      <c r="BI41" s="590"/>
      <c r="BJ41" s="590"/>
      <c r="BK41" s="590"/>
      <c r="BL41" s="590"/>
    </row>
    <row r="42" spans="1:64" ht="15.75" customHeight="1">
      <c r="A42" s="112"/>
      <c r="B42" s="244" t="s">
        <v>172</v>
      </c>
      <c r="C42" s="254"/>
      <c r="D42" s="241" t="s">
        <v>174</v>
      </c>
      <c r="E42" s="585"/>
      <c r="F42" s="585"/>
      <c r="G42" s="585"/>
      <c r="H42" s="585"/>
      <c r="I42" s="585"/>
      <c r="J42" s="585"/>
      <c r="K42" s="585"/>
      <c r="L42" s="585"/>
      <c r="M42" s="590"/>
      <c r="N42" s="590"/>
      <c r="O42" s="590"/>
      <c r="P42" s="590"/>
      <c r="Q42" s="590"/>
      <c r="R42" s="590"/>
      <c r="S42" s="590"/>
      <c r="T42" s="590"/>
      <c r="U42" s="590"/>
      <c r="V42" s="590"/>
      <c r="W42" s="590"/>
      <c r="X42" s="590"/>
      <c r="Y42" s="590"/>
      <c r="Z42" s="590"/>
      <c r="AA42" s="590"/>
      <c r="AB42" s="590"/>
      <c r="AC42" s="590"/>
      <c r="AD42" s="590"/>
      <c r="AE42" s="590"/>
      <c r="AF42" s="590"/>
      <c r="AG42" s="590"/>
      <c r="AH42" s="590"/>
      <c r="AI42" s="590"/>
      <c r="AJ42" s="590"/>
      <c r="AK42" s="590"/>
      <c r="AL42" s="590"/>
      <c r="AM42" s="590"/>
      <c r="AN42" s="590"/>
      <c r="AO42" s="590"/>
      <c r="AP42" s="590"/>
      <c r="AQ42" s="590"/>
      <c r="AR42" s="590"/>
      <c r="AS42" s="590"/>
      <c r="AT42" s="590"/>
      <c r="AU42" s="590"/>
      <c r="AV42" s="590"/>
      <c r="AW42" s="590"/>
      <c r="AX42" s="590"/>
      <c r="AY42" s="590"/>
      <c r="AZ42" s="590"/>
      <c r="BA42" s="590"/>
      <c r="BB42" s="590"/>
      <c r="BC42" s="590"/>
      <c r="BD42" s="590"/>
      <c r="BE42" s="590"/>
      <c r="BF42" s="590"/>
      <c r="BG42" s="590"/>
      <c r="BH42" s="590"/>
      <c r="BI42" s="582">
        <f aca="true" t="shared" si="16" ref="BI42:BL45">SUM(E42:BE42)</f>
        <v>0</v>
      </c>
      <c r="BJ42" s="582">
        <f t="shared" si="16"/>
        <v>0</v>
      </c>
      <c r="BK42" s="582">
        <f t="shared" si="16"/>
        <v>0</v>
      </c>
      <c r="BL42" s="582">
        <f t="shared" si="16"/>
        <v>0</v>
      </c>
    </row>
    <row r="43" spans="1:64" ht="15.75" customHeight="1">
      <c r="A43" s="112"/>
      <c r="B43" s="244" t="s">
        <v>173</v>
      </c>
      <c r="C43" s="254"/>
      <c r="D43" s="241" t="s">
        <v>174</v>
      </c>
      <c r="E43" s="585"/>
      <c r="F43" s="585" t="s">
        <v>974</v>
      </c>
      <c r="G43" s="585" t="s">
        <v>974</v>
      </c>
      <c r="H43" s="585" t="s">
        <v>974</v>
      </c>
      <c r="I43" s="585"/>
      <c r="J43" s="585"/>
      <c r="K43" s="585"/>
      <c r="L43" s="585"/>
      <c r="M43" s="590"/>
      <c r="N43" s="590"/>
      <c r="O43" s="590"/>
      <c r="P43" s="590"/>
      <c r="Q43" s="590"/>
      <c r="R43" s="590"/>
      <c r="S43" s="590"/>
      <c r="T43" s="590"/>
      <c r="U43" s="590"/>
      <c r="V43" s="590"/>
      <c r="W43" s="590"/>
      <c r="X43" s="590"/>
      <c r="Y43" s="590"/>
      <c r="Z43" s="590"/>
      <c r="AA43" s="590"/>
      <c r="AB43" s="590"/>
      <c r="AC43" s="590"/>
      <c r="AD43" s="590"/>
      <c r="AE43" s="590"/>
      <c r="AF43" s="590"/>
      <c r="AG43" s="590"/>
      <c r="AH43" s="590"/>
      <c r="AI43" s="590"/>
      <c r="AJ43" s="590"/>
      <c r="AK43" s="590"/>
      <c r="AL43" s="590"/>
      <c r="AM43" s="590"/>
      <c r="AN43" s="590"/>
      <c r="AO43" s="590"/>
      <c r="AP43" s="590"/>
      <c r="AQ43" s="590"/>
      <c r="AR43" s="590"/>
      <c r="AS43" s="590"/>
      <c r="AT43" s="590"/>
      <c r="AU43" s="590"/>
      <c r="AV43" s="590"/>
      <c r="AW43" s="590"/>
      <c r="AX43" s="590"/>
      <c r="AY43" s="590"/>
      <c r="AZ43" s="590"/>
      <c r="BA43" s="590"/>
      <c r="BB43" s="590"/>
      <c r="BC43" s="590"/>
      <c r="BD43" s="590"/>
      <c r="BE43" s="590"/>
      <c r="BF43" s="590"/>
      <c r="BG43" s="590"/>
      <c r="BH43" s="590"/>
      <c r="BI43" s="582">
        <f t="shared" si="16"/>
        <v>0</v>
      </c>
      <c r="BJ43" s="582">
        <f t="shared" si="16"/>
        <v>0</v>
      </c>
      <c r="BK43" s="582">
        <f t="shared" si="16"/>
        <v>0</v>
      </c>
      <c r="BL43" s="582">
        <f t="shared" si="16"/>
        <v>0</v>
      </c>
    </row>
    <row r="44" spans="1:64" ht="15.75" customHeight="1">
      <c r="A44" s="112"/>
      <c r="B44" s="244" t="s">
        <v>975</v>
      </c>
      <c r="C44" s="254" t="s">
        <v>347</v>
      </c>
      <c r="D44" s="241" t="s">
        <v>976</v>
      </c>
      <c r="E44" s="585"/>
      <c r="F44" s="585"/>
      <c r="G44" s="585"/>
      <c r="H44" s="585"/>
      <c r="I44" s="585"/>
      <c r="J44" s="585"/>
      <c r="K44" s="585"/>
      <c r="L44" s="585"/>
      <c r="M44" s="590"/>
      <c r="N44" s="590"/>
      <c r="O44" s="590"/>
      <c r="P44" s="590"/>
      <c r="Q44" s="590"/>
      <c r="R44" s="590"/>
      <c r="S44" s="590"/>
      <c r="T44" s="590"/>
      <c r="U44" s="590"/>
      <c r="V44" s="590"/>
      <c r="W44" s="590"/>
      <c r="X44" s="590"/>
      <c r="Y44" s="590"/>
      <c r="Z44" s="590"/>
      <c r="AA44" s="590"/>
      <c r="AB44" s="590"/>
      <c r="AC44" s="590"/>
      <c r="AD44" s="590"/>
      <c r="AE44" s="590"/>
      <c r="AF44" s="590"/>
      <c r="AG44" s="590"/>
      <c r="AH44" s="590"/>
      <c r="AI44" s="590"/>
      <c r="AJ44" s="590"/>
      <c r="AK44" s="590"/>
      <c r="AL44" s="590"/>
      <c r="AM44" s="590"/>
      <c r="AN44" s="590"/>
      <c r="AO44" s="590"/>
      <c r="AP44" s="590"/>
      <c r="AQ44" s="590"/>
      <c r="AR44" s="590"/>
      <c r="AS44" s="590"/>
      <c r="AT44" s="590"/>
      <c r="AU44" s="590"/>
      <c r="AV44" s="590"/>
      <c r="AW44" s="590"/>
      <c r="AX44" s="590"/>
      <c r="AY44" s="590"/>
      <c r="AZ44" s="590"/>
      <c r="BA44" s="590"/>
      <c r="BB44" s="590"/>
      <c r="BC44" s="590"/>
      <c r="BD44" s="590"/>
      <c r="BE44" s="590"/>
      <c r="BF44" s="590"/>
      <c r="BG44" s="590"/>
      <c r="BH44" s="590"/>
      <c r="BI44" s="582">
        <f t="shared" si="16"/>
        <v>0</v>
      </c>
      <c r="BJ44" s="582">
        <f t="shared" si="16"/>
        <v>0</v>
      </c>
      <c r="BK44" s="582">
        <f t="shared" si="16"/>
        <v>0</v>
      </c>
      <c r="BL44" s="582">
        <f t="shared" si="16"/>
        <v>0</v>
      </c>
    </row>
    <row r="45" spans="1:64" ht="15.75" customHeight="1">
      <c r="A45" s="112"/>
      <c r="B45" s="244" t="s">
        <v>977</v>
      </c>
      <c r="C45" s="254"/>
      <c r="D45" s="241" t="s">
        <v>978</v>
      </c>
      <c r="E45" s="585"/>
      <c r="F45" s="585"/>
      <c r="G45" s="585"/>
      <c r="H45" s="585"/>
      <c r="I45" s="585"/>
      <c r="J45" s="585"/>
      <c r="K45" s="585"/>
      <c r="L45" s="585"/>
      <c r="M45" s="590"/>
      <c r="N45" s="590"/>
      <c r="O45" s="590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  <c r="AB45" s="590"/>
      <c r="AC45" s="590"/>
      <c r="AD45" s="590"/>
      <c r="AE45" s="590"/>
      <c r="AF45" s="590"/>
      <c r="AG45" s="590"/>
      <c r="AH45" s="590"/>
      <c r="AI45" s="590"/>
      <c r="AJ45" s="590"/>
      <c r="AK45" s="590"/>
      <c r="AL45" s="590"/>
      <c r="AM45" s="590"/>
      <c r="AN45" s="590"/>
      <c r="AO45" s="590"/>
      <c r="AP45" s="590"/>
      <c r="AQ45" s="590"/>
      <c r="AR45" s="590"/>
      <c r="AS45" s="590"/>
      <c r="AT45" s="590"/>
      <c r="AU45" s="590"/>
      <c r="AV45" s="590"/>
      <c r="AW45" s="590"/>
      <c r="AX45" s="590"/>
      <c r="AY45" s="590"/>
      <c r="AZ45" s="590"/>
      <c r="BA45" s="590"/>
      <c r="BB45" s="590"/>
      <c r="BC45" s="590"/>
      <c r="BD45" s="590"/>
      <c r="BE45" s="590"/>
      <c r="BF45" s="590"/>
      <c r="BG45" s="590"/>
      <c r="BH45" s="590"/>
      <c r="BI45" s="582">
        <f t="shared" si="16"/>
        <v>0</v>
      </c>
      <c r="BJ45" s="582">
        <f t="shared" si="16"/>
        <v>0</v>
      </c>
      <c r="BK45" s="582">
        <f t="shared" si="16"/>
        <v>0</v>
      </c>
      <c r="BL45" s="582">
        <f t="shared" si="16"/>
        <v>0</v>
      </c>
    </row>
    <row r="46" spans="1:64" ht="15.75" customHeight="1">
      <c r="A46" s="136"/>
      <c r="B46" s="240"/>
      <c r="C46" s="256"/>
      <c r="D46" s="240" t="s">
        <v>345</v>
      </c>
      <c r="E46" s="589">
        <f>SUM(E42:E45)</f>
        <v>0</v>
      </c>
      <c r="F46" s="589">
        <f>SUM(F42:F45)</f>
        <v>0</v>
      </c>
      <c r="G46" s="589">
        <f>SUM(G42:G45)</f>
        <v>0</v>
      </c>
      <c r="H46" s="589">
        <f>SUM(H42:H45)</f>
        <v>0</v>
      </c>
      <c r="I46" s="589"/>
      <c r="J46" s="589"/>
      <c r="K46" s="589"/>
      <c r="L46" s="589"/>
      <c r="M46" s="589">
        <f>SUM(M42:M45)</f>
        <v>0</v>
      </c>
      <c r="N46" s="589"/>
      <c r="O46" s="589"/>
      <c r="P46" s="589"/>
      <c r="Q46" s="589">
        <f aca="true" t="shared" si="17" ref="Q46:BK46">SUM(Q42:Q45)</f>
        <v>0</v>
      </c>
      <c r="R46" s="589">
        <f t="shared" si="17"/>
        <v>0</v>
      </c>
      <c r="S46" s="589">
        <f t="shared" si="17"/>
        <v>0</v>
      </c>
      <c r="T46" s="589">
        <f>SUM(T42:T45)</f>
        <v>0</v>
      </c>
      <c r="U46" s="589">
        <f t="shared" si="17"/>
        <v>0</v>
      </c>
      <c r="V46" s="589">
        <f t="shared" si="17"/>
        <v>0</v>
      </c>
      <c r="W46" s="589">
        <f t="shared" si="17"/>
        <v>0</v>
      </c>
      <c r="X46" s="589">
        <v>0</v>
      </c>
      <c r="Y46" s="589">
        <f t="shared" si="17"/>
        <v>0</v>
      </c>
      <c r="Z46" s="589">
        <f t="shared" si="17"/>
        <v>0</v>
      </c>
      <c r="AA46" s="589">
        <f t="shared" si="17"/>
        <v>0</v>
      </c>
      <c r="AB46" s="589">
        <f>SUM(AB42:AB45)</f>
        <v>0</v>
      </c>
      <c r="AC46" s="589">
        <f t="shared" si="17"/>
        <v>0</v>
      </c>
      <c r="AD46" s="589">
        <f t="shared" si="17"/>
        <v>0</v>
      </c>
      <c r="AE46" s="589">
        <f t="shared" si="17"/>
        <v>0</v>
      </c>
      <c r="AF46" s="589">
        <f>SUM(AF42:AF45)</f>
        <v>0</v>
      </c>
      <c r="AG46" s="589">
        <f t="shared" si="17"/>
        <v>0</v>
      </c>
      <c r="AH46" s="589">
        <f t="shared" si="17"/>
        <v>0</v>
      </c>
      <c r="AI46" s="589">
        <f t="shared" si="17"/>
        <v>0</v>
      </c>
      <c r="AJ46" s="589">
        <f>SUM(AJ42:AJ45)</f>
        <v>0</v>
      </c>
      <c r="AK46" s="589">
        <f t="shared" si="17"/>
        <v>0</v>
      </c>
      <c r="AL46" s="589">
        <f t="shared" si="17"/>
        <v>0</v>
      </c>
      <c r="AM46" s="589">
        <f t="shared" si="17"/>
        <v>0</v>
      </c>
      <c r="AN46" s="589">
        <f>SUM(AN42:AN45)</f>
        <v>0</v>
      </c>
      <c r="AO46" s="589">
        <f t="shared" si="17"/>
        <v>0</v>
      </c>
      <c r="AP46" s="589">
        <f t="shared" si="17"/>
        <v>0</v>
      </c>
      <c r="AQ46" s="589">
        <f t="shared" si="17"/>
        <v>0</v>
      </c>
      <c r="AR46" s="589">
        <f>SUM(AR42:AR45)</f>
        <v>0</v>
      </c>
      <c r="AS46" s="589">
        <f t="shared" si="17"/>
        <v>0</v>
      </c>
      <c r="AT46" s="589">
        <f t="shared" si="17"/>
        <v>0</v>
      </c>
      <c r="AU46" s="589">
        <f t="shared" si="17"/>
        <v>0</v>
      </c>
      <c r="AV46" s="589">
        <f>SUM(AV42:AV45)</f>
        <v>0</v>
      </c>
      <c r="AW46" s="589">
        <f t="shared" si="17"/>
        <v>0</v>
      </c>
      <c r="AX46" s="589">
        <f t="shared" si="17"/>
        <v>0</v>
      </c>
      <c r="AY46" s="589">
        <f t="shared" si="17"/>
        <v>0</v>
      </c>
      <c r="AZ46" s="589">
        <f>SUM(AZ42:AZ45)</f>
        <v>0</v>
      </c>
      <c r="BA46" s="589">
        <f>SUM(BA42:BA45)</f>
        <v>0</v>
      </c>
      <c r="BB46" s="589">
        <f>SUM(BB42:BB45)</f>
        <v>0</v>
      </c>
      <c r="BC46" s="589">
        <f>SUM(BC42:BC45)</f>
        <v>0</v>
      </c>
      <c r="BD46" s="589">
        <f>SUM(BD42:BD45)</f>
        <v>0</v>
      </c>
      <c r="BE46" s="589">
        <f t="shared" si="17"/>
        <v>0</v>
      </c>
      <c r="BF46" s="589">
        <f t="shared" si="17"/>
        <v>0</v>
      </c>
      <c r="BG46" s="589">
        <f t="shared" si="17"/>
        <v>0</v>
      </c>
      <c r="BH46" s="589">
        <f>SUM(BH42:BH45)</f>
        <v>0</v>
      </c>
      <c r="BI46" s="589">
        <f t="shared" si="17"/>
        <v>0</v>
      </c>
      <c r="BJ46" s="589">
        <f t="shared" si="17"/>
        <v>0</v>
      </c>
      <c r="BK46" s="589">
        <f t="shared" si="17"/>
        <v>0</v>
      </c>
      <c r="BL46" s="589">
        <f>SUM(BL42:BL45)</f>
        <v>0</v>
      </c>
    </row>
    <row r="47" spans="1:64" s="143" customFormat="1" ht="15.75" customHeight="1">
      <c r="A47" s="136" t="s">
        <v>16</v>
      </c>
      <c r="B47" s="108"/>
      <c r="C47" s="249"/>
      <c r="D47" s="110" t="s">
        <v>346</v>
      </c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585"/>
      <c r="AI47" s="585"/>
      <c r="AJ47" s="585"/>
      <c r="AK47" s="585"/>
      <c r="AL47" s="585"/>
      <c r="AM47" s="585"/>
      <c r="AN47" s="585"/>
      <c r="AO47" s="585"/>
      <c r="AP47" s="585"/>
      <c r="AQ47" s="585"/>
      <c r="AR47" s="585"/>
      <c r="AS47" s="585"/>
      <c r="AT47" s="585"/>
      <c r="AU47" s="585"/>
      <c r="AV47" s="585"/>
      <c r="AW47" s="585"/>
      <c r="AX47" s="585"/>
      <c r="AY47" s="585"/>
      <c r="AZ47" s="585"/>
      <c r="BA47" s="585"/>
      <c r="BB47" s="585"/>
      <c r="BC47" s="585"/>
      <c r="BD47" s="585"/>
      <c r="BE47" s="585"/>
      <c r="BF47" s="585"/>
      <c r="BG47" s="585"/>
      <c r="BH47" s="585"/>
      <c r="BI47" s="582">
        <f aca="true" t="shared" si="18" ref="BI47:BL53">SUM(E47,M47,Q47,U47,Y47,AC47,AG47,AK47,AO47,AS47,AW47,BE47)</f>
        <v>0</v>
      </c>
      <c r="BJ47" s="582">
        <f t="shared" si="18"/>
        <v>0</v>
      </c>
      <c r="BK47" s="582">
        <f t="shared" si="18"/>
        <v>0</v>
      </c>
      <c r="BL47" s="582">
        <f t="shared" si="18"/>
        <v>0</v>
      </c>
    </row>
    <row r="48" spans="1:64" s="143" customFormat="1" ht="15.75" customHeight="1">
      <c r="A48" s="136"/>
      <c r="B48" s="239">
        <v>101150</v>
      </c>
      <c r="C48" s="249"/>
      <c r="D48" s="239" t="s">
        <v>393</v>
      </c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  <c r="AB48" s="585"/>
      <c r="AC48" s="585"/>
      <c r="AD48" s="585"/>
      <c r="AE48" s="585"/>
      <c r="AF48" s="585"/>
      <c r="AG48" s="585"/>
      <c r="AH48" s="585"/>
      <c r="AI48" s="585"/>
      <c r="AJ48" s="585"/>
      <c r="AK48" s="585"/>
      <c r="AL48" s="585"/>
      <c r="AM48" s="585"/>
      <c r="AN48" s="585"/>
      <c r="AO48" s="585"/>
      <c r="AP48" s="585"/>
      <c r="AQ48" s="585"/>
      <c r="AR48" s="585"/>
      <c r="AS48" s="585"/>
      <c r="AT48" s="585"/>
      <c r="AU48" s="585"/>
      <c r="AV48" s="585"/>
      <c r="AW48" s="585"/>
      <c r="AX48" s="585"/>
      <c r="AY48" s="585"/>
      <c r="AZ48" s="585"/>
      <c r="BA48" s="585"/>
      <c r="BB48" s="585"/>
      <c r="BC48" s="585"/>
      <c r="BD48" s="585"/>
      <c r="BE48" s="585"/>
      <c r="BF48" s="585"/>
      <c r="BG48" s="585"/>
      <c r="BH48" s="585"/>
      <c r="BI48" s="582">
        <f t="shared" si="18"/>
        <v>0</v>
      </c>
      <c r="BJ48" s="582">
        <f t="shared" si="18"/>
        <v>0</v>
      </c>
      <c r="BK48" s="582">
        <f t="shared" si="18"/>
        <v>0</v>
      </c>
      <c r="BL48" s="582">
        <f t="shared" si="18"/>
        <v>0</v>
      </c>
    </row>
    <row r="49" spans="1:64" s="143" customFormat="1" ht="15.75" customHeight="1">
      <c r="A49" s="136"/>
      <c r="B49" s="244" t="s">
        <v>979</v>
      </c>
      <c r="C49" s="239">
        <v>889101</v>
      </c>
      <c r="D49" s="239" t="s">
        <v>175</v>
      </c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  <c r="AB49" s="585"/>
      <c r="AC49" s="585"/>
      <c r="AD49" s="585"/>
      <c r="AE49" s="585"/>
      <c r="AF49" s="585"/>
      <c r="AG49" s="585"/>
      <c r="AH49" s="585"/>
      <c r="AI49" s="585"/>
      <c r="AJ49" s="585"/>
      <c r="AK49" s="585"/>
      <c r="AL49" s="585"/>
      <c r="AM49" s="585"/>
      <c r="AN49" s="585"/>
      <c r="AO49" s="585"/>
      <c r="AP49" s="585"/>
      <c r="AQ49" s="585"/>
      <c r="AR49" s="585"/>
      <c r="AS49" s="585"/>
      <c r="AT49" s="585"/>
      <c r="AU49" s="585"/>
      <c r="AV49" s="585"/>
      <c r="AW49" s="585"/>
      <c r="AX49" s="585"/>
      <c r="AY49" s="585"/>
      <c r="AZ49" s="585"/>
      <c r="BA49" s="585"/>
      <c r="BB49" s="585"/>
      <c r="BC49" s="585"/>
      <c r="BD49" s="585"/>
      <c r="BE49" s="585"/>
      <c r="BF49" s="585"/>
      <c r="BG49" s="585"/>
      <c r="BH49" s="585"/>
      <c r="BI49" s="582">
        <f t="shared" si="18"/>
        <v>0</v>
      </c>
      <c r="BJ49" s="582">
        <f t="shared" si="18"/>
        <v>0</v>
      </c>
      <c r="BK49" s="582">
        <f t="shared" si="18"/>
        <v>0</v>
      </c>
      <c r="BL49" s="582">
        <f t="shared" si="18"/>
        <v>0</v>
      </c>
    </row>
    <row r="50" spans="1:64" s="143" customFormat="1" ht="15.75" customHeight="1">
      <c r="A50" s="136"/>
      <c r="B50" s="244" t="s">
        <v>980</v>
      </c>
      <c r="C50" s="254"/>
      <c r="D50" s="239" t="s">
        <v>981</v>
      </c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5"/>
      <c r="AK50" s="585"/>
      <c r="AL50" s="585"/>
      <c r="AM50" s="585"/>
      <c r="AN50" s="585"/>
      <c r="AO50" s="585"/>
      <c r="AP50" s="585"/>
      <c r="AQ50" s="585"/>
      <c r="AR50" s="585"/>
      <c r="AS50" s="585"/>
      <c r="AT50" s="585"/>
      <c r="AU50" s="585"/>
      <c r="AV50" s="585"/>
      <c r="AW50" s="585"/>
      <c r="AX50" s="585"/>
      <c r="AY50" s="585"/>
      <c r="AZ50" s="585"/>
      <c r="BA50" s="585"/>
      <c r="BB50" s="585"/>
      <c r="BC50" s="585"/>
      <c r="BD50" s="585"/>
      <c r="BE50" s="585"/>
      <c r="BF50" s="585"/>
      <c r="BG50" s="585"/>
      <c r="BH50" s="585"/>
      <c r="BI50" s="582">
        <f t="shared" si="18"/>
        <v>0</v>
      </c>
      <c r="BJ50" s="582">
        <f t="shared" si="18"/>
        <v>0</v>
      </c>
      <c r="BK50" s="582">
        <f t="shared" si="18"/>
        <v>0</v>
      </c>
      <c r="BL50" s="582">
        <f t="shared" si="18"/>
        <v>0</v>
      </c>
    </row>
    <row r="51" spans="1:64" s="143" customFormat="1" ht="15.75" customHeight="1">
      <c r="A51" s="136"/>
      <c r="B51" s="239">
        <v>104042</v>
      </c>
      <c r="C51" s="249"/>
      <c r="D51" s="239" t="s">
        <v>348</v>
      </c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85"/>
      <c r="Z51" s="585"/>
      <c r="AA51" s="585"/>
      <c r="AB51" s="585"/>
      <c r="AC51" s="585"/>
      <c r="AD51" s="585"/>
      <c r="AE51" s="585"/>
      <c r="AF51" s="585"/>
      <c r="AG51" s="585"/>
      <c r="AH51" s="585"/>
      <c r="AI51" s="585"/>
      <c r="AJ51" s="585"/>
      <c r="AK51" s="585"/>
      <c r="AL51" s="585"/>
      <c r="AM51" s="585"/>
      <c r="AN51" s="585"/>
      <c r="AO51" s="585"/>
      <c r="AP51" s="585"/>
      <c r="AQ51" s="585"/>
      <c r="AR51" s="585"/>
      <c r="AS51" s="585"/>
      <c r="AT51" s="585"/>
      <c r="AU51" s="585"/>
      <c r="AV51" s="585"/>
      <c r="AW51" s="585"/>
      <c r="AX51" s="585"/>
      <c r="AY51" s="585"/>
      <c r="AZ51" s="585"/>
      <c r="BA51" s="585"/>
      <c r="BB51" s="585"/>
      <c r="BC51" s="585"/>
      <c r="BD51" s="585"/>
      <c r="BE51" s="585"/>
      <c r="BF51" s="585"/>
      <c r="BG51" s="585"/>
      <c r="BH51" s="585"/>
      <c r="BI51" s="582">
        <f t="shared" si="18"/>
        <v>0</v>
      </c>
      <c r="BJ51" s="582">
        <f t="shared" si="18"/>
        <v>0</v>
      </c>
      <c r="BK51" s="582">
        <f t="shared" si="18"/>
        <v>0</v>
      </c>
      <c r="BL51" s="582">
        <f t="shared" si="18"/>
        <v>0</v>
      </c>
    </row>
    <row r="52" spans="1:64" s="143" customFormat="1" ht="15.75" customHeight="1">
      <c r="A52" s="136"/>
      <c r="B52" s="239">
        <v>105010</v>
      </c>
      <c r="C52" s="249"/>
      <c r="D52" s="239" t="s">
        <v>394</v>
      </c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5"/>
      <c r="AF52" s="585"/>
      <c r="AG52" s="585"/>
      <c r="AH52" s="585"/>
      <c r="AI52" s="585"/>
      <c r="AJ52" s="585"/>
      <c r="AK52" s="585"/>
      <c r="AL52" s="585"/>
      <c r="AM52" s="585"/>
      <c r="AN52" s="585"/>
      <c r="AO52" s="585"/>
      <c r="AP52" s="585"/>
      <c r="AQ52" s="585"/>
      <c r="AR52" s="585"/>
      <c r="AS52" s="585"/>
      <c r="AT52" s="585"/>
      <c r="AU52" s="585"/>
      <c r="AV52" s="585"/>
      <c r="AW52" s="585"/>
      <c r="AX52" s="585"/>
      <c r="AY52" s="585"/>
      <c r="AZ52" s="585"/>
      <c r="BA52" s="585"/>
      <c r="BB52" s="585"/>
      <c r="BC52" s="585"/>
      <c r="BD52" s="585"/>
      <c r="BE52" s="585"/>
      <c r="BF52" s="585"/>
      <c r="BG52" s="585"/>
      <c r="BH52" s="585"/>
      <c r="BI52" s="582">
        <f t="shared" si="18"/>
        <v>0</v>
      </c>
      <c r="BJ52" s="582">
        <f t="shared" si="18"/>
        <v>0</v>
      </c>
      <c r="BK52" s="582">
        <f t="shared" si="18"/>
        <v>0</v>
      </c>
      <c r="BL52" s="582">
        <f t="shared" si="18"/>
        <v>0</v>
      </c>
    </row>
    <row r="53" spans="1:64" s="143" customFormat="1" ht="15.75" customHeight="1">
      <c r="A53" s="136"/>
      <c r="B53" s="239">
        <v>106020</v>
      </c>
      <c r="C53" s="249"/>
      <c r="D53" s="239" t="s">
        <v>982</v>
      </c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5"/>
      <c r="AI53" s="585"/>
      <c r="AJ53" s="585"/>
      <c r="AK53" s="585"/>
      <c r="AL53" s="585"/>
      <c r="AM53" s="585"/>
      <c r="AN53" s="585"/>
      <c r="AO53" s="585"/>
      <c r="AP53" s="585"/>
      <c r="AQ53" s="585"/>
      <c r="AR53" s="585"/>
      <c r="AS53" s="585"/>
      <c r="AT53" s="585"/>
      <c r="AU53" s="585"/>
      <c r="AV53" s="585"/>
      <c r="AW53" s="585"/>
      <c r="AX53" s="585"/>
      <c r="AY53" s="585"/>
      <c r="AZ53" s="585"/>
      <c r="BA53" s="585"/>
      <c r="BB53" s="585"/>
      <c r="BC53" s="585"/>
      <c r="BD53" s="585"/>
      <c r="BE53" s="585"/>
      <c r="BF53" s="585"/>
      <c r="BG53" s="585"/>
      <c r="BH53" s="585"/>
      <c r="BI53" s="582">
        <f t="shared" si="18"/>
        <v>0</v>
      </c>
      <c r="BJ53" s="582">
        <f t="shared" si="18"/>
        <v>0</v>
      </c>
      <c r="BK53" s="582">
        <f t="shared" si="18"/>
        <v>0</v>
      </c>
      <c r="BL53" s="582">
        <f t="shared" si="18"/>
        <v>0</v>
      </c>
    </row>
    <row r="54" spans="1:64" s="143" customFormat="1" ht="15.75" customHeight="1">
      <c r="A54" s="136"/>
      <c r="B54" s="244" t="s">
        <v>983</v>
      </c>
      <c r="C54" s="239">
        <v>889921</v>
      </c>
      <c r="D54" s="583" t="s">
        <v>69</v>
      </c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5"/>
      <c r="X54" s="585"/>
      <c r="Y54" s="585">
        <v>2540000</v>
      </c>
      <c r="Z54" s="585">
        <v>2540000</v>
      </c>
      <c r="AA54" s="585">
        <v>2540000</v>
      </c>
      <c r="AB54" s="585">
        <f>2107495+3567</f>
        <v>2111062</v>
      </c>
      <c r="AC54" s="585"/>
      <c r="AD54" s="585"/>
      <c r="AE54" s="585"/>
      <c r="AF54" s="585"/>
      <c r="AG54" s="585"/>
      <c r="AH54" s="585"/>
      <c r="AI54" s="585"/>
      <c r="AJ54" s="585"/>
      <c r="AK54" s="585"/>
      <c r="AL54" s="585"/>
      <c r="AM54" s="585"/>
      <c r="AN54" s="585"/>
      <c r="AO54" s="585"/>
      <c r="AP54" s="585"/>
      <c r="AQ54" s="585"/>
      <c r="AR54" s="585"/>
      <c r="AS54" s="585"/>
      <c r="AT54" s="585"/>
      <c r="AU54" s="585"/>
      <c r="AV54" s="585"/>
      <c r="AW54" s="585"/>
      <c r="AX54" s="585"/>
      <c r="AY54" s="585"/>
      <c r="AZ54" s="585"/>
      <c r="BA54" s="585"/>
      <c r="BB54" s="585"/>
      <c r="BC54" s="585"/>
      <c r="BD54" s="585"/>
      <c r="BE54" s="585"/>
      <c r="BF54" s="585"/>
      <c r="BG54" s="585"/>
      <c r="BH54" s="585"/>
      <c r="BI54" s="582">
        <f aca="true" t="shared" si="19" ref="BI54:BK56">SUM(E54,M54,Q54,U54,Y54,AC54,AG54,AK54,AO54,AS54,AW54,BE54)</f>
        <v>2540000</v>
      </c>
      <c r="BJ54" s="582">
        <f t="shared" si="19"/>
        <v>2540000</v>
      </c>
      <c r="BK54" s="582">
        <f t="shared" si="19"/>
        <v>2540000</v>
      </c>
      <c r="BL54" s="582">
        <f>SUM(H54,P54,T54,X54,AB54,AF54,AJ54,AN54,AR54,AV54,AZ54,BH54,L54,BD54)</f>
        <v>2111062</v>
      </c>
    </row>
    <row r="55" spans="1:64" ht="15.75" customHeight="1">
      <c r="A55" s="136"/>
      <c r="B55" s="239">
        <v>107055</v>
      </c>
      <c r="C55" s="249"/>
      <c r="D55" s="239" t="s">
        <v>984</v>
      </c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585"/>
      <c r="AK55" s="585"/>
      <c r="AL55" s="585"/>
      <c r="AM55" s="585"/>
      <c r="AN55" s="585"/>
      <c r="AO55" s="585"/>
      <c r="AP55" s="585"/>
      <c r="AQ55" s="585"/>
      <c r="AR55" s="585"/>
      <c r="AS55" s="585"/>
      <c r="AT55" s="585"/>
      <c r="AU55" s="585"/>
      <c r="AV55" s="585"/>
      <c r="AW55" s="585"/>
      <c r="AX55" s="585"/>
      <c r="AY55" s="585"/>
      <c r="AZ55" s="585"/>
      <c r="BA55" s="585"/>
      <c r="BB55" s="585"/>
      <c r="BC55" s="585"/>
      <c r="BD55" s="585"/>
      <c r="BE55" s="585"/>
      <c r="BF55" s="585"/>
      <c r="BG55" s="585"/>
      <c r="BH55" s="585"/>
      <c r="BI55" s="582">
        <f t="shared" si="19"/>
        <v>0</v>
      </c>
      <c r="BJ55" s="582">
        <f t="shared" si="19"/>
        <v>0</v>
      </c>
      <c r="BK55" s="582">
        <f t="shared" si="19"/>
        <v>0</v>
      </c>
      <c r="BL55" s="582">
        <f>SUM(H55,P55,T55,X55,AB55,AF55,AJ55,AN55,AR55,AV55,AZ55,BH55)</f>
        <v>0</v>
      </c>
    </row>
    <row r="56" spans="1:64" ht="13.5" customHeight="1">
      <c r="A56" s="69"/>
      <c r="B56" s="244" t="s">
        <v>985</v>
      </c>
      <c r="C56" s="239">
        <v>889921</v>
      </c>
      <c r="D56" s="583" t="s">
        <v>986</v>
      </c>
      <c r="E56" s="581"/>
      <c r="F56" s="581"/>
      <c r="G56" s="581"/>
      <c r="H56" s="581"/>
      <c r="I56" s="581"/>
      <c r="J56" s="581"/>
      <c r="K56" s="581"/>
      <c r="L56" s="581"/>
      <c r="M56" s="581"/>
      <c r="N56" s="581"/>
      <c r="O56" s="581"/>
      <c r="P56" s="581"/>
      <c r="Q56" s="581"/>
      <c r="R56" s="581"/>
      <c r="S56" s="581"/>
      <c r="T56" s="581"/>
      <c r="U56" s="581"/>
      <c r="V56" s="581"/>
      <c r="W56" s="581"/>
      <c r="X56" s="581"/>
      <c r="Y56" s="581"/>
      <c r="Z56" s="581"/>
      <c r="AA56" s="581"/>
      <c r="AB56" s="581"/>
      <c r="AC56" s="581"/>
      <c r="AD56" s="581"/>
      <c r="AE56" s="581"/>
      <c r="AF56" s="581"/>
      <c r="AG56" s="581"/>
      <c r="AH56" s="581"/>
      <c r="AI56" s="581"/>
      <c r="AJ56" s="581"/>
      <c r="AK56" s="581"/>
      <c r="AL56" s="581"/>
      <c r="AM56" s="581"/>
      <c r="AN56" s="581"/>
      <c r="AO56" s="581"/>
      <c r="AP56" s="581"/>
      <c r="AQ56" s="581"/>
      <c r="AR56" s="581"/>
      <c r="AS56" s="581"/>
      <c r="AT56" s="581"/>
      <c r="AU56" s="581"/>
      <c r="AV56" s="581"/>
      <c r="AW56" s="581"/>
      <c r="AX56" s="581"/>
      <c r="AY56" s="581"/>
      <c r="AZ56" s="581"/>
      <c r="BA56" s="581"/>
      <c r="BB56" s="581"/>
      <c r="BC56" s="581"/>
      <c r="BD56" s="581"/>
      <c r="BE56" s="581"/>
      <c r="BF56" s="581"/>
      <c r="BG56" s="581"/>
      <c r="BH56" s="581"/>
      <c r="BI56" s="582">
        <f t="shared" si="19"/>
        <v>0</v>
      </c>
      <c r="BJ56" s="582">
        <f t="shared" si="19"/>
        <v>0</v>
      </c>
      <c r="BK56" s="582">
        <f t="shared" si="19"/>
        <v>0</v>
      </c>
      <c r="BL56" s="582">
        <f>SUM(H56,P56,T56,X56,AB56,AF56,AJ56,AN56,AR56,AV56,AZ56,BH56)</f>
        <v>0</v>
      </c>
    </row>
    <row r="57" spans="1:64" ht="13.5" customHeight="1">
      <c r="A57" s="112"/>
      <c r="B57" s="250"/>
      <c r="C57" s="253"/>
      <c r="D57" s="253" t="s">
        <v>170</v>
      </c>
      <c r="E57" s="589">
        <f>SUM(E48:E56)</f>
        <v>0</v>
      </c>
      <c r="F57" s="589">
        <f>SUM(F48:F56)</f>
        <v>0</v>
      </c>
      <c r="G57" s="589">
        <f>SUM(G48:G56)</f>
        <v>0</v>
      </c>
      <c r="H57" s="589">
        <f>SUM(H48:H56)</f>
        <v>0</v>
      </c>
      <c r="I57" s="589"/>
      <c r="J57" s="589"/>
      <c r="K57" s="589"/>
      <c r="L57" s="589"/>
      <c r="M57" s="589">
        <f>SUM(M48:M56)</f>
        <v>0</v>
      </c>
      <c r="N57" s="589"/>
      <c r="O57" s="589"/>
      <c r="P57" s="589"/>
      <c r="Q57" s="589">
        <f aca="true" t="shared" si="20" ref="Q57:BK57">SUM(Q48:Q56)</f>
        <v>0</v>
      </c>
      <c r="R57" s="589">
        <f t="shared" si="20"/>
        <v>0</v>
      </c>
      <c r="S57" s="589">
        <f t="shared" si="20"/>
        <v>0</v>
      </c>
      <c r="T57" s="589">
        <f>SUM(T48:T56)</f>
        <v>0</v>
      </c>
      <c r="U57" s="589">
        <f t="shared" si="20"/>
        <v>0</v>
      </c>
      <c r="V57" s="589">
        <f t="shared" si="20"/>
        <v>0</v>
      </c>
      <c r="W57" s="589">
        <f t="shared" si="20"/>
        <v>0</v>
      </c>
      <c r="X57" s="589">
        <v>0</v>
      </c>
      <c r="Y57" s="589">
        <f t="shared" si="20"/>
        <v>2540000</v>
      </c>
      <c r="Z57" s="589">
        <f t="shared" si="20"/>
        <v>2540000</v>
      </c>
      <c r="AA57" s="589">
        <f t="shared" si="20"/>
        <v>2540000</v>
      </c>
      <c r="AB57" s="589">
        <f>SUM(AB48:AB56)</f>
        <v>2111062</v>
      </c>
      <c r="AC57" s="589">
        <f t="shared" si="20"/>
        <v>0</v>
      </c>
      <c r="AD57" s="589">
        <f t="shared" si="20"/>
        <v>0</v>
      </c>
      <c r="AE57" s="589">
        <f t="shared" si="20"/>
        <v>0</v>
      </c>
      <c r="AF57" s="589">
        <f>SUM(AF48:AF56)</f>
        <v>0</v>
      </c>
      <c r="AG57" s="589">
        <f t="shared" si="20"/>
        <v>0</v>
      </c>
      <c r="AH57" s="589">
        <f t="shared" si="20"/>
        <v>0</v>
      </c>
      <c r="AI57" s="589">
        <f t="shared" si="20"/>
        <v>0</v>
      </c>
      <c r="AJ57" s="589">
        <f>SUM(AJ48:AJ56)</f>
        <v>0</v>
      </c>
      <c r="AK57" s="589">
        <f t="shared" si="20"/>
        <v>0</v>
      </c>
      <c r="AL57" s="589">
        <f t="shared" si="20"/>
        <v>0</v>
      </c>
      <c r="AM57" s="589">
        <f t="shared" si="20"/>
        <v>0</v>
      </c>
      <c r="AN57" s="589">
        <f>SUM(AN48:AN56)</f>
        <v>0</v>
      </c>
      <c r="AO57" s="589">
        <f t="shared" si="20"/>
        <v>0</v>
      </c>
      <c r="AP57" s="589">
        <f t="shared" si="20"/>
        <v>0</v>
      </c>
      <c r="AQ57" s="589">
        <f t="shared" si="20"/>
        <v>0</v>
      </c>
      <c r="AR57" s="589">
        <f>SUM(AR48:AR56)</f>
        <v>0</v>
      </c>
      <c r="AS57" s="589">
        <f t="shared" si="20"/>
        <v>0</v>
      </c>
      <c r="AT57" s="589">
        <f t="shared" si="20"/>
        <v>0</v>
      </c>
      <c r="AU57" s="589">
        <f t="shared" si="20"/>
        <v>0</v>
      </c>
      <c r="AV57" s="589">
        <f>SUM(AV48:AV56)</f>
        <v>0</v>
      </c>
      <c r="AW57" s="589">
        <f t="shared" si="20"/>
        <v>0</v>
      </c>
      <c r="AX57" s="589">
        <f t="shared" si="20"/>
        <v>0</v>
      </c>
      <c r="AY57" s="589">
        <f t="shared" si="20"/>
        <v>0</v>
      </c>
      <c r="AZ57" s="589">
        <f>SUM(AZ48:AZ56)</f>
        <v>0</v>
      </c>
      <c r="BA57" s="589">
        <f>SUM(BA48:BA56)</f>
        <v>0</v>
      </c>
      <c r="BB57" s="589">
        <f>SUM(BB48:BB56)</f>
        <v>0</v>
      </c>
      <c r="BC57" s="589">
        <f>SUM(BC48:BC56)</f>
        <v>0</v>
      </c>
      <c r="BD57" s="589">
        <f>SUM(BD48:BD56)</f>
        <v>0</v>
      </c>
      <c r="BE57" s="589">
        <f t="shared" si="20"/>
        <v>0</v>
      </c>
      <c r="BF57" s="589">
        <f t="shared" si="20"/>
        <v>0</v>
      </c>
      <c r="BG57" s="589">
        <f t="shared" si="20"/>
        <v>0</v>
      </c>
      <c r="BH57" s="589">
        <f>SUM(BH48:BH56)</f>
        <v>0</v>
      </c>
      <c r="BI57" s="589">
        <f t="shared" si="20"/>
        <v>2540000</v>
      </c>
      <c r="BJ57" s="589">
        <f t="shared" si="20"/>
        <v>2540000</v>
      </c>
      <c r="BK57" s="589">
        <f t="shared" si="20"/>
        <v>2540000</v>
      </c>
      <c r="BL57" s="589">
        <f>SUM(BL48:BL56)</f>
        <v>2111062</v>
      </c>
    </row>
    <row r="58" spans="1:64" ht="13.5" customHeight="1">
      <c r="A58" s="112"/>
      <c r="B58" s="250" t="s">
        <v>350</v>
      </c>
      <c r="C58" s="253"/>
      <c r="D58" s="253" t="s">
        <v>351</v>
      </c>
      <c r="E58" s="589"/>
      <c r="F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589"/>
      <c r="S58" s="589"/>
      <c r="T58" s="589"/>
      <c r="U58" s="591">
        <v>13300000</v>
      </c>
      <c r="V58" s="591">
        <v>13300000</v>
      </c>
      <c r="W58" s="591">
        <v>15644117</v>
      </c>
      <c r="X58" s="591">
        <v>15237412</v>
      </c>
      <c r="Y58" s="589">
        <v>15237412</v>
      </c>
      <c r="Z58" s="589"/>
      <c r="AA58" s="589"/>
      <c r="AB58" s="589"/>
      <c r="AC58" s="589"/>
      <c r="AD58" s="589"/>
      <c r="AE58" s="589"/>
      <c r="AF58" s="589"/>
      <c r="AG58" s="589"/>
      <c r="AH58" s="589"/>
      <c r="AI58" s="589"/>
      <c r="AJ58" s="589"/>
      <c r="AK58" s="589"/>
      <c r="AL58" s="589"/>
      <c r="AM58" s="589"/>
      <c r="AN58" s="589"/>
      <c r="AO58" s="589"/>
      <c r="AP58" s="589"/>
      <c r="AQ58" s="589"/>
      <c r="AR58" s="589"/>
      <c r="AS58" s="589"/>
      <c r="AT58" s="589"/>
      <c r="AU58" s="589"/>
      <c r="AV58" s="589"/>
      <c r="AW58" s="589"/>
      <c r="AX58" s="589"/>
      <c r="AY58" s="589"/>
      <c r="AZ58" s="589"/>
      <c r="BA58" s="589"/>
      <c r="BB58" s="589"/>
      <c r="BC58" s="589"/>
      <c r="BD58" s="589"/>
      <c r="BE58" s="589"/>
      <c r="BF58" s="589"/>
      <c r="BG58" s="589"/>
      <c r="BH58" s="589"/>
      <c r="BI58" s="589">
        <f>SUM(E58,M58,Q58,U58,Y58,AC58,AG58,AK58,AO58,AS58,AW58,BE58)</f>
        <v>28537412</v>
      </c>
      <c r="BJ58" s="589">
        <f>SUM(F58,N58,R58,V58,Z58,AD58,AH58,AL58,AP58,AT58,AX58,BF58)</f>
        <v>13300000</v>
      </c>
      <c r="BK58" s="589">
        <f>SUM(G58,O58,S58,W58,AA58,AE58,AI58,AM58,AQ58,AU58,AY58,BG58)</f>
        <v>15644117</v>
      </c>
      <c r="BL58" s="589">
        <f>SUM(H58,P58,T58,X58,AB58,AF58,AJ58,AN58,AR58,AV58,AZ58,BH58,BD58)</f>
        <v>15237412</v>
      </c>
    </row>
    <row r="59" spans="1:64" s="208" customFormat="1" ht="13.5" customHeight="1">
      <c r="A59" s="243"/>
      <c r="B59" s="592"/>
      <c r="C59" s="593"/>
      <c r="D59" s="669" t="s">
        <v>80</v>
      </c>
      <c r="E59" s="670">
        <f aca="true" t="shared" si="21" ref="E59:BK59">SUM(E11,E17,E21,E28,E35,E40,E57,E46,E58)</f>
        <v>40123348</v>
      </c>
      <c r="F59" s="670">
        <f t="shared" si="21"/>
        <v>40578513</v>
      </c>
      <c r="G59" s="670">
        <f t="shared" si="21"/>
        <v>42914466</v>
      </c>
      <c r="H59" s="670">
        <f>SUM(H11,H17,H21,H28,H35,H40,H57,H46,H58)</f>
        <v>42914466</v>
      </c>
      <c r="I59" s="670">
        <f t="shared" si="21"/>
        <v>0</v>
      </c>
      <c r="J59" s="670">
        <f t="shared" si="21"/>
        <v>1529736</v>
      </c>
      <c r="K59" s="670">
        <f t="shared" si="21"/>
        <v>1529736</v>
      </c>
      <c r="L59" s="670">
        <f>SUM(L11,L17,L21,L28,L35,L40,L57,L46,L58)</f>
        <v>0</v>
      </c>
      <c r="M59" s="670">
        <f t="shared" si="21"/>
        <v>3289879</v>
      </c>
      <c r="N59" s="670">
        <f t="shared" si="21"/>
        <v>7193715</v>
      </c>
      <c r="O59" s="670">
        <f t="shared" si="21"/>
        <v>7903017</v>
      </c>
      <c r="P59" s="670">
        <f>SUM(P11,P17,P21,P28,P35,P40,P57,P46,P58)</f>
        <v>7903017</v>
      </c>
      <c r="Q59" s="670">
        <f t="shared" si="21"/>
        <v>43284493</v>
      </c>
      <c r="R59" s="670">
        <f t="shared" si="21"/>
        <v>43284493</v>
      </c>
      <c r="S59" s="670">
        <f t="shared" si="21"/>
        <v>50750046</v>
      </c>
      <c r="T59" s="670">
        <f>SUM(T11,T17,T21,T28,T35,T40,T57,T46,T58)</f>
        <v>48692746</v>
      </c>
      <c r="U59" s="670">
        <f t="shared" si="21"/>
        <v>13300000</v>
      </c>
      <c r="V59" s="670">
        <f t="shared" si="21"/>
        <v>13300000</v>
      </c>
      <c r="W59" s="670">
        <f t="shared" si="21"/>
        <v>15644117</v>
      </c>
      <c r="X59" s="670">
        <f t="shared" si="21"/>
        <v>15237412</v>
      </c>
      <c r="Y59" s="670">
        <f>SUM(Y11,Y17,Y21,Y28,Y35,Y40,Y57,Y46,Y58)</f>
        <v>18539012</v>
      </c>
      <c r="Z59" s="670">
        <f t="shared" si="21"/>
        <v>3301600</v>
      </c>
      <c r="AA59" s="670">
        <f t="shared" si="21"/>
        <v>8743601</v>
      </c>
      <c r="AB59" s="670">
        <f>SUM(AB11,AB17,AB21,AB28,AB35,AB40,AB57,AB46,AB58)</f>
        <v>8743601</v>
      </c>
      <c r="AC59" s="670">
        <f t="shared" si="21"/>
        <v>0</v>
      </c>
      <c r="AD59" s="670">
        <f t="shared" si="21"/>
        <v>0</v>
      </c>
      <c r="AE59" s="670">
        <f t="shared" si="21"/>
        <v>10005000</v>
      </c>
      <c r="AF59" s="670">
        <f>SUM(AF11,AF17,AF21,AF28,AF35,AF40,AF57,AF46,AF58)</f>
        <v>5305000</v>
      </c>
      <c r="AG59" s="670">
        <f t="shared" si="21"/>
        <v>0</v>
      </c>
      <c r="AH59" s="670">
        <f t="shared" si="21"/>
        <v>0</v>
      </c>
      <c r="AI59" s="670">
        <f t="shared" si="21"/>
        <v>0</v>
      </c>
      <c r="AJ59" s="670">
        <f>SUM(AJ11,AJ17,AJ21,AJ28,AJ35,AJ40,AJ57,AJ46,AJ58)</f>
        <v>0</v>
      </c>
      <c r="AK59" s="670">
        <f t="shared" si="21"/>
        <v>0</v>
      </c>
      <c r="AL59" s="670">
        <f t="shared" si="21"/>
        <v>0</v>
      </c>
      <c r="AM59" s="670">
        <f t="shared" si="21"/>
        <v>0</v>
      </c>
      <c r="AN59" s="670">
        <f>SUM(AN11,AN17,AN21,AN28,AN35,AN40,AN57,AN46,AN58)</f>
        <v>0</v>
      </c>
      <c r="AO59" s="670">
        <f t="shared" si="21"/>
        <v>0</v>
      </c>
      <c r="AP59" s="670">
        <f t="shared" si="21"/>
        <v>0</v>
      </c>
      <c r="AQ59" s="670">
        <f t="shared" si="21"/>
        <v>0</v>
      </c>
      <c r="AR59" s="670">
        <f>SUM(AR11,AR17,AR21,AR28,AR35,AR40,AR57,AR46,AR58)</f>
        <v>0</v>
      </c>
      <c r="AS59" s="670">
        <f t="shared" si="21"/>
        <v>0</v>
      </c>
      <c r="AT59" s="670">
        <f t="shared" si="21"/>
        <v>0</v>
      </c>
      <c r="AU59" s="670">
        <f t="shared" si="21"/>
        <v>0</v>
      </c>
      <c r="AV59" s="670">
        <f>SUM(AV11,AV17,AV21,AV28,AV35,AV40,AV57,AV46,AV58)</f>
        <v>0</v>
      </c>
      <c r="AW59" s="670">
        <f t="shared" si="21"/>
        <v>60413118</v>
      </c>
      <c r="AX59" s="670">
        <f t="shared" si="21"/>
        <v>60413118</v>
      </c>
      <c r="AY59" s="670">
        <f t="shared" si="21"/>
        <v>60413118</v>
      </c>
      <c r="AZ59" s="670">
        <f>SUM(AZ11,AZ17,AZ21,AZ28,AZ35,AZ40,AZ57,AZ46,AZ58)</f>
        <v>60413118</v>
      </c>
      <c r="BA59" s="670">
        <f>SUM(BA11,BA17,BA21,BA28,BA35,BA40,BA57,BA46,BA58)</f>
        <v>0</v>
      </c>
      <c r="BB59" s="670">
        <f>SUM(BB11,BB17,BB21,BB28,BB35,BB40,BB57,BB46,BB58)</f>
        <v>0</v>
      </c>
      <c r="BC59" s="670">
        <f>SUM(BC11,BC17,BC21,BC28,BC35,BC40,BC57,BC46,BC58)</f>
        <v>0</v>
      </c>
      <c r="BD59" s="670">
        <f>SUM(BD11,BD17,BD21,BD28,BD35,BD40,BD57,BD46,BD58)</f>
        <v>1547521</v>
      </c>
      <c r="BE59" s="670">
        <f t="shared" si="21"/>
        <v>0</v>
      </c>
      <c r="BF59" s="670">
        <f t="shared" si="21"/>
        <v>0</v>
      </c>
      <c r="BG59" s="670">
        <f t="shared" si="21"/>
        <v>0</v>
      </c>
      <c r="BH59" s="670">
        <f>SUM(BH11,BH17,BH21,BH28,BH35,BH40,BH57,BH46,BH58)</f>
        <v>0</v>
      </c>
      <c r="BI59" s="670">
        <f t="shared" si="21"/>
        <v>178949850</v>
      </c>
      <c r="BJ59" s="670">
        <f t="shared" si="21"/>
        <v>169601175</v>
      </c>
      <c r="BK59" s="670">
        <f t="shared" si="21"/>
        <v>197903101</v>
      </c>
      <c r="BL59" s="670">
        <f>SUM(BL11,BL17,BL21,BL28,BL35,BL40,BL57,BL46,BL58)</f>
        <v>190756881</v>
      </c>
    </row>
    <row r="60" spans="1:64" ht="13.5" customHeight="1">
      <c r="A60" s="243"/>
      <c r="B60" s="592" t="s">
        <v>173</v>
      </c>
      <c r="C60" s="593"/>
      <c r="D60" s="275" t="s">
        <v>353</v>
      </c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594"/>
      <c r="U60" s="594"/>
      <c r="V60" s="594"/>
      <c r="W60" s="594"/>
      <c r="X60" s="594"/>
      <c r="Y60" s="594"/>
      <c r="Z60" s="594"/>
      <c r="AA60" s="594"/>
      <c r="AB60" s="594"/>
      <c r="AC60" s="594"/>
      <c r="AD60" s="594"/>
      <c r="AE60" s="594"/>
      <c r="AF60" s="594"/>
      <c r="AG60" s="594"/>
      <c r="AH60" s="594"/>
      <c r="AI60" s="594"/>
      <c r="AJ60" s="594"/>
      <c r="AK60" s="594"/>
      <c r="AL60" s="594"/>
      <c r="AM60" s="594"/>
      <c r="AN60" s="594"/>
      <c r="AO60" s="594"/>
      <c r="AP60" s="594"/>
      <c r="AQ60" s="594"/>
      <c r="AR60" s="594"/>
      <c r="AS60" s="594"/>
      <c r="AT60" s="594"/>
      <c r="AU60" s="594"/>
      <c r="AV60" s="594"/>
      <c r="AW60" s="594"/>
      <c r="AX60" s="594"/>
      <c r="AY60" s="594"/>
      <c r="AZ60" s="594"/>
      <c r="BA60" s="594"/>
      <c r="BB60" s="594"/>
      <c r="BC60" s="594"/>
      <c r="BD60" s="594"/>
      <c r="BE60" s="594"/>
      <c r="BF60" s="594"/>
      <c r="BG60" s="594"/>
      <c r="BH60" s="594"/>
      <c r="BI60" s="594">
        <f aca="true" t="shared" si="22" ref="BI60:BL63">SUM(E60,M60,Q60,U60,Y60,AC60,AG60,AK60,AO60,AS60,AW60,BE60)</f>
        <v>0</v>
      </c>
      <c r="BJ60" s="594">
        <f t="shared" si="22"/>
        <v>0</v>
      </c>
      <c r="BK60" s="594">
        <f t="shared" si="22"/>
        <v>0</v>
      </c>
      <c r="BL60" s="594">
        <f t="shared" si="22"/>
        <v>0</v>
      </c>
    </row>
    <row r="61" spans="1:64" ht="15.75">
      <c r="A61" s="243"/>
      <c r="B61" s="592" t="s">
        <v>416</v>
      </c>
      <c r="C61" s="593"/>
      <c r="D61" s="275" t="s">
        <v>417</v>
      </c>
      <c r="E61" s="594"/>
      <c r="F61" s="594"/>
      <c r="G61" s="594"/>
      <c r="H61" s="594"/>
      <c r="I61" s="594"/>
      <c r="J61" s="594"/>
      <c r="K61" s="594"/>
      <c r="L61" s="594"/>
      <c r="M61" s="594"/>
      <c r="N61" s="594"/>
      <c r="O61" s="594"/>
      <c r="P61" s="594"/>
      <c r="Q61" s="594"/>
      <c r="R61" s="594"/>
      <c r="S61" s="594"/>
      <c r="T61" s="594"/>
      <c r="U61" s="594"/>
      <c r="V61" s="594"/>
      <c r="W61" s="594"/>
      <c r="X61" s="594"/>
      <c r="Y61" s="594"/>
      <c r="Z61" s="594"/>
      <c r="AA61" s="594"/>
      <c r="AB61" s="594"/>
      <c r="AC61" s="594"/>
      <c r="AD61" s="594"/>
      <c r="AE61" s="594"/>
      <c r="AF61" s="594"/>
      <c r="AG61" s="594"/>
      <c r="AH61" s="594"/>
      <c r="AI61" s="594"/>
      <c r="AJ61" s="594"/>
      <c r="AK61" s="594"/>
      <c r="AL61" s="594"/>
      <c r="AM61" s="594"/>
      <c r="AN61" s="594"/>
      <c r="AO61" s="594"/>
      <c r="AP61" s="594"/>
      <c r="AQ61" s="594"/>
      <c r="AR61" s="594"/>
      <c r="AS61" s="594"/>
      <c r="AT61" s="594"/>
      <c r="AU61" s="594"/>
      <c r="AV61" s="594"/>
      <c r="AW61" s="594"/>
      <c r="AX61" s="594"/>
      <c r="AY61" s="594"/>
      <c r="AZ61" s="594"/>
      <c r="BA61" s="594"/>
      <c r="BB61" s="594"/>
      <c r="BC61" s="594"/>
      <c r="BD61" s="594"/>
      <c r="BE61" s="594"/>
      <c r="BF61" s="594"/>
      <c r="BG61" s="594"/>
      <c r="BH61" s="594"/>
      <c r="BI61" s="594">
        <f t="shared" si="22"/>
        <v>0</v>
      </c>
      <c r="BJ61" s="594">
        <f t="shared" si="22"/>
        <v>0</v>
      </c>
      <c r="BK61" s="594">
        <f t="shared" si="22"/>
        <v>0</v>
      </c>
      <c r="BL61" s="594">
        <f t="shared" si="22"/>
        <v>0</v>
      </c>
    </row>
    <row r="62" spans="1:64" ht="15.75">
      <c r="A62" s="243"/>
      <c r="B62" s="592" t="s">
        <v>431</v>
      </c>
      <c r="C62" s="593"/>
      <c r="D62" s="275" t="s">
        <v>433</v>
      </c>
      <c r="E62" s="594"/>
      <c r="F62" s="594"/>
      <c r="G62" s="594"/>
      <c r="H62" s="594"/>
      <c r="I62" s="594"/>
      <c r="J62" s="594"/>
      <c r="K62" s="594"/>
      <c r="L62" s="594"/>
      <c r="M62" s="594"/>
      <c r="N62" s="594"/>
      <c r="O62" s="594"/>
      <c r="P62" s="594"/>
      <c r="Q62" s="594"/>
      <c r="R62" s="594"/>
      <c r="S62" s="594"/>
      <c r="T62" s="594"/>
      <c r="U62" s="594"/>
      <c r="V62" s="594"/>
      <c r="W62" s="594"/>
      <c r="X62" s="594"/>
      <c r="Y62" s="594">
        <v>0</v>
      </c>
      <c r="Z62" s="594">
        <v>0</v>
      </c>
      <c r="AA62" s="594">
        <v>0</v>
      </c>
      <c r="AB62" s="594">
        <v>496698</v>
      </c>
      <c r="AC62" s="594"/>
      <c r="AD62" s="594"/>
      <c r="AE62" s="594"/>
      <c r="AF62" s="594"/>
      <c r="AG62" s="594"/>
      <c r="AH62" s="594"/>
      <c r="AI62" s="594"/>
      <c r="AJ62" s="594"/>
      <c r="AK62" s="594"/>
      <c r="AL62" s="594"/>
      <c r="AM62" s="594"/>
      <c r="AN62" s="594"/>
      <c r="AO62" s="594"/>
      <c r="AP62" s="594"/>
      <c r="AQ62" s="594"/>
      <c r="AR62" s="594"/>
      <c r="AS62" s="594"/>
      <c r="AT62" s="594"/>
      <c r="AU62" s="594"/>
      <c r="AV62" s="594"/>
      <c r="AW62" s="594"/>
      <c r="AX62" s="594"/>
      <c r="AY62" s="594"/>
      <c r="AZ62" s="594"/>
      <c r="BA62" s="594"/>
      <c r="BB62" s="594"/>
      <c r="BC62" s="594"/>
      <c r="BD62" s="594"/>
      <c r="BE62" s="594"/>
      <c r="BF62" s="594"/>
      <c r="BG62" s="594"/>
      <c r="BH62" s="594"/>
      <c r="BI62" s="594">
        <f t="shared" si="22"/>
        <v>0</v>
      </c>
      <c r="BJ62" s="594">
        <f t="shared" si="22"/>
        <v>0</v>
      </c>
      <c r="BK62" s="594">
        <f t="shared" si="22"/>
        <v>0</v>
      </c>
      <c r="BL62" s="594">
        <f t="shared" si="22"/>
        <v>496698</v>
      </c>
    </row>
    <row r="63" spans="1:64" ht="15.75">
      <c r="A63" s="243"/>
      <c r="B63" s="592" t="s">
        <v>442</v>
      </c>
      <c r="C63" s="593"/>
      <c r="D63" s="275" t="s">
        <v>987</v>
      </c>
      <c r="E63" s="594"/>
      <c r="F63" s="594"/>
      <c r="G63" s="594"/>
      <c r="H63" s="594"/>
      <c r="I63" s="594"/>
      <c r="J63" s="594"/>
      <c r="K63" s="594"/>
      <c r="L63" s="594"/>
      <c r="M63" s="594"/>
      <c r="N63" s="594"/>
      <c r="O63" s="594"/>
      <c r="P63" s="594"/>
      <c r="Q63" s="594"/>
      <c r="R63" s="594"/>
      <c r="S63" s="594"/>
      <c r="T63" s="594"/>
      <c r="U63" s="594"/>
      <c r="V63" s="594"/>
      <c r="W63" s="594"/>
      <c r="X63" s="594"/>
      <c r="Y63" s="594">
        <v>19716750</v>
      </c>
      <c r="Z63" s="594">
        <v>19716750</v>
      </c>
      <c r="AA63" s="594">
        <v>19716750</v>
      </c>
      <c r="AB63" s="594">
        <f>16556981+214</f>
        <v>16557195</v>
      </c>
      <c r="AC63" s="594"/>
      <c r="AD63" s="594"/>
      <c r="AE63" s="594"/>
      <c r="AF63" s="594"/>
      <c r="AG63" s="594"/>
      <c r="AH63" s="594"/>
      <c r="AI63" s="594"/>
      <c r="AJ63" s="594"/>
      <c r="AK63" s="594"/>
      <c r="AL63" s="594"/>
      <c r="AM63" s="594"/>
      <c r="AN63" s="594"/>
      <c r="AO63" s="594"/>
      <c r="AP63" s="594"/>
      <c r="AQ63" s="594"/>
      <c r="AR63" s="594"/>
      <c r="AS63" s="594"/>
      <c r="AT63" s="594"/>
      <c r="AU63" s="594"/>
      <c r="AV63" s="594"/>
      <c r="AW63" s="594"/>
      <c r="AX63" s="594"/>
      <c r="AY63" s="594"/>
      <c r="AZ63" s="594"/>
      <c r="BA63" s="594"/>
      <c r="BB63" s="594"/>
      <c r="BC63" s="594"/>
      <c r="BD63" s="594"/>
      <c r="BE63" s="594"/>
      <c r="BF63" s="594"/>
      <c r="BG63" s="594"/>
      <c r="BH63" s="594"/>
      <c r="BI63" s="594">
        <f t="shared" si="22"/>
        <v>19716750</v>
      </c>
      <c r="BJ63" s="594">
        <f t="shared" si="22"/>
        <v>19716750</v>
      </c>
      <c r="BK63" s="594">
        <f t="shared" si="22"/>
        <v>19716750</v>
      </c>
      <c r="BL63" s="594">
        <f t="shared" si="22"/>
        <v>16557195</v>
      </c>
    </row>
    <row r="64" spans="1:64" ht="15.75">
      <c r="A64" s="243"/>
      <c r="B64" s="247" t="s">
        <v>171</v>
      </c>
      <c r="C64" s="239"/>
      <c r="D64" s="275" t="s">
        <v>178</v>
      </c>
      <c r="E64" s="594"/>
      <c r="F64" s="594"/>
      <c r="G64" s="594"/>
      <c r="H64" s="594"/>
      <c r="I64" s="594"/>
      <c r="J64" s="594"/>
      <c r="K64" s="594"/>
      <c r="L64" s="594"/>
      <c r="M64" s="594"/>
      <c r="N64" s="594"/>
      <c r="O64" s="594"/>
      <c r="P64" s="594"/>
      <c r="Q64" s="594"/>
      <c r="R64" s="594"/>
      <c r="S64" s="594"/>
      <c r="T64" s="594"/>
      <c r="U64" s="594"/>
      <c r="V64" s="594"/>
      <c r="W64" s="594"/>
      <c r="X64" s="594"/>
      <c r="Y64" s="594"/>
      <c r="Z64" s="594"/>
      <c r="AA64" s="594"/>
      <c r="AB64" s="594"/>
      <c r="AC64" s="594"/>
      <c r="AD64" s="594"/>
      <c r="AE64" s="594"/>
      <c r="AF64" s="594"/>
      <c r="AG64" s="594"/>
      <c r="AH64" s="594"/>
      <c r="AI64" s="594"/>
      <c r="AJ64" s="594"/>
      <c r="AK64" s="594"/>
      <c r="AL64" s="594"/>
      <c r="AM64" s="594"/>
      <c r="AN64" s="594"/>
      <c r="AO64" s="594"/>
      <c r="AP64" s="594"/>
      <c r="AQ64" s="594"/>
      <c r="AR64" s="594"/>
      <c r="AS64" s="594"/>
      <c r="AT64" s="594"/>
      <c r="AU64" s="594"/>
      <c r="AV64" s="594"/>
      <c r="AW64" s="594">
        <v>0</v>
      </c>
      <c r="AX64" s="594">
        <v>2037736</v>
      </c>
      <c r="AY64" s="594">
        <v>2037736</v>
      </c>
      <c r="AZ64" s="594">
        <v>2037736</v>
      </c>
      <c r="BA64" s="594"/>
      <c r="BB64" s="594"/>
      <c r="BC64" s="594"/>
      <c r="BD64" s="594"/>
      <c r="BE64" s="594"/>
      <c r="BF64" s="594"/>
      <c r="BG64" s="594"/>
      <c r="BH64" s="659">
        <v>0</v>
      </c>
      <c r="BI64" s="594"/>
      <c r="BJ64" s="594"/>
      <c r="BK64" s="594">
        <f>SUM(G64,O64,S64,W64,AA64,AE64,AI64,AM64,AQ64,AU64,AY64,BG64)</f>
        <v>2037736</v>
      </c>
      <c r="BL64" s="594">
        <f>SUM(H64,P64,T64,X64,AB64,AF64,AJ64,AN64,AR64,AV64,AZ64,BH64)</f>
        <v>2037736</v>
      </c>
    </row>
    <row r="65" spans="1:65" ht="15.75">
      <c r="A65" s="243"/>
      <c r="B65" s="592"/>
      <c r="C65" s="593"/>
      <c r="D65" s="301" t="s">
        <v>429</v>
      </c>
      <c r="E65" s="594">
        <f aca="true" t="shared" si="23" ref="E65:AW65">SUM(E60,E61,E62,E63)</f>
        <v>0</v>
      </c>
      <c r="F65" s="594">
        <f t="shared" si="23"/>
        <v>0</v>
      </c>
      <c r="G65" s="594">
        <f t="shared" si="23"/>
        <v>0</v>
      </c>
      <c r="H65" s="594">
        <f>SUM(H60,H61,H62,H63)</f>
        <v>0</v>
      </c>
      <c r="I65" s="594">
        <f t="shared" si="23"/>
        <v>0</v>
      </c>
      <c r="J65" s="594">
        <f t="shared" si="23"/>
        <v>0</v>
      </c>
      <c r="K65" s="594">
        <f t="shared" si="23"/>
        <v>0</v>
      </c>
      <c r="L65" s="594">
        <f>SUM(L60,L61,L62,L63)</f>
        <v>0</v>
      </c>
      <c r="M65" s="594">
        <f t="shared" si="23"/>
        <v>0</v>
      </c>
      <c r="N65" s="594">
        <f t="shared" si="23"/>
        <v>0</v>
      </c>
      <c r="O65" s="594">
        <f t="shared" si="23"/>
        <v>0</v>
      </c>
      <c r="P65" s="594">
        <f>SUM(P60,P61,P62,P63)</f>
        <v>0</v>
      </c>
      <c r="Q65" s="594">
        <f t="shared" si="23"/>
        <v>0</v>
      </c>
      <c r="R65" s="594">
        <f t="shared" si="23"/>
        <v>0</v>
      </c>
      <c r="S65" s="594">
        <f t="shared" si="23"/>
        <v>0</v>
      </c>
      <c r="T65" s="594">
        <f>SUM(T60,T61,T62,T63)</f>
        <v>0</v>
      </c>
      <c r="U65" s="594">
        <f t="shared" si="23"/>
        <v>0</v>
      </c>
      <c r="V65" s="594">
        <f t="shared" si="23"/>
        <v>0</v>
      </c>
      <c r="W65" s="594">
        <f t="shared" si="23"/>
        <v>0</v>
      </c>
      <c r="X65" s="594">
        <v>0</v>
      </c>
      <c r="Y65" s="594">
        <f t="shared" si="23"/>
        <v>19716750</v>
      </c>
      <c r="Z65" s="594">
        <f t="shared" si="23"/>
        <v>19716750</v>
      </c>
      <c r="AA65" s="594">
        <f t="shared" si="23"/>
        <v>19716750</v>
      </c>
      <c r="AB65" s="594">
        <f>SUM(AB60,AB61,AB62,AB63)</f>
        <v>17053893</v>
      </c>
      <c r="AC65" s="594">
        <f t="shared" si="23"/>
        <v>0</v>
      </c>
      <c r="AD65" s="594">
        <f t="shared" si="23"/>
        <v>0</v>
      </c>
      <c r="AE65" s="594">
        <f t="shared" si="23"/>
        <v>0</v>
      </c>
      <c r="AF65" s="594">
        <f>SUM(AF60,AF61,AF62,AF63)</f>
        <v>0</v>
      </c>
      <c r="AG65" s="594">
        <f t="shared" si="23"/>
        <v>0</v>
      </c>
      <c r="AH65" s="594">
        <f t="shared" si="23"/>
        <v>0</v>
      </c>
      <c r="AI65" s="594">
        <f t="shared" si="23"/>
        <v>0</v>
      </c>
      <c r="AJ65" s="594">
        <f>SUM(AJ60,AJ61,AJ62,AJ63)</f>
        <v>0</v>
      </c>
      <c r="AK65" s="594">
        <f t="shared" si="23"/>
        <v>0</v>
      </c>
      <c r="AL65" s="594">
        <f t="shared" si="23"/>
        <v>0</v>
      </c>
      <c r="AM65" s="594">
        <f t="shared" si="23"/>
        <v>0</v>
      </c>
      <c r="AN65" s="594">
        <f>SUM(AN60,AN61,AN62,AN63)</f>
        <v>0</v>
      </c>
      <c r="AO65" s="594">
        <f t="shared" si="23"/>
        <v>0</v>
      </c>
      <c r="AP65" s="594">
        <f t="shared" si="23"/>
        <v>0</v>
      </c>
      <c r="AQ65" s="594">
        <f t="shared" si="23"/>
        <v>0</v>
      </c>
      <c r="AR65" s="594">
        <f>SUM(AR60,AR61,AR62,AR63)</f>
        <v>0</v>
      </c>
      <c r="AS65" s="594">
        <f t="shared" si="23"/>
        <v>0</v>
      </c>
      <c r="AT65" s="594">
        <f t="shared" si="23"/>
        <v>0</v>
      </c>
      <c r="AU65" s="594">
        <f t="shared" si="23"/>
        <v>0</v>
      </c>
      <c r="AV65" s="594">
        <f>SUM(AV60,AV61,AV62,AV63)</f>
        <v>0</v>
      </c>
      <c r="AW65" s="594">
        <f t="shared" si="23"/>
        <v>0</v>
      </c>
      <c r="AX65" s="594">
        <f>SUM(AX60,AX61,AX62,AX63,AX64)</f>
        <v>2037736</v>
      </c>
      <c r="AY65" s="594">
        <f>SUM(AY60,AY61,AY62,AY63,AY64)</f>
        <v>2037736</v>
      </c>
      <c r="AZ65" s="594">
        <f>SUM(AZ60,AZ61,AZ62,AZ63,AZ64)</f>
        <v>2037736</v>
      </c>
      <c r="BA65" s="594">
        <f>SUM(BA60,BA61,BA62,BA63)</f>
        <v>0</v>
      </c>
      <c r="BB65" s="594">
        <f>SUM(BB60,BB61,BB62,BB63,BB64)</f>
        <v>0</v>
      </c>
      <c r="BC65" s="594">
        <f>SUM(BC60,BC61,BC62,BC63,BC64)</f>
        <v>0</v>
      </c>
      <c r="BD65" s="594">
        <f>SUM(BD60,BD61,BD62,BD63,BD64)</f>
        <v>0</v>
      </c>
      <c r="BE65" s="594">
        <f>SUM(BE60,BE61,BE62,BE63)</f>
        <v>0</v>
      </c>
      <c r="BF65" s="594">
        <f>SUM(BF60,BF61,BF62,BF63)</f>
        <v>0</v>
      </c>
      <c r="BG65" s="594">
        <f>SUM(BG60,BG61,BG62,BG63)</f>
        <v>0</v>
      </c>
      <c r="BH65" s="594">
        <f>SUM(BH60,BH61,BH62,BH63,BH64)</f>
        <v>0</v>
      </c>
      <c r="BI65" s="594">
        <f>SUM(BI60:BI63)</f>
        <v>19716750</v>
      </c>
      <c r="BJ65" s="594">
        <f>SUM(BJ60:BJ63)</f>
        <v>19716750</v>
      </c>
      <c r="BK65" s="594">
        <f>SUM(BK60:BK64)</f>
        <v>21754486</v>
      </c>
      <c r="BL65" s="594">
        <f>SUM(BL60:BL64)</f>
        <v>19091629</v>
      </c>
      <c r="BM65" s="660"/>
    </row>
    <row r="66" spans="1:64" ht="15.75">
      <c r="A66" s="85"/>
      <c r="B66" s="257"/>
      <c r="C66" s="253"/>
      <c r="D66" s="258" t="s">
        <v>33</v>
      </c>
      <c r="E66" s="595">
        <f aca="true" t="shared" si="24" ref="E66:BG66">SUM(E59+E65)</f>
        <v>40123348</v>
      </c>
      <c r="F66" s="595">
        <f t="shared" si="24"/>
        <v>40578513</v>
      </c>
      <c r="G66" s="595">
        <f t="shared" si="24"/>
        <v>42914466</v>
      </c>
      <c r="H66" s="595">
        <f>SUM(H59+H65)</f>
        <v>42914466</v>
      </c>
      <c r="I66" s="595">
        <f t="shared" si="24"/>
        <v>0</v>
      </c>
      <c r="J66" s="595">
        <f t="shared" si="24"/>
        <v>1529736</v>
      </c>
      <c r="K66" s="595">
        <f t="shared" si="24"/>
        <v>1529736</v>
      </c>
      <c r="L66" s="595">
        <f>SUM(L59+L65)</f>
        <v>0</v>
      </c>
      <c r="M66" s="595">
        <f t="shared" si="24"/>
        <v>3289879</v>
      </c>
      <c r="N66" s="595">
        <f t="shared" si="24"/>
        <v>7193715</v>
      </c>
      <c r="O66" s="595">
        <f t="shared" si="24"/>
        <v>7903017</v>
      </c>
      <c r="P66" s="595">
        <f>SUM(P59+P65)</f>
        <v>7903017</v>
      </c>
      <c r="Q66" s="595">
        <f t="shared" si="24"/>
        <v>43284493</v>
      </c>
      <c r="R66" s="595">
        <f t="shared" si="24"/>
        <v>43284493</v>
      </c>
      <c r="S66" s="595">
        <f t="shared" si="24"/>
        <v>50750046</v>
      </c>
      <c r="T66" s="595">
        <f>SUM(T59+T65)</f>
        <v>48692746</v>
      </c>
      <c r="U66" s="595">
        <f t="shared" si="24"/>
        <v>13300000</v>
      </c>
      <c r="V66" s="595">
        <f t="shared" si="24"/>
        <v>13300000</v>
      </c>
      <c r="W66" s="595">
        <f t="shared" si="24"/>
        <v>15644117</v>
      </c>
      <c r="X66" s="595">
        <f t="shared" si="24"/>
        <v>15237412</v>
      </c>
      <c r="Y66" s="595">
        <f t="shared" si="24"/>
        <v>38255762</v>
      </c>
      <c r="Z66" s="595">
        <f t="shared" si="24"/>
        <v>23018350</v>
      </c>
      <c r="AA66" s="595">
        <f t="shared" si="24"/>
        <v>28460351</v>
      </c>
      <c r="AB66" s="595">
        <f>SUM(AB59+AB65)</f>
        <v>25797494</v>
      </c>
      <c r="AC66" s="595">
        <f t="shared" si="24"/>
        <v>0</v>
      </c>
      <c r="AD66" s="595">
        <f t="shared" si="24"/>
        <v>0</v>
      </c>
      <c r="AE66" s="595">
        <f t="shared" si="24"/>
        <v>10005000</v>
      </c>
      <c r="AF66" s="595">
        <f>SUM(AF59+AF65)</f>
        <v>5305000</v>
      </c>
      <c r="AG66" s="595">
        <f t="shared" si="24"/>
        <v>0</v>
      </c>
      <c r="AH66" s="595">
        <f t="shared" si="24"/>
        <v>0</v>
      </c>
      <c r="AI66" s="595">
        <f t="shared" si="24"/>
        <v>0</v>
      </c>
      <c r="AJ66" s="595">
        <f>SUM(AJ59+AJ65)</f>
        <v>0</v>
      </c>
      <c r="AK66" s="595">
        <f t="shared" si="24"/>
        <v>0</v>
      </c>
      <c r="AL66" s="595">
        <f t="shared" si="24"/>
        <v>0</v>
      </c>
      <c r="AM66" s="595">
        <f t="shared" si="24"/>
        <v>0</v>
      </c>
      <c r="AN66" s="595">
        <f>SUM(AN59+AN65)</f>
        <v>0</v>
      </c>
      <c r="AO66" s="595">
        <f t="shared" si="24"/>
        <v>0</v>
      </c>
      <c r="AP66" s="595">
        <f t="shared" si="24"/>
        <v>0</v>
      </c>
      <c r="AQ66" s="595">
        <f t="shared" si="24"/>
        <v>0</v>
      </c>
      <c r="AR66" s="595">
        <f>SUM(AR59+AR65)</f>
        <v>0</v>
      </c>
      <c r="AS66" s="595">
        <f t="shared" si="24"/>
        <v>0</v>
      </c>
      <c r="AT66" s="595">
        <f t="shared" si="24"/>
        <v>0</v>
      </c>
      <c r="AU66" s="595">
        <f t="shared" si="24"/>
        <v>0</v>
      </c>
      <c r="AV66" s="595">
        <f>SUM(AV59+AV65)</f>
        <v>0</v>
      </c>
      <c r="AW66" s="595">
        <f t="shared" si="24"/>
        <v>60413118</v>
      </c>
      <c r="AX66" s="595">
        <f t="shared" si="24"/>
        <v>62450854</v>
      </c>
      <c r="AY66" s="595">
        <f t="shared" si="24"/>
        <v>62450854</v>
      </c>
      <c r="AZ66" s="595">
        <f>SUM(AZ59+AZ65)</f>
        <v>62450854</v>
      </c>
      <c r="BA66" s="595">
        <f>SUM(BA59+BA65)</f>
        <v>0</v>
      </c>
      <c r="BB66" s="595">
        <f>SUM(BB59+BB65)</f>
        <v>0</v>
      </c>
      <c r="BC66" s="595">
        <f>SUM(BC59+BC65)</f>
        <v>0</v>
      </c>
      <c r="BD66" s="595">
        <f>SUM(BD59+BD65)</f>
        <v>1547521</v>
      </c>
      <c r="BE66" s="595">
        <f t="shared" si="24"/>
        <v>0</v>
      </c>
      <c r="BF66" s="595">
        <f t="shared" si="24"/>
        <v>0</v>
      </c>
      <c r="BG66" s="595">
        <f t="shared" si="24"/>
        <v>0</v>
      </c>
      <c r="BH66" s="595">
        <f>SUM(BH59+BH65)</f>
        <v>0</v>
      </c>
      <c r="BI66" s="595">
        <f>SUM(E66,M66,Q66,U66,Y66,AC66,AG66,AK66,AO66,AS66,AW66,BE66)</f>
        <v>198666600</v>
      </c>
      <c r="BJ66" s="595">
        <f>SUM(F66,N66,R66,V66,Z66,AD66,AH66,AL66,AP66,AT66,AX66,BF66,J66)</f>
        <v>191355661</v>
      </c>
      <c r="BK66" s="595">
        <f>SUM(G66,O66,S66,W66,AA66,AE66,AI66,AM66,AQ66,AU66,AY66,BG66,K66)</f>
        <v>219657587</v>
      </c>
      <c r="BL66" s="595">
        <f>SUM(H66,P66,T66,X66,AB66,AF66,AJ66,AN66,AR66,AV66,AZ66,BH66,L66+BD66)</f>
        <v>209848510</v>
      </c>
    </row>
  </sheetData>
  <sheetProtection/>
  <mergeCells count="22">
    <mergeCell ref="BI1:BL2"/>
    <mergeCell ref="E1:P1"/>
    <mergeCell ref="AG1:AN1"/>
    <mergeCell ref="AO1:AV1"/>
    <mergeCell ref="A1:A2"/>
    <mergeCell ref="B1:B2"/>
    <mergeCell ref="C1:C2"/>
    <mergeCell ref="I2:L2"/>
    <mergeCell ref="M2:P2"/>
    <mergeCell ref="Q1:T2"/>
    <mergeCell ref="U1:X2"/>
    <mergeCell ref="Y1:AB2"/>
    <mergeCell ref="AC1:AF2"/>
    <mergeCell ref="D1:D2"/>
    <mergeCell ref="E2:G2"/>
    <mergeCell ref="AG2:AJ2"/>
    <mergeCell ref="AK2:AN2"/>
    <mergeCell ref="AO2:AR2"/>
    <mergeCell ref="AS2:AV2"/>
    <mergeCell ref="AW1:AZ2"/>
    <mergeCell ref="BA1:BD2"/>
    <mergeCell ref="BE1:B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  <headerFooter>
    <oddHeader>&amp;C&amp;"Arial CE,Félkövér" 3/2019. (V.31.) számú költségvetési rendelethez
ZALASZABAR KÖZSÉG  ÖNKORMÁNYZATA ÉS INTÉZMÉNYE 
2018. ÉVI BEVÉTELI ELŐIRÁNYZATAI 
&amp;"Arial CE,Normál" &amp;R&amp;A
&amp;P.oldal
adatok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R74"/>
  <sheetViews>
    <sheetView view="pageLayout" zoomScale="70" zoomScaleNormal="60" zoomScalePageLayoutView="70" workbookViewId="0" topLeftCell="A1">
      <selection activeCell="BK28" sqref="BK28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13.875" style="231" customWidth="1"/>
    <col min="4" max="4" width="10.625" style="231" bestFit="1" customWidth="1"/>
    <col min="5" max="10" width="16.25390625" style="0" customWidth="1"/>
    <col min="11" max="17" width="15.00390625" style="0" customWidth="1"/>
    <col min="18" max="24" width="17.75390625" style="0" customWidth="1"/>
    <col min="25" max="30" width="18.625" style="0" customWidth="1"/>
    <col min="31" max="36" width="12.75390625" style="0" customWidth="1"/>
    <col min="37" max="41" width="15.75390625" style="0" customWidth="1"/>
    <col min="42" max="46" width="16.125" style="0" customWidth="1"/>
    <col min="47" max="47" width="15.625" style="0" customWidth="1"/>
    <col min="48" max="48" width="14.75390625" style="0" customWidth="1"/>
    <col min="49" max="53" width="14.00390625" style="0" customWidth="1"/>
    <col min="54" max="61" width="13.25390625" style="0" customWidth="1"/>
    <col min="62" max="66" width="14.75390625" style="0" customWidth="1"/>
    <col min="67" max="69" width="20.00390625" style="0" customWidth="1"/>
    <col min="70" max="71" width="16.125" style="0" customWidth="1"/>
    <col min="72" max="72" width="18.125" style="0" customWidth="1"/>
    <col min="73" max="73" width="15.375" style="0" customWidth="1"/>
    <col min="74" max="77" width="18.00390625" style="0" customWidth="1"/>
    <col min="78" max="82" width="18.875" style="0" customWidth="1"/>
    <col min="83" max="83" width="18.125" style="0" customWidth="1"/>
    <col min="84" max="84" width="19.375" style="0" customWidth="1"/>
    <col min="85" max="85" width="23.00390625" style="0" customWidth="1"/>
    <col min="86" max="86" width="24.125" style="0" customWidth="1"/>
    <col min="87" max="87" width="10.75390625" style="0" customWidth="1"/>
    <col min="88" max="88" width="12.875" style="0" customWidth="1"/>
    <col min="89" max="92" width="10.75390625" style="0" customWidth="1"/>
    <col min="93" max="95" width="12.625" style="0" customWidth="1"/>
    <col min="96" max="97" width="6.875" style="0" customWidth="1"/>
    <col min="98" max="98" width="8.625" style="0" customWidth="1"/>
  </cols>
  <sheetData>
    <row r="1" spans="1:97" ht="60" customHeight="1">
      <c r="A1" s="740" t="s">
        <v>126</v>
      </c>
      <c r="B1" s="742" t="s">
        <v>13</v>
      </c>
      <c r="C1" s="230" t="s">
        <v>380</v>
      </c>
      <c r="D1" s="740" t="s">
        <v>410</v>
      </c>
      <c r="E1" s="739" t="s">
        <v>354</v>
      </c>
      <c r="F1" s="739"/>
      <c r="G1" s="739"/>
      <c r="H1" s="739"/>
      <c r="I1" s="739" t="s">
        <v>355</v>
      </c>
      <c r="J1" s="739"/>
      <c r="K1" s="739"/>
      <c r="L1" s="739"/>
      <c r="M1" s="739" t="s">
        <v>176</v>
      </c>
      <c r="N1" s="739"/>
      <c r="O1" s="739"/>
      <c r="P1" s="739"/>
      <c r="Q1" s="739" t="s">
        <v>177</v>
      </c>
      <c r="R1" s="739"/>
      <c r="S1" s="739"/>
      <c r="T1" s="739"/>
      <c r="U1" s="746" t="s">
        <v>356</v>
      </c>
      <c r="V1" s="747"/>
      <c r="W1" s="747"/>
      <c r="X1" s="747"/>
      <c r="Y1" s="747"/>
      <c r="Z1" s="747"/>
      <c r="AA1" s="747"/>
      <c r="AB1" s="747"/>
      <c r="AC1" s="747"/>
      <c r="AD1" s="747"/>
      <c r="AE1" s="747"/>
      <c r="AF1" s="747"/>
      <c r="AG1" s="747"/>
      <c r="AH1" s="747"/>
      <c r="AI1" s="747"/>
      <c r="AJ1" s="747"/>
      <c r="AK1" s="747"/>
      <c r="AL1" s="747"/>
      <c r="AM1" s="747"/>
      <c r="AN1" s="748"/>
      <c r="AO1" s="739" t="s">
        <v>988</v>
      </c>
      <c r="AP1" s="739"/>
      <c r="AQ1" s="739"/>
      <c r="AR1" s="739"/>
      <c r="AS1" s="739" t="s">
        <v>361</v>
      </c>
      <c r="AT1" s="739"/>
      <c r="AU1" s="739"/>
      <c r="AV1" s="739"/>
      <c r="AW1" s="739" t="s">
        <v>366</v>
      </c>
      <c r="AX1" s="739"/>
      <c r="AY1" s="739"/>
      <c r="AZ1" s="739"/>
      <c r="BA1" s="739"/>
      <c r="BB1" s="739"/>
      <c r="BC1" s="739"/>
      <c r="BD1" s="739"/>
      <c r="BE1" s="739"/>
      <c r="BF1" s="739"/>
      <c r="BG1" s="739"/>
      <c r="BH1" s="739"/>
      <c r="BI1" s="739"/>
      <c r="BJ1" s="739"/>
      <c r="BK1" s="739"/>
      <c r="BL1" s="739"/>
      <c r="BM1" s="739" t="s">
        <v>989</v>
      </c>
      <c r="BN1" s="739"/>
      <c r="BO1" s="739"/>
      <c r="BP1" s="739"/>
      <c r="BQ1" s="744" t="s">
        <v>83</v>
      </c>
      <c r="BR1" s="744"/>
      <c r="BS1" s="744"/>
      <c r="BT1" s="744"/>
      <c r="BU1" s="97"/>
      <c r="BV1" s="97"/>
      <c r="BW1" s="97"/>
      <c r="BX1" s="97"/>
      <c r="BY1" s="97"/>
      <c r="BZ1" s="97"/>
      <c r="CA1" s="97"/>
      <c r="CB1" s="97"/>
      <c r="CC1" s="97"/>
      <c r="CD1" s="97"/>
      <c r="CK1" s="738"/>
      <c r="CL1" s="738"/>
      <c r="CM1" s="738"/>
      <c r="CN1" s="738"/>
      <c r="CO1" s="738"/>
      <c r="CP1" s="738"/>
      <c r="CQ1" s="738"/>
      <c r="CR1" s="738"/>
      <c r="CS1" s="738"/>
    </row>
    <row r="2" spans="1:98" ht="49.5" customHeight="1">
      <c r="A2" s="741"/>
      <c r="B2" s="743"/>
      <c r="C2" s="230" t="s">
        <v>381</v>
      </c>
      <c r="D2" s="741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 t="s">
        <v>357</v>
      </c>
      <c r="V2" s="739"/>
      <c r="W2" s="739"/>
      <c r="X2" s="739"/>
      <c r="Y2" s="745" t="s">
        <v>358</v>
      </c>
      <c r="Z2" s="745"/>
      <c r="AA2" s="745"/>
      <c r="AB2" s="745"/>
      <c r="AC2" s="745" t="s">
        <v>359</v>
      </c>
      <c r="AD2" s="745"/>
      <c r="AE2" s="745"/>
      <c r="AF2" s="745"/>
      <c r="AG2" s="745" t="s">
        <v>360</v>
      </c>
      <c r="AH2" s="745"/>
      <c r="AI2" s="745"/>
      <c r="AJ2" s="745"/>
      <c r="AK2" s="745" t="s">
        <v>367</v>
      </c>
      <c r="AL2" s="745"/>
      <c r="AM2" s="745"/>
      <c r="AN2" s="745"/>
      <c r="AO2" s="739"/>
      <c r="AP2" s="739"/>
      <c r="AQ2" s="739"/>
      <c r="AR2" s="739"/>
      <c r="AS2" s="739"/>
      <c r="AT2" s="739"/>
      <c r="AU2" s="739"/>
      <c r="AV2" s="739"/>
      <c r="AW2" s="745" t="s">
        <v>362</v>
      </c>
      <c r="AX2" s="745"/>
      <c r="AY2" s="745"/>
      <c r="AZ2" s="745"/>
      <c r="BA2" s="745" t="s">
        <v>363</v>
      </c>
      <c r="BB2" s="745"/>
      <c r="BC2" s="745"/>
      <c r="BD2" s="745"/>
      <c r="BE2" s="745" t="s">
        <v>364</v>
      </c>
      <c r="BF2" s="745"/>
      <c r="BG2" s="745"/>
      <c r="BH2" s="745"/>
      <c r="BI2" s="745" t="s">
        <v>365</v>
      </c>
      <c r="BJ2" s="745"/>
      <c r="BK2" s="745"/>
      <c r="BL2" s="745"/>
      <c r="BM2" s="739"/>
      <c r="BN2" s="739"/>
      <c r="BO2" s="739"/>
      <c r="BP2" s="739"/>
      <c r="BQ2" s="744"/>
      <c r="BR2" s="744"/>
      <c r="BS2" s="744"/>
      <c r="BT2" s="744"/>
      <c r="CL2" s="75"/>
      <c r="CM2" s="75"/>
      <c r="CN2" s="75"/>
      <c r="CO2" s="75"/>
      <c r="CP2" s="75"/>
      <c r="CQ2" s="75"/>
      <c r="CR2" s="75"/>
      <c r="CS2" s="75"/>
      <c r="CT2" s="75"/>
    </row>
    <row r="3" spans="1:98" ht="49.5" customHeight="1">
      <c r="A3" s="325"/>
      <c r="B3" s="326"/>
      <c r="C3" s="230"/>
      <c r="D3" s="325"/>
      <c r="E3" s="661" t="s">
        <v>958</v>
      </c>
      <c r="F3" s="661" t="s">
        <v>959</v>
      </c>
      <c r="G3" s="661" t="s">
        <v>960</v>
      </c>
      <c r="H3" s="661" t="s">
        <v>882</v>
      </c>
      <c r="I3" s="661" t="s">
        <v>958</v>
      </c>
      <c r="J3" s="661" t="s">
        <v>959</v>
      </c>
      <c r="K3" s="661" t="s">
        <v>960</v>
      </c>
      <c r="L3" s="661" t="s">
        <v>882</v>
      </c>
      <c r="M3" s="661" t="s">
        <v>958</v>
      </c>
      <c r="N3" s="661" t="s">
        <v>959</v>
      </c>
      <c r="O3" s="661" t="s">
        <v>960</v>
      </c>
      <c r="P3" s="661" t="s">
        <v>882</v>
      </c>
      <c r="Q3" s="661" t="s">
        <v>958</v>
      </c>
      <c r="R3" s="661" t="s">
        <v>959</v>
      </c>
      <c r="S3" s="661" t="s">
        <v>960</v>
      </c>
      <c r="T3" s="661" t="s">
        <v>882</v>
      </c>
      <c r="U3" s="661" t="s">
        <v>958</v>
      </c>
      <c r="V3" s="661" t="s">
        <v>959</v>
      </c>
      <c r="W3" s="661" t="s">
        <v>960</v>
      </c>
      <c r="X3" s="661" t="s">
        <v>882</v>
      </c>
      <c r="Y3" s="661" t="s">
        <v>958</v>
      </c>
      <c r="Z3" s="661" t="s">
        <v>959</v>
      </c>
      <c r="AA3" s="661" t="s">
        <v>960</v>
      </c>
      <c r="AB3" s="661" t="s">
        <v>882</v>
      </c>
      <c r="AC3" s="661" t="s">
        <v>958</v>
      </c>
      <c r="AD3" s="661" t="s">
        <v>959</v>
      </c>
      <c r="AE3" s="661" t="s">
        <v>960</v>
      </c>
      <c r="AF3" s="661" t="s">
        <v>882</v>
      </c>
      <c r="AG3" s="661" t="s">
        <v>958</v>
      </c>
      <c r="AH3" s="661" t="s">
        <v>959</v>
      </c>
      <c r="AI3" s="661" t="s">
        <v>960</v>
      </c>
      <c r="AJ3" s="661" t="s">
        <v>882</v>
      </c>
      <c r="AK3" s="661" t="s">
        <v>958</v>
      </c>
      <c r="AL3" s="661" t="s">
        <v>959</v>
      </c>
      <c r="AM3" s="661" t="s">
        <v>960</v>
      </c>
      <c r="AN3" s="661" t="s">
        <v>882</v>
      </c>
      <c r="AO3" s="661" t="s">
        <v>958</v>
      </c>
      <c r="AP3" s="661" t="s">
        <v>959</v>
      </c>
      <c r="AQ3" s="661" t="s">
        <v>960</v>
      </c>
      <c r="AR3" s="661" t="s">
        <v>882</v>
      </c>
      <c r="AS3" s="661" t="s">
        <v>958</v>
      </c>
      <c r="AT3" s="661" t="s">
        <v>959</v>
      </c>
      <c r="AU3" s="661" t="s">
        <v>960</v>
      </c>
      <c r="AV3" s="661" t="s">
        <v>882</v>
      </c>
      <c r="AW3" s="661" t="s">
        <v>958</v>
      </c>
      <c r="AX3" s="661" t="s">
        <v>959</v>
      </c>
      <c r="AY3" s="661" t="s">
        <v>960</v>
      </c>
      <c r="AZ3" s="661" t="s">
        <v>882</v>
      </c>
      <c r="BA3" s="661" t="s">
        <v>958</v>
      </c>
      <c r="BB3" s="661" t="s">
        <v>959</v>
      </c>
      <c r="BC3" s="661" t="s">
        <v>960</v>
      </c>
      <c r="BD3" s="661" t="s">
        <v>882</v>
      </c>
      <c r="BE3" s="661" t="s">
        <v>958</v>
      </c>
      <c r="BF3" s="661" t="s">
        <v>959</v>
      </c>
      <c r="BG3" s="661" t="s">
        <v>960</v>
      </c>
      <c r="BH3" s="661" t="s">
        <v>882</v>
      </c>
      <c r="BI3" s="661" t="s">
        <v>958</v>
      </c>
      <c r="BJ3" s="661" t="s">
        <v>959</v>
      </c>
      <c r="BK3" s="661" t="s">
        <v>960</v>
      </c>
      <c r="BL3" s="661" t="s">
        <v>882</v>
      </c>
      <c r="BM3" s="661" t="s">
        <v>958</v>
      </c>
      <c r="BN3" s="661" t="s">
        <v>959</v>
      </c>
      <c r="BO3" s="661" t="s">
        <v>960</v>
      </c>
      <c r="BP3" s="661" t="s">
        <v>882</v>
      </c>
      <c r="BQ3" s="661" t="s">
        <v>958</v>
      </c>
      <c r="BR3" s="661" t="s">
        <v>959</v>
      </c>
      <c r="BS3" s="661" t="s">
        <v>960</v>
      </c>
      <c r="BT3" s="661" t="s">
        <v>882</v>
      </c>
      <c r="CL3" s="75"/>
      <c r="CM3" s="75"/>
      <c r="CN3" s="75"/>
      <c r="CO3" s="75"/>
      <c r="CP3" s="75"/>
      <c r="CQ3" s="75"/>
      <c r="CR3" s="75"/>
      <c r="CS3" s="75"/>
      <c r="CT3" s="75"/>
    </row>
    <row r="4" spans="1:98" ht="18" customHeight="1">
      <c r="A4" s="69"/>
      <c r="B4" s="103" t="s">
        <v>82</v>
      </c>
      <c r="C4" s="103"/>
      <c r="D4" s="10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4"/>
      <c r="BR4" s="4"/>
      <c r="BS4" s="4"/>
      <c r="BT4" s="4"/>
      <c r="CL4" s="76"/>
      <c r="CM4" s="76"/>
      <c r="CN4" s="76"/>
      <c r="CO4" s="76"/>
      <c r="CP4" s="76"/>
      <c r="CQ4" s="76"/>
      <c r="CR4" s="76"/>
      <c r="CS4" s="76"/>
      <c r="CT4" s="76"/>
    </row>
    <row r="5" spans="1:98" ht="18" customHeight="1">
      <c r="A5" s="104" t="s">
        <v>129</v>
      </c>
      <c r="B5" s="110" t="s">
        <v>130</v>
      </c>
      <c r="C5" s="110"/>
      <c r="D5" s="110"/>
      <c r="E5" s="581"/>
      <c r="F5" s="581"/>
      <c r="G5" s="581"/>
      <c r="H5" s="581"/>
      <c r="I5" s="596"/>
      <c r="J5" s="596"/>
      <c r="K5" s="596"/>
      <c r="L5" s="596"/>
      <c r="M5" s="596"/>
      <c r="N5" s="596"/>
      <c r="O5" s="596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597"/>
      <c r="AO5" s="597"/>
      <c r="AP5" s="597"/>
      <c r="AQ5" s="597"/>
      <c r="AR5" s="597"/>
      <c r="AS5" s="597"/>
      <c r="AT5" s="597"/>
      <c r="AU5" s="597"/>
      <c r="AV5" s="597"/>
      <c r="AW5" s="597"/>
      <c r="AX5" s="597"/>
      <c r="AY5" s="597"/>
      <c r="AZ5" s="597"/>
      <c r="BA5" s="597"/>
      <c r="BB5" s="597"/>
      <c r="BC5" s="597"/>
      <c r="BD5" s="597"/>
      <c r="BE5" s="597"/>
      <c r="BF5" s="597"/>
      <c r="BG5" s="597"/>
      <c r="BH5" s="597"/>
      <c r="BI5" s="597"/>
      <c r="BJ5" s="597"/>
      <c r="BK5" s="597"/>
      <c r="BL5" s="597"/>
      <c r="BM5" s="597"/>
      <c r="BN5" s="597"/>
      <c r="BO5" s="597"/>
      <c r="BP5" s="597"/>
      <c r="BQ5" s="596"/>
      <c r="BR5" s="596"/>
      <c r="BS5" s="596"/>
      <c r="BT5" s="596"/>
      <c r="CL5" s="76"/>
      <c r="CM5" s="76"/>
      <c r="CN5" s="76"/>
      <c r="CO5" s="76"/>
      <c r="CP5" s="76"/>
      <c r="CQ5" s="76"/>
      <c r="CR5" s="76"/>
      <c r="CS5" s="76"/>
      <c r="CT5" s="76"/>
    </row>
    <row r="6" spans="1:98" ht="19.5" customHeight="1">
      <c r="A6" s="133" t="s">
        <v>131</v>
      </c>
      <c r="B6" s="239" t="s">
        <v>132</v>
      </c>
      <c r="C6" s="239" t="s">
        <v>252</v>
      </c>
      <c r="D6" s="239">
        <v>1</v>
      </c>
      <c r="E6" s="585">
        <v>2473440</v>
      </c>
      <c r="F6" s="585">
        <f>2473440+240000</f>
        <v>2713440</v>
      </c>
      <c r="G6" s="585">
        <f>2473440+240000+5913</f>
        <v>2719353</v>
      </c>
      <c r="H6" s="585">
        <v>2642658</v>
      </c>
      <c r="I6" s="585">
        <v>482321</v>
      </c>
      <c r="J6" s="585">
        <v>482321</v>
      </c>
      <c r="K6" s="585">
        <f>482321-5913</f>
        <v>476408</v>
      </c>
      <c r="L6" s="585">
        <v>615673</v>
      </c>
      <c r="M6" s="585">
        <v>3711810</v>
      </c>
      <c r="N6" s="585">
        <v>3711810</v>
      </c>
      <c r="O6" s="585">
        <v>3711810</v>
      </c>
      <c r="P6" s="585">
        <v>3110270</v>
      </c>
      <c r="Q6" s="585"/>
      <c r="R6" s="585"/>
      <c r="S6" s="585"/>
      <c r="T6" s="585"/>
      <c r="U6" s="585"/>
      <c r="V6" s="585"/>
      <c r="W6" s="585"/>
      <c r="X6" s="585"/>
      <c r="Y6" s="585">
        <v>1540180</v>
      </c>
      <c r="Z6" s="585">
        <v>1540180</v>
      </c>
      <c r="AA6" s="585">
        <v>1540180</v>
      </c>
      <c r="AB6" s="585">
        <v>1275743</v>
      </c>
      <c r="AC6" s="585"/>
      <c r="AD6" s="585"/>
      <c r="AE6" s="585"/>
      <c r="AF6" s="585"/>
      <c r="AG6" s="585">
        <v>100000</v>
      </c>
      <c r="AH6" s="585">
        <v>100000</v>
      </c>
      <c r="AI6" s="585">
        <v>100000</v>
      </c>
      <c r="AJ6" s="585">
        <v>50000</v>
      </c>
      <c r="AK6" s="585">
        <v>1000000</v>
      </c>
      <c r="AL6" s="585">
        <f>1000000-240000</f>
        <v>760000</v>
      </c>
      <c r="AM6" s="585">
        <f>1000000-240000</f>
        <v>760000</v>
      </c>
      <c r="AN6" s="585"/>
      <c r="AO6" s="585"/>
      <c r="AP6" s="585"/>
      <c r="AQ6" s="585"/>
      <c r="AR6" s="585"/>
      <c r="AS6" s="585"/>
      <c r="AT6" s="585"/>
      <c r="AU6" s="585"/>
      <c r="AV6" s="585"/>
      <c r="AW6" s="585"/>
      <c r="AX6" s="585"/>
      <c r="AY6" s="585"/>
      <c r="AZ6" s="585"/>
      <c r="BA6" s="585"/>
      <c r="BB6" s="585"/>
      <c r="BC6" s="585"/>
      <c r="BD6" s="585"/>
      <c r="BE6" s="585"/>
      <c r="BF6" s="585"/>
      <c r="BG6" s="585"/>
      <c r="BH6" s="585"/>
      <c r="BI6" s="585"/>
      <c r="BJ6" s="585"/>
      <c r="BK6" s="585"/>
      <c r="BL6" s="585"/>
      <c r="BM6" s="585"/>
      <c r="BN6" s="585"/>
      <c r="BO6" s="585"/>
      <c r="BP6" s="585"/>
      <c r="BQ6" s="585">
        <f aca="true" t="shared" si="0" ref="BQ6:BT11">SUM(E6,I6,M6,Q6,U6,Y6,AC6,AG6,AK6,AO6,AS6,AW6,BA6,BE6,BI6,BM6)</f>
        <v>9307751</v>
      </c>
      <c r="BR6" s="585">
        <f t="shared" si="0"/>
        <v>9307751</v>
      </c>
      <c r="BS6" s="585">
        <f t="shared" si="0"/>
        <v>9307751</v>
      </c>
      <c r="BT6" s="585">
        <f t="shared" si="0"/>
        <v>7694344</v>
      </c>
      <c r="CL6" s="77"/>
      <c r="CM6" s="77"/>
      <c r="CN6" s="77"/>
      <c r="CO6" s="77"/>
      <c r="CP6" s="77"/>
      <c r="CQ6" s="77"/>
      <c r="CR6" s="77"/>
      <c r="CS6" s="77"/>
      <c r="CT6" s="77"/>
    </row>
    <row r="7" spans="1:98" ht="19.5" customHeight="1">
      <c r="A7" s="134" t="s">
        <v>382</v>
      </c>
      <c r="B7" s="596" t="s">
        <v>368</v>
      </c>
      <c r="C7" s="596" t="s">
        <v>252</v>
      </c>
      <c r="D7" s="596"/>
      <c r="E7" s="585"/>
      <c r="F7" s="585"/>
      <c r="G7" s="585"/>
      <c r="H7" s="585"/>
      <c r="I7" s="585"/>
      <c r="J7" s="585"/>
      <c r="K7" s="585"/>
      <c r="L7" s="585"/>
      <c r="M7" s="585">
        <v>70000</v>
      </c>
      <c r="N7" s="585">
        <v>70000</v>
      </c>
      <c r="O7" s="585">
        <v>70000</v>
      </c>
      <c r="P7" s="585">
        <v>0</v>
      </c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5"/>
      <c r="BH7" s="585"/>
      <c r="BI7" s="585"/>
      <c r="BJ7" s="585"/>
      <c r="BK7" s="585"/>
      <c r="BL7" s="585"/>
      <c r="BM7" s="585"/>
      <c r="BN7" s="585"/>
      <c r="BO7" s="585"/>
      <c r="BP7" s="585"/>
      <c r="BQ7" s="585">
        <f t="shared" si="0"/>
        <v>70000</v>
      </c>
      <c r="BR7" s="585">
        <f t="shared" si="0"/>
        <v>70000</v>
      </c>
      <c r="BS7" s="585">
        <f t="shared" si="0"/>
        <v>70000</v>
      </c>
      <c r="BT7" s="585">
        <f t="shared" si="0"/>
        <v>0</v>
      </c>
      <c r="CL7" s="77"/>
      <c r="CM7" s="77"/>
      <c r="CN7" s="77"/>
      <c r="CO7" s="77"/>
      <c r="CP7" s="77"/>
      <c r="CQ7" s="77"/>
      <c r="CR7" s="77"/>
      <c r="CS7" s="77"/>
      <c r="CT7" s="77"/>
    </row>
    <row r="8" spans="1:98" ht="19.5" customHeight="1">
      <c r="A8" s="235" t="s">
        <v>133</v>
      </c>
      <c r="B8" s="241" t="s">
        <v>369</v>
      </c>
      <c r="C8" s="596" t="s">
        <v>252</v>
      </c>
      <c r="D8" s="596"/>
      <c r="E8" s="585"/>
      <c r="F8" s="585"/>
      <c r="G8" s="585"/>
      <c r="H8" s="585"/>
      <c r="I8" s="585"/>
      <c r="J8" s="585"/>
      <c r="K8" s="585"/>
      <c r="L8" s="585"/>
      <c r="M8" s="585">
        <v>647700</v>
      </c>
      <c r="N8" s="585">
        <v>647700</v>
      </c>
      <c r="O8" s="585">
        <v>647700</v>
      </c>
      <c r="P8" s="585">
        <v>277878</v>
      </c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5"/>
      <c r="AO8" s="585"/>
      <c r="AP8" s="585"/>
      <c r="AQ8" s="585"/>
      <c r="AR8" s="585"/>
      <c r="AS8" s="585"/>
      <c r="AT8" s="585"/>
      <c r="AU8" s="585"/>
      <c r="AV8" s="585"/>
      <c r="AW8" s="585"/>
      <c r="AX8" s="585"/>
      <c r="AY8" s="585"/>
      <c r="AZ8" s="585"/>
      <c r="BA8" s="585"/>
      <c r="BB8" s="585"/>
      <c r="BC8" s="585"/>
      <c r="BD8" s="585"/>
      <c r="BE8" s="585"/>
      <c r="BF8" s="585"/>
      <c r="BG8" s="585"/>
      <c r="BH8" s="585"/>
      <c r="BI8" s="585"/>
      <c r="BJ8" s="585"/>
      <c r="BK8" s="585"/>
      <c r="BL8" s="585"/>
      <c r="BM8" s="585"/>
      <c r="BN8" s="585"/>
      <c r="BO8" s="585"/>
      <c r="BP8" s="585"/>
      <c r="BQ8" s="585">
        <f t="shared" si="0"/>
        <v>647700</v>
      </c>
      <c r="BR8" s="585">
        <f t="shared" si="0"/>
        <v>647700</v>
      </c>
      <c r="BS8" s="585">
        <f t="shared" si="0"/>
        <v>647700</v>
      </c>
      <c r="BT8" s="585">
        <f t="shared" si="0"/>
        <v>277878</v>
      </c>
      <c r="CL8" s="77"/>
      <c r="CM8" s="77"/>
      <c r="CN8" s="78"/>
      <c r="CO8" s="77"/>
      <c r="CP8" s="79"/>
      <c r="CQ8" s="78"/>
      <c r="CR8" s="77"/>
      <c r="CS8" s="77"/>
      <c r="CT8" s="78"/>
    </row>
    <row r="9" spans="1:98" ht="19.5" customHeight="1">
      <c r="A9" s="135" t="s">
        <v>134</v>
      </c>
      <c r="B9" s="598" t="s">
        <v>370</v>
      </c>
      <c r="C9" s="583" t="s">
        <v>252</v>
      </c>
      <c r="D9" s="583"/>
      <c r="E9" s="585"/>
      <c r="F9" s="585"/>
      <c r="G9" s="585"/>
      <c r="H9" s="585"/>
      <c r="I9" s="585"/>
      <c r="J9" s="585"/>
      <c r="K9" s="585"/>
      <c r="L9" s="585"/>
      <c r="M9" s="585">
        <v>1368100</v>
      </c>
      <c r="N9" s="585">
        <f>1368100+7692752+614350</f>
        <v>9675202</v>
      </c>
      <c r="O9" s="585">
        <f>1368100+7692752+614350</f>
        <v>9675202</v>
      </c>
      <c r="P9" s="585">
        <v>11461072</v>
      </c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  <c r="AI9" s="585"/>
      <c r="AJ9" s="585"/>
      <c r="AK9" s="585">
        <v>8991004</v>
      </c>
      <c r="AL9" s="585">
        <f>8991004-104790-13436-1057250</f>
        <v>7815528</v>
      </c>
      <c r="AM9" s="585">
        <f>8991004-104790-13436-1057250+10005000-208968-524980-196000</f>
        <v>16890580</v>
      </c>
      <c r="AN9" s="585"/>
      <c r="AO9" s="585"/>
      <c r="AP9" s="585">
        <f>13436+1231800+104790+1057250</f>
        <v>2407276</v>
      </c>
      <c r="AQ9" s="585">
        <f>13436+1231800+104790+1057250+720980</f>
        <v>3128256</v>
      </c>
      <c r="AR9" s="585">
        <f>2674676</f>
        <v>2674676</v>
      </c>
      <c r="AS9" s="585">
        <v>41803716</v>
      </c>
      <c r="AT9" s="585">
        <f>41803716-7692752-1231800-614350</f>
        <v>32264814</v>
      </c>
      <c r="AU9" s="585">
        <f>41803716-7692752-1231800-614350+1740209</f>
        <v>34005023</v>
      </c>
      <c r="AV9" s="585">
        <f>16310047+16995196</f>
        <v>33305243</v>
      </c>
      <c r="AW9" s="585"/>
      <c r="AX9" s="585"/>
      <c r="AY9" s="585"/>
      <c r="AZ9" s="585"/>
      <c r="BA9" s="585"/>
      <c r="BB9" s="585"/>
      <c r="BC9" s="585"/>
      <c r="BD9" s="585"/>
      <c r="BE9" s="585"/>
      <c r="BF9" s="585"/>
      <c r="BG9" s="585"/>
      <c r="BH9" s="585"/>
      <c r="BI9" s="585"/>
      <c r="BJ9" s="585"/>
      <c r="BK9" s="585"/>
      <c r="BL9" s="585"/>
      <c r="BM9" s="585"/>
      <c r="BN9" s="585"/>
      <c r="BO9" s="585"/>
      <c r="BP9" s="585"/>
      <c r="BQ9" s="585">
        <f t="shared" si="0"/>
        <v>52162820</v>
      </c>
      <c r="BR9" s="585">
        <f t="shared" si="0"/>
        <v>52162820</v>
      </c>
      <c r="BS9" s="585">
        <f t="shared" si="0"/>
        <v>63699061</v>
      </c>
      <c r="BT9" s="585">
        <f t="shared" si="0"/>
        <v>47440991</v>
      </c>
      <c r="CL9" s="80"/>
      <c r="CM9" s="80"/>
      <c r="CN9" s="78"/>
      <c r="CO9" s="81"/>
      <c r="CP9" s="81"/>
      <c r="CQ9" s="82"/>
      <c r="CR9" s="83"/>
      <c r="CS9" s="83"/>
      <c r="CT9" s="78"/>
    </row>
    <row r="10" spans="1:98" ht="19.5" customHeight="1">
      <c r="A10" s="135" t="s">
        <v>136</v>
      </c>
      <c r="B10" s="598" t="s">
        <v>990</v>
      </c>
      <c r="C10" s="583" t="s">
        <v>991</v>
      </c>
      <c r="D10" s="583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>
        <v>684900</v>
      </c>
      <c r="V10" s="585">
        <f>684900+12266</f>
        <v>697166</v>
      </c>
      <c r="W10" s="585">
        <f>684900+12266</f>
        <v>697166</v>
      </c>
      <c r="X10" s="585">
        <f>684900+12266</f>
        <v>697166</v>
      </c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>
        <v>-12266</v>
      </c>
      <c r="AM10" s="585">
        <f>-12266+40000</f>
        <v>27734</v>
      </c>
      <c r="AN10" s="585"/>
      <c r="AO10" s="585"/>
      <c r="AP10" s="585"/>
      <c r="AQ10" s="585"/>
      <c r="AR10" s="585"/>
      <c r="AS10" s="585"/>
      <c r="AT10" s="585"/>
      <c r="AU10" s="585"/>
      <c r="AV10" s="585"/>
      <c r="AW10" s="585"/>
      <c r="AX10" s="585"/>
      <c r="AY10" s="585"/>
      <c r="AZ10" s="585"/>
      <c r="BA10" s="585"/>
      <c r="BB10" s="585"/>
      <c r="BC10" s="585"/>
      <c r="BD10" s="585"/>
      <c r="BE10" s="585"/>
      <c r="BF10" s="585"/>
      <c r="BG10" s="585"/>
      <c r="BH10" s="585"/>
      <c r="BI10" s="585"/>
      <c r="BJ10" s="585"/>
      <c r="BK10" s="585"/>
      <c r="BL10" s="585"/>
      <c r="BM10" s="585"/>
      <c r="BN10" s="585"/>
      <c r="BO10" s="585"/>
      <c r="BP10" s="585"/>
      <c r="BQ10" s="585">
        <f t="shared" si="0"/>
        <v>684900</v>
      </c>
      <c r="BR10" s="585">
        <f t="shared" si="0"/>
        <v>684900</v>
      </c>
      <c r="BS10" s="585">
        <f t="shared" si="0"/>
        <v>724900</v>
      </c>
      <c r="BT10" s="585">
        <f t="shared" si="0"/>
        <v>697166</v>
      </c>
      <c r="CL10" s="80"/>
      <c r="CM10" s="80"/>
      <c r="CN10" s="78"/>
      <c r="CO10" s="81"/>
      <c r="CP10" s="81"/>
      <c r="CQ10" s="82"/>
      <c r="CR10" s="83"/>
      <c r="CS10" s="83"/>
      <c r="CT10" s="78"/>
    </row>
    <row r="11" spans="1:98" s="142" customFormat="1" ht="19.5" customHeight="1">
      <c r="A11" s="182" t="s">
        <v>171</v>
      </c>
      <c r="B11" s="599" t="s">
        <v>178</v>
      </c>
      <c r="C11" s="599" t="s">
        <v>252</v>
      </c>
      <c r="D11" s="599"/>
      <c r="E11" s="600">
        <v>0</v>
      </c>
      <c r="F11" s="600">
        <v>0</v>
      </c>
      <c r="G11" s="600">
        <v>0</v>
      </c>
      <c r="H11" s="600">
        <v>0</v>
      </c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>
        <v>1529736</v>
      </c>
      <c r="AM11" s="600">
        <v>1529736</v>
      </c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1">
        <v>1411250</v>
      </c>
      <c r="BN11" s="601">
        <f>2096150-684900</f>
        <v>1411250</v>
      </c>
      <c r="BO11" s="601">
        <f>2096150-684900</f>
        <v>1411250</v>
      </c>
      <c r="BP11" s="601">
        <f>2096150-684900</f>
        <v>1411250</v>
      </c>
      <c r="BQ11" s="585">
        <f t="shared" si="0"/>
        <v>1411250</v>
      </c>
      <c r="BR11" s="585">
        <f t="shared" si="0"/>
        <v>2940986</v>
      </c>
      <c r="BS11" s="585">
        <f t="shared" si="0"/>
        <v>2940986</v>
      </c>
      <c r="BT11" s="585">
        <f t="shared" si="0"/>
        <v>1411250</v>
      </c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 s="139"/>
      <c r="CM11" s="139"/>
      <c r="CN11" s="139"/>
      <c r="CO11" s="139"/>
      <c r="CP11" s="139"/>
      <c r="CQ11" s="139"/>
      <c r="CR11" s="139"/>
      <c r="CS11" s="139"/>
      <c r="CT11" s="139"/>
    </row>
    <row r="12" spans="1:98" ht="19.5" customHeight="1">
      <c r="A12" s="237"/>
      <c r="B12" s="240" t="s">
        <v>137</v>
      </c>
      <c r="C12" s="240"/>
      <c r="D12" s="588">
        <f aca="true" t="shared" si="1" ref="D12:BS12">SUM(D6:D11)</f>
        <v>1</v>
      </c>
      <c r="E12" s="588">
        <f t="shared" si="1"/>
        <v>2473440</v>
      </c>
      <c r="F12" s="588">
        <f t="shared" si="1"/>
        <v>2713440</v>
      </c>
      <c r="G12" s="588">
        <f t="shared" si="1"/>
        <v>2719353</v>
      </c>
      <c r="H12" s="588">
        <f>SUM(H6:H11)</f>
        <v>2642658</v>
      </c>
      <c r="I12" s="588">
        <f t="shared" si="1"/>
        <v>482321</v>
      </c>
      <c r="J12" s="588">
        <f t="shared" si="1"/>
        <v>482321</v>
      </c>
      <c r="K12" s="588">
        <f t="shared" si="1"/>
        <v>476408</v>
      </c>
      <c r="L12" s="588">
        <f>SUM(L6:L11)</f>
        <v>615673</v>
      </c>
      <c r="M12" s="588">
        <f t="shared" si="1"/>
        <v>5797610</v>
      </c>
      <c r="N12" s="588">
        <f t="shared" si="1"/>
        <v>14104712</v>
      </c>
      <c r="O12" s="588">
        <f t="shared" si="1"/>
        <v>14104712</v>
      </c>
      <c r="P12" s="588">
        <f>SUM(P6:P11)</f>
        <v>14849220</v>
      </c>
      <c r="Q12" s="588">
        <f t="shared" si="1"/>
        <v>0</v>
      </c>
      <c r="R12" s="588">
        <f t="shared" si="1"/>
        <v>0</v>
      </c>
      <c r="S12" s="588">
        <f t="shared" si="1"/>
        <v>0</v>
      </c>
      <c r="T12" s="588">
        <f>SUM(T6:T11)</f>
        <v>0</v>
      </c>
      <c r="U12" s="588">
        <f t="shared" si="1"/>
        <v>684900</v>
      </c>
      <c r="V12" s="588">
        <f t="shared" si="1"/>
        <v>697166</v>
      </c>
      <c r="W12" s="588">
        <f t="shared" si="1"/>
        <v>697166</v>
      </c>
      <c r="X12" s="588">
        <f>SUM(X6:X11)</f>
        <v>697166</v>
      </c>
      <c r="Y12" s="588">
        <f t="shared" si="1"/>
        <v>1540180</v>
      </c>
      <c r="Z12" s="588">
        <f t="shared" si="1"/>
        <v>1540180</v>
      </c>
      <c r="AA12" s="588">
        <f t="shared" si="1"/>
        <v>1540180</v>
      </c>
      <c r="AB12" s="588">
        <f t="shared" si="1"/>
        <v>1275743</v>
      </c>
      <c r="AC12" s="588">
        <f t="shared" si="1"/>
        <v>0</v>
      </c>
      <c r="AD12" s="588">
        <f t="shared" si="1"/>
        <v>0</v>
      </c>
      <c r="AE12" s="588">
        <f t="shared" si="1"/>
        <v>0</v>
      </c>
      <c r="AF12" s="588">
        <f>SUM(AF6:AF11)</f>
        <v>0</v>
      </c>
      <c r="AG12" s="588">
        <f t="shared" si="1"/>
        <v>100000</v>
      </c>
      <c r="AH12" s="588">
        <f t="shared" si="1"/>
        <v>100000</v>
      </c>
      <c r="AI12" s="588">
        <f t="shared" si="1"/>
        <v>100000</v>
      </c>
      <c r="AJ12" s="588">
        <f t="shared" si="1"/>
        <v>50000</v>
      </c>
      <c r="AK12" s="588">
        <f t="shared" si="1"/>
        <v>9991004</v>
      </c>
      <c r="AL12" s="588">
        <f t="shared" si="1"/>
        <v>10092998</v>
      </c>
      <c r="AM12" s="588">
        <f t="shared" si="1"/>
        <v>19208050</v>
      </c>
      <c r="AN12" s="588">
        <f>SUM(AN6:AN11)</f>
        <v>0</v>
      </c>
      <c r="AO12" s="588">
        <f t="shared" si="1"/>
        <v>0</v>
      </c>
      <c r="AP12" s="588">
        <f t="shared" si="1"/>
        <v>2407276</v>
      </c>
      <c r="AQ12" s="588">
        <f t="shared" si="1"/>
        <v>3128256</v>
      </c>
      <c r="AR12" s="588">
        <f>SUM(AR6:AR11)</f>
        <v>2674676</v>
      </c>
      <c r="AS12" s="588">
        <f t="shared" si="1"/>
        <v>41803716</v>
      </c>
      <c r="AT12" s="588">
        <f t="shared" si="1"/>
        <v>32264814</v>
      </c>
      <c r="AU12" s="588">
        <f t="shared" si="1"/>
        <v>34005023</v>
      </c>
      <c r="AV12" s="588">
        <f>SUM(AV6:AV11)</f>
        <v>33305243</v>
      </c>
      <c r="AW12" s="588">
        <f t="shared" si="1"/>
        <v>0</v>
      </c>
      <c r="AX12" s="588">
        <f t="shared" si="1"/>
        <v>0</v>
      </c>
      <c r="AY12" s="588">
        <f t="shared" si="1"/>
        <v>0</v>
      </c>
      <c r="AZ12" s="588">
        <f>SUM(AZ6:AZ11)</f>
        <v>0</v>
      </c>
      <c r="BA12" s="588">
        <f t="shared" si="1"/>
        <v>0</v>
      </c>
      <c r="BB12" s="588">
        <f t="shared" si="1"/>
        <v>0</v>
      </c>
      <c r="BC12" s="588">
        <f t="shared" si="1"/>
        <v>0</v>
      </c>
      <c r="BD12" s="588">
        <f>SUM(BD6:BD11)</f>
        <v>0</v>
      </c>
      <c r="BE12" s="588">
        <f t="shared" si="1"/>
        <v>0</v>
      </c>
      <c r="BF12" s="588">
        <f t="shared" si="1"/>
        <v>0</v>
      </c>
      <c r="BG12" s="588">
        <f t="shared" si="1"/>
        <v>0</v>
      </c>
      <c r="BH12" s="588">
        <f>SUM(BH6:BH11)</f>
        <v>0</v>
      </c>
      <c r="BI12" s="588">
        <f t="shared" si="1"/>
        <v>0</v>
      </c>
      <c r="BJ12" s="588">
        <f t="shared" si="1"/>
        <v>0</v>
      </c>
      <c r="BK12" s="588">
        <f t="shared" si="1"/>
        <v>0</v>
      </c>
      <c r="BL12" s="588">
        <f>SUM(BL6:BL11)</f>
        <v>0</v>
      </c>
      <c r="BM12" s="588">
        <f t="shared" si="1"/>
        <v>1411250</v>
      </c>
      <c r="BN12" s="588">
        <f t="shared" si="1"/>
        <v>1411250</v>
      </c>
      <c r="BO12" s="588">
        <f t="shared" si="1"/>
        <v>1411250</v>
      </c>
      <c r="BP12" s="588">
        <f>SUM(BP6:BP11)</f>
        <v>1411250</v>
      </c>
      <c r="BQ12" s="588">
        <f t="shared" si="1"/>
        <v>64284421</v>
      </c>
      <c r="BR12" s="588">
        <f t="shared" si="1"/>
        <v>65814157</v>
      </c>
      <c r="BS12" s="588">
        <f t="shared" si="1"/>
        <v>77390398</v>
      </c>
      <c r="BT12" s="588">
        <f>SUM(BT6:BT11)</f>
        <v>57521629</v>
      </c>
      <c r="CL12" s="80"/>
      <c r="CM12" s="80"/>
      <c r="CN12" s="78"/>
      <c r="CO12" s="81"/>
      <c r="CP12" s="81"/>
      <c r="CQ12" s="82"/>
      <c r="CR12" s="83"/>
      <c r="CS12" s="83"/>
      <c r="CT12" s="78"/>
    </row>
    <row r="13" spans="1:98" ht="19.5" customHeight="1">
      <c r="A13" s="602"/>
      <c r="B13" s="241"/>
      <c r="C13" s="241"/>
      <c r="D13" s="241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6"/>
      <c r="Z13" s="586"/>
      <c r="AA13" s="586"/>
      <c r="AB13" s="586"/>
      <c r="AC13" s="586"/>
      <c r="AD13" s="586"/>
      <c r="AE13" s="586"/>
      <c r="AF13" s="586"/>
      <c r="AG13" s="586"/>
      <c r="AH13" s="586"/>
      <c r="AI13" s="586"/>
      <c r="AJ13" s="586"/>
      <c r="AK13" s="586"/>
      <c r="AL13" s="586"/>
      <c r="AM13" s="586"/>
      <c r="AN13" s="586"/>
      <c r="AO13" s="586"/>
      <c r="AP13" s="586"/>
      <c r="AQ13" s="586"/>
      <c r="AR13" s="586"/>
      <c r="AS13" s="586"/>
      <c r="AT13" s="586"/>
      <c r="AU13" s="586"/>
      <c r="AV13" s="586"/>
      <c r="AW13" s="586"/>
      <c r="AX13" s="586"/>
      <c r="AY13" s="586"/>
      <c r="AZ13" s="586"/>
      <c r="BA13" s="586"/>
      <c r="BB13" s="586"/>
      <c r="BC13" s="586"/>
      <c r="BD13" s="586"/>
      <c r="BE13" s="586"/>
      <c r="BF13" s="586"/>
      <c r="BG13" s="586"/>
      <c r="BH13" s="586"/>
      <c r="BI13" s="586"/>
      <c r="BJ13" s="586"/>
      <c r="BK13" s="586"/>
      <c r="BL13" s="586"/>
      <c r="BM13" s="586"/>
      <c r="BN13" s="586"/>
      <c r="BO13" s="586"/>
      <c r="BP13" s="586"/>
      <c r="BQ13" s="586">
        <f aca="true" t="shared" si="2" ref="BQ13:BT19">SUM(E13,I13,M13,Q13,U13,Y13,AC13,AG13,AK13,AO13,AS13,AW13,BA13,BE13,BI13,BM13)</f>
        <v>0</v>
      </c>
      <c r="BR13" s="586">
        <f t="shared" si="2"/>
        <v>0</v>
      </c>
      <c r="BS13" s="586">
        <f t="shared" si="2"/>
        <v>0</v>
      </c>
      <c r="BT13" s="586">
        <f t="shared" si="2"/>
        <v>0</v>
      </c>
      <c r="CL13" s="77"/>
      <c r="CM13" s="77"/>
      <c r="CN13" s="78"/>
      <c r="CO13" s="77"/>
      <c r="CP13" s="79"/>
      <c r="CQ13" s="78"/>
      <c r="CR13" s="77"/>
      <c r="CS13" s="77"/>
      <c r="CT13" s="78"/>
    </row>
    <row r="14" spans="1:122" ht="19.5" customHeight="1">
      <c r="A14" s="110" t="s">
        <v>138</v>
      </c>
      <c r="B14" s="242" t="s">
        <v>139</v>
      </c>
      <c r="C14" s="242"/>
      <c r="D14" s="242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6">
        <f t="shared" si="2"/>
        <v>0</v>
      </c>
      <c r="BR14" s="586">
        <f t="shared" si="2"/>
        <v>0</v>
      </c>
      <c r="BS14" s="586">
        <f t="shared" si="2"/>
        <v>0</v>
      </c>
      <c r="BT14" s="586">
        <f t="shared" si="2"/>
        <v>0</v>
      </c>
      <c r="CL14" s="77"/>
      <c r="CM14" s="77"/>
      <c r="CN14" s="78"/>
      <c r="CO14" s="77"/>
      <c r="CP14" s="81"/>
      <c r="CQ14" s="78"/>
      <c r="CR14" s="77"/>
      <c r="CS14" s="77"/>
      <c r="CT14" s="78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</row>
    <row r="15" spans="1:98" s="142" customFormat="1" ht="19.5" customHeight="1">
      <c r="A15" s="137" t="s">
        <v>992</v>
      </c>
      <c r="B15" s="603" t="s">
        <v>993</v>
      </c>
      <c r="C15" s="603" t="s">
        <v>252</v>
      </c>
      <c r="D15" s="603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604"/>
      <c r="AP15" s="604"/>
      <c r="AQ15" s="604"/>
      <c r="AR15" s="604"/>
      <c r="AS15" s="604"/>
      <c r="AT15" s="604"/>
      <c r="AU15" s="604"/>
      <c r="AV15" s="604"/>
      <c r="AW15" s="604"/>
      <c r="AX15" s="604"/>
      <c r="AY15" s="604"/>
      <c r="AZ15" s="604"/>
      <c r="BA15" s="604"/>
      <c r="BB15" s="604"/>
      <c r="BC15" s="604"/>
      <c r="BD15" s="604"/>
      <c r="BE15" s="604"/>
      <c r="BF15" s="604"/>
      <c r="BG15" s="604"/>
      <c r="BH15" s="604"/>
      <c r="BI15" s="604"/>
      <c r="BJ15" s="604"/>
      <c r="BK15" s="604"/>
      <c r="BL15" s="604"/>
      <c r="BM15" s="604"/>
      <c r="BN15" s="604"/>
      <c r="BO15" s="604"/>
      <c r="BP15" s="604"/>
      <c r="BQ15" s="586">
        <f t="shared" si="2"/>
        <v>0</v>
      </c>
      <c r="BR15" s="586">
        <f t="shared" si="2"/>
        <v>0</v>
      </c>
      <c r="BS15" s="586">
        <f t="shared" si="2"/>
        <v>0</v>
      </c>
      <c r="BT15" s="586">
        <f t="shared" si="2"/>
        <v>0</v>
      </c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 s="139"/>
      <c r="CM15" s="139"/>
      <c r="CN15" s="138"/>
      <c r="CO15" s="139"/>
      <c r="CP15" s="140"/>
      <c r="CQ15" s="138"/>
      <c r="CR15" s="139"/>
      <c r="CS15" s="139"/>
      <c r="CT15" s="138"/>
    </row>
    <row r="16" spans="1:98" ht="19.5" customHeight="1">
      <c r="A16" s="137" t="s">
        <v>140</v>
      </c>
      <c r="B16" s="603" t="s">
        <v>141</v>
      </c>
      <c r="C16" s="596" t="s">
        <v>252</v>
      </c>
      <c r="D16" s="596">
        <v>8</v>
      </c>
      <c r="E16" s="581">
        <v>1222950</v>
      </c>
      <c r="F16" s="581">
        <f>1222950+3267164</f>
        <v>4490114</v>
      </c>
      <c r="G16" s="581">
        <f>1222950+3267164+464752</f>
        <v>4954866</v>
      </c>
      <c r="H16" s="581">
        <v>4504627</v>
      </c>
      <c r="I16" s="581">
        <v>166929</v>
      </c>
      <c r="J16" s="581">
        <f>166929+636672</f>
        <v>803601</v>
      </c>
      <c r="K16" s="581">
        <f>166929+636672+90627</f>
        <v>894228</v>
      </c>
      <c r="L16" s="581">
        <v>748337</v>
      </c>
      <c r="M16" s="581">
        <v>45720</v>
      </c>
      <c r="N16" s="581">
        <v>45720</v>
      </c>
      <c r="O16" s="581">
        <v>45720</v>
      </c>
      <c r="P16" s="581">
        <v>143079</v>
      </c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6">
        <f t="shared" si="2"/>
        <v>1435599</v>
      </c>
      <c r="BR16" s="586">
        <f t="shared" si="2"/>
        <v>5339435</v>
      </c>
      <c r="BS16" s="586">
        <f t="shared" si="2"/>
        <v>5894814</v>
      </c>
      <c r="BT16" s="586">
        <f t="shared" si="2"/>
        <v>5396043</v>
      </c>
      <c r="CL16" s="77"/>
      <c r="CM16" s="77"/>
      <c r="CN16" s="78"/>
      <c r="CO16" s="77"/>
      <c r="CP16" s="79"/>
      <c r="CQ16" s="78"/>
      <c r="CR16" s="77"/>
      <c r="CS16" s="77"/>
      <c r="CT16" s="78"/>
    </row>
    <row r="17" spans="1:98" ht="19.5" customHeight="1">
      <c r="A17" s="137" t="s">
        <v>339</v>
      </c>
      <c r="B17" s="603" t="s">
        <v>340</v>
      </c>
      <c r="C17" s="603" t="s">
        <v>252</v>
      </c>
      <c r="D17" s="603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  <c r="AB17" s="600"/>
      <c r="AC17" s="600"/>
      <c r="AD17" s="600"/>
      <c r="AE17" s="600"/>
      <c r="AF17" s="600"/>
      <c r="AG17" s="600"/>
      <c r="AH17" s="600"/>
      <c r="AI17" s="600"/>
      <c r="AJ17" s="600"/>
      <c r="AK17" s="600"/>
      <c r="AL17" s="600"/>
      <c r="AM17" s="600"/>
      <c r="AN17" s="600"/>
      <c r="AO17" s="600"/>
      <c r="AP17" s="600"/>
      <c r="AQ17" s="600"/>
      <c r="AR17" s="600"/>
      <c r="AS17" s="600"/>
      <c r="AT17" s="600"/>
      <c r="AU17" s="600"/>
      <c r="AV17" s="600"/>
      <c r="AW17" s="600"/>
      <c r="AX17" s="600"/>
      <c r="AY17" s="600"/>
      <c r="AZ17" s="600"/>
      <c r="BA17" s="600"/>
      <c r="BB17" s="600"/>
      <c r="BC17" s="600"/>
      <c r="BD17" s="600"/>
      <c r="BE17" s="600"/>
      <c r="BF17" s="600"/>
      <c r="BG17" s="600"/>
      <c r="BH17" s="600"/>
      <c r="BI17" s="600"/>
      <c r="BJ17" s="600"/>
      <c r="BK17" s="600"/>
      <c r="BL17" s="600"/>
      <c r="BM17" s="600"/>
      <c r="BN17" s="600"/>
      <c r="BO17" s="600"/>
      <c r="BP17" s="600"/>
      <c r="BQ17" s="586">
        <f t="shared" si="2"/>
        <v>0</v>
      </c>
      <c r="BR17" s="586">
        <f t="shared" si="2"/>
        <v>0</v>
      </c>
      <c r="BS17" s="586">
        <f t="shared" si="2"/>
        <v>0</v>
      </c>
      <c r="BT17" s="586">
        <f t="shared" si="2"/>
        <v>0</v>
      </c>
      <c r="CL17" s="76"/>
      <c r="CM17" s="76"/>
      <c r="CN17" s="78"/>
      <c r="CO17" s="77"/>
      <c r="CP17" s="77"/>
      <c r="CQ17" s="78"/>
      <c r="CR17" s="76"/>
      <c r="CS17" s="76"/>
      <c r="CT17" s="78"/>
    </row>
    <row r="18" spans="1:98" ht="19.5" customHeight="1">
      <c r="A18" s="134" t="s">
        <v>142</v>
      </c>
      <c r="B18" s="596" t="s">
        <v>371</v>
      </c>
      <c r="C18" s="596" t="s">
        <v>252</v>
      </c>
      <c r="D18" s="596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>
        <v>572277</v>
      </c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1"/>
      <c r="AI18" s="581"/>
      <c r="AJ18" s="581"/>
      <c r="AK18" s="581">
        <v>7386927</v>
      </c>
      <c r="AL18" s="581">
        <v>7386927</v>
      </c>
      <c r="AM18" s="581">
        <f>7386927+7442693+4000000-1122886+474678+22860</f>
        <v>18204272</v>
      </c>
      <c r="AN18" s="581"/>
      <c r="AO18" s="581"/>
      <c r="AP18" s="581"/>
      <c r="AQ18" s="581"/>
      <c r="AR18" s="581"/>
      <c r="AS18" s="581">
        <v>47232956</v>
      </c>
      <c r="AT18" s="581">
        <v>47232956</v>
      </c>
      <c r="AU18" s="581">
        <v>47232956</v>
      </c>
      <c r="AV18" s="581">
        <f>39558200</f>
        <v>39558200</v>
      </c>
      <c r="AW18" s="581"/>
      <c r="AX18" s="581"/>
      <c r="AY18" s="581"/>
      <c r="AZ18" s="581"/>
      <c r="BA18" s="581"/>
      <c r="BB18" s="581"/>
      <c r="BC18" s="581"/>
      <c r="BD18" s="581"/>
      <c r="BE18" s="581"/>
      <c r="BF18" s="581"/>
      <c r="BG18" s="581"/>
      <c r="BH18" s="581"/>
      <c r="BI18" s="581"/>
      <c r="BJ18" s="581"/>
      <c r="BK18" s="581"/>
      <c r="BL18" s="581"/>
      <c r="BM18" s="581"/>
      <c r="BN18" s="581"/>
      <c r="BO18" s="581"/>
      <c r="BP18" s="581"/>
      <c r="BQ18" s="586">
        <f t="shared" si="2"/>
        <v>54619883</v>
      </c>
      <c r="BR18" s="586">
        <f t="shared" si="2"/>
        <v>54619883</v>
      </c>
      <c r="BS18" s="586">
        <f t="shared" si="2"/>
        <v>65437228</v>
      </c>
      <c r="BT18" s="586">
        <f t="shared" si="2"/>
        <v>40130477</v>
      </c>
      <c r="CL18" s="76"/>
      <c r="CM18" s="76"/>
      <c r="CN18" s="78"/>
      <c r="CO18" s="77"/>
      <c r="CP18" s="77"/>
      <c r="CQ18" s="78"/>
      <c r="CR18" s="76"/>
      <c r="CS18" s="76"/>
      <c r="CT18" s="78"/>
    </row>
    <row r="19" spans="1:98" ht="19.5" customHeight="1">
      <c r="A19" s="134" t="s">
        <v>144</v>
      </c>
      <c r="B19" s="596" t="s">
        <v>70</v>
      </c>
      <c r="C19" s="596" t="s">
        <v>252</v>
      </c>
      <c r="D19" s="596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  <c r="AF19" s="581"/>
      <c r="AG19" s="581"/>
      <c r="AH19" s="581"/>
      <c r="AI19" s="581"/>
      <c r="AJ19" s="581"/>
      <c r="AK19" s="581"/>
      <c r="AL19" s="581"/>
      <c r="AM19" s="581"/>
      <c r="AN19" s="581"/>
      <c r="AO19" s="581"/>
      <c r="AP19" s="581"/>
      <c r="AQ19" s="581"/>
      <c r="AR19" s="581"/>
      <c r="AS19" s="581"/>
      <c r="AT19" s="581"/>
      <c r="AU19" s="581"/>
      <c r="AV19" s="581"/>
      <c r="AW19" s="581"/>
      <c r="AX19" s="581"/>
      <c r="AY19" s="581"/>
      <c r="AZ19" s="581"/>
      <c r="BA19" s="581"/>
      <c r="BB19" s="581"/>
      <c r="BC19" s="581"/>
      <c r="BD19" s="581"/>
      <c r="BE19" s="581"/>
      <c r="BF19" s="581"/>
      <c r="BG19" s="581"/>
      <c r="BH19" s="581"/>
      <c r="BI19" s="581"/>
      <c r="BJ19" s="581"/>
      <c r="BK19" s="581"/>
      <c r="BL19" s="581"/>
      <c r="BM19" s="581"/>
      <c r="BN19" s="581"/>
      <c r="BO19" s="581"/>
      <c r="BP19" s="581"/>
      <c r="BQ19" s="586">
        <f t="shared" si="2"/>
        <v>0</v>
      </c>
      <c r="BR19" s="586">
        <f t="shared" si="2"/>
        <v>0</v>
      </c>
      <c r="BS19" s="586">
        <f t="shared" si="2"/>
        <v>0</v>
      </c>
      <c r="BT19" s="586">
        <f t="shared" si="2"/>
        <v>0</v>
      </c>
      <c r="CL19" s="76"/>
      <c r="CM19" s="76"/>
      <c r="CN19" s="78"/>
      <c r="CO19" s="77"/>
      <c r="CP19" s="77"/>
      <c r="CQ19" s="78"/>
      <c r="CR19" s="76"/>
      <c r="CS19" s="76"/>
      <c r="CT19" s="78"/>
    </row>
    <row r="20" spans="1:98" ht="19.5" customHeight="1">
      <c r="A20" s="237"/>
      <c r="B20" s="605" t="s">
        <v>145</v>
      </c>
      <c r="C20" s="605"/>
      <c r="D20" s="588">
        <f aca="true" t="shared" si="3" ref="D20:BO20">SUM(D15:D19)</f>
        <v>8</v>
      </c>
      <c r="E20" s="588">
        <f t="shared" si="3"/>
        <v>1222950</v>
      </c>
      <c r="F20" s="588">
        <f t="shared" si="3"/>
        <v>4490114</v>
      </c>
      <c r="G20" s="588">
        <f t="shared" si="3"/>
        <v>4954866</v>
      </c>
      <c r="H20" s="588">
        <f>SUM(H15:H19)</f>
        <v>4504627</v>
      </c>
      <c r="I20" s="588">
        <f t="shared" si="3"/>
        <v>166929</v>
      </c>
      <c r="J20" s="588">
        <f t="shared" si="3"/>
        <v>803601</v>
      </c>
      <c r="K20" s="588">
        <f t="shared" si="3"/>
        <v>894228</v>
      </c>
      <c r="L20" s="588">
        <f>SUM(L15:L19)</f>
        <v>748337</v>
      </c>
      <c r="M20" s="588">
        <f t="shared" si="3"/>
        <v>45720</v>
      </c>
      <c r="N20" s="588">
        <f t="shared" si="3"/>
        <v>45720</v>
      </c>
      <c r="O20" s="588">
        <f t="shared" si="3"/>
        <v>45720</v>
      </c>
      <c r="P20" s="588">
        <f>SUM(P15:P19)</f>
        <v>715356</v>
      </c>
      <c r="Q20" s="588">
        <f t="shared" si="3"/>
        <v>0</v>
      </c>
      <c r="R20" s="588">
        <f t="shared" si="3"/>
        <v>0</v>
      </c>
      <c r="S20" s="588">
        <f t="shared" si="3"/>
        <v>0</v>
      </c>
      <c r="T20" s="588">
        <f>SUM(T15:T19)</f>
        <v>0</v>
      </c>
      <c r="U20" s="588">
        <f t="shared" si="3"/>
        <v>0</v>
      </c>
      <c r="V20" s="588">
        <f t="shared" si="3"/>
        <v>0</v>
      </c>
      <c r="W20" s="588">
        <f t="shared" si="3"/>
        <v>0</v>
      </c>
      <c r="X20" s="588">
        <f>SUM(X15:X19)</f>
        <v>0</v>
      </c>
      <c r="Y20" s="588">
        <f t="shared" si="3"/>
        <v>0</v>
      </c>
      <c r="Z20" s="588">
        <f t="shared" si="3"/>
        <v>0</v>
      </c>
      <c r="AA20" s="588">
        <f t="shared" si="3"/>
        <v>0</v>
      </c>
      <c r="AB20" s="588"/>
      <c r="AC20" s="588">
        <f t="shared" si="3"/>
        <v>0</v>
      </c>
      <c r="AD20" s="588">
        <f t="shared" si="3"/>
        <v>0</v>
      </c>
      <c r="AE20" s="588">
        <f t="shared" si="3"/>
        <v>0</v>
      </c>
      <c r="AF20" s="588">
        <f>SUM(AF15:AF19)</f>
        <v>0</v>
      </c>
      <c r="AG20" s="588">
        <f t="shared" si="3"/>
        <v>0</v>
      </c>
      <c r="AH20" s="588">
        <f t="shared" si="3"/>
        <v>0</v>
      </c>
      <c r="AI20" s="588">
        <f t="shared" si="3"/>
        <v>0</v>
      </c>
      <c r="AJ20" s="588"/>
      <c r="AK20" s="588">
        <f t="shared" si="3"/>
        <v>7386927</v>
      </c>
      <c r="AL20" s="588">
        <f t="shared" si="3"/>
        <v>7386927</v>
      </c>
      <c r="AM20" s="588">
        <f t="shared" si="3"/>
        <v>18204272</v>
      </c>
      <c r="AN20" s="588">
        <f>SUM(AN15:AN19)</f>
        <v>0</v>
      </c>
      <c r="AO20" s="588">
        <f t="shared" si="3"/>
        <v>0</v>
      </c>
      <c r="AP20" s="588">
        <f t="shared" si="3"/>
        <v>0</v>
      </c>
      <c r="AQ20" s="588">
        <f t="shared" si="3"/>
        <v>0</v>
      </c>
      <c r="AR20" s="588">
        <f>SUM(AR15:AR19)</f>
        <v>0</v>
      </c>
      <c r="AS20" s="588">
        <f t="shared" si="3"/>
        <v>47232956</v>
      </c>
      <c r="AT20" s="588">
        <f t="shared" si="3"/>
        <v>47232956</v>
      </c>
      <c r="AU20" s="588">
        <f t="shared" si="3"/>
        <v>47232956</v>
      </c>
      <c r="AV20" s="588">
        <f>SUM(AV15:AV19)</f>
        <v>39558200</v>
      </c>
      <c r="AW20" s="588">
        <f t="shared" si="3"/>
        <v>0</v>
      </c>
      <c r="AX20" s="588">
        <f t="shared" si="3"/>
        <v>0</v>
      </c>
      <c r="AY20" s="588">
        <f t="shared" si="3"/>
        <v>0</v>
      </c>
      <c r="AZ20" s="588">
        <f>SUM(AZ15:AZ19)</f>
        <v>0</v>
      </c>
      <c r="BA20" s="588">
        <f t="shared" si="3"/>
        <v>0</v>
      </c>
      <c r="BB20" s="588">
        <f t="shared" si="3"/>
        <v>0</v>
      </c>
      <c r="BC20" s="588">
        <f t="shared" si="3"/>
        <v>0</v>
      </c>
      <c r="BD20" s="588">
        <f>SUM(BD15:BD19)</f>
        <v>0</v>
      </c>
      <c r="BE20" s="588">
        <f t="shared" si="3"/>
        <v>0</v>
      </c>
      <c r="BF20" s="588">
        <f t="shared" si="3"/>
        <v>0</v>
      </c>
      <c r="BG20" s="588">
        <f t="shared" si="3"/>
        <v>0</v>
      </c>
      <c r="BH20" s="588">
        <f>SUM(BH15:BH19)</f>
        <v>0</v>
      </c>
      <c r="BI20" s="588">
        <f t="shared" si="3"/>
        <v>0</v>
      </c>
      <c r="BJ20" s="588">
        <f t="shared" si="3"/>
        <v>0</v>
      </c>
      <c r="BK20" s="588">
        <f t="shared" si="3"/>
        <v>0</v>
      </c>
      <c r="BL20" s="588">
        <f>SUM(BL15:BL19)</f>
        <v>0</v>
      </c>
      <c r="BM20" s="588">
        <f t="shared" si="3"/>
        <v>0</v>
      </c>
      <c r="BN20" s="588">
        <f t="shared" si="3"/>
        <v>0</v>
      </c>
      <c r="BO20" s="588">
        <f t="shared" si="3"/>
        <v>0</v>
      </c>
      <c r="BP20" s="588">
        <f>SUM(BP15:BP19)</f>
        <v>0</v>
      </c>
      <c r="BQ20" s="588">
        <f>SUM(BQ13:BQ19)</f>
        <v>56055482</v>
      </c>
      <c r="BR20" s="588">
        <f>SUM(BR13:BR19)</f>
        <v>59959318</v>
      </c>
      <c r="BS20" s="588">
        <f>SUM(BS13:BS19)</f>
        <v>71332042</v>
      </c>
      <c r="BT20" s="588">
        <f>SUM(BT13:BT19)</f>
        <v>45526520</v>
      </c>
      <c r="CL20" s="80"/>
      <c r="CM20" s="80"/>
      <c r="CN20" s="78"/>
      <c r="CO20" s="81"/>
      <c r="CP20" s="81"/>
      <c r="CQ20" s="82"/>
      <c r="CR20" s="80"/>
      <c r="CS20" s="80"/>
      <c r="CT20" s="78"/>
    </row>
    <row r="21" spans="1:122" s="142" customFormat="1" ht="19.5" customHeight="1">
      <c r="A21" s="134"/>
      <c r="B21" s="596"/>
      <c r="C21" s="596"/>
      <c r="D21" s="596"/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1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581"/>
      <c r="AL21" s="581"/>
      <c r="AM21" s="581"/>
      <c r="AN21" s="581"/>
      <c r="AO21" s="581"/>
      <c r="AP21" s="581"/>
      <c r="AQ21" s="581"/>
      <c r="AR21" s="581"/>
      <c r="AS21" s="581"/>
      <c r="AT21" s="581"/>
      <c r="AU21" s="581"/>
      <c r="AV21" s="581"/>
      <c r="AW21" s="581"/>
      <c r="AX21" s="581"/>
      <c r="AY21" s="581"/>
      <c r="AZ21" s="581"/>
      <c r="BA21" s="581"/>
      <c r="BB21" s="581"/>
      <c r="BC21" s="581"/>
      <c r="BD21" s="581"/>
      <c r="BE21" s="581"/>
      <c r="BF21" s="581"/>
      <c r="BG21" s="581"/>
      <c r="BH21" s="581"/>
      <c r="BI21" s="581"/>
      <c r="BJ21" s="581"/>
      <c r="BK21" s="581"/>
      <c r="BL21" s="581"/>
      <c r="BM21" s="581"/>
      <c r="BN21" s="581"/>
      <c r="BO21" s="581"/>
      <c r="BP21" s="581"/>
      <c r="BQ21" s="581">
        <f aca="true" t="shared" si="4" ref="BQ21:BT24">SUM(E21,I21,M21,Q21,U21,Y21,AC21,AG21,AK21,AO21,AS21,AW21,BA21,BE21,BI21,BM21)</f>
        <v>0</v>
      </c>
      <c r="BR21" s="581">
        <f t="shared" si="4"/>
        <v>0</v>
      </c>
      <c r="BS21" s="581">
        <f t="shared" si="4"/>
        <v>0</v>
      </c>
      <c r="BT21" s="581">
        <f t="shared" si="4"/>
        <v>0</v>
      </c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 s="139"/>
      <c r="CM21" s="139"/>
      <c r="CN21" s="138"/>
      <c r="CO21" s="139"/>
      <c r="CP21" s="140"/>
      <c r="CQ21" s="138"/>
      <c r="CR21" s="139"/>
      <c r="CS21" s="139"/>
      <c r="CT21" s="138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</row>
    <row r="22" spans="1:122" s="142" customFormat="1" ht="19.5" customHeight="1">
      <c r="A22" s="136" t="s">
        <v>146</v>
      </c>
      <c r="B22" s="110" t="s">
        <v>147</v>
      </c>
      <c r="C22" s="110"/>
      <c r="D22" s="110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581"/>
      <c r="AL22" s="581"/>
      <c r="AM22" s="581"/>
      <c r="AN22" s="581"/>
      <c r="AO22" s="581"/>
      <c r="AP22" s="581"/>
      <c r="AQ22" s="581"/>
      <c r="AR22" s="581"/>
      <c r="AS22" s="581"/>
      <c r="AT22" s="581"/>
      <c r="AU22" s="581"/>
      <c r="AV22" s="581"/>
      <c r="AW22" s="581"/>
      <c r="AX22" s="581"/>
      <c r="AY22" s="581"/>
      <c r="AZ22" s="581"/>
      <c r="BA22" s="581"/>
      <c r="BB22" s="581"/>
      <c r="BC22" s="581"/>
      <c r="BD22" s="581"/>
      <c r="BE22" s="581"/>
      <c r="BF22" s="581"/>
      <c r="BG22" s="581"/>
      <c r="BH22" s="581"/>
      <c r="BI22" s="581"/>
      <c r="BJ22" s="581"/>
      <c r="BK22" s="581"/>
      <c r="BL22" s="581"/>
      <c r="BM22" s="581"/>
      <c r="BN22" s="581"/>
      <c r="BO22" s="581"/>
      <c r="BP22" s="581"/>
      <c r="BQ22" s="581">
        <f t="shared" si="4"/>
        <v>0</v>
      </c>
      <c r="BR22" s="581">
        <f t="shared" si="4"/>
        <v>0</v>
      </c>
      <c r="BS22" s="581">
        <f t="shared" si="4"/>
        <v>0</v>
      </c>
      <c r="BT22" s="581">
        <f t="shared" si="4"/>
        <v>0</v>
      </c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 s="139"/>
      <c r="CM22" s="139"/>
      <c r="CN22" s="138"/>
      <c r="CO22" s="139"/>
      <c r="CP22" s="140"/>
      <c r="CQ22" s="138"/>
      <c r="CR22" s="139"/>
      <c r="CS22" s="139"/>
      <c r="CT22" s="138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</row>
    <row r="23" spans="1:98" ht="19.5" customHeight="1">
      <c r="A23" s="134" t="s">
        <v>148</v>
      </c>
      <c r="B23" s="596" t="s">
        <v>149</v>
      </c>
      <c r="C23" s="596" t="s">
        <v>252</v>
      </c>
      <c r="D23" s="596"/>
      <c r="E23" s="586"/>
      <c r="F23" s="586"/>
      <c r="G23" s="586"/>
      <c r="H23" s="586"/>
      <c r="I23" s="586"/>
      <c r="J23" s="586"/>
      <c r="K23" s="586"/>
      <c r="L23" s="586"/>
      <c r="M23" s="585">
        <v>158750</v>
      </c>
      <c r="N23" s="585">
        <v>158750</v>
      </c>
      <c r="O23" s="585">
        <v>158750</v>
      </c>
      <c r="P23" s="585">
        <v>234265</v>
      </c>
      <c r="Q23" s="581"/>
      <c r="R23" s="581"/>
      <c r="S23" s="581"/>
      <c r="T23" s="581"/>
      <c r="U23" s="581"/>
      <c r="V23" s="581"/>
      <c r="W23" s="581"/>
      <c r="X23" s="581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90"/>
      <c r="AL23" s="590"/>
      <c r="AM23" s="590"/>
      <c r="AN23" s="590"/>
      <c r="AO23" s="590"/>
      <c r="AP23" s="590"/>
      <c r="AQ23" s="590"/>
      <c r="AR23" s="590"/>
      <c r="AS23" s="590"/>
      <c r="AT23" s="590"/>
      <c r="AU23" s="590"/>
      <c r="AV23" s="590"/>
      <c r="AW23" s="590"/>
      <c r="AX23" s="590"/>
      <c r="AY23" s="590"/>
      <c r="AZ23" s="590"/>
      <c r="BA23" s="590"/>
      <c r="BB23" s="590"/>
      <c r="BC23" s="590"/>
      <c r="BD23" s="590"/>
      <c r="BE23" s="590"/>
      <c r="BF23" s="590"/>
      <c r="BG23" s="590"/>
      <c r="BH23" s="590"/>
      <c r="BI23" s="590"/>
      <c r="BJ23" s="590"/>
      <c r="BK23" s="590"/>
      <c r="BL23" s="590"/>
      <c r="BM23" s="590"/>
      <c r="BN23" s="590"/>
      <c r="BO23" s="590"/>
      <c r="BP23" s="590"/>
      <c r="BQ23" s="581">
        <f t="shared" si="4"/>
        <v>158750</v>
      </c>
      <c r="BR23" s="581">
        <f t="shared" si="4"/>
        <v>158750</v>
      </c>
      <c r="BS23" s="581">
        <f t="shared" si="4"/>
        <v>158750</v>
      </c>
      <c r="BT23" s="581">
        <f t="shared" si="4"/>
        <v>234265</v>
      </c>
      <c r="CL23" s="80"/>
      <c r="CM23" s="80"/>
      <c r="CN23" s="78"/>
      <c r="CO23" s="81"/>
      <c r="CP23" s="81"/>
      <c r="CQ23" s="82"/>
      <c r="CR23" s="80"/>
      <c r="CS23" s="80"/>
      <c r="CT23" s="78"/>
    </row>
    <row r="24" spans="1:122" s="142" customFormat="1" ht="19.5" customHeight="1">
      <c r="A24" s="137" t="s">
        <v>150</v>
      </c>
      <c r="B24" s="603" t="s">
        <v>151</v>
      </c>
      <c r="C24" s="603" t="s">
        <v>252</v>
      </c>
      <c r="D24" s="603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  <c r="AA24" s="604"/>
      <c r="AB24" s="604"/>
      <c r="AC24" s="604"/>
      <c r="AD24" s="604"/>
      <c r="AE24" s="604"/>
      <c r="AF24" s="604"/>
      <c r="AG24" s="604"/>
      <c r="AH24" s="604"/>
      <c r="AI24" s="604"/>
      <c r="AJ24" s="604"/>
      <c r="AK24" s="604"/>
      <c r="AL24" s="604"/>
      <c r="AM24" s="604"/>
      <c r="AN24" s="604"/>
      <c r="AO24" s="604"/>
      <c r="AP24" s="604"/>
      <c r="AQ24" s="604"/>
      <c r="AR24" s="604"/>
      <c r="AS24" s="604"/>
      <c r="AT24" s="604"/>
      <c r="AU24" s="604"/>
      <c r="AV24" s="604"/>
      <c r="AW24" s="604"/>
      <c r="AX24" s="604"/>
      <c r="AY24" s="604"/>
      <c r="AZ24" s="604"/>
      <c r="BA24" s="604"/>
      <c r="BB24" s="604"/>
      <c r="BC24" s="604"/>
      <c r="BD24" s="604"/>
      <c r="BE24" s="604"/>
      <c r="BF24" s="604"/>
      <c r="BG24" s="604"/>
      <c r="BH24" s="604"/>
      <c r="BI24" s="604"/>
      <c r="BJ24" s="604"/>
      <c r="BK24" s="604"/>
      <c r="BL24" s="604"/>
      <c r="BM24" s="604"/>
      <c r="BN24" s="604"/>
      <c r="BO24" s="604"/>
      <c r="BP24" s="604"/>
      <c r="BQ24" s="581">
        <f t="shared" si="4"/>
        <v>0</v>
      </c>
      <c r="BR24" s="581">
        <f t="shared" si="4"/>
        <v>0</v>
      </c>
      <c r="BS24" s="581">
        <f t="shared" si="4"/>
        <v>0</v>
      </c>
      <c r="BT24" s="581">
        <f t="shared" si="4"/>
        <v>0</v>
      </c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 s="139"/>
      <c r="CM24" s="139"/>
      <c r="CN24" s="138"/>
      <c r="CO24" s="139"/>
      <c r="CP24" s="140"/>
      <c r="CQ24" s="138"/>
      <c r="CR24" s="139"/>
      <c r="CS24" s="139"/>
      <c r="CT24" s="138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</row>
    <row r="25" spans="1:98" ht="19.5" customHeight="1">
      <c r="A25" s="237"/>
      <c r="B25" s="605" t="s">
        <v>152</v>
      </c>
      <c r="C25" s="605"/>
      <c r="D25" s="605"/>
      <c r="E25" s="589">
        <f aca="true" t="shared" si="5" ref="E25:BO25">SUM(E23:E24)</f>
        <v>0</v>
      </c>
      <c r="F25" s="589">
        <f t="shared" si="5"/>
        <v>0</v>
      </c>
      <c r="G25" s="589">
        <f t="shared" si="5"/>
        <v>0</v>
      </c>
      <c r="H25" s="589">
        <f>SUM(H23:H24)</f>
        <v>0</v>
      </c>
      <c r="I25" s="589">
        <f t="shared" si="5"/>
        <v>0</v>
      </c>
      <c r="J25" s="589">
        <f t="shared" si="5"/>
        <v>0</v>
      </c>
      <c r="K25" s="589">
        <f t="shared" si="5"/>
        <v>0</v>
      </c>
      <c r="L25" s="589">
        <f>SUM(L23:L24)</f>
        <v>0</v>
      </c>
      <c r="M25" s="589">
        <f t="shared" si="5"/>
        <v>158750</v>
      </c>
      <c r="N25" s="589">
        <f t="shared" si="5"/>
        <v>158750</v>
      </c>
      <c r="O25" s="589">
        <f t="shared" si="5"/>
        <v>158750</v>
      </c>
      <c r="P25" s="589">
        <f>SUM(P23:P24)</f>
        <v>234265</v>
      </c>
      <c r="Q25" s="589">
        <f t="shared" si="5"/>
        <v>0</v>
      </c>
      <c r="R25" s="589">
        <f t="shared" si="5"/>
        <v>0</v>
      </c>
      <c r="S25" s="589">
        <f t="shared" si="5"/>
        <v>0</v>
      </c>
      <c r="T25" s="589">
        <f>SUM(T23:T24)</f>
        <v>0</v>
      </c>
      <c r="U25" s="589">
        <f t="shared" si="5"/>
        <v>0</v>
      </c>
      <c r="V25" s="589">
        <f t="shared" si="5"/>
        <v>0</v>
      </c>
      <c r="W25" s="589">
        <f t="shared" si="5"/>
        <v>0</v>
      </c>
      <c r="X25" s="589">
        <f>SUM(X23:X24)</f>
        <v>0</v>
      </c>
      <c r="Y25" s="589">
        <f t="shared" si="5"/>
        <v>0</v>
      </c>
      <c r="Z25" s="589">
        <f t="shared" si="5"/>
        <v>0</v>
      </c>
      <c r="AA25" s="589">
        <f t="shared" si="5"/>
        <v>0</v>
      </c>
      <c r="AB25" s="589"/>
      <c r="AC25" s="589">
        <f t="shared" si="5"/>
        <v>0</v>
      </c>
      <c r="AD25" s="589">
        <f t="shared" si="5"/>
        <v>0</v>
      </c>
      <c r="AE25" s="589">
        <f t="shared" si="5"/>
        <v>0</v>
      </c>
      <c r="AF25" s="589">
        <f>SUM(AF23:AF24)</f>
        <v>0</v>
      </c>
      <c r="AG25" s="589">
        <f t="shared" si="5"/>
        <v>0</v>
      </c>
      <c r="AH25" s="589">
        <f t="shared" si="5"/>
        <v>0</v>
      </c>
      <c r="AI25" s="589">
        <f t="shared" si="5"/>
        <v>0</v>
      </c>
      <c r="AJ25" s="589"/>
      <c r="AK25" s="589">
        <f t="shared" si="5"/>
        <v>0</v>
      </c>
      <c r="AL25" s="589">
        <f t="shared" si="5"/>
        <v>0</v>
      </c>
      <c r="AM25" s="589">
        <f t="shared" si="5"/>
        <v>0</v>
      </c>
      <c r="AN25" s="589">
        <f>SUM(AN23:AN24)</f>
        <v>0</v>
      </c>
      <c r="AO25" s="589">
        <f t="shared" si="5"/>
        <v>0</v>
      </c>
      <c r="AP25" s="589">
        <f t="shared" si="5"/>
        <v>0</v>
      </c>
      <c r="AQ25" s="589">
        <f t="shared" si="5"/>
        <v>0</v>
      </c>
      <c r="AR25" s="589">
        <f>SUM(AR23:AR24)</f>
        <v>0</v>
      </c>
      <c r="AS25" s="589">
        <f t="shared" si="5"/>
        <v>0</v>
      </c>
      <c r="AT25" s="589">
        <f t="shared" si="5"/>
        <v>0</v>
      </c>
      <c r="AU25" s="589">
        <f t="shared" si="5"/>
        <v>0</v>
      </c>
      <c r="AV25" s="589">
        <f>SUM(AV23:AV24)</f>
        <v>0</v>
      </c>
      <c r="AW25" s="589">
        <f t="shared" si="5"/>
        <v>0</v>
      </c>
      <c r="AX25" s="589">
        <f t="shared" si="5"/>
        <v>0</v>
      </c>
      <c r="AY25" s="589">
        <f t="shared" si="5"/>
        <v>0</v>
      </c>
      <c r="AZ25" s="589">
        <f>SUM(AZ23:AZ24)</f>
        <v>0</v>
      </c>
      <c r="BA25" s="589">
        <f t="shared" si="5"/>
        <v>0</v>
      </c>
      <c r="BB25" s="589">
        <f t="shared" si="5"/>
        <v>0</v>
      </c>
      <c r="BC25" s="589">
        <f t="shared" si="5"/>
        <v>0</v>
      </c>
      <c r="BD25" s="589">
        <f>SUM(BD23:BD24)</f>
        <v>0</v>
      </c>
      <c r="BE25" s="589">
        <f t="shared" si="5"/>
        <v>0</v>
      </c>
      <c r="BF25" s="589">
        <f t="shared" si="5"/>
        <v>0</v>
      </c>
      <c r="BG25" s="589">
        <f t="shared" si="5"/>
        <v>0</v>
      </c>
      <c r="BH25" s="589">
        <f>SUM(BH23:BH24)</f>
        <v>0</v>
      </c>
      <c r="BI25" s="589">
        <f t="shared" si="5"/>
        <v>0</v>
      </c>
      <c r="BJ25" s="589">
        <f t="shared" si="5"/>
        <v>0</v>
      </c>
      <c r="BK25" s="589">
        <f t="shared" si="5"/>
        <v>0</v>
      </c>
      <c r="BL25" s="589">
        <f>SUM(BL23:BL24)</f>
        <v>0</v>
      </c>
      <c r="BM25" s="589">
        <f t="shared" si="5"/>
        <v>0</v>
      </c>
      <c r="BN25" s="589">
        <f t="shared" si="5"/>
        <v>0</v>
      </c>
      <c r="BO25" s="589">
        <f t="shared" si="5"/>
        <v>0</v>
      </c>
      <c r="BP25" s="589">
        <f>SUM(BP23:BP24)</f>
        <v>0</v>
      </c>
      <c r="BQ25" s="589">
        <f>SUM(BQ21:BQ24)</f>
        <v>158750</v>
      </c>
      <c r="BR25" s="589">
        <f>SUM(BR21:BR24)</f>
        <v>158750</v>
      </c>
      <c r="BS25" s="589">
        <f>SUM(BS21:BS24)</f>
        <v>158750</v>
      </c>
      <c r="BT25" s="589">
        <f>SUM(BT21:BT24)</f>
        <v>234265</v>
      </c>
      <c r="CL25" s="77"/>
      <c r="CM25" s="77"/>
      <c r="CN25" s="78"/>
      <c r="CO25" s="77"/>
      <c r="CP25" s="77"/>
      <c r="CQ25" s="78"/>
      <c r="CR25" s="77"/>
      <c r="CS25" s="77"/>
      <c r="CT25" s="78"/>
    </row>
    <row r="26" spans="1:122" ht="19.5" customHeight="1">
      <c r="A26" s="134"/>
      <c r="B26" s="596"/>
      <c r="C26" s="596"/>
      <c r="D26" s="596"/>
      <c r="E26" s="586"/>
      <c r="F26" s="586"/>
      <c r="G26" s="586"/>
      <c r="H26" s="586"/>
      <c r="I26" s="586"/>
      <c r="J26" s="586"/>
      <c r="K26" s="586"/>
      <c r="L26" s="586"/>
      <c r="M26" s="585"/>
      <c r="N26" s="585"/>
      <c r="O26" s="585"/>
      <c r="P26" s="585"/>
      <c r="Q26" s="581"/>
      <c r="R26" s="581"/>
      <c r="S26" s="581"/>
      <c r="T26" s="581"/>
      <c r="U26" s="581"/>
      <c r="V26" s="581"/>
      <c r="W26" s="581"/>
      <c r="X26" s="581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0"/>
      <c r="AJ26" s="590"/>
      <c r="AK26" s="590"/>
      <c r="AL26" s="590"/>
      <c r="AM26" s="590"/>
      <c r="AN26" s="590"/>
      <c r="AO26" s="590"/>
      <c r="AP26" s="590"/>
      <c r="AQ26" s="590"/>
      <c r="AR26" s="590"/>
      <c r="AS26" s="590"/>
      <c r="AT26" s="590"/>
      <c r="AU26" s="590"/>
      <c r="AV26" s="590"/>
      <c r="AW26" s="590"/>
      <c r="AX26" s="590"/>
      <c r="AY26" s="590"/>
      <c r="AZ26" s="590"/>
      <c r="BA26" s="590"/>
      <c r="BB26" s="590"/>
      <c r="BC26" s="590"/>
      <c r="BD26" s="590"/>
      <c r="BE26" s="590"/>
      <c r="BF26" s="590"/>
      <c r="BG26" s="590"/>
      <c r="BH26" s="590"/>
      <c r="BI26" s="590"/>
      <c r="BJ26" s="590"/>
      <c r="BK26" s="590"/>
      <c r="BL26" s="590"/>
      <c r="BM26" s="590"/>
      <c r="BN26" s="590"/>
      <c r="BO26" s="590"/>
      <c r="BP26" s="590"/>
      <c r="BQ26" s="590">
        <f aca="true" t="shared" si="6" ref="BQ26:BT32">SUM(E26,I26,M26,Q26,U26,Y26,AC26,AG26,AK26,AO26,AS26,AW26,BA26,BE26,BI26,BM26)</f>
        <v>0</v>
      </c>
      <c r="BR26" s="590">
        <f t="shared" si="6"/>
        <v>0</v>
      </c>
      <c r="BS26" s="590">
        <f t="shared" si="6"/>
        <v>0</v>
      </c>
      <c r="BT26" s="590">
        <f t="shared" si="6"/>
        <v>0</v>
      </c>
      <c r="CL26" s="77"/>
      <c r="CM26" s="77"/>
      <c r="CN26" s="78"/>
      <c r="CO26" s="77"/>
      <c r="CP26" s="81"/>
      <c r="CQ26" s="78"/>
      <c r="CR26" s="77"/>
      <c r="CS26" s="77"/>
      <c r="CT26" s="78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</row>
    <row r="27" spans="1:98" ht="19.5" customHeight="1">
      <c r="A27" s="136" t="s">
        <v>153</v>
      </c>
      <c r="B27" s="110" t="s">
        <v>154</v>
      </c>
      <c r="C27" s="110"/>
      <c r="D27" s="110"/>
      <c r="E27" s="586"/>
      <c r="F27" s="586"/>
      <c r="G27" s="586"/>
      <c r="H27" s="586"/>
      <c r="I27" s="586"/>
      <c r="J27" s="586"/>
      <c r="K27" s="586"/>
      <c r="L27" s="586"/>
      <c r="M27" s="585"/>
      <c r="N27" s="585"/>
      <c r="O27" s="585"/>
      <c r="P27" s="585"/>
      <c r="Q27" s="581"/>
      <c r="R27" s="581"/>
      <c r="S27" s="581"/>
      <c r="T27" s="581"/>
      <c r="U27" s="581"/>
      <c r="V27" s="581"/>
      <c r="W27" s="581"/>
      <c r="X27" s="581"/>
      <c r="Y27" s="590"/>
      <c r="Z27" s="590"/>
      <c r="AA27" s="590"/>
      <c r="AB27" s="590"/>
      <c r="AC27" s="590"/>
      <c r="AD27" s="590"/>
      <c r="AE27" s="590"/>
      <c r="AF27" s="590"/>
      <c r="AG27" s="590"/>
      <c r="AH27" s="590"/>
      <c r="AI27" s="590"/>
      <c r="AJ27" s="590"/>
      <c r="AK27" s="590"/>
      <c r="AL27" s="590"/>
      <c r="AM27" s="590"/>
      <c r="AN27" s="590"/>
      <c r="AO27" s="590"/>
      <c r="AP27" s="590"/>
      <c r="AQ27" s="590"/>
      <c r="AR27" s="590"/>
      <c r="AS27" s="590"/>
      <c r="AT27" s="590"/>
      <c r="AU27" s="590"/>
      <c r="AV27" s="590"/>
      <c r="AW27" s="590"/>
      <c r="AX27" s="590"/>
      <c r="AY27" s="590"/>
      <c r="AZ27" s="590"/>
      <c r="BA27" s="590"/>
      <c r="BB27" s="590"/>
      <c r="BC27" s="590"/>
      <c r="BD27" s="590"/>
      <c r="BE27" s="590"/>
      <c r="BF27" s="590"/>
      <c r="BG27" s="590"/>
      <c r="BH27" s="590"/>
      <c r="BI27" s="590"/>
      <c r="BJ27" s="590"/>
      <c r="BK27" s="590"/>
      <c r="BL27" s="590"/>
      <c r="BM27" s="590"/>
      <c r="BN27" s="590"/>
      <c r="BO27" s="590"/>
      <c r="BP27" s="590"/>
      <c r="BQ27" s="590">
        <f t="shared" si="6"/>
        <v>0</v>
      </c>
      <c r="BR27" s="590">
        <f t="shared" si="6"/>
        <v>0</v>
      </c>
      <c r="BS27" s="590">
        <f t="shared" si="6"/>
        <v>0</v>
      </c>
      <c r="BT27" s="590">
        <f t="shared" si="6"/>
        <v>0</v>
      </c>
      <c r="CL27" s="77"/>
      <c r="CM27" s="77"/>
      <c r="CN27" s="78"/>
      <c r="CO27" s="77"/>
      <c r="CP27" s="79"/>
      <c r="CQ27" s="78"/>
      <c r="CR27" s="77"/>
      <c r="CS27" s="77"/>
      <c r="CT27" s="78"/>
    </row>
    <row r="28" spans="1:98" ht="19.5" customHeight="1">
      <c r="A28" s="182" t="s">
        <v>961</v>
      </c>
      <c r="B28" s="599" t="s">
        <v>962</v>
      </c>
      <c r="C28" s="599" t="s">
        <v>252</v>
      </c>
      <c r="D28" s="599"/>
      <c r="E28" s="606"/>
      <c r="F28" s="606"/>
      <c r="G28" s="606"/>
      <c r="H28" s="606"/>
      <c r="I28" s="606"/>
      <c r="J28" s="606"/>
      <c r="K28" s="606"/>
      <c r="L28" s="606"/>
      <c r="M28" s="600"/>
      <c r="N28" s="600"/>
      <c r="O28" s="600"/>
      <c r="P28" s="600"/>
      <c r="Q28" s="606"/>
      <c r="R28" s="606"/>
      <c r="S28" s="606"/>
      <c r="T28" s="606"/>
      <c r="U28" s="606"/>
      <c r="V28" s="606"/>
      <c r="W28" s="606"/>
      <c r="X28" s="606"/>
      <c r="Y28" s="606"/>
      <c r="Z28" s="606"/>
      <c r="AA28" s="606"/>
      <c r="AB28" s="606"/>
      <c r="AC28" s="606"/>
      <c r="AD28" s="606"/>
      <c r="AE28" s="606"/>
      <c r="AF28" s="606"/>
      <c r="AG28" s="606"/>
      <c r="AH28" s="606"/>
      <c r="AI28" s="606"/>
      <c r="AJ28" s="606"/>
      <c r="AK28" s="606"/>
      <c r="AL28" s="606"/>
      <c r="AM28" s="606"/>
      <c r="AN28" s="606"/>
      <c r="AO28" s="606"/>
      <c r="AP28" s="606"/>
      <c r="AQ28" s="606"/>
      <c r="AR28" s="606"/>
      <c r="AS28" s="606"/>
      <c r="AT28" s="606"/>
      <c r="AU28" s="606"/>
      <c r="AV28" s="606"/>
      <c r="AW28" s="606"/>
      <c r="AX28" s="606"/>
      <c r="AY28" s="606"/>
      <c r="AZ28" s="606"/>
      <c r="BA28" s="606"/>
      <c r="BB28" s="606"/>
      <c r="BC28" s="606"/>
      <c r="BD28" s="606"/>
      <c r="BE28" s="600"/>
      <c r="BF28" s="600"/>
      <c r="BG28" s="600"/>
      <c r="BH28" s="600"/>
      <c r="BI28" s="600"/>
      <c r="BJ28" s="600"/>
      <c r="BK28" s="600"/>
      <c r="BL28" s="600"/>
      <c r="BM28" s="606"/>
      <c r="BN28" s="606"/>
      <c r="BO28" s="606"/>
      <c r="BP28" s="606"/>
      <c r="BQ28" s="590">
        <f t="shared" si="6"/>
        <v>0</v>
      </c>
      <c r="BR28" s="590">
        <f t="shared" si="6"/>
        <v>0</v>
      </c>
      <c r="BS28" s="590">
        <f t="shared" si="6"/>
        <v>0</v>
      </c>
      <c r="BT28" s="590">
        <f t="shared" si="6"/>
        <v>0</v>
      </c>
      <c r="CL28" s="77"/>
      <c r="CM28" s="77"/>
      <c r="CN28" s="78"/>
      <c r="CO28" s="77"/>
      <c r="CP28" s="79"/>
      <c r="CQ28" s="78"/>
      <c r="CR28" s="77"/>
      <c r="CS28" s="77"/>
      <c r="CT28" s="78"/>
    </row>
    <row r="29" spans="1:98" ht="19.5" customHeight="1">
      <c r="A29" s="137" t="s">
        <v>994</v>
      </c>
      <c r="B29" s="603" t="s">
        <v>995</v>
      </c>
      <c r="C29" s="603" t="s">
        <v>996</v>
      </c>
      <c r="D29" s="603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4"/>
      <c r="AB29" s="604"/>
      <c r="AC29" s="604"/>
      <c r="AD29" s="604"/>
      <c r="AE29" s="604"/>
      <c r="AF29" s="604"/>
      <c r="AG29" s="604"/>
      <c r="AH29" s="604"/>
      <c r="AI29" s="604"/>
      <c r="AJ29" s="604"/>
      <c r="AK29" s="604"/>
      <c r="AL29" s="604"/>
      <c r="AM29" s="604"/>
      <c r="AN29" s="604"/>
      <c r="AO29" s="604"/>
      <c r="AP29" s="604"/>
      <c r="AQ29" s="604"/>
      <c r="AR29" s="604"/>
      <c r="AS29" s="604"/>
      <c r="AT29" s="604"/>
      <c r="AU29" s="604"/>
      <c r="AV29" s="604"/>
      <c r="AW29" s="604"/>
      <c r="AX29" s="604"/>
      <c r="AY29" s="604"/>
      <c r="AZ29" s="604"/>
      <c r="BA29" s="604"/>
      <c r="BB29" s="604"/>
      <c r="BC29" s="604"/>
      <c r="BD29" s="604"/>
      <c r="BE29" s="604"/>
      <c r="BF29" s="604"/>
      <c r="BG29" s="604"/>
      <c r="BH29" s="604"/>
      <c r="BI29" s="604"/>
      <c r="BJ29" s="604"/>
      <c r="BK29" s="604"/>
      <c r="BL29" s="604"/>
      <c r="BM29" s="604"/>
      <c r="BN29" s="604"/>
      <c r="BO29" s="604"/>
      <c r="BP29" s="604"/>
      <c r="BQ29" s="590">
        <f t="shared" si="6"/>
        <v>0</v>
      </c>
      <c r="BR29" s="590">
        <f t="shared" si="6"/>
        <v>0</v>
      </c>
      <c r="BS29" s="590">
        <f t="shared" si="6"/>
        <v>0</v>
      </c>
      <c r="BT29" s="590">
        <f t="shared" si="6"/>
        <v>0</v>
      </c>
      <c r="CL29" s="77"/>
      <c r="CM29" s="77"/>
      <c r="CN29" s="78"/>
      <c r="CO29" s="77"/>
      <c r="CP29" s="79"/>
      <c r="CQ29" s="78"/>
      <c r="CR29" s="77"/>
      <c r="CS29" s="77"/>
      <c r="CT29" s="78"/>
    </row>
    <row r="30" spans="1:98" ht="19.5" customHeight="1">
      <c r="A30" s="134" t="s">
        <v>157</v>
      </c>
      <c r="B30" s="596" t="s">
        <v>66</v>
      </c>
      <c r="C30" s="596" t="s">
        <v>252</v>
      </c>
      <c r="D30" s="596"/>
      <c r="E30" s="581"/>
      <c r="F30" s="581"/>
      <c r="G30" s="581"/>
      <c r="H30" s="581"/>
      <c r="I30" s="581"/>
      <c r="J30" s="581"/>
      <c r="K30" s="581"/>
      <c r="L30" s="581"/>
      <c r="M30" s="581">
        <v>2419350</v>
      </c>
      <c r="N30" s="581">
        <v>2419350</v>
      </c>
      <c r="O30" s="581">
        <v>2419350</v>
      </c>
      <c r="P30" s="581">
        <v>2559408</v>
      </c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581"/>
      <c r="AS30" s="581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1"/>
      <c r="BE30" s="581"/>
      <c r="BF30" s="581"/>
      <c r="BG30" s="581"/>
      <c r="BH30" s="581"/>
      <c r="BI30" s="581"/>
      <c r="BJ30" s="581"/>
      <c r="BK30" s="581"/>
      <c r="BL30" s="581"/>
      <c r="BM30" s="581"/>
      <c r="BN30" s="581"/>
      <c r="BO30" s="581"/>
      <c r="BP30" s="581"/>
      <c r="BQ30" s="590">
        <f t="shared" si="6"/>
        <v>2419350</v>
      </c>
      <c r="BR30" s="590">
        <f t="shared" si="6"/>
        <v>2419350</v>
      </c>
      <c r="BS30" s="590">
        <f t="shared" si="6"/>
        <v>2419350</v>
      </c>
      <c r="BT30" s="590">
        <f t="shared" si="6"/>
        <v>2559408</v>
      </c>
      <c r="CL30" s="77"/>
      <c r="CM30" s="77"/>
      <c r="CN30" s="78"/>
      <c r="CO30" s="77"/>
      <c r="CP30" s="79"/>
      <c r="CQ30" s="78"/>
      <c r="CR30" s="77"/>
      <c r="CS30" s="77"/>
      <c r="CT30" s="78"/>
    </row>
    <row r="31" spans="1:98" ht="19.5" customHeight="1">
      <c r="A31" s="134" t="s">
        <v>158</v>
      </c>
      <c r="B31" s="596" t="s">
        <v>67</v>
      </c>
      <c r="C31" s="596" t="s">
        <v>252</v>
      </c>
      <c r="D31" s="596"/>
      <c r="E31" s="581"/>
      <c r="F31" s="581"/>
      <c r="G31" s="581"/>
      <c r="H31" s="581"/>
      <c r="I31" s="581"/>
      <c r="J31" s="581"/>
      <c r="K31" s="581"/>
      <c r="L31" s="581"/>
      <c r="M31" s="581">
        <v>2470150</v>
      </c>
      <c r="N31" s="581">
        <v>2470150</v>
      </c>
      <c r="O31" s="581">
        <v>2470150</v>
      </c>
      <c r="P31" s="581">
        <v>1066099</v>
      </c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581"/>
      <c r="AL31" s="581"/>
      <c r="AM31" s="581"/>
      <c r="AN31" s="581"/>
      <c r="AO31" s="581"/>
      <c r="AP31" s="581"/>
      <c r="AQ31" s="581"/>
      <c r="AR31" s="581"/>
      <c r="AS31" s="581"/>
      <c r="AT31" s="581"/>
      <c r="AU31" s="581"/>
      <c r="AV31" s="581"/>
      <c r="AW31" s="581"/>
      <c r="AX31" s="581"/>
      <c r="AY31" s="581"/>
      <c r="AZ31" s="581"/>
      <c r="BA31" s="581"/>
      <c r="BB31" s="581"/>
      <c r="BC31" s="581"/>
      <c r="BD31" s="581"/>
      <c r="BE31" s="581"/>
      <c r="BF31" s="581"/>
      <c r="BG31" s="581"/>
      <c r="BH31" s="581"/>
      <c r="BI31" s="581"/>
      <c r="BJ31" s="581"/>
      <c r="BK31" s="581"/>
      <c r="BL31" s="581"/>
      <c r="BM31" s="581"/>
      <c r="BN31" s="581"/>
      <c r="BO31" s="581"/>
      <c r="BP31" s="581"/>
      <c r="BQ31" s="590">
        <f t="shared" si="6"/>
        <v>2470150</v>
      </c>
      <c r="BR31" s="590">
        <f t="shared" si="6"/>
        <v>2470150</v>
      </c>
      <c r="BS31" s="590">
        <f t="shared" si="6"/>
        <v>2470150</v>
      </c>
      <c r="BT31" s="590">
        <f t="shared" si="6"/>
        <v>1066099</v>
      </c>
      <c r="CL31" s="77"/>
      <c r="CM31" s="77"/>
      <c r="CN31" s="78"/>
      <c r="CO31" s="77"/>
      <c r="CP31" s="79"/>
      <c r="CQ31" s="78"/>
      <c r="CR31" s="77"/>
      <c r="CS31" s="77"/>
      <c r="CT31" s="78"/>
    </row>
    <row r="32" spans="1:98" ht="19.5" customHeight="1">
      <c r="A32" s="134" t="s">
        <v>159</v>
      </c>
      <c r="B32" s="596" t="s">
        <v>160</v>
      </c>
      <c r="C32" s="596" t="s">
        <v>252</v>
      </c>
      <c r="D32" s="596"/>
      <c r="E32" s="581"/>
      <c r="F32" s="581"/>
      <c r="G32" s="581"/>
      <c r="H32" s="581"/>
      <c r="I32" s="581"/>
      <c r="J32" s="581"/>
      <c r="K32" s="581"/>
      <c r="L32" s="581"/>
      <c r="M32" s="581">
        <v>2311400</v>
      </c>
      <c r="N32" s="581">
        <v>2311400</v>
      </c>
      <c r="O32" s="581">
        <v>2311400</v>
      </c>
      <c r="P32" s="581">
        <v>2890150</v>
      </c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581"/>
      <c r="AG32" s="581"/>
      <c r="AH32" s="581"/>
      <c r="AI32" s="581"/>
      <c r="AJ32" s="581"/>
      <c r="AK32" s="581"/>
      <c r="AL32" s="581"/>
      <c r="AM32" s="581"/>
      <c r="AN32" s="581"/>
      <c r="AO32" s="581">
        <v>152400</v>
      </c>
      <c r="AP32" s="581">
        <v>152400</v>
      </c>
      <c r="AQ32" s="581">
        <v>152400</v>
      </c>
      <c r="AR32" s="581">
        <v>605980</v>
      </c>
      <c r="AS32" s="581"/>
      <c r="AT32" s="581"/>
      <c r="AU32" s="581"/>
      <c r="AV32" s="581"/>
      <c r="AW32" s="581"/>
      <c r="AX32" s="581"/>
      <c r="AY32" s="581"/>
      <c r="AZ32" s="581"/>
      <c r="BA32" s="581"/>
      <c r="BB32" s="581"/>
      <c r="BC32" s="581"/>
      <c r="BD32" s="581"/>
      <c r="BE32" s="581"/>
      <c r="BF32" s="581"/>
      <c r="BG32" s="581"/>
      <c r="BH32" s="581"/>
      <c r="BI32" s="581"/>
      <c r="BJ32" s="581"/>
      <c r="BK32" s="581"/>
      <c r="BL32" s="581"/>
      <c r="BM32" s="581"/>
      <c r="BN32" s="581"/>
      <c r="BO32" s="581"/>
      <c r="BP32" s="581"/>
      <c r="BQ32" s="590">
        <f t="shared" si="6"/>
        <v>2463800</v>
      </c>
      <c r="BR32" s="590">
        <f t="shared" si="6"/>
        <v>2463800</v>
      </c>
      <c r="BS32" s="590">
        <f t="shared" si="6"/>
        <v>2463800</v>
      </c>
      <c r="BT32" s="590">
        <f t="shared" si="6"/>
        <v>3496130</v>
      </c>
      <c r="CL32" s="77"/>
      <c r="CM32" s="77"/>
      <c r="CN32" s="78"/>
      <c r="CO32" s="77"/>
      <c r="CP32" s="79"/>
      <c r="CQ32" s="78"/>
      <c r="CR32" s="77"/>
      <c r="CS32" s="77"/>
      <c r="CT32" s="78"/>
    </row>
    <row r="33" spans="1:98" ht="19.5" customHeight="1">
      <c r="A33" s="237"/>
      <c r="B33" s="605" t="s">
        <v>161</v>
      </c>
      <c r="C33" s="605"/>
      <c r="D33" s="605"/>
      <c r="E33" s="589">
        <f aca="true" t="shared" si="7" ref="E33:BO33">SUM(E28:E32)</f>
        <v>0</v>
      </c>
      <c r="F33" s="589">
        <f t="shared" si="7"/>
        <v>0</v>
      </c>
      <c r="G33" s="589">
        <f t="shared" si="7"/>
        <v>0</v>
      </c>
      <c r="H33" s="589">
        <f>SUM(H28:H32)</f>
        <v>0</v>
      </c>
      <c r="I33" s="589">
        <f t="shared" si="7"/>
        <v>0</v>
      </c>
      <c r="J33" s="589">
        <f t="shared" si="7"/>
        <v>0</v>
      </c>
      <c r="K33" s="589">
        <f t="shared" si="7"/>
        <v>0</v>
      </c>
      <c r="L33" s="589">
        <f>SUM(L28:L32)</f>
        <v>0</v>
      </c>
      <c r="M33" s="589">
        <f t="shared" si="7"/>
        <v>7200900</v>
      </c>
      <c r="N33" s="589">
        <f t="shared" si="7"/>
        <v>7200900</v>
      </c>
      <c r="O33" s="589">
        <f t="shared" si="7"/>
        <v>7200900</v>
      </c>
      <c r="P33" s="589">
        <f>SUM(P28:P32)</f>
        <v>6515657</v>
      </c>
      <c r="Q33" s="589">
        <f t="shared" si="7"/>
        <v>0</v>
      </c>
      <c r="R33" s="589">
        <f t="shared" si="7"/>
        <v>0</v>
      </c>
      <c r="S33" s="589">
        <f t="shared" si="7"/>
        <v>0</v>
      </c>
      <c r="T33" s="589">
        <f>SUM(T28:T32)</f>
        <v>0</v>
      </c>
      <c r="U33" s="589">
        <f t="shared" si="7"/>
        <v>0</v>
      </c>
      <c r="V33" s="589">
        <f t="shared" si="7"/>
        <v>0</v>
      </c>
      <c r="W33" s="589">
        <f t="shared" si="7"/>
        <v>0</v>
      </c>
      <c r="X33" s="589">
        <f>SUM(X28:X32)</f>
        <v>0</v>
      </c>
      <c r="Y33" s="589">
        <f t="shared" si="7"/>
        <v>0</v>
      </c>
      <c r="Z33" s="589">
        <f t="shared" si="7"/>
        <v>0</v>
      </c>
      <c r="AA33" s="589">
        <f t="shared" si="7"/>
        <v>0</v>
      </c>
      <c r="AB33" s="589"/>
      <c r="AC33" s="589">
        <f t="shared" si="7"/>
        <v>0</v>
      </c>
      <c r="AD33" s="589">
        <f t="shared" si="7"/>
        <v>0</v>
      </c>
      <c r="AE33" s="589">
        <f t="shared" si="7"/>
        <v>0</v>
      </c>
      <c r="AF33" s="589">
        <f>SUM(AF28:AF32)</f>
        <v>0</v>
      </c>
      <c r="AG33" s="589">
        <f t="shared" si="7"/>
        <v>0</v>
      </c>
      <c r="AH33" s="589">
        <f t="shared" si="7"/>
        <v>0</v>
      </c>
      <c r="AI33" s="589">
        <f t="shared" si="7"/>
        <v>0</v>
      </c>
      <c r="AJ33" s="589"/>
      <c r="AK33" s="589">
        <f t="shared" si="7"/>
        <v>0</v>
      </c>
      <c r="AL33" s="589">
        <f t="shared" si="7"/>
        <v>0</v>
      </c>
      <c r="AM33" s="589">
        <f t="shared" si="7"/>
        <v>0</v>
      </c>
      <c r="AN33" s="589">
        <f>SUM(AN28:AN32)</f>
        <v>0</v>
      </c>
      <c r="AO33" s="589">
        <f t="shared" si="7"/>
        <v>152400</v>
      </c>
      <c r="AP33" s="589">
        <f t="shared" si="7"/>
        <v>152400</v>
      </c>
      <c r="AQ33" s="589">
        <f t="shared" si="7"/>
        <v>152400</v>
      </c>
      <c r="AR33" s="589">
        <f>SUM(AR28:AR32)</f>
        <v>605980</v>
      </c>
      <c r="AS33" s="589">
        <f t="shared" si="7"/>
        <v>0</v>
      </c>
      <c r="AT33" s="589">
        <f t="shared" si="7"/>
        <v>0</v>
      </c>
      <c r="AU33" s="589">
        <f t="shared" si="7"/>
        <v>0</v>
      </c>
      <c r="AV33" s="589">
        <f>SUM(AV28:AV32)</f>
        <v>0</v>
      </c>
      <c r="AW33" s="589">
        <f t="shared" si="7"/>
        <v>0</v>
      </c>
      <c r="AX33" s="589">
        <f t="shared" si="7"/>
        <v>0</v>
      </c>
      <c r="AY33" s="589">
        <f t="shared" si="7"/>
        <v>0</v>
      </c>
      <c r="AZ33" s="589">
        <f>SUM(AZ28:AZ32)</f>
        <v>0</v>
      </c>
      <c r="BA33" s="589">
        <f t="shared" si="7"/>
        <v>0</v>
      </c>
      <c r="BB33" s="589">
        <f t="shared" si="7"/>
        <v>0</v>
      </c>
      <c r="BC33" s="589">
        <f t="shared" si="7"/>
        <v>0</v>
      </c>
      <c r="BD33" s="589">
        <f>SUM(BD28:BD32)</f>
        <v>0</v>
      </c>
      <c r="BE33" s="589">
        <f t="shared" si="7"/>
        <v>0</v>
      </c>
      <c r="BF33" s="589">
        <f t="shared" si="7"/>
        <v>0</v>
      </c>
      <c r="BG33" s="589">
        <f t="shared" si="7"/>
        <v>0</v>
      </c>
      <c r="BH33" s="589">
        <f>SUM(BH28:BH32)</f>
        <v>0</v>
      </c>
      <c r="BI33" s="589">
        <f t="shared" si="7"/>
        <v>0</v>
      </c>
      <c r="BJ33" s="589">
        <f t="shared" si="7"/>
        <v>0</v>
      </c>
      <c r="BK33" s="589">
        <f t="shared" si="7"/>
        <v>0</v>
      </c>
      <c r="BL33" s="589">
        <f>SUM(BL28:BL32)</f>
        <v>0</v>
      </c>
      <c r="BM33" s="589">
        <f t="shared" si="7"/>
        <v>0</v>
      </c>
      <c r="BN33" s="589">
        <f t="shared" si="7"/>
        <v>0</v>
      </c>
      <c r="BO33" s="589">
        <f t="shared" si="7"/>
        <v>0</v>
      </c>
      <c r="BP33" s="589">
        <f>SUM(BP28:BP32)</f>
        <v>0</v>
      </c>
      <c r="BQ33" s="589">
        <f>SUM(BQ26:BQ32)</f>
        <v>7353300</v>
      </c>
      <c r="BR33" s="589">
        <f>SUM(BR26:BR32)</f>
        <v>7353300</v>
      </c>
      <c r="BS33" s="589">
        <f>SUM(BS26:BS32)</f>
        <v>7353300</v>
      </c>
      <c r="BT33" s="589">
        <f>SUM(BT26:BT32)</f>
        <v>7121637</v>
      </c>
      <c r="CL33" s="77"/>
      <c r="CM33" s="77"/>
      <c r="CN33" s="78"/>
      <c r="CO33" s="77"/>
      <c r="CP33" s="79"/>
      <c r="CQ33" s="78"/>
      <c r="CR33" s="77"/>
      <c r="CS33" s="77"/>
      <c r="CT33" s="78"/>
    </row>
    <row r="34" spans="1:98" ht="19.5" customHeight="1">
      <c r="A34" s="134"/>
      <c r="B34" s="596"/>
      <c r="C34" s="596"/>
      <c r="D34" s="596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>
        <f aca="true" t="shared" si="8" ref="BQ34:BT40">SUM(E34,I34,M34,Q34,U34,Y34,AC34,AG34,AK34,AO34,AS34,AW34,BA34,BE34,BI34,BM34)</f>
        <v>0</v>
      </c>
      <c r="BR34" s="581">
        <f t="shared" si="8"/>
        <v>0</v>
      </c>
      <c r="BS34" s="581">
        <f t="shared" si="8"/>
        <v>0</v>
      </c>
      <c r="BT34" s="581">
        <f t="shared" si="8"/>
        <v>0</v>
      </c>
      <c r="CL34" s="77"/>
      <c r="CM34" s="77"/>
      <c r="CN34" s="78"/>
      <c r="CO34" s="77"/>
      <c r="CP34" s="79"/>
      <c r="CQ34" s="78"/>
      <c r="CR34" s="77"/>
      <c r="CS34" s="77"/>
      <c r="CT34" s="78"/>
    </row>
    <row r="35" spans="1:98" ht="19.5" customHeight="1">
      <c r="A35" s="136" t="s">
        <v>162</v>
      </c>
      <c r="B35" s="110" t="s">
        <v>163</v>
      </c>
      <c r="C35" s="110"/>
      <c r="D35" s="110"/>
      <c r="E35" s="581"/>
      <c r="F35" s="581"/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1"/>
      <c r="R35" s="581"/>
      <c r="S35" s="581"/>
      <c r="T35" s="581"/>
      <c r="U35" s="581"/>
      <c r="V35" s="581"/>
      <c r="W35" s="581"/>
      <c r="X35" s="581"/>
      <c r="Y35" s="581"/>
      <c r="Z35" s="581"/>
      <c r="AA35" s="581"/>
      <c r="AB35" s="581"/>
      <c r="AC35" s="581"/>
      <c r="AD35" s="581"/>
      <c r="AE35" s="581"/>
      <c r="AF35" s="581"/>
      <c r="AG35" s="581"/>
      <c r="AH35" s="581"/>
      <c r="AI35" s="581"/>
      <c r="AJ35" s="581"/>
      <c r="AK35" s="581"/>
      <c r="AL35" s="581"/>
      <c r="AM35" s="581"/>
      <c r="AN35" s="581"/>
      <c r="AO35" s="581"/>
      <c r="AP35" s="581"/>
      <c r="AQ35" s="581"/>
      <c r="AR35" s="581"/>
      <c r="AS35" s="581"/>
      <c r="AT35" s="581"/>
      <c r="AU35" s="581"/>
      <c r="AV35" s="581"/>
      <c r="AW35" s="581"/>
      <c r="AX35" s="581"/>
      <c r="AY35" s="581"/>
      <c r="AZ35" s="581"/>
      <c r="BA35" s="581"/>
      <c r="BB35" s="581"/>
      <c r="BC35" s="581"/>
      <c r="BD35" s="581"/>
      <c r="BE35" s="581"/>
      <c r="BF35" s="581"/>
      <c r="BG35" s="581"/>
      <c r="BH35" s="581"/>
      <c r="BI35" s="581"/>
      <c r="BJ35" s="581"/>
      <c r="BK35" s="581"/>
      <c r="BL35" s="581"/>
      <c r="BM35" s="581"/>
      <c r="BN35" s="581"/>
      <c r="BO35" s="581"/>
      <c r="BP35" s="581"/>
      <c r="BQ35" s="581">
        <f t="shared" si="8"/>
        <v>0</v>
      </c>
      <c r="BR35" s="581">
        <f t="shared" si="8"/>
        <v>0</v>
      </c>
      <c r="BS35" s="581">
        <f t="shared" si="8"/>
        <v>0</v>
      </c>
      <c r="BT35" s="581">
        <f t="shared" si="8"/>
        <v>0</v>
      </c>
      <c r="CL35" s="77"/>
      <c r="CM35" s="77"/>
      <c r="CN35" s="78"/>
      <c r="CO35" s="77"/>
      <c r="CP35" s="79"/>
      <c r="CQ35" s="78"/>
      <c r="CR35" s="77"/>
      <c r="CS35" s="77"/>
      <c r="CT35" s="78"/>
    </row>
    <row r="36" spans="1:98" s="143" customFormat="1" ht="19.5" customHeight="1">
      <c r="A36" s="133" t="s">
        <v>963</v>
      </c>
      <c r="B36" s="239" t="s">
        <v>964</v>
      </c>
      <c r="C36" s="239" t="s">
        <v>252</v>
      </c>
      <c r="D36" s="239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1"/>
      <c r="AI36" s="581"/>
      <c r="AJ36" s="581"/>
      <c r="AK36" s="581"/>
      <c r="AL36" s="581"/>
      <c r="AM36" s="581"/>
      <c r="AN36" s="581"/>
      <c r="AO36" s="581"/>
      <c r="AP36" s="581"/>
      <c r="AQ36" s="581"/>
      <c r="AR36" s="581"/>
      <c r="AS36" s="581"/>
      <c r="AT36" s="581"/>
      <c r="AU36" s="581"/>
      <c r="AV36" s="581"/>
      <c r="AW36" s="581"/>
      <c r="AX36" s="581"/>
      <c r="AY36" s="581"/>
      <c r="AZ36" s="581"/>
      <c r="BA36" s="581"/>
      <c r="BB36" s="581"/>
      <c r="BC36" s="581"/>
      <c r="BD36" s="581"/>
      <c r="BE36" s="581"/>
      <c r="BF36" s="581"/>
      <c r="BG36" s="581"/>
      <c r="BH36" s="581"/>
      <c r="BI36" s="581"/>
      <c r="BJ36" s="581"/>
      <c r="BK36" s="581"/>
      <c r="BL36" s="581"/>
      <c r="BM36" s="581"/>
      <c r="BN36" s="581"/>
      <c r="BO36" s="581"/>
      <c r="BP36" s="581"/>
      <c r="BQ36" s="581">
        <f t="shared" si="8"/>
        <v>0</v>
      </c>
      <c r="BR36" s="581">
        <f t="shared" si="8"/>
        <v>0</v>
      </c>
      <c r="BS36" s="581">
        <f t="shared" si="8"/>
        <v>0</v>
      </c>
      <c r="BT36" s="581">
        <f t="shared" si="8"/>
        <v>0</v>
      </c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 s="80"/>
      <c r="CM36" s="80"/>
      <c r="CN36" s="78"/>
      <c r="CO36" s="81"/>
      <c r="CP36" s="81"/>
      <c r="CQ36" s="78"/>
      <c r="CR36" s="83"/>
      <c r="CS36" s="83"/>
      <c r="CT36" s="78"/>
    </row>
    <row r="37" spans="1:98" ht="19.5" customHeight="1">
      <c r="A37" s="133" t="s">
        <v>164</v>
      </c>
      <c r="B37" s="583" t="s">
        <v>68</v>
      </c>
      <c r="C37" s="239" t="s">
        <v>252</v>
      </c>
      <c r="D37" s="239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1"/>
      <c r="S37" s="581"/>
      <c r="T37" s="581"/>
      <c r="U37" s="581"/>
      <c r="V37" s="581"/>
      <c r="W37" s="581"/>
      <c r="X37" s="581"/>
      <c r="Y37" s="581"/>
      <c r="Z37" s="581"/>
      <c r="AA37" s="581"/>
      <c r="AB37" s="581"/>
      <c r="AC37" s="581"/>
      <c r="AD37" s="581"/>
      <c r="AE37" s="581"/>
      <c r="AF37" s="581"/>
      <c r="AG37" s="581"/>
      <c r="AH37" s="581"/>
      <c r="AI37" s="581"/>
      <c r="AJ37" s="581"/>
      <c r="AK37" s="581"/>
      <c r="AL37" s="581"/>
      <c r="AM37" s="581"/>
      <c r="AN37" s="581"/>
      <c r="AO37" s="581"/>
      <c r="AP37" s="581"/>
      <c r="AQ37" s="581"/>
      <c r="AR37" s="581"/>
      <c r="AS37" s="581"/>
      <c r="AT37" s="581"/>
      <c r="AU37" s="581"/>
      <c r="AV37" s="581"/>
      <c r="AW37" s="581"/>
      <c r="AX37" s="581"/>
      <c r="AY37" s="581"/>
      <c r="AZ37" s="581"/>
      <c r="BA37" s="581"/>
      <c r="BB37" s="581"/>
      <c r="BC37" s="581"/>
      <c r="BD37" s="581"/>
      <c r="BE37" s="581"/>
      <c r="BF37" s="581"/>
      <c r="BG37" s="581"/>
      <c r="BH37" s="581"/>
      <c r="BI37" s="581"/>
      <c r="BJ37" s="581"/>
      <c r="BK37" s="581"/>
      <c r="BL37" s="581"/>
      <c r="BM37" s="581"/>
      <c r="BN37" s="581"/>
      <c r="BO37" s="581"/>
      <c r="BP37" s="581"/>
      <c r="BQ37" s="581">
        <f t="shared" si="8"/>
        <v>0</v>
      </c>
      <c r="BR37" s="581">
        <f t="shared" si="8"/>
        <v>0</v>
      </c>
      <c r="BS37" s="581">
        <f t="shared" si="8"/>
        <v>0</v>
      </c>
      <c r="BT37" s="581">
        <f t="shared" si="8"/>
        <v>0</v>
      </c>
      <c r="CL37" s="77"/>
      <c r="CM37" s="77"/>
      <c r="CN37" s="78"/>
      <c r="CO37" s="77"/>
      <c r="CP37" s="79"/>
      <c r="CQ37" s="78"/>
      <c r="CR37" s="77"/>
      <c r="CS37" s="77"/>
      <c r="CT37" s="78"/>
    </row>
    <row r="38" spans="1:98" ht="19.5" customHeight="1">
      <c r="A38" s="133" t="s">
        <v>341</v>
      </c>
      <c r="B38" s="583" t="s">
        <v>342</v>
      </c>
      <c r="C38" s="239" t="s">
        <v>252</v>
      </c>
      <c r="D38" s="239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1"/>
      <c r="T38" s="581"/>
      <c r="U38" s="581"/>
      <c r="V38" s="581"/>
      <c r="W38" s="581"/>
      <c r="X38" s="581"/>
      <c r="Y38" s="581"/>
      <c r="Z38" s="581"/>
      <c r="AA38" s="581"/>
      <c r="AB38" s="581"/>
      <c r="AC38" s="581"/>
      <c r="AD38" s="581"/>
      <c r="AE38" s="581"/>
      <c r="AF38" s="581"/>
      <c r="AG38" s="581"/>
      <c r="AH38" s="581"/>
      <c r="AI38" s="581"/>
      <c r="AJ38" s="581"/>
      <c r="AK38" s="581"/>
      <c r="AL38" s="581"/>
      <c r="AM38" s="581"/>
      <c r="AN38" s="581"/>
      <c r="AO38" s="581"/>
      <c r="AP38" s="581"/>
      <c r="AQ38" s="581"/>
      <c r="AR38" s="581"/>
      <c r="AS38" s="581"/>
      <c r="AT38" s="581"/>
      <c r="AU38" s="581"/>
      <c r="AV38" s="581"/>
      <c r="AW38" s="581"/>
      <c r="AX38" s="581"/>
      <c r="AY38" s="581"/>
      <c r="AZ38" s="581"/>
      <c r="BA38" s="581"/>
      <c r="BB38" s="581"/>
      <c r="BC38" s="581"/>
      <c r="BD38" s="581"/>
      <c r="BE38" s="581"/>
      <c r="BF38" s="581"/>
      <c r="BG38" s="581"/>
      <c r="BH38" s="581"/>
      <c r="BI38" s="581"/>
      <c r="BJ38" s="581"/>
      <c r="BK38" s="581"/>
      <c r="BL38" s="581"/>
      <c r="BM38" s="581"/>
      <c r="BN38" s="581"/>
      <c r="BO38" s="581"/>
      <c r="BP38" s="581"/>
      <c r="BQ38" s="581">
        <f t="shared" si="8"/>
        <v>0</v>
      </c>
      <c r="BR38" s="581">
        <f t="shared" si="8"/>
        <v>0</v>
      </c>
      <c r="BS38" s="581">
        <f t="shared" si="8"/>
        <v>0</v>
      </c>
      <c r="BT38" s="581">
        <f t="shared" si="8"/>
        <v>0</v>
      </c>
      <c r="CL38" s="77"/>
      <c r="CM38" s="77"/>
      <c r="CN38" s="78"/>
      <c r="CO38" s="77"/>
      <c r="CP38" s="79"/>
      <c r="CQ38" s="78"/>
      <c r="CR38" s="77"/>
      <c r="CS38" s="77"/>
      <c r="CT38" s="78"/>
    </row>
    <row r="39" spans="1:98" ht="19.5" customHeight="1">
      <c r="A39" s="133" t="s">
        <v>965</v>
      </c>
      <c r="B39" s="583" t="s">
        <v>966</v>
      </c>
      <c r="C39" s="239" t="s">
        <v>252</v>
      </c>
      <c r="D39" s="239"/>
      <c r="E39" s="581"/>
      <c r="F39" s="581"/>
      <c r="G39" s="581"/>
      <c r="H39" s="581"/>
      <c r="I39" s="581"/>
      <c r="J39" s="581"/>
      <c r="K39" s="581"/>
      <c r="L39" s="581"/>
      <c r="M39" s="581"/>
      <c r="N39" s="581"/>
      <c r="O39" s="581"/>
      <c r="P39" s="581"/>
      <c r="Q39" s="581"/>
      <c r="R39" s="581"/>
      <c r="S39" s="581"/>
      <c r="T39" s="581"/>
      <c r="U39" s="581"/>
      <c r="V39" s="581"/>
      <c r="W39" s="581"/>
      <c r="X39" s="581"/>
      <c r="Y39" s="581"/>
      <c r="Z39" s="581"/>
      <c r="AA39" s="581"/>
      <c r="AB39" s="581"/>
      <c r="AC39" s="581"/>
      <c r="AD39" s="581"/>
      <c r="AE39" s="581"/>
      <c r="AF39" s="581"/>
      <c r="AG39" s="581"/>
      <c r="AH39" s="581"/>
      <c r="AI39" s="581"/>
      <c r="AJ39" s="581"/>
      <c r="AK39" s="581"/>
      <c r="AL39" s="581"/>
      <c r="AM39" s="581"/>
      <c r="AN39" s="581"/>
      <c r="AO39" s="581"/>
      <c r="AP39" s="581"/>
      <c r="AQ39" s="581"/>
      <c r="AR39" s="581"/>
      <c r="AS39" s="581"/>
      <c r="AT39" s="581"/>
      <c r="AU39" s="581"/>
      <c r="AV39" s="581"/>
      <c r="AW39" s="581"/>
      <c r="AX39" s="581"/>
      <c r="AY39" s="581"/>
      <c r="AZ39" s="581"/>
      <c r="BA39" s="581"/>
      <c r="BB39" s="581"/>
      <c r="BC39" s="581"/>
      <c r="BD39" s="581"/>
      <c r="BE39" s="581"/>
      <c r="BF39" s="581"/>
      <c r="BG39" s="581"/>
      <c r="BH39" s="581"/>
      <c r="BI39" s="581"/>
      <c r="BJ39" s="581"/>
      <c r="BK39" s="581"/>
      <c r="BL39" s="581"/>
      <c r="BM39" s="581"/>
      <c r="BN39" s="581"/>
      <c r="BO39" s="581"/>
      <c r="BP39" s="581"/>
      <c r="BQ39" s="581">
        <f t="shared" si="8"/>
        <v>0</v>
      </c>
      <c r="BR39" s="581">
        <f t="shared" si="8"/>
        <v>0</v>
      </c>
      <c r="BS39" s="581">
        <f t="shared" si="8"/>
        <v>0</v>
      </c>
      <c r="BT39" s="581">
        <f t="shared" si="8"/>
        <v>0</v>
      </c>
      <c r="CL39" s="77"/>
      <c r="CM39" s="77"/>
      <c r="CN39" s="78"/>
      <c r="CO39" s="77"/>
      <c r="CP39" s="79"/>
      <c r="CQ39" s="78"/>
      <c r="CR39" s="77"/>
      <c r="CS39" s="77"/>
      <c r="CT39" s="78"/>
    </row>
    <row r="40" spans="1:98" ht="19.5" customHeight="1">
      <c r="A40" s="133" t="s">
        <v>967</v>
      </c>
      <c r="B40" s="583" t="s">
        <v>968</v>
      </c>
      <c r="C40" s="239" t="s">
        <v>252</v>
      </c>
      <c r="D40" s="239"/>
      <c r="E40" s="581"/>
      <c r="F40" s="581"/>
      <c r="G40" s="581"/>
      <c r="H40" s="581"/>
      <c r="I40" s="581"/>
      <c r="J40" s="581"/>
      <c r="K40" s="581"/>
      <c r="L40" s="581"/>
      <c r="M40" s="581"/>
      <c r="N40" s="581"/>
      <c r="O40" s="581"/>
      <c r="P40" s="581"/>
      <c r="Q40" s="581"/>
      <c r="R40" s="581"/>
      <c r="S40" s="581"/>
      <c r="T40" s="581"/>
      <c r="U40" s="581"/>
      <c r="V40" s="581"/>
      <c r="W40" s="581"/>
      <c r="X40" s="581"/>
      <c r="Y40" s="581"/>
      <c r="Z40" s="581"/>
      <c r="AA40" s="581"/>
      <c r="AB40" s="581"/>
      <c r="AC40" s="581"/>
      <c r="AD40" s="581"/>
      <c r="AE40" s="581"/>
      <c r="AF40" s="581"/>
      <c r="AG40" s="581"/>
      <c r="AH40" s="581"/>
      <c r="AI40" s="581"/>
      <c r="AJ40" s="581"/>
      <c r="AK40" s="581"/>
      <c r="AL40" s="581"/>
      <c r="AM40" s="581"/>
      <c r="AN40" s="581"/>
      <c r="AO40" s="581"/>
      <c r="AP40" s="581"/>
      <c r="AQ40" s="581"/>
      <c r="AR40" s="581"/>
      <c r="AS40" s="581"/>
      <c r="AT40" s="581"/>
      <c r="AU40" s="581"/>
      <c r="AV40" s="581"/>
      <c r="AW40" s="581"/>
      <c r="AX40" s="581"/>
      <c r="AY40" s="581"/>
      <c r="AZ40" s="581"/>
      <c r="BA40" s="581"/>
      <c r="BB40" s="581"/>
      <c r="BC40" s="581"/>
      <c r="BD40" s="581"/>
      <c r="BE40" s="581"/>
      <c r="BF40" s="581"/>
      <c r="BG40" s="581"/>
      <c r="BH40" s="581"/>
      <c r="BI40" s="581"/>
      <c r="BJ40" s="581"/>
      <c r="BK40" s="581"/>
      <c r="BL40" s="581"/>
      <c r="BM40" s="581"/>
      <c r="BN40" s="581"/>
      <c r="BO40" s="581"/>
      <c r="BP40" s="581"/>
      <c r="BQ40" s="581">
        <f t="shared" si="8"/>
        <v>0</v>
      </c>
      <c r="BR40" s="581">
        <f t="shared" si="8"/>
        <v>0</v>
      </c>
      <c r="BS40" s="581">
        <f t="shared" si="8"/>
        <v>0</v>
      </c>
      <c r="BT40" s="581">
        <f t="shared" si="8"/>
        <v>0</v>
      </c>
      <c r="CL40" s="77"/>
      <c r="CM40" s="77"/>
      <c r="CN40" s="78"/>
      <c r="CO40" s="77"/>
      <c r="CP40" s="79"/>
      <c r="CQ40" s="78"/>
      <c r="CR40" s="77"/>
      <c r="CS40" s="77"/>
      <c r="CT40" s="78"/>
    </row>
    <row r="41" spans="1:98" ht="19.5" customHeight="1">
      <c r="A41" s="237"/>
      <c r="B41" s="605" t="s">
        <v>165</v>
      </c>
      <c r="C41" s="605"/>
      <c r="D41" s="589">
        <f aca="true" t="shared" si="9" ref="D41:BO41">SUM(D36:D40)</f>
        <v>0</v>
      </c>
      <c r="E41" s="589">
        <f t="shared" si="9"/>
        <v>0</v>
      </c>
      <c r="F41" s="589">
        <f t="shared" si="9"/>
        <v>0</v>
      </c>
      <c r="G41" s="589">
        <f>SUM(G36:G40)</f>
        <v>0</v>
      </c>
      <c r="H41" s="589">
        <f>SUM(H36:H40)</f>
        <v>0</v>
      </c>
      <c r="I41" s="589">
        <f t="shared" si="9"/>
        <v>0</v>
      </c>
      <c r="J41" s="589">
        <f t="shared" si="9"/>
        <v>0</v>
      </c>
      <c r="K41" s="589">
        <f>SUM(K36:K40)</f>
        <v>0</v>
      </c>
      <c r="L41" s="589">
        <f>SUM(L36:L40)</f>
        <v>0</v>
      </c>
      <c r="M41" s="589">
        <f t="shared" si="9"/>
        <v>0</v>
      </c>
      <c r="N41" s="589">
        <f t="shared" si="9"/>
        <v>0</v>
      </c>
      <c r="O41" s="589">
        <f t="shared" si="9"/>
        <v>0</v>
      </c>
      <c r="P41" s="589">
        <f>SUM(P36:P40)</f>
        <v>0</v>
      </c>
      <c r="Q41" s="589">
        <f t="shared" si="9"/>
        <v>0</v>
      </c>
      <c r="R41" s="589">
        <f t="shared" si="9"/>
        <v>0</v>
      </c>
      <c r="S41" s="589">
        <f t="shared" si="9"/>
        <v>0</v>
      </c>
      <c r="T41" s="589">
        <f>SUM(T36:T40)</f>
        <v>0</v>
      </c>
      <c r="U41" s="589">
        <f t="shared" si="9"/>
        <v>0</v>
      </c>
      <c r="V41" s="589">
        <f t="shared" si="9"/>
        <v>0</v>
      </c>
      <c r="W41" s="589">
        <f t="shared" si="9"/>
        <v>0</v>
      </c>
      <c r="X41" s="589">
        <f>SUM(X36:X40)</f>
        <v>0</v>
      </c>
      <c r="Y41" s="589">
        <f t="shared" si="9"/>
        <v>0</v>
      </c>
      <c r="Z41" s="589">
        <f t="shared" si="9"/>
        <v>0</v>
      </c>
      <c r="AA41" s="589">
        <f t="shared" si="9"/>
        <v>0</v>
      </c>
      <c r="AB41" s="589"/>
      <c r="AC41" s="589">
        <f t="shared" si="9"/>
        <v>0</v>
      </c>
      <c r="AD41" s="589">
        <f t="shared" si="9"/>
        <v>0</v>
      </c>
      <c r="AE41" s="589">
        <f t="shared" si="9"/>
        <v>0</v>
      </c>
      <c r="AF41" s="589">
        <f>SUM(AF36:AF40)</f>
        <v>0</v>
      </c>
      <c r="AG41" s="589">
        <f t="shared" si="9"/>
        <v>0</v>
      </c>
      <c r="AH41" s="589">
        <f t="shared" si="9"/>
        <v>0</v>
      </c>
      <c r="AI41" s="589">
        <f t="shared" si="9"/>
        <v>0</v>
      </c>
      <c r="AJ41" s="589"/>
      <c r="AK41" s="589">
        <f t="shared" si="9"/>
        <v>0</v>
      </c>
      <c r="AL41" s="589">
        <f t="shared" si="9"/>
        <v>0</v>
      </c>
      <c r="AM41" s="589">
        <f t="shared" si="9"/>
        <v>0</v>
      </c>
      <c r="AN41" s="589">
        <f>SUM(AN36:AN40)</f>
        <v>0</v>
      </c>
      <c r="AO41" s="589">
        <f t="shared" si="9"/>
        <v>0</v>
      </c>
      <c r="AP41" s="589">
        <f t="shared" si="9"/>
        <v>0</v>
      </c>
      <c r="AQ41" s="589">
        <f t="shared" si="9"/>
        <v>0</v>
      </c>
      <c r="AR41" s="589">
        <f>SUM(AR36:AR40)</f>
        <v>0</v>
      </c>
      <c r="AS41" s="589">
        <f t="shared" si="9"/>
        <v>0</v>
      </c>
      <c r="AT41" s="589">
        <f t="shared" si="9"/>
        <v>0</v>
      </c>
      <c r="AU41" s="589">
        <f t="shared" si="9"/>
        <v>0</v>
      </c>
      <c r="AV41" s="589">
        <f>SUM(AV36:AV40)</f>
        <v>0</v>
      </c>
      <c r="AW41" s="589">
        <f t="shared" si="9"/>
        <v>0</v>
      </c>
      <c r="AX41" s="589">
        <f t="shared" si="9"/>
        <v>0</v>
      </c>
      <c r="AY41" s="589">
        <f t="shared" si="9"/>
        <v>0</v>
      </c>
      <c r="AZ41" s="589">
        <f>SUM(AZ36:AZ40)</f>
        <v>0</v>
      </c>
      <c r="BA41" s="589">
        <f t="shared" si="9"/>
        <v>0</v>
      </c>
      <c r="BB41" s="589">
        <f t="shared" si="9"/>
        <v>0</v>
      </c>
      <c r="BC41" s="589">
        <f t="shared" si="9"/>
        <v>0</v>
      </c>
      <c r="BD41" s="589">
        <f>SUM(BD36:BD40)</f>
        <v>0</v>
      </c>
      <c r="BE41" s="589">
        <f t="shared" si="9"/>
        <v>0</v>
      </c>
      <c r="BF41" s="589">
        <f t="shared" si="9"/>
        <v>0</v>
      </c>
      <c r="BG41" s="589">
        <f t="shared" si="9"/>
        <v>0</v>
      </c>
      <c r="BH41" s="589">
        <f>SUM(BH36:BH40)</f>
        <v>0</v>
      </c>
      <c r="BI41" s="589">
        <f t="shared" si="9"/>
        <v>0</v>
      </c>
      <c r="BJ41" s="589">
        <f t="shared" si="9"/>
        <v>0</v>
      </c>
      <c r="BK41" s="589">
        <f t="shared" si="9"/>
        <v>0</v>
      </c>
      <c r="BL41" s="589">
        <f>SUM(BL36:BL40)</f>
        <v>0</v>
      </c>
      <c r="BM41" s="589">
        <f t="shared" si="9"/>
        <v>0</v>
      </c>
      <c r="BN41" s="589">
        <f t="shared" si="9"/>
        <v>0</v>
      </c>
      <c r="BO41" s="589">
        <f t="shared" si="9"/>
        <v>0</v>
      </c>
      <c r="BP41" s="589">
        <f>SUM(BP36:BP40)</f>
        <v>0</v>
      </c>
      <c r="BQ41" s="589">
        <f>SUM(BQ34:BQ40)</f>
        <v>0</v>
      </c>
      <c r="BR41" s="589">
        <f>SUM(BR34:BR40)</f>
        <v>0</v>
      </c>
      <c r="BS41" s="589">
        <f>SUM(BS34:BS40)</f>
        <v>0</v>
      </c>
      <c r="BT41" s="589">
        <f>SUM(BT34:BT40)</f>
        <v>0</v>
      </c>
      <c r="CL41" s="77"/>
      <c r="CM41" s="77"/>
      <c r="CN41" s="78"/>
      <c r="CO41" s="77"/>
      <c r="CP41" s="79"/>
      <c r="CQ41" s="78"/>
      <c r="CR41" s="77"/>
      <c r="CS41" s="77"/>
      <c r="CT41" s="78"/>
    </row>
    <row r="42" spans="1:98" ht="19.5" customHeight="1">
      <c r="A42" s="134"/>
      <c r="B42" s="596"/>
      <c r="C42" s="596"/>
      <c r="D42" s="596"/>
      <c r="E42" s="581"/>
      <c r="F42" s="581"/>
      <c r="G42" s="581"/>
      <c r="H42" s="581"/>
      <c r="I42" s="581"/>
      <c r="J42" s="581"/>
      <c r="K42" s="581"/>
      <c r="L42" s="581"/>
      <c r="M42" s="581"/>
      <c r="N42" s="581"/>
      <c r="O42" s="581"/>
      <c r="P42" s="581"/>
      <c r="Q42" s="581"/>
      <c r="R42" s="581"/>
      <c r="S42" s="581"/>
      <c r="T42" s="581"/>
      <c r="U42" s="581"/>
      <c r="V42" s="581"/>
      <c r="W42" s="581"/>
      <c r="X42" s="581"/>
      <c r="Y42" s="581"/>
      <c r="Z42" s="581"/>
      <c r="AA42" s="581"/>
      <c r="AB42" s="581"/>
      <c r="AC42" s="581"/>
      <c r="AD42" s="581"/>
      <c r="AE42" s="581"/>
      <c r="AF42" s="581"/>
      <c r="AG42" s="581"/>
      <c r="AH42" s="581"/>
      <c r="AI42" s="581"/>
      <c r="AJ42" s="581"/>
      <c r="AK42" s="581"/>
      <c r="AL42" s="581"/>
      <c r="AM42" s="581"/>
      <c r="AN42" s="581"/>
      <c r="AO42" s="581"/>
      <c r="AP42" s="581"/>
      <c r="AQ42" s="581"/>
      <c r="AR42" s="581"/>
      <c r="AS42" s="581"/>
      <c r="AT42" s="581"/>
      <c r="AU42" s="581"/>
      <c r="AV42" s="581"/>
      <c r="AW42" s="581"/>
      <c r="AX42" s="581"/>
      <c r="AY42" s="581"/>
      <c r="AZ42" s="581"/>
      <c r="BA42" s="581"/>
      <c r="BB42" s="581"/>
      <c r="BC42" s="581"/>
      <c r="BD42" s="581"/>
      <c r="BE42" s="581"/>
      <c r="BF42" s="581"/>
      <c r="BG42" s="581"/>
      <c r="BH42" s="581"/>
      <c r="BI42" s="581"/>
      <c r="BJ42" s="581"/>
      <c r="BK42" s="581"/>
      <c r="BL42" s="581"/>
      <c r="BM42" s="581"/>
      <c r="BN42" s="581"/>
      <c r="BO42" s="581"/>
      <c r="BP42" s="581"/>
      <c r="BQ42" s="581">
        <f aca="true" t="shared" si="10" ref="BQ42:BT47">SUM(E42,I42,M42,Q42,U42,Y42,AC42,AG42,AK42,AO42,AS42,AW42,BA42,BE42,BI42,BM42)</f>
        <v>0</v>
      </c>
      <c r="BR42" s="581">
        <f t="shared" si="10"/>
        <v>0</v>
      </c>
      <c r="BS42" s="581">
        <f t="shared" si="10"/>
        <v>0</v>
      </c>
      <c r="BT42" s="581">
        <f t="shared" si="10"/>
        <v>0</v>
      </c>
      <c r="CL42" s="77"/>
      <c r="CM42" s="77"/>
      <c r="CN42" s="78"/>
      <c r="CO42" s="77"/>
      <c r="CP42" s="79"/>
      <c r="CQ42" s="78"/>
      <c r="CR42" s="77"/>
      <c r="CS42" s="77"/>
      <c r="CT42" s="78"/>
    </row>
    <row r="43" spans="1:98" ht="19.5" customHeight="1">
      <c r="A43" s="136" t="s">
        <v>166</v>
      </c>
      <c r="B43" s="110" t="s">
        <v>167</v>
      </c>
      <c r="C43" s="110"/>
      <c r="D43" s="110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1"/>
      <c r="AI43" s="581"/>
      <c r="AJ43" s="581"/>
      <c r="AK43" s="581"/>
      <c r="AL43" s="581"/>
      <c r="AM43" s="581"/>
      <c r="AN43" s="581"/>
      <c r="AO43" s="581"/>
      <c r="AP43" s="581"/>
      <c r="AQ43" s="581"/>
      <c r="AR43" s="581"/>
      <c r="AS43" s="581"/>
      <c r="AT43" s="581"/>
      <c r="AU43" s="581"/>
      <c r="AV43" s="581"/>
      <c r="AW43" s="581"/>
      <c r="AX43" s="581"/>
      <c r="AY43" s="581"/>
      <c r="AZ43" s="581"/>
      <c r="BA43" s="581"/>
      <c r="BB43" s="581"/>
      <c r="BC43" s="581"/>
      <c r="BD43" s="581"/>
      <c r="BE43" s="581"/>
      <c r="BF43" s="581"/>
      <c r="BG43" s="581"/>
      <c r="BH43" s="581"/>
      <c r="BI43" s="581"/>
      <c r="BJ43" s="581"/>
      <c r="BK43" s="581"/>
      <c r="BL43" s="581"/>
      <c r="BM43" s="581"/>
      <c r="BN43" s="581"/>
      <c r="BO43" s="581"/>
      <c r="BP43" s="581"/>
      <c r="BQ43" s="581">
        <f t="shared" si="10"/>
        <v>0</v>
      </c>
      <c r="BR43" s="581">
        <f t="shared" si="10"/>
        <v>0</v>
      </c>
      <c r="BS43" s="581">
        <f t="shared" si="10"/>
        <v>0</v>
      </c>
      <c r="BT43" s="581">
        <f t="shared" si="10"/>
        <v>0</v>
      </c>
      <c r="CL43" s="77"/>
      <c r="CM43" s="77"/>
      <c r="CN43" s="78"/>
      <c r="CO43" s="77"/>
      <c r="CP43" s="79"/>
      <c r="CQ43" s="78"/>
      <c r="CR43" s="77"/>
      <c r="CS43" s="77"/>
      <c r="CT43" s="78"/>
    </row>
    <row r="44" spans="1:98" ht="19.5" customHeight="1">
      <c r="A44" s="133" t="s">
        <v>969</v>
      </c>
      <c r="B44" s="583" t="s">
        <v>970</v>
      </c>
      <c r="C44" s="596" t="s">
        <v>252</v>
      </c>
      <c r="D44" s="596"/>
      <c r="E44" s="581"/>
      <c r="F44" s="581"/>
      <c r="G44" s="581"/>
      <c r="H44" s="581"/>
      <c r="I44" s="581"/>
      <c r="J44" s="581"/>
      <c r="K44" s="581"/>
      <c r="L44" s="581"/>
      <c r="M44" s="581"/>
      <c r="N44" s="581"/>
      <c r="O44" s="581"/>
      <c r="P44" s="581"/>
      <c r="Q44" s="581"/>
      <c r="R44" s="581"/>
      <c r="S44" s="581"/>
      <c r="T44" s="581"/>
      <c r="U44" s="581"/>
      <c r="V44" s="581"/>
      <c r="W44" s="581"/>
      <c r="X44" s="581"/>
      <c r="Y44" s="581"/>
      <c r="Z44" s="581"/>
      <c r="AA44" s="581"/>
      <c r="AB44" s="581"/>
      <c r="AC44" s="581"/>
      <c r="AD44" s="581"/>
      <c r="AE44" s="581"/>
      <c r="AF44" s="581"/>
      <c r="AG44" s="581"/>
      <c r="AH44" s="581"/>
      <c r="AI44" s="581"/>
      <c r="AJ44" s="581"/>
      <c r="AK44" s="581"/>
      <c r="AL44" s="581"/>
      <c r="AM44" s="581"/>
      <c r="AN44" s="581"/>
      <c r="AO44" s="581"/>
      <c r="AP44" s="581"/>
      <c r="AQ44" s="581"/>
      <c r="AR44" s="581"/>
      <c r="AS44" s="581"/>
      <c r="AT44" s="581"/>
      <c r="AU44" s="581"/>
      <c r="AV44" s="581"/>
      <c r="AW44" s="581"/>
      <c r="AX44" s="581"/>
      <c r="AY44" s="581"/>
      <c r="AZ44" s="581"/>
      <c r="BA44" s="581"/>
      <c r="BB44" s="581"/>
      <c r="BC44" s="581"/>
      <c r="BD44" s="581"/>
      <c r="BE44" s="581"/>
      <c r="BF44" s="581"/>
      <c r="BG44" s="581"/>
      <c r="BH44" s="581"/>
      <c r="BI44" s="581"/>
      <c r="BJ44" s="581"/>
      <c r="BK44" s="581"/>
      <c r="BL44" s="581"/>
      <c r="BM44" s="581"/>
      <c r="BN44" s="581"/>
      <c r="BO44" s="581"/>
      <c r="BP44" s="581"/>
      <c r="BQ44" s="581">
        <f t="shared" si="10"/>
        <v>0</v>
      </c>
      <c r="BR44" s="581">
        <f t="shared" si="10"/>
        <v>0</v>
      </c>
      <c r="BS44" s="581">
        <f t="shared" si="10"/>
        <v>0</v>
      </c>
      <c r="BT44" s="581">
        <f t="shared" si="10"/>
        <v>0</v>
      </c>
      <c r="CL44" s="77"/>
      <c r="CM44" s="77"/>
      <c r="CN44" s="78"/>
      <c r="CO44" s="77"/>
      <c r="CP44" s="79"/>
      <c r="CQ44" s="78"/>
      <c r="CR44" s="78"/>
      <c r="CS44" s="78"/>
      <c r="CT44" s="78"/>
    </row>
    <row r="45" spans="1:98" ht="19.5" customHeight="1">
      <c r="A45" s="133" t="s">
        <v>971</v>
      </c>
      <c r="B45" s="583" t="s">
        <v>972</v>
      </c>
      <c r="C45" s="596" t="s">
        <v>252</v>
      </c>
      <c r="D45" s="596"/>
      <c r="E45" s="581">
        <v>480000</v>
      </c>
      <c r="F45" s="581">
        <v>480000</v>
      </c>
      <c r="G45" s="581">
        <v>480000</v>
      </c>
      <c r="H45" s="581">
        <v>556695</v>
      </c>
      <c r="I45" s="581">
        <v>93600</v>
      </c>
      <c r="J45" s="581">
        <v>93600</v>
      </c>
      <c r="K45" s="581">
        <v>93600</v>
      </c>
      <c r="L45" s="581">
        <v>92070</v>
      </c>
      <c r="M45" s="581">
        <v>1974650</v>
      </c>
      <c r="N45" s="581">
        <v>1974650</v>
      </c>
      <c r="O45" s="581">
        <v>1974650</v>
      </c>
      <c r="P45" s="581">
        <v>1189596</v>
      </c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1"/>
      <c r="AK45" s="581"/>
      <c r="AL45" s="581"/>
      <c r="AM45" s="581"/>
      <c r="AN45" s="581"/>
      <c r="AO45" s="581"/>
      <c r="AP45" s="581"/>
      <c r="AQ45" s="581"/>
      <c r="AR45" s="581"/>
      <c r="AS45" s="581"/>
      <c r="AT45" s="581"/>
      <c r="AU45" s="581"/>
      <c r="AV45" s="581"/>
      <c r="AW45" s="581"/>
      <c r="AX45" s="581"/>
      <c r="AY45" s="581"/>
      <c r="AZ45" s="581"/>
      <c r="BA45" s="581"/>
      <c r="BB45" s="581"/>
      <c r="BC45" s="581"/>
      <c r="BD45" s="581"/>
      <c r="BE45" s="581"/>
      <c r="BF45" s="581"/>
      <c r="BG45" s="581"/>
      <c r="BH45" s="581"/>
      <c r="BI45" s="581"/>
      <c r="BJ45" s="581"/>
      <c r="BK45" s="581"/>
      <c r="BL45" s="581"/>
      <c r="BM45" s="581"/>
      <c r="BN45" s="581"/>
      <c r="BO45" s="581"/>
      <c r="BP45" s="581"/>
      <c r="BQ45" s="581">
        <f t="shared" si="10"/>
        <v>2548250</v>
      </c>
      <c r="BR45" s="581">
        <f t="shared" si="10"/>
        <v>2548250</v>
      </c>
      <c r="BS45" s="581">
        <f t="shared" si="10"/>
        <v>2548250</v>
      </c>
      <c r="BT45" s="581">
        <f t="shared" si="10"/>
        <v>1838361</v>
      </c>
      <c r="CL45" s="77"/>
      <c r="CM45" s="77"/>
      <c r="CN45" s="78"/>
      <c r="CO45" s="77"/>
      <c r="CP45" s="79"/>
      <c r="CQ45" s="78"/>
      <c r="CR45" s="78"/>
      <c r="CS45" s="78"/>
      <c r="CT45" s="78"/>
    </row>
    <row r="46" spans="1:98" s="142" customFormat="1" ht="19.5" customHeight="1">
      <c r="A46" s="133" t="s">
        <v>997</v>
      </c>
      <c r="B46" s="583" t="s">
        <v>998</v>
      </c>
      <c r="C46" s="596" t="s">
        <v>252</v>
      </c>
      <c r="D46" s="596"/>
      <c r="E46" s="581"/>
      <c r="F46" s="581"/>
      <c r="G46" s="581"/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581"/>
      <c r="S46" s="581"/>
      <c r="T46" s="581"/>
      <c r="U46" s="581"/>
      <c r="V46" s="581"/>
      <c r="W46" s="581"/>
      <c r="X46" s="581"/>
      <c r="Y46" s="581"/>
      <c r="Z46" s="581"/>
      <c r="AA46" s="581"/>
      <c r="AB46" s="581"/>
      <c r="AC46" s="581"/>
      <c r="AD46" s="581"/>
      <c r="AE46" s="581"/>
      <c r="AF46" s="581"/>
      <c r="AG46" s="581"/>
      <c r="AH46" s="581"/>
      <c r="AI46" s="581"/>
      <c r="AJ46" s="581"/>
      <c r="AK46" s="581"/>
      <c r="AL46" s="581"/>
      <c r="AM46" s="581"/>
      <c r="AN46" s="581"/>
      <c r="AO46" s="581"/>
      <c r="AP46" s="581"/>
      <c r="AQ46" s="581"/>
      <c r="AR46" s="581"/>
      <c r="AS46" s="581"/>
      <c r="AT46" s="581"/>
      <c r="AU46" s="581"/>
      <c r="AV46" s="581"/>
      <c r="AW46" s="581"/>
      <c r="AX46" s="581"/>
      <c r="AY46" s="581"/>
      <c r="AZ46" s="581"/>
      <c r="BA46" s="581"/>
      <c r="BB46" s="581"/>
      <c r="BC46" s="581"/>
      <c r="BD46" s="581"/>
      <c r="BE46" s="581"/>
      <c r="BF46" s="581"/>
      <c r="BG46" s="581"/>
      <c r="BH46" s="581"/>
      <c r="BI46" s="581"/>
      <c r="BJ46" s="581"/>
      <c r="BK46" s="581"/>
      <c r="BL46" s="581"/>
      <c r="BM46" s="581"/>
      <c r="BN46" s="581"/>
      <c r="BO46" s="581"/>
      <c r="BP46" s="581"/>
      <c r="BQ46" s="581">
        <f t="shared" si="10"/>
        <v>0</v>
      </c>
      <c r="BR46" s="581">
        <f t="shared" si="10"/>
        <v>0</v>
      </c>
      <c r="BS46" s="581">
        <f t="shared" si="10"/>
        <v>0</v>
      </c>
      <c r="BT46" s="581">
        <f t="shared" si="10"/>
        <v>0</v>
      </c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 s="139"/>
      <c r="CM46" s="139"/>
      <c r="CN46" s="138"/>
      <c r="CO46" s="139"/>
      <c r="CP46" s="183"/>
      <c r="CQ46" s="138"/>
      <c r="CR46" s="139"/>
      <c r="CS46" s="139"/>
      <c r="CT46" s="138"/>
    </row>
    <row r="47" spans="1:98" ht="19.5" customHeight="1">
      <c r="A47" s="133" t="s">
        <v>463</v>
      </c>
      <c r="B47" s="239" t="s">
        <v>973</v>
      </c>
      <c r="C47" s="607" t="s">
        <v>252</v>
      </c>
      <c r="D47" s="607"/>
      <c r="E47" s="600"/>
      <c r="F47" s="600"/>
      <c r="G47" s="600"/>
      <c r="H47" s="600"/>
      <c r="I47" s="600"/>
      <c r="J47" s="600"/>
      <c r="K47" s="600"/>
      <c r="L47" s="600"/>
      <c r="M47" s="600"/>
      <c r="N47" s="600"/>
      <c r="O47" s="600"/>
      <c r="P47" s="600"/>
      <c r="Q47" s="604"/>
      <c r="R47" s="604"/>
      <c r="S47" s="604"/>
      <c r="T47" s="604"/>
      <c r="U47" s="604"/>
      <c r="V47" s="604"/>
      <c r="W47" s="604"/>
      <c r="X47" s="604"/>
      <c r="Y47" s="600"/>
      <c r="Z47" s="600"/>
      <c r="AA47" s="600"/>
      <c r="AB47" s="600"/>
      <c r="AC47" s="600"/>
      <c r="AD47" s="600"/>
      <c r="AE47" s="600"/>
      <c r="AF47" s="600"/>
      <c r="AG47" s="600"/>
      <c r="AH47" s="600"/>
      <c r="AI47" s="600"/>
      <c r="AJ47" s="600"/>
      <c r="AK47" s="600"/>
      <c r="AL47" s="600"/>
      <c r="AM47" s="600"/>
      <c r="AN47" s="600"/>
      <c r="AO47" s="600"/>
      <c r="AP47" s="600"/>
      <c r="AQ47" s="600"/>
      <c r="AR47" s="600"/>
      <c r="AS47" s="600"/>
      <c r="AT47" s="600"/>
      <c r="AU47" s="600"/>
      <c r="AV47" s="600"/>
      <c r="AW47" s="600"/>
      <c r="AX47" s="600"/>
      <c r="AY47" s="600"/>
      <c r="AZ47" s="600"/>
      <c r="BA47" s="600"/>
      <c r="BB47" s="600"/>
      <c r="BC47" s="600"/>
      <c r="BD47" s="600"/>
      <c r="BE47" s="600"/>
      <c r="BF47" s="600"/>
      <c r="BG47" s="600"/>
      <c r="BH47" s="600"/>
      <c r="BI47" s="600"/>
      <c r="BJ47" s="600"/>
      <c r="BK47" s="600"/>
      <c r="BL47" s="600"/>
      <c r="BM47" s="600"/>
      <c r="BN47" s="600"/>
      <c r="BO47" s="600"/>
      <c r="BP47" s="600"/>
      <c r="BQ47" s="581">
        <f t="shared" si="10"/>
        <v>0</v>
      </c>
      <c r="BR47" s="581">
        <f t="shared" si="10"/>
        <v>0</v>
      </c>
      <c r="BS47" s="581">
        <f t="shared" si="10"/>
        <v>0</v>
      </c>
      <c r="BT47" s="581">
        <f t="shared" si="10"/>
        <v>0</v>
      </c>
      <c r="CL47" s="77"/>
      <c r="CM47" s="77"/>
      <c r="CN47" s="78"/>
      <c r="CO47" s="77"/>
      <c r="CP47" s="79"/>
      <c r="CQ47" s="78"/>
      <c r="CR47" s="77"/>
      <c r="CS47" s="77"/>
      <c r="CT47" s="78"/>
    </row>
    <row r="48" spans="1:98" s="142" customFormat="1" ht="19.5" customHeight="1">
      <c r="A48" s="237"/>
      <c r="B48" s="240" t="s">
        <v>168</v>
      </c>
      <c r="C48" s="240"/>
      <c r="D48" s="240"/>
      <c r="E48" s="588">
        <f aca="true" t="shared" si="11" ref="E48:BO48">SUM(E44:E47)</f>
        <v>480000</v>
      </c>
      <c r="F48" s="588">
        <f t="shared" si="11"/>
        <v>480000</v>
      </c>
      <c r="G48" s="588">
        <f t="shared" si="11"/>
        <v>480000</v>
      </c>
      <c r="H48" s="588">
        <f>SUM(H44:H47)</f>
        <v>556695</v>
      </c>
      <c r="I48" s="588">
        <f t="shared" si="11"/>
        <v>93600</v>
      </c>
      <c r="J48" s="588">
        <f t="shared" si="11"/>
        <v>93600</v>
      </c>
      <c r="K48" s="588">
        <f t="shared" si="11"/>
        <v>93600</v>
      </c>
      <c r="L48" s="588">
        <f>SUM(L44:L47)</f>
        <v>92070</v>
      </c>
      <c r="M48" s="588">
        <f t="shared" si="11"/>
        <v>1974650</v>
      </c>
      <c r="N48" s="588">
        <f t="shared" si="11"/>
        <v>1974650</v>
      </c>
      <c r="O48" s="588">
        <f t="shared" si="11"/>
        <v>1974650</v>
      </c>
      <c r="P48" s="588">
        <f>SUM(P44:P47)</f>
        <v>1189596</v>
      </c>
      <c r="Q48" s="588">
        <f t="shared" si="11"/>
        <v>0</v>
      </c>
      <c r="R48" s="588">
        <f t="shared" si="11"/>
        <v>0</v>
      </c>
      <c r="S48" s="588">
        <f t="shared" si="11"/>
        <v>0</v>
      </c>
      <c r="T48" s="588">
        <f>SUM(T44:T47)</f>
        <v>0</v>
      </c>
      <c r="U48" s="588">
        <f t="shared" si="11"/>
        <v>0</v>
      </c>
      <c r="V48" s="588">
        <f t="shared" si="11"/>
        <v>0</v>
      </c>
      <c r="W48" s="588">
        <f t="shared" si="11"/>
        <v>0</v>
      </c>
      <c r="X48" s="588">
        <f>SUM(X44:X47)</f>
        <v>0</v>
      </c>
      <c r="Y48" s="588">
        <f t="shared" si="11"/>
        <v>0</v>
      </c>
      <c r="Z48" s="588">
        <f t="shared" si="11"/>
        <v>0</v>
      </c>
      <c r="AA48" s="588">
        <f t="shared" si="11"/>
        <v>0</v>
      </c>
      <c r="AB48" s="588"/>
      <c r="AC48" s="588">
        <f t="shared" si="11"/>
        <v>0</v>
      </c>
      <c r="AD48" s="588">
        <f t="shared" si="11"/>
        <v>0</v>
      </c>
      <c r="AE48" s="588">
        <f t="shared" si="11"/>
        <v>0</v>
      </c>
      <c r="AF48" s="588">
        <f>SUM(AF44:AF47)</f>
        <v>0</v>
      </c>
      <c r="AG48" s="588">
        <f t="shared" si="11"/>
        <v>0</v>
      </c>
      <c r="AH48" s="588">
        <f t="shared" si="11"/>
        <v>0</v>
      </c>
      <c r="AI48" s="588">
        <f t="shared" si="11"/>
        <v>0</v>
      </c>
      <c r="AJ48" s="588"/>
      <c r="AK48" s="588">
        <f t="shared" si="11"/>
        <v>0</v>
      </c>
      <c r="AL48" s="588">
        <f t="shared" si="11"/>
        <v>0</v>
      </c>
      <c r="AM48" s="588">
        <f t="shared" si="11"/>
        <v>0</v>
      </c>
      <c r="AN48" s="588">
        <f>SUM(AN44:AN47)</f>
        <v>0</v>
      </c>
      <c r="AO48" s="588">
        <f t="shared" si="11"/>
        <v>0</v>
      </c>
      <c r="AP48" s="588">
        <f t="shared" si="11"/>
        <v>0</v>
      </c>
      <c r="AQ48" s="588">
        <f t="shared" si="11"/>
        <v>0</v>
      </c>
      <c r="AR48" s="588">
        <f>SUM(AR44:AR47)</f>
        <v>0</v>
      </c>
      <c r="AS48" s="588">
        <f t="shared" si="11"/>
        <v>0</v>
      </c>
      <c r="AT48" s="588">
        <f t="shared" si="11"/>
        <v>0</v>
      </c>
      <c r="AU48" s="588">
        <f t="shared" si="11"/>
        <v>0</v>
      </c>
      <c r="AV48" s="588">
        <f>SUM(AV44:AV47)</f>
        <v>0</v>
      </c>
      <c r="AW48" s="588">
        <f t="shared" si="11"/>
        <v>0</v>
      </c>
      <c r="AX48" s="588">
        <f t="shared" si="11"/>
        <v>0</v>
      </c>
      <c r="AY48" s="588">
        <f t="shared" si="11"/>
        <v>0</v>
      </c>
      <c r="AZ48" s="588">
        <f>SUM(AZ44:AZ47)</f>
        <v>0</v>
      </c>
      <c r="BA48" s="588">
        <f t="shared" si="11"/>
        <v>0</v>
      </c>
      <c r="BB48" s="588">
        <f t="shared" si="11"/>
        <v>0</v>
      </c>
      <c r="BC48" s="588">
        <f t="shared" si="11"/>
        <v>0</v>
      </c>
      <c r="BD48" s="588">
        <f>SUM(BD44:BD47)</f>
        <v>0</v>
      </c>
      <c r="BE48" s="588">
        <f t="shared" si="11"/>
        <v>0</v>
      </c>
      <c r="BF48" s="588">
        <f t="shared" si="11"/>
        <v>0</v>
      </c>
      <c r="BG48" s="588">
        <f t="shared" si="11"/>
        <v>0</v>
      </c>
      <c r="BH48" s="588">
        <f>SUM(BH44:BH47)</f>
        <v>0</v>
      </c>
      <c r="BI48" s="588">
        <f t="shared" si="11"/>
        <v>0</v>
      </c>
      <c r="BJ48" s="588">
        <f t="shared" si="11"/>
        <v>0</v>
      </c>
      <c r="BK48" s="588">
        <f t="shared" si="11"/>
        <v>0</v>
      </c>
      <c r="BL48" s="588">
        <f>SUM(BL44:BL47)</f>
        <v>0</v>
      </c>
      <c r="BM48" s="588">
        <f t="shared" si="11"/>
        <v>0</v>
      </c>
      <c r="BN48" s="588">
        <f t="shared" si="11"/>
        <v>0</v>
      </c>
      <c r="BO48" s="588">
        <f t="shared" si="11"/>
        <v>0</v>
      </c>
      <c r="BP48" s="588">
        <f>SUM(BP44:BP47)</f>
        <v>0</v>
      </c>
      <c r="BQ48" s="588">
        <f>SUM(BQ42:BQ47)</f>
        <v>2548250</v>
      </c>
      <c r="BR48" s="588">
        <f>SUM(BR42:BR47)</f>
        <v>2548250</v>
      </c>
      <c r="BS48" s="588">
        <f>SUM(BS42:BS47)</f>
        <v>2548250</v>
      </c>
      <c r="BT48" s="588">
        <f>SUM(BT42:BT47)</f>
        <v>1838361</v>
      </c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 s="139"/>
      <c r="CM48" s="139"/>
      <c r="CN48" s="139"/>
      <c r="CO48" s="139"/>
      <c r="CP48" s="139"/>
      <c r="CQ48" s="139"/>
      <c r="CR48" s="139"/>
      <c r="CS48" s="139"/>
      <c r="CT48" s="139"/>
    </row>
    <row r="49" spans="1:98" s="318" customFormat="1" ht="19.5" customHeight="1">
      <c r="A49" s="608" t="s">
        <v>343</v>
      </c>
      <c r="B49" s="241" t="s">
        <v>344</v>
      </c>
      <c r="C49" s="241"/>
      <c r="D49" s="241"/>
      <c r="E49" s="609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09"/>
      <c r="Z49" s="609"/>
      <c r="AA49" s="609"/>
      <c r="AB49" s="609"/>
      <c r="AC49" s="609"/>
      <c r="AD49" s="609"/>
      <c r="AE49" s="609"/>
      <c r="AF49" s="609"/>
      <c r="AG49" s="609"/>
      <c r="AH49" s="609"/>
      <c r="AI49" s="609"/>
      <c r="AJ49" s="609"/>
      <c r="AK49" s="609"/>
      <c r="AL49" s="609"/>
      <c r="AM49" s="609"/>
      <c r="AN49" s="609"/>
      <c r="AO49" s="609"/>
      <c r="AP49" s="609"/>
      <c r="AQ49" s="609"/>
      <c r="AR49" s="609"/>
      <c r="AS49" s="609"/>
      <c r="AT49" s="609"/>
      <c r="AU49" s="609"/>
      <c r="AV49" s="609"/>
      <c r="AW49" s="609"/>
      <c r="AX49" s="609"/>
      <c r="AY49" s="609"/>
      <c r="AZ49" s="609"/>
      <c r="BA49" s="609"/>
      <c r="BB49" s="609"/>
      <c r="BC49" s="609"/>
      <c r="BD49" s="609"/>
      <c r="BE49" s="609"/>
      <c r="BF49" s="609"/>
      <c r="BG49" s="609"/>
      <c r="BH49" s="609"/>
      <c r="BI49" s="609"/>
      <c r="BJ49" s="609"/>
      <c r="BK49" s="609"/>
      <c r="BL49" s="609"/>
      <c r="BM49" s="609"/>
      <c r="BN49" s="609"/>
      <c r="BO49" s="609"/>
      <c r="BP49" s="609"/>
      <c r="BQ49" s="609">
        <f>SUM(E49,I49,M49,Q49,U49,Y49,AC49,AG49,AK49,AO49,AS49,AW49,BA49,BE49,BI49,BM49)</f>
        <v>0</v>
      </c>
      <c r="BR49" s="609">
        <f>SUM(F49,J49,N49,R49,V49,Z49,AD49,AH49,AL49,AP49,AT49,AX49,BB49,BF49,BJ49,BN49)</f>
        <v>0</v>
      </c>
      <c r="BS49" s="609">
        <f>SUM(G49,K49,O49,S49,W49,AA49,AE49,AI49,AM49,AQ49,AU49,AY49,BC49,BG49,BK49,BO49)</f>
        <v>0</v>
      </c>
      <c r="BT49" s="609">
        <f>SUM(H49,L49,P49,T49,X49,AB49,AF49,AJ49,AN49,AR49,AV49,AZ49,BD49,BH49,BL49,BP49)</f>
        <v>0</v>
      </c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 s="317"/>
      <c r="CM49" s="317"/>
      <c r="CN49" s="317"/>
      <c r="CO49" s="317"/>
      <c r="CP49" s="317"/>
      <c r="CQ49" s="317"/>
      <c r="CR49" s="317"/>
      <c r="CS49" s="317"/>
      <c r="CT49" s="317"/>
    </row>
    <row r="50" spans="1:98" ht="19.5" customHeight="1">
      <c r="A50" s="608" t="s">
        <v>416</v>
      </c>
      <c r="B50" s="241" t="s">
        <v>417</v>
      </c>
      <c r="C50" s="241"/>
      <c r="D50" s="241"/>
      <c r="E50" s="609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>
        <v>419100</v>
      </c>
      <c r="Q50" s="609"/>
      <c r="R50" s="609"/>
      <c r="S50" s="609"/>
      <c r="T50" s="609"/>
      <c r="U50" s="609"/>
      <c r="V50" s="609"/>
      <c r="W50" s="609"/>
      <c r="X50" s="609"/>
      <c r="Y50" s="609"/>
      <c r="Z50" s="609"/>
      <c r="AA50" s="609"/>
      <c r="AB50" s="609"/>
      <c r="AC50" s="609"/>
      <c r="AD50" s="609"/>
      <c r="AE50" s="609"/>
      <c r="AF50" s="609"/>
      <c r="AG50" s="609"/>
      <c r="AH50" s="609"/>
      <c r="AI50" s="609"/>
      <c r="AJ50" s="609"/>
      <c r="AK50" s="609"/>
      <c r="AL50" s="609">
        <f>-1526731-127000</f>
        <v>-1653731</v>
      </c>
      <c r="AM50" s="609">
        <f>-1526731-127000</f>
        <v>-1653731</v>
      </c>
      <c r="AO50" s="609"/>
      <c r="AP50" s="609">
        <v>1526731</v>
      </c>
      <c r="AQ50" s="609">
        <v>1526731</v>
      </c>
      <c r="AR50" s="609">
        <f>1526731</f>
        <v>1526731</v>
      </c>
      <c r="AS50" s="609"/>
      <c r="AT50" s="609"/>
      <c r="AU50" s="609"/>
      <c r="AV50" s="609"/>
      <c r="AW50" s="609"/>
      <c r="AX50" s="609"/>
      <c r="AY50" s="609"/>
      <c r="AZ50" s="609"/>
      <c r="BA50" s="609"/>
      <c r="BB50" s="609"/>
      <c r="BC50" s="609"/>
      <c r="BD50" s="609"/>
      <c r="BE50" s="609"/>
      <c r="BF50" s="609"/>
      <c r="BG50" s="609"/>
      <c r="BH50" s="609"/>
      <c r="BI50" s="609"/>
      <c r="BJ50" s="609"/>
      <c r="BK50" s="609"/>
      <c r="BL50" s="609"/>
      <c r="BM50" s="609"/>
      <c r="BN50" s="609"/>
      <c r="BO50" s="609"/>
      <c r="BP50" s="609"/>
      <c r="BQ50" s="609">
        <f>SUM(E50,I50,M50,Q50,U50,Y50,AC50,AG50,AJ50,AO50,AS50,AW50,BA50,BE50,BI50,BM50)</f>
        <v>0</v>
      </c>
      <c r="BR50" s="609">
        <f>SUM(F50,J50,N50,R50,V50,Z50,AD50,AH50,AK50,AP50,AT50,AX50,BB50,BF50,BJ50,BN50)</f>
        <v>1526731</v>
      </c>
      <c r="BS50" s="609">
        <f>SUM(G50,K50,O50,S50,W50,AA50,AE50,AI50,AL50,AQ50,AU50,AY50,BC50,BG50,BK50,BO50)</f>
        <v>-127000</v>
      </c>
      <c r="BT50" s="609">
        <f>SUM(H50,L50,P50,T50,X50,AB50,AF50,AJ50,AN50,AR50,AV50,AZ50,BD50,BH50,BL50,BP50)</f>
        <v>1945831</v>
      </c>
      <c r="CL50" s="73"/>
      <c r="CM50" s="73"/>
      <c r="CN50" s="82"/>
      <c r="CO50" s="81"/>
      <c r="CP50" s="81"/>
      <c r="CQ50" s="82"/>
      <c r="CR50" s="74"/>
      <c r="CS50" s="74"/>
      <c r="CT50" s="82"/>
    </row>
    <row r="51" spans="1:98" ht="19.5" customHeight="1">
      <c r="A51" s="237"/>
      <c r="B51" s="240" t="s">
        <v>345</v>
      </c>
      <c r="C51" s="240"/>
      <c r="D51" s="240"/>
      <c r="E51" s="588">
        <f aca="true" t="shared" si="12" ref="E51:AA51">SUM(E50)</f>
        <v>0</v>
      </c>
      <c r="F51" s="588">
        <f t="shared" si="12"/>
        <v>0</v>
      </c>
      <c r="G51" s="588">
        <f t="shared" si="12"/>
        <v>0</v>
      </c>
      <c r="H51" s="588">
        <f t="shared" si="12"/>
        <v>0</v>
      </c>
      <c r="I51" s="588">
        <f t="shared" si="12"/>
        <v>0</v>
      </c>
      <c r="J51" s="588">
        <f t="shared" si="12"/>
        <v>0</v>
      </c>
      <c r="K51" s="588">
        <f t="shared" si="12"/>
        <v>0</v>
      </c>
      <c r="L51" s="588">
        <f t="shared" si="12"/>
        <v>0</v>
      </c>
      <c r="M51" s="588">
        <f t="shared" si="12"/>
        <v>0</v>
      </c>
      <c r="N51" s="588">
        <f t="shared" si="12"/>
        <v>0</v>
      </c>
      <c r="O51" s="588">
        <f t="shared" si="12"/>
        <v>0</v>
      </c>
      <c r="P51" s="588">
        <f t="shared" si="12"/>
        <v>419100</v>
      </c>
      <c r="Q51" s="588">
        <f t="shared" si="12"/>
        <v>0</v>
      </c>
      <c r="R51" s="588">
        <f t="shared" si="12"/>
        <v>0</v>
      </c>
      <c r="S51" s="588">
        <f t="shared" si="12"/>
        <v>0</v>
      </c>
      <c r="T51" s="588">
        <f t="shared" si="12"/>
        <v>0</v>
      </c>
      <c r="U51" s="588">
        <f t="shared" si="12"/>
        <v>0</v>
      </c>
      <c r="V51" s="588">
        <f t="shared" si="12"/>
        <v>0</v>
      </c>
      <c r="W51" s="588">
        <f t="shared" si="12"/>
        <v>0</v>
      </c>
      <c r="X51" s="588">
        <f t="shared" si="12"/>
        <v>0</v>
      </c>
      <c r="Y51" s="588">
        <f t="shared" si="12"/>
        <v>0</v>
      </c>
      <c r="Z51" s="588">
        <f t="shared" si="12"/>
        <v>0</v>
      </c>
      <c r="AA51" s="588">
        <f t="shared" si="12"/>
        <v>0</v>
      </c>
      <c r="AB51" s="588"/>
      <c r="AC51" s="588">
        <f aca="true" t="shared" si="13" ref="AC51:AI51">SUM(AC50)</f>
        <v>0</v>
      </c>
      <c r="AD51" s="588">
        <f t="shared" si="13"/>
        <v>0</v>
      </c>
      <c r="AE51" s="588">
        <f t="shared" si="13"/>
        <v>0</v>
      </c>
      <c r="AF51" s="588">
        <f t="shared" si="13"/>
        <v>0</v>
      </c>
      <c r="AG51" s="588">
        <f t="shared" si="13"/>
        <v>0</v>
      </c>
      <c r="AH51" s="588">
        <f t="shared" si="13"/>
        <v>0</v>
      </c>
      <c r="AI51" s="588">
        <f t="shared" si="13"/>
        <v>0</v>
      </c>
      <c r="AJ51" s="588"/>
      <c r="AK51" s="588">
        <f>SUM(AJ50)</f>
        <v>0</v>
      </c>
      <c r="AL51" s="588">
        <f aca="true" t="shared" si="14" ref="AL51:BP51">SUM(AL50)</f>
        <v>-1653731</v>
      </c>
      <c r="AM51" s="588">
        <f t="shared" si="14"/>
        <v>-1653731</v>
      </c>
      <c r="AN51" s="588">
        <f t="shared" si="14"/>
        <v>0</v>
      </c>
      <c r="AO51" s="588">
        <f t="shared" si="14"/>
        <v>0</v>
      </c>
      <c r="AP51" s="588">
        <f t="shared" si="14"/>
        <v>1526731</v>
      </c>
      <c r="AQ51" s="588">
        <f t="shared" si="14"/>
        <v>1526731</v>
      </c>
      <c r="AR51" s="588">
        <f t="shared" si="14"/>
        <v>1526731</v>
      </c>
      <c r="AS51" s="588">
        <f t="shared" si="14"/>
        <v>0</v>
      </c>
      <c r="AT51" s="588">
        <f t="shared" si="14"/>
        <v>0</v>
      </c>
      <c r="AU51" s="588">
        <f t="shared" si="14"/>
        <v>0</v>
      </c>
      <c r="AV51" s="588">
        <f t="shared" si="14"/>
        <v>0</v>
      </c>
      <c r="AW51" s="588">
        <f t="shared" si="14"/>
        <v>0</v>
      </c>
      <c r="AX51" s="588">
        <f t="shared" si="14"/>
        <v>0</v>
      </c>
      <c r="AY51" s="588">
        <f t="shared" si="14"/>
        <v>0</v>
      </c>
      <c r="AZ51" s="588">
        <f t="shared" si="14"/>
        <v>0</v>
      </c>
      <c r="BA51" s="588">
        <f t="shared" si="14"/>
        <v>0</v>
      </c>
      <c r="BB51" s="588">
        <f t="shared" si="14"/>
        <v>0</v>
      </c>
      <c r="BC51" s="588">
        <f t="shared" si="14"/>
        <v>0</v>
      </c>
      <c r="BD51" s="588">
        <f t="shared" si="14"/>
        <v>0</v>
      </c>
      <c r="BE51" s="588">
        <f t="shared" si="14"/>
        <v>0</v>
      </c>
      <c r="BF51" s="588">
        <f t="shared" si="14"/>
        <v>0</v>
      </c>
      <c r="BG51" s="588">
        <f t="shared" si="14"/>
        <v>0</v>
      </c>
      <c r="BH51" s="588">
        <f t="shared" si="14"/>
        <v>0</v>
      </c>
      <c r="BI51" s="588">
        <f t="shared" si="14"/>
        <v>0</v>
      </c>
      <c r="BJ51" s="588">
        <f t="shared" si="14"/>
        <v>0</v>
      </c>
      <c r="BK51" s="588">
        <f t="shared" si="14"/>
        <v>0</v>
      </c>
      <c r="BL51" s="588">
        <f t="shared" si="14"/>
        <v>0</v>
      </c>
      <c r="BM51" s="588">
        <f t="shared" si="14"/>
        <v>0</v>
      </c>
      <c r="BN51" s="588">
        <f t="shared" si="14"/>
        <v>0</v>
      </c>
      <c r="BO51" s="588">
        <f t="shared" si="14"/>
        <v>0</v>
      </c>
      <c r="BP51" s="588">
        <f t="shared" si="14"/>
        <v>0</v>
      </c>
      <c r="BQ51" s="588">
        <f>SUM(BQ49:BQ50)</f>
        <v>0</v>
      </c>
      <c r="BR51" s="588">
        <f>SUM(BR49:BR50)</f>
        <v>1526731</v>
      </c>
      <c r="BS51" s="588">
        <f>SUM(BS49:BS50)</f>
        <v>-127000</v>
      </c>
      <c r="BT51" s="588">
        <f>SUM(BT49:BT50)</f>
        <v>1945831</v>
      </c>
      <c r="CL51" s="73"/>
      <c r="CM51" s="73"/>
      <c r="CN51" s="82"/>
      <c r="CO51" s="81"/>
      <c r="CP51" s="81"/>
      <c r="CQ51" s="82"/>
      <c r="CR51" s="74"/>
      <c r="CS51" s="74"/>
      <c r="CT51" s="82"/>
    </row>
    <row r="52" spans="1:98" ht="19.5" customHeight="1">
      <c r="A52" s="134"/>
      <c r="B52" s="596"/>
      <c r="C52" s="596"/>
      <c r="D52" s="596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1"/>
      <c r="Q52" s="581"/>
      <c r="R52" s="581"/>
      <c r="S52" s="581"/>
      <c r="T52" s="581"/>
      <c r="U52" s="581"/>
      <c r="V52" s="581"/>
      <c r="W52" s="581"/>
      <c r="X52" s="581"/>
      <c r="Y52" s="581"/>
      <c r="Z52" s="581"/>
      <c r="AA52" s="581"/>
      <c r="AB52" s="581"/>
      <c r="AC52" s="581"/>
      <c r="AD52" s="581"/>
      <c r="AE52" s="581"/>
      <c r="AF52" s="581"/>
      <c r="AG52" s="581"/>
      <c r="AH52" s="581"/>
      <c r="AI52" s="581"/>
      <c r="AJ52" s="581"/>
      <c r="AK52" s="581"/>
      <c r="AL52" s="581"/>
      <c r="AM52" s="581"/>
      <c r="AN52" s="581"/>
      <c r="AO52" s="581"/>
      <c r="AP52" s="581"/>
      <c r="AQ52" s="581"/>
      <c r="AR52" s="581"/>
      <c r="AS52" s="581"/>
      <c r="AT52" s="581"/>
      <c r="AU52" s="581"/>
      <c r="AV52" s="581"/>
      <c r="AW52" s="581"/>
      <c r="AX52" s="581"/>
      <c r="AY52" s="581"/>
      <c r="AZ52" s="581"/>
      <c r="BA52" s="581"/>
      <c r="BB52" s="581"/>
      <c r="BC52" s="581"/>
      <c r="BD52" s="581"/>
      <c r="BE52" s="581"/>
      <c r="BF52" s="581"/>
      <c r="BG52" s="581"/>
      <c r="BH52" s="581"/>
      <c r="BI52" s="581"/>
      <c r="BJ52" s="581"/>
      <c r="BK52" s="581"/>
      <c r="BL52" s="581"/>
      <c r="BM52" s="581"/>
      <c r="BN52" s="581"/>
      <c r="BO52" s="581"/>
      <c r="BP52" s="581"/>
      <c r="BQ52" s="581">
        <f aca="true" t="shared" si="15" ref="BQ52:BQ61">SUM(E52,I52,M52,Q52,U52,Y52,AC52,AG52,AK52,AO52,AS52,AW52,BA52,BE52,BI52,BM52)</f>
        <v>0</v>
      </c>
      <c r="BR52" s="581">
        <f aca="true" t="shared" si="16" ref="BR52:BR61">SUM(F52,J52,N52,R52,V52,Z52,AD52,AH52,AL52,AP52,AT52,AX52,BB52,BF52,BJ52,BN52)</f>
        <v>0</v>
      </c>
      <c r="BS52" s="581">
        <f aca="true" t="shared" si="17" ref="BS52:BS61">SUM(G52,K52,O52,S52,W52,AA52,AE52,AI52,AM52,AQ52,AU52,AY52,BC52,BG52,BK52,BO52)</f>
        <v>0</v>
      </c>
      <c r="BT52" s="581">
        <f aca="true" t="shared" si="18" ref="BT52:BT61">SUM(H52,L52,P52,T52,X52,AB52,AF52,AJ52,AN52,AR52,AV52,AZ52,BD52,BH52,BL52,BP52)</f>
        <v>0</v>
      </c>
      <c r="CL52" s="73"/>
      <c r="CM52" s="73"/>
      <c r="CN52" s="82"/>
      <c r="CO52" s="81"/>
      <c r="CP52" s="81"/>
      <c r="CQ52" s="82"/>
      <c r="CR52" s="74"/>
      <c r="CS52" s="74"/>
      <c r="CT52" s="82"/>
    </row>
    <row r="53" spans="1:98" ht="19.5" customHeight="1">
      <c r="A53" s="136" t="s">
        <v>16</v>
      </c>
      <c r="B53" s="110" t="s">
        <v>169</v>
      </c>
      <c r="C53" s="110"/>
      <c r="D53" s="110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1"/>
      <c r="Q53" s="581"/>
      <c r="R53" s="581"/>
      <c r="S53" s="581"/>
      <c r="T53" s="581"/>
      <c r="U53" s="581"/>
      <c r="V53" s="581"/>
      <c r="W53" s="581"/>
      <c r="X53" s="581"/>
      <c r="Y53" s="581"/>
      <c r="Z53" s="581"/>
      <c r="AA53" s="581"/>
      <c r="AB53" s="581"/>
      <c r="AC53" s="581"/>
      <c r="AD53" s="581"/>
      <c r="AE53" s="581"/>
      <c r="AF53" s="581"/>
      <c r="AG53" s="581"/>
      <c r="AH53" s="581"/>
      <c r="AI53" s="581"/>
      <c r="AJ53" s="581"/>
      <c r="AK53" s="581"/>
      <c r="AL53" s="581"/>
      <c r="AM53" s="581"/>
      <c r="AN53" s="581"/>
      <c r="AO53" s="581"/>
      <c r="AP53" s="581"/>
      <c r="AQ53" s="581"/>
      <c r="AR53" s="581"/>
      <c r="AS53" s="581"/>
      <c r="AT53" s="581"/>
      <c r="AU53" s="581"/>
      <c r="AV53" s="581"/>
      <c r="AW53" s="581"/>
      <c r="AX53" s="581"/>
      <c r="AY53" s="581"/>
      <c r="AZ53" s="581"/>
      <c r="BA53" s="581"/>
      <c r="BB53" s="581"/>
      <c r="BC53" s="581"/>
      <c r="BD53" s="581"/>
      <c r="BE53" s="581"/>
      <c r="BF53" s="581"/>
      <c r="BG53" s="581"/>
      <c r="BH53" s="581"/>
      <c r="BI53" s="581"/>
      <c r="BJ53" s="581"/>
      <c r="BK53" s="581"/>
      <c r="BL53" s="581"/>
      <c r="BM53" s="581"/>
      <c r="BN53" s="581"/>
      <c r="BO53" s="581"/>
      <c r="BP53" s="581"/>
      <c r="BQ53" s="581">
        <f t="shared" si="15"/>
        <v>0</v>
      </c>
      <c r="BR53" s="581">
        <f t="shared" si="16"/>
        <v>0</v>
      </c>
      <c r="BS53" s="581">
        <f t="shared" si="17"/>
        <v>0</v>
      </c>
      <c r="BT53" s="581">
        <f t="shared" si="18"/>
        <v>0</v>
      </c>
      <c r="CL53" s="73"/>
      <c r="CM53" s="73"/>
      <c r="CN53" s="82"/>
      <c r="CO53" s="81"/>
      <c r="CP53" s="81"/>
      <c r="CQ53" s="82"/>
      <c r="CR53" s="74"/>
      <c r="CS53" s="74"/>
      <c r="CT53" s="82"/>
    </row>
    <row r="54" spans="1:98" ht="19.5" customHeight="1">
      <c r="A54" s="134" t="s">
        <v>980</v>
      </c>
      <c r="B54" s="108" t="s">
        <v>981</v>
      </c>
      <c r="C54" s="108" t="s">
        <v>252</v>
      </c>
      <c r="D54" s="108"/>
      <c r="E54" s="581"/>
      <c r="F54" s="581"/>
      <c r="G54" s="581"/>
      <c r="H54" s="581"/>
      <c r="I54" s="581"/>
      <c r="J54" s="581"/>
      <c r="K54" s="581"/>
      <c r="L54" s="581"/>
      <c r="M54" s="581">
        <v>258780</v>
      </c>
      <c r="N54" s="581">
        <v>258780</v>
      </c>
      <c r="O54" s="581">
        <v>258780</v>
      </c>
      <c r="P54" s="581">
        <v>201009</v>
      </c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581"/>
      <c r="AL54" s="581"/>
      <c r="AM54" s="581"/>
      <c r="AN54" s="581"/>
      <c r="AO54" s="581"/>
      <c r="AP54" s="581"/>
      <c r="AQ54" s="581"/>
      <c r="AR54" s="581"/>
      <c r="AS54" s="581"/>
      <c r="AT54" s="581"/>
      <c r="AU54" s="581"/>
      <c r="AV54" s="581"/>
      <c r="AW54" s="581"/>
      <c r="AX54" s="581"/>
      <c r="AY54" s="581"/>
      <c r="AZ54" s="581"/>
      <c r="BA54" s="581"/>
      <c r="BB54" s="581"/>
      <c r="BC54" s="581"/>
      <c r="BD54" s="581"/>
      <c r="BE54" s="581"/>
      <c r="BF54" s="581"/>
      <c r="BG54" s="581"/>
      <c r="BH54" s="581"/>
      <c r="BI54" s="581"/>
      <c r="BJ54" s="581"/>
      <c r="BK54" s="581"/>
      <c r="BL54" s="581"/>
      <c r="BM54" s="581"/>
      <c r="BN54" s="581"/>
      <c r="BO54" s="581"/>
      <c r="BP54" s="581"/>
      <c r="BQ54" s="581">
        <f t="shared" si="15"/>
        <v>258780</v>
      </c>
      <c r="BR54" s="581">
        <f t="shared" si="16"/>
        <v>258780</v>
      </c>
      <c r="BS54" s="581">
        <f t="shared" si="17"/>
        <v>258780</v>
      </c>
      <c r="BT54" s="581">
        <f t="shared" si="18"/>
        <v>201009</v>
      </c>
      <c r="CL54" s="73"/>
      <c r="CM54" s="73"/>
      <c r="CN54" s="82"/>
      <c r="CO54" s="81"/>
      <c r="CP54" s="81"/>
      <c r="CQ54" s="82"/>
      <c r="CR54" s="74"/>
      <c r="CS54" s="74"/>
      <c r="CT54" s="82"/>
    </row>
    <row r="55" spans="1:98" ht="19.5" customHeight="1">
      <c r="A55" s="134" t="s">
        <v>374</v>
      </c>
      <c r="B55" s="239" t="s">
        <v>348</v>
      </c>
      <c r="C55" s="108" t="s">
        <v>252</v>
      </c>
      <c r="D55" s="108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1"/>
      <c r="AI55" s="581"/>
      <c r="AJ55" s="581"/>
      <c r="AK55" s="581"/>
      <c r="AL55" s="581"/>
      <c r="AM55" s="581"/>
      <c r="AN55" s="581"/>
      <c r="AO55" s="581"/>
      <c r="AP55" s="581"/>
      <c r="AQ55" s="581"/>
      <c r="AR55" s="581"/>
      <c r="AS55" s="581"/>
      <c r="AT55" s="581"/>
      <c r="AU55" s="581"/>
      <c r="AV55" s="581"/>
      <c r="AW55" s="581"/>
      <c r="AX55" s="581"/>
      <c r="AY55" s="581"/>
      <c r="AZ55" s="581"/>
      <c r="BA55" s="581"/>
      <c r="BB55" s="581"/>
      <c r="BC55" s="581"/>
      <c r="BD55" s="581"/>
      <c r="BE55" s="581"/>
      <c r="BF55" s="581"/>
      <c r="BG55" s="581"/>
      <c r="BH55" s="581"/>
      <c r="BI55" s="581"/>
      <c r="BJ55" s="581"/>
      <c r="BK55" s="581"/>
      <c r="BL55" s="581"/>
      <c r="BM55" s="581"/>
      <c r="BN55" s="581"/>
      <c r="BO55" s="581"/>
      <c r="BP55" s="581"/>
      <c r="BQ55" s="581">
        <f t="shared" si="15"/>
        <v>0</v>
      </c>
      <c r="BR55" s="581">
        <f t="shared" si="16"/>
        <v>0</v>
      </c>
      <c r="BS55" s="581">
        <f t="shared" si="17"/>
        <v>0</v>
      </c>
      <c r="BT55" s="581">
        <f t="shared" si="18"/>
        <v>0</v>
      </c>
      <c r="CL55" s="73"/>
      <c r="CM55" s="73"/>
      <c r="CN55" s="82"/>
      <c r="CO55" s="81"/>
      <c r="CP55" s="81"/>
      <c r="CQ55" s="82"/>
      <c r="CR55" s="74"/>
      <c r="CS55" s="74"/>
      <c r="CT55" s="82"/>
    </row>
    <row r="56" spans="1:98" s="318" customFormat="1" ht="19.5" customHeight="1">
      <c r="A56" s="134" t="s">
        <v>232</v>
      </c>
      <c r="B56" s="108" t="s">
        <v>372</v>
      </c>
      <c r="C56" s="108" t="s">
        <v>252</v>
      </c>
      <c r="D56" s="108"/>
      <c r="E56" s="581"/>
      <c r="F56" s="581"/>
      <c r="G56" s="581"/>
      <c r="H56" s="581"/>
      <c r="I56" s="581"/>
      <c r="J56" s="581"/>
      <c r="K56" s="581"/>
      <c r="L56" s="581"/>
      <c r="M56" s="581"/>
      <c r="N56" s="581"/>
      <c r="O56" s="581"/>
      <c r="P56" s="581"/>
      <c r="Q56" s="581"/>
      <c r="R56" s="581"/>
      <c r="S56" s="581"/>
      <c r="T56" s="581"/>
      <c r="U56" s="581"/>
      <c r="V56" s="581"/>
      <c r="W56" s="581"/>
      <c r="X56" s="581"/>
      <c r="Y56" s="581"/>
      <c r="Z56" s="581"/>
      <c r="AA56" s="581"/>
      <c r="AB56" s="581"/>
      <c r="AC56" s="581"/>
      <c r="AD56" s="581"/>
      <c r="AE56" s="581"/>
      <c r="AF56" s="581"/>
      <c r="AG56" s="581"/>
      <c r="AH56" s="581"/>
      <c r="AI56" s="581"/>
      <c r="AJ56" s="581"/>
      <c r="AK56" s="581"/>
      <c r="AL56" s="581"/>
      <c r="AM56" s="581"/>
      <c r="AN56" s="581"/>
      <c r="AO56" s="581"/>
      <c r="AP56" s="581"/>
      <c r="AQ56" s="581"/>
      <c r="AR56" s="581"/>
      <c r="AS56" s="581"/>
      <c r="AT56" s="581"/>
      <c r="AU56" s="581"/>
      <c r="AV56" s="581"/>
      <c r="AW56" s="581"/>
      <c r="AX56" s="581"/>
      <c r="AY56" s="581"/>
      <c r="AZ56" s="581"/>
      <c r="BA56" s="581"/>
      <c r="BB56" s="581"/>
      <c r="BC56" s="581"/>
      <c r="BD56" s="581"/>
      <c r="BE56" s="581"/>
      <c r="BF56" s="581"/>
      <c r="BG56" s="581"/>
      <c r="BH56" s="581"/>
      <c r="BI56" s="581"/>
      <c r="BJ56" s="581"/>
      <c r="BK56" s="581"/>
      <c r="BL56" s="581"/>
      <c r="BM56" s="581"/>
      <c r="BN56" s="581"/>
      <c r="BO56" s="581"/>
      <c r="BP56" s="581"/>
      <c r="BQ56" s="581">
        <f t="shared" si="15"/>
        <v>0</v>
      </c>
      <c r="BR56" s="581">
        <f t="shared" si="16"/>
        <v>0</v>
      </c>
      <c r="BS56" s="581">
        <f t="shared" si="17"/>
        <v>0</v>
      </c>
      <c r="BT56" s="581">
        <f t="shared" si="18"/>
        <v>0</v>
      </c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 s="319"/>
      <c r="CM56" s="319"/>
      <c r="CN56" s="320"/>
      <c r="CO56" s="321"/>
      <c r="CP56" s="321"/>
      <c r="CQ56" s="320"/>
      <c r="CR56" s="322"/>
      <c r="CS56" s="322"/>
      <c r="CT56" s="320"/>
    </row>
    <row r="57" spans="1:98" s="318" customFormat="1" ht="24.75" customHeight="1">
      <c r="A57" s="134" t="s">
        <v>233</v>
      </c>
      <c r="B57" s="108" t="s">
        <v>234</v>
      </c>
      <c r="C57" s="108" t="s">
        <v>252</v>
      </c>
      <c r="D57" s="108"/>
      <c r="E57" s="581"/>
      <c r="F57" s="581"/>
      <c r="G57" s="581"/>
      <c r="H57" s="581"/>
      <c r="I57" s="581"/>
      <c r="J57" s="581"/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1"/>
      <c r="Z57" s="581"/>
      <c r="AA57" s="581"/>
      <c r="AB57" s="581"/>
      <c r="AC57" s="581"/>
      <c r="AD57" s="581"/>
      <c r="AE57" s="581"/>
      <c r="AF57" s="581"/>
      <c r="AG57" s="581"/>
      <c r="AH57" s="581"/>
      <c r="AI57" s="581"/>
      <c r="AJ57" s="581"/>
      <c r="AK57" s="581"/>
      <c r="AL57" s="581"/>
      <c r="AM57" s="581"/>
      <c r="AN57" s="581"/>
      <c r="AO57" s="581"/>
      <c r="AP57" s="581"/>
      <c r="AQ57" s="581"/>
      <c r="AR57" s="581"/>
      <c r="AS57" s="581"/>
      <c r="AT57" s="581"/>
      <c r="AU57" s="581"/>
      <c r="AV57" s="581"/>
      <c r="AW57" s="581"/>
      <c r="AX57" s="581"/>
      <c r="AY57" s="581"/>
      <c r="AZ57" s="581"/>
      <c r="BA57" s="581"/>
      <c r="BB57" s="581"/>
      <c r="BC57" s="581"/>
      <c r="BD57" s="581"/>
      <c r="BE57" s="581"/>
      <c r="BF57" s="581"/>
      <c r="BG57" s="581"/>
      <c r="BH57" s="581"/>
      <c r="BI57" s="581"/>
      <c r="BJ57" s="581"/>
      <c r="BK57" s="581"/>
      <c r="BL57" s="581"/>
      <c r="BM57" s="581"/>
      <c r="BN57" s="581"/>
      <c r="BO57" s="581"/>
      <c r="BP57" s="581"/>
      <c r="BQ57" s="581">
        <f t="shared" si="15"/>
        <v>0</v>
      </c>
      <c r="BR57" s="581">
        <f t="shared" si="16"/>
        <v>0</v>
      </c>
      <c r="BS57" s="581">
        <f t="shared" si="17"/>
        <v>0</v>
      </c>
      <c r="BT57" s="581">
        <f t="shared" si="18"/>
        <v>0</v>
      </c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 s="321"/>
      <c r="CM57" s="321"/>
      <c r="CN57" s="320"/>
      <c r="CO57" s="321"/>
      <c r="CP57" s="321"/>
      <c r="CQ57" s="320"/>
      <c r="CR57" s="320"/>
      <c r="CS57" s="321"/>
      <c r="CT57" s="320"/>
    </row>
    <row r="58" spans="1:72" ht="24.75" customHeight="1">
      <c r="A58" s="134" t="s">
        <v>235</v>
      </c>
      <c r="B58" s="108" t="s">
        <v>373</v>
      </c>
      <c r="C58" s="108" t="s">
        <v>252</v>
      </c>
      <c r="D58" s="108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1"/>
      <c r="X58" s="581"/>
      <c r="Y58" s="581"/>
      <c r="Z58" s="581"/>
      <c r="AA58" s="581"/>
      <c r="AB58" s="581"/>
      <c r="AC58" s="581"/>
      <c r="AD58" s="581"/>
      <c r="AE58" s="581"/>
      <c r="AF58" s="581"/>
      <c r="AG58" s="581"/>
      <c r="AH58" s="581"/>
      <c r="AI58" s="581"/>
      <c r="AJ58" s="581"/>
      <c r="AK58" s="581"/>
      <c r="AL58" s="581"/>
      <c r="AM58" s="581"/>
      <c r="AN58" s="581"/>
      <c r="AO58" s="581"/>
      <c r="AP58" s="581"/>
      <c r="AQ58" s="581"/>
      <c r="AR58" s="581"/>
      <c r="AS58" s="581"/>
      <c r="AT58" s="581"/>
      <c r="AU58" s="581"/>
      <c r="AV58" s="581"/>
      <c r="AW58" s="581"/>
      <c r="AX58" s="581"/>
      <c r="AY58" s="581"/>
      <c r="AZ58" s="581"/>
      <c r="BA58" s="581"/>
      <c r="BB58" s="581"/>
      <c r="BC58" s="581"/>
      <c r="BD58" s="581"/>
      <c r="BE58" s="581"/>
      <c r="BF58" s="581"/>
      <c r="BG58" s="581"/>
      <c r="BH58" s="581"/>
      <c r="BI58" s="581"/>
      <c r="BJ58" s="581"/>
      <c r="BK58" s="581"/>
      <c r="BL58" s="581"/>
      <c r="BM58" s="581"/>
      <c r="BN58" s="581"/>
      <c r="BO58" s="581"/>
      <c r="BP58" s="581"/>
      <c r="BQ58" s="581">
        <f t="shared" si="15"/>
        <v>0</v>
      </c>
      <c r="BR58" s="581">
        <f t="shared" si="16"/>
        <v>0</v>
      </c>
      <c r="BS58" s="581">
        <f t="shared" si="17"/>
        <v>0</v>
      </c>
      <c r="BT58" s="581">
        <f t="shared" si="18"/>
        <v>0</v>
      </c>
    </row>
    <row r="59" spans="1:72" ht="13.5" customHeight="1">
      <c r="A59" s="84">
        <v>107051</v>
      </c>
      <c r="B59" s="596" t="s">
        <v>69</v>
      </c>
      <c r="C59" s="596" t="s">
        <v>252</v>
      </c>
      <c r="D59" s="596"/>
      <c r="E59" s="581"/>
      <c r="F59" s="581"/>
      <c r="G59" s="581"/>
      <c r="H59" s="581"/>
      <c r="I59" s="581"/>
      <c r="J59" s="581"/>
      <c r="K59" s="581"/>
      <c r="L59" s="581"/>
      <c r="M59" s="581">
        <v>4821220</v>
      </c>
      <c r="N59" s="581">
        <v>4821220</v>
      </c>
      <c r="O59" s="581">
        <v>4821220</v>
      </c>
      <c r="P59" s="581">
        <v>4148533</v>
      </c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1"/>
      <c r="BE59" s="581"/>
      <c r="BF59" s="581"/>
      <c r="BG59" s="581"/>
      <c r="BH59" s="581"/>
      <c r="BI59" s="581"/>
      <c r="BJ59" s="581"/>
      <c r="BK59" s="581"/>
      <c r="BL59" s="581"/>
      <c r="BM59" s="581"/>
      <c r="BN59" s="581"/>
      <c r="BO59" s="581"/>
      <c r="BP59" s="581"/>
      <c r="BQ59" s="581">
        <f t="shared" si="15"/>
        <v>4821220</v>
      </c>
      <c r="BR59" s="581">
        <f t="shared" si="16"/>
        <v>4821220</v>
      </c>
      <c r="BS59" s="581">
        <f t="shared" si="17"/>
        <v>4821220</v>
      </c>
      <c r="BT59" s="581">
        <f t="shared" si="18"/>
        <v>4148533</v>
      </c>
    </row>
    <row r="60" spans="1:72" ht="13.5" customHeight="1">
      <c r="A60" s="133" t="s">
        <v>375</v>
      </c>
      <c r="B60" s="239" t="s">
        <v>349</v>
      </c>
      <c r="C60" s="610" t="s">
        <v>252</v>
      </c>
      <c r="D60" s="610">
        <v>1</v>
      </c>
      <c r="E60" s="611"/>
      <c r="F60" s="611"/>
      <c r="G60" s="611"/>
      <c r="H60" s="611"/>
      <c r="I60" s="611"/>
      <c r="J60" s="611"/>
      <c r="K60" s="611"/>
      <c r="L60" s="611"/>
      <c r="M60" s="611">
        <v>527800</v>
      </c>
      <c r="N60" s="611">
        <v>527800</v>
      </c>
      <c r="O60" s="611">
        <v>527800</v>
      </c>
      <c r="P60" s="611">
        <v>446535</v>
      </c>
      <c r="Q60" s="611"/>
      <c r="R60" s="611"/>
      <c r="S60" s="611"/>
      <c r="T60" s="611"/>
      <c r="U60" s="611"/>
      <c r="V60" s="611"/>
      <c r="W60" s="611"/>
      <c r="X60" s="611"/>
      <c r="Y60" s="611"/>
      <c r="Z60" s="611"/>
      <c r="AA60" s="611"/>
      <c r="AB60" s="611"/>
      <c r="AC60" s="611"/>
      <c r="AD60" s="611"/>
      <c r="AE60" s="611"/>
      <c r="AF60" s="611"/>
      <c r="AG60" s="611"/>
      <c r="AH60" s="611"/>
      <c r="AI60" s="611"/>
      <c r="AJ60" s="611"/>
      <c r="AK60" s="611"/>
      <c r="AL60" s="611"/>
      <c r="AM60" s="611"/>
      <c r="AN60" s="611"/>
      <c r="AO60" s="611"/>
      <c r="AP60" s="611"/>
      <c r="AQ60" s="611"/>
      <c r="AR60" s="611"/>
      <c r="AS60" s="611"/>
      <c r="AT60" s="611"/>
      <c r="AU60" s="611"/>
      <c r="AV60" s="611"/>
      <c r="AW60" s="611"/>
      <c r="AX60" s="611"/>
      <c r="AY60" s="611"/>
      <c r="AZ60" s="611"/>
      <c r="BA60" s="611"/>
      <c r="BB60" s="611"/>
      <c r="BC60" s="611"/>
      <c r="BD60" s="611"/>
      <c r="BE60" s="611"/>
      <c r="BF60" s="611"/>
      <c r="BG60" s="611"/>
      <c r="BH60" s="611"/>
      <c r="BI60" s="611"/>
      <c r="BJ60" s="611"/>
      <c r="BK60" s="611"/>
      <c r="BL60" s="611"/>
      <c r="BM60" s="611"/>
      <c r="BN60" s="611"/>
      <c r="BO60" s="611"/>
      <c r="BP60" s="611"/>
      <c r="BQ60" s="581">
        <f t="shared" si="15"/>
        <v>527800</v>
      </c>
      <c r="BR60" s="581">
        <f t="shared" si="16"/>
        <v>527800</v>
      </c>
      <c r="BS60" s="581">
        <f t="shared" si="17"/>
        <v>527800</v>
      </c>
      <c r="BT60" s="581">
        <f t="shared" si="18"/>
        <v>446535</v>
      </c>
    </row>
    <row r="61" spans="1:72" ht="13.5" customHeight="1">
      <c r="A61" s="238">
        <v>107060</v>
      </c>
      <c r="B61" s="583" t="s">
        <v>376</v>
      </c>
      <c r="C61" s="612" t="s">
        <v>252</v>
      </c>
      <c r="D61" s="612"/>
      <c r="E61" s="613"/>
      <c r="F61" s="613"/>
      <c r="G61" s="613"/>
      <c r="H61" s="613"/>
      <c r="I61" s="613"/>
      <c r="J61" s="613"/>
      <c r="K61" s="613"/>
      <c r="L61" s="613"/>
      <c r="M61" s="613"/>
      <c r="N61" s="613"/>
      <c r="O61" s="613">
        <v>1391613</v>
      </c>
      <c r="P61" s="613">
        <v>1755775</v>
      </c>
      <c r="Q61" s="613">
        <v>4395000</v>
      </c>
      <c r="R61" s="613">
        <f>4395000+266700</f>
        <v>4661700</v>
      </c>
      <c r="S61" s="613">
        <v>5297000</v>
      </c>
      <c r="T61" s="613">
        <f>278000+4053200</f>
        <v>4331200</v>
      </c>
      <c r="U61" s="613"/>
      <c r="V61" s="613"/>
      <c r="W61" s="613"/>
      <c r="X61" s="613"/>
      <c r="Y61" s="613">
        <v>560000</v>
      </c>
      <c r="Z61" s="613">
        <v>560000</v>
      </c>
      <c r="AA61" s="613">
        <v>560000</v>
      </c>
      <c r="AB61" s="613">
        <v>480000</v>
      </c>
      <c r="AC61" s="613"/>
      <c r="AD61" s="613"/>
      <c r="AE61" s="613"/>
      <c r="AF61" s="613"/>
      <c r="AG61" s="613"/>
      <c r="AH61" s="613"/>
      <c r="AI61" s="613"/>
      <c r="AJ61" s="613"/>
      <c r="AK61" s="613"/>
      <c r="AL61" s="613"/>
      <c r="AM61" s="613"/>
      <c r="AN61" s="613"/>
      <c r="AO61" s="613"/>
      <c r="AP61" s="613"/>
      <c r="AQ61" s="613"/>
      <c r="AR61" s="613"/>
      <c r="AS61" s="613"/>
      <c r="AT61" s="613"/>
      <c r="AU61" s="613"/>
      <c r="AV61" s="613"/>
      <c r="AW61" s="613"/>
      <c r="AX61" s="613"/>
      <c r="AY61" s="613"/>
      <c r="AZ61" s="613"/>
      <c r="BA61" s="613"/>
      <c r="BB61" s="613"/>
      <c r="BC61" s="613"/>
      <c r="BD61" s="613"/>
      <c r="BE61" s="613"/>
      <c r="BF61" s="613"/>
      <c r="BG61" s="613"/>
      <c r="BH61" s="613"/>
      <c r="BI61" s="613"/>
      <c r="BJ61" s="613"/>
      <c r="BK61" s="613"/>
      <c r="BL61" s="613"/>
      <c r="BM61" s="613"/>
      <c r="BN61" s="613"/>
      <c r="BO61" s="613"/>
      <c r="BP61" s="613"/>
      <c r="BQ61" s="581">
        <f t="shared" si="15"/>
        <v>4955000</v>
      </c>
      <c r="BR61" s="581">
        <f t="shared" si="16"/>
        <v>5221700</v>
      </c>
      <c r="BS61" s="581">
        <f t="shared" si="17"/>
        <v>7248613</v>
      </c>
      <c r="BT61" s="581">
        <f t="shared" si="18"/>
        <v>6566975</v>
      </c>
    </row>
    <row r="62" spans="1:72" ht="13.5" customHeight="1">
      <c r="A62" s="85"/>
      <c r="B62" s="605" t="s">
        <v>170</v>
      </c>
      <c r="C62" s="605"/>
      <c r="D62" s="589">
        <f aca="true" t="shared" si="19" ref="D62:BO62">SUM(D54:D61)</f>
        <v>1</v>
      </c>
      <c r="E62" s="589">
        <f t="shared" si="19"/>
        <v>0</v>
      </c>
      <c r="F62" s="589">
        <f t="shared" si="19"/>
        <v>0</v>
      </c>
      <c r="G62" s="589">
        <f t="shared" si="19"/>
        <v>0</v>
      </c>
      <c r="H62" s="589">
        <f>SUM(H54:H61)</f>
        <v>0</v>
      </c>
      <c r="I62" s="589">
        <f t="shared" si="19"/>
        <v>0</v>
      </c>
      <c r="J62" s="589">
        <f t="shared" si="19"/>
        <v>0</v>
      </c>
      <c r="K62" s="589">
        <f t="shared" si="19"/>
        <v>0</v>
      </c>
      <c r="L62" s="589">
        <f>SUM(L54:L61)</f>
        <v>0</v>
      </c>
      <c r="M62" s="589">
        <f>SUM(M54:M61)</f>
        <v>5607800</v>
      </c>
      <c r="N62" s="589">
        <f t="shared" si="19"/>
        <v>5607800</v>
      </c>
      <c r="O62" s="589">
        <f t="shared" si="19"/>
        <v>6999413</v>
      </c>
      <c r="P62" s="589">
        <f>SUM(P54:P61)</f>
        <v>6551852</v>
      </c>
      <c r="Q62" s="589">
        <f t="shared" si="19"/>
        <v>4395000</v>
      </c>
      <c r="R62" s="589">
        <f t="shared" si="19"/>
        <v>4661700</v>
      </c>
      <c r="S62" s="589">
        <f t="shared" si="19"/>
        <v>5297000</v>
      </c>
      <c r="T62" s="589">
        <f>SUM(T54:T61)</f>
        <v>4331200</v>
      </c>
      <c r="U62" s="589">
        <f t="shared" si="19"/>
        <v>0</v>
      </c>
      <c r="V62" s="589">
        <f t="shared" si="19"/>
        <v>0</v>
      </c>
      <c r="W62" s="589">
        <f t="shared" si="19"/>
        <v>0</v>
      </c>
      <c r="X62" s="589">
        <f>SUM(X54:X61)</f>
        <v>0</v>
      </c>
      <c r="Y62" s="589">
        <f t="shared" si="19"/>
        <v>560000</v>
      </c>
      <c r="Z62" s="589">
        <f t="shared" si="19"/>
        <v>560000</v>
      </c>
      <c r="AA62" s="589">
        <f t="shared" si="19"/>
        <v>560000</v>
      </c>
      <c r="AB62" s="589">
        <f t="shared" si="19"/>
        <v>480000</v>
      </c>
      <c r="AC62" s="589">
        <f t="shared" si="19"/>
        <v>0</v>
      </c>
      <c r="AD62" s="589">
        <f t="shared" si="19"/>
        <v>0</v>
      </c>
      <c r="AE62" s="589">
        <f t="shared" si="19"/>
        <v>0</v>
      </c>
      <c r="AF62" s="589">
        <f>SUM(AF54:AF61)</f>
        <v>0</v>
      </c>
      <c r="AG62" s="589">
        <f t="shared" si="19"/>
        <v>0</v>
      </c>
      <c r="AH62" s="589">
        <f t="shared" si="19"/>
        <v>0</v>
      </c>
      <c r="AI62" s="589">
        <f t="shared" si="19"/>
        <v>0</v>
      </c>
      <c r="AJ62" s="589"/>
      <c r="AK62" s="589">
        <f t="shared" si="19"/>
        <v>0</v>
      </c>
      <c r="AL62" s="589">
        <f t="shared" si="19"/>
        <v>0</v>
      </c>
      <c r="AM62" s="589">
        <f t="shared" si="19"/>
        <v>0</v>
      </c>
      <c r="AN62" s="589">
        <f>SUM(AN54:AN61)</f>
        <v>0</v>
      </c>
      <c r="AO62" s="589">
        <f t="shared" si="19"/>
        <v>0</v>
      </c>
      <c r="AP62" s="589">
        <f t="shared" si="19"/>
        <v>0</v>
      </c>
      <c r="AQ62" s="589">
        <f t="shared" si="19"/>
        <v>0</v>
      </c>
      <c r="AR62" s="589">
        <f>SUM(AR54:AR61)</f>
        <v>0</v>
      </c>
      <c r="AS62" s="589">
        <f t="shared" si="19"/>
        <v>0</v>
      </c>
      <c r="AT62" s="589">
        <f t="shared" si="19"/>
        <v>0</v>
      </c>
      <c r="AU62" s="589">
        <f t="shared" si="19"/>
        <v>0</v>
      </c>
      <c r="AV62" s="589">
        <f>SUM(AV54:AV61)</f>
        <v>0</v>
      </c>
      <c r="AW62" s="589">
        <f t="shared" si="19"/>
        <v>0</v>
      </c>
      <c r="AX62" s="589">
        <f t="shared" si="19"/>
        <v>0</v>
      </c>
      <c r="AY62" s="589">
        <f t="shared" si="19"/>
        <v>0</v>
      </c>
      <c r="AZ62" s="589">
        <f>SUM(AZ54:AZ61)</f>
        <v>0</v>
      </c>
      <c r="BA62" s="589">
        <f t="shared" si="19"/>
        <v>0</v>
      </c>
      <c r="BB62" s="589">
        <f t="shared" si="19"/>
        <v>0</v>
      </c>
      <c r="BC62" s="589">
        <f t="shared" si="19"/>
        <v>0</v>
      </c>
      <c r="BD62" s="589">
        <f>SUM(BD54:BD61)</f>
        <v>0</v>
      </c>
      <c r="BE62" s="589">
        <f t="shared" si="19"/>
        <v>0</v>
      </c>
      <c r="BF62" s="589">
        <f t="shared" si="19"/>
        <v>0</v>
      </c>
      <c r="BG62" s="589">
        <f t="shared" si="19"/>
        <v>0</v>
      </c>
      <c r="BH62" s="589">
        <f>SUM(BH54:BH61)</f>
        <v>0</v>
      </c>
      <c r="BI62" s="589">
        <f t="shared" si="19"/>
        <v>0</v>
      </c>
      <c r="BJ62" s="589">
        <f t="shared" si="19"/>
        <v>0</v>
      </c>
      <c r="BK62" s="589">
        <f t="shared" si="19"/>
        <v>0</v>
      </c>
      <c r="BL62" s="589">
        <f>SUM(BL54:BL61)</f>
        <v>0</v>
      </c>
      <c r="BM62" s="589">
        <f t="shared" si="19"/>
        <v>0</v>
      </c>
      <c r="BN62" s="589">
        <f t="shared" si="19"/>
        <v>0</v>
      </c>
      <c r="BO62" s="589">
        <f t="shared" si="19"/>
        <v>0</v>
      </c>
      <c r="BP62" s="589">
        <f>SUM(BP54:BP61)</f>
        <v>0</v>
      </c>
      <c r="BQ62" s="589">
        <f>SUM(BQ52:BQ61)</f>
        <v>10562800</v>
      </c>
      <c r="BR62" s="589">
        <f>SUM(BR52:BR61)</f>
        <v>10829500</v>
      </c>
      <c r="BS62" s="589">
        <f>SUM(BS52:BS61)</f>
        <v>12856413</v>
      </c>
      <c r="BT62" s="589">
        <f>SUM(BT52:BT61)</f>
        <v>11363052</v>
      </c>
    </row>
    <row r="63" spans="1:72" ht="13.5" customHeight="1">
      <c r="A63" s="250" t="s">
        <v>350</v>
      </c>
      <c r="B63" s="253" t="s">
        <v>351</v>
      </c>
      <c r="C63" s="614"/>
      <c r="D63" s="589"/>
      <c r="E63" s="589"/>
      <c r="F63" s="589"/>
      <c r="G63" s="589"/>
      <c r="H63" s="589"/>
      <c r="I63" s="589"/>
      <c r="J63" s="589"/>
      <c r="K63" s="589"/>
      <c r="L63" s="589"/>
      <c r="M63" s="589"/>
      <c r="N63" s="589"/>
      <c r="O63" s="589"/>
      <c r="P63" s="589"/>
      <c r="Q63" s="589"/>
      <c r="R63" s="589"/>
      <c r="S63" s="589"/>
      <c r="T63" s="589"/>
      <c r="U63" s="589"/>
      <c r="V63" s="589"/>
      <c r="W63" s="589"/>
      <c r="X63" s="589"/>
      <c r="Y63" s="589"/>
      <c r="Z63" s="589"/>
      <c r="AA63" s="589"/>
      <c r="AB63" s="589"/>
      <c r="AC63" s="589"/>
      <c r="AD63" s="589"/>
      <c r="AE63" s="589"/>
      <c r="AF63" s="589"/>
      <c r="AG63" s="589"/>
      <c r="AH63" s="589"/>
      <c r="AI63" s="589"/>
      <c r="AJ63" s="589"/>
      <c r="AK63" s="589"/>
      <c r="AL63" s="589">
        <v>2344117</v>
      </c>
      <c r="AM63" s="589">
        <v>2344117</v>
      </c>
      <c r="AN63" s="665"/>
      <c r="AO63" s="589"/>
      <c r="AP63" s="589"/>
      <c r="AQ63" s="589"/>
      <c r="AR63" s="589"/>
      <c r="AS63" s="589"/>
      <c r="AT63" s="589"/>
      <c r="AU63" s="589"/>
      <c r="AV63" s="589"/>
      <c r="AW63" s="589"/>
      <c r="AX63" s="589"/>
      <c r="AY63" s="589"/>
      <c r="AZ63" s="589"/>
      <c r="BA63" s="589"/>
      <c r="BB63" s="589"/>
      <c r="BC63" s="589"/>
      <c r="BD63" s="589"/>
      <c r="BE63" s="589"/>
      <c r="BF63" s="589"/>
      <c r="BG63" s="589"/>
      <c r="BH63" s="589"/>
      <c r="BI63" s="589"/>
      <c r="BJ63" s="589"/>
      <c r="BK63" s="589"/>
      <c r="BL63" s="589"/>
      <c r="BM63" s="589"/>
      <c r="BN63" s="589"/>
      <c r="BO63" s="589"/>
      <c r="BP63" s="589"/>
      <c r="BQ63" s="589"/>
      <c r="BR63" s="589"/>
      <c r="BS63" s="589">
        <f>SUM(G63,K63,O63,S63,W63,AA63,AE63,AI63,AL63,AQ63,AU63,AY63,BC63,BG63,BK63,BO63)</f>
        <v>2344117</v>
      </c>
      <c r="BT63" s="589">
        <f>SUM(H63,L63,P63,T63,X63,AB63,AF63,AJ63,AN63,AR63,AV63,AZ63,BD63,BH63,BL63,BP63)</f>
        <v>0</v>
      </c>
    </row>
    <row r="64" spans="1:72" ht="15.75">
      <c r="A64" s="218" t="s">
        <v>179</v>
      </c>
      <c r="B64" s="240" t="s">
        <v>180</v>
      </c>
      <c r="C64" s="614"/>
      <c r="D64" s="614"/>
      <c r="E64" s="589"/>
      <c r="F64" s="589"/>
      <c r="G64" s="589"/>
      <c r="H64" s="589"/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S64" s="589"/>
      <c r="T64" s="589"/>
      <c r="U64" s="589"/>
      <c r="V64" s="589"/>
      <c r="W64" s="589"/>
      <c r="X64" s="589"/>
      <c r="Y64" s="589"/>
      <c r="Z64" s="589"/>
      <c r="AA64" s="589"/>
      <c r="AB64" s="589"/>
      <c r="AC64" s="589"/>
      <c r="AD64" s="589"/>
      <c r="AE64" s="589"/>
      <c r="AF64" s="589"/>
      <c r="AG64" s="589"/>
      <c r="AH64" s="589"/>
      <c r="AI64" s="589"/>
      <c r="AJ64" s="589"/>
      <c r="AK64" s="589"/>
      <c r="AL64" s="589"/>
      <c r="AM64" s="589"/>
      <c r="AN64" s="589"/>
      <c r="AO64" s="589"/>
      <c r="AP64" s="589"/>
      <c r="AQ64" s="589"/>
      <c r="AR64" s="589"/>
      <c r="AS64" s="589"/>
      <c r="AT64" s="589"/>
      <c r="AU64" s="589"/>
      <c r="AV64" s="589"/>
      <c r="AW64" s="589"/>
      <c r="AX64" s="589"/>
      <c r="AY64" s="589"/>
      <c r="AZ64" s="589"/>
      <c r="BA64" s="589"/>
      <c r="BB64" s="589"/>
      <c r="BC64" s="589"/>
      <c r="BD64" s="589"/>
      <c r="BE64" s="589"/>
      <c r="BF64" s="589"/>
      <c r="BG64" s="589"/>
      <c r="BH64" s="589"/>
      <c r="BI64" s="589"/>
      <c r="BJ64" s="589"/>
      <c r="BK64" s="589"/>
      <c r="BL64" s="589"/>
      <c r="BM64" s="589"/>
      <c r="BN64" s="589"/>
      <c r="BO64" s="589"/>
      <c r="BP64" s="589"/>
      <c r="BQ64" s="589"/>
      <c r="BR64" s="589"/>
      <c r="BS64" s="589">
        <f>SUM(G64,K64,O64,S64,W64,AA64,AE64,AI64,AM64,AQ64,AU64,AY64,BC64,BG64,BK64,BO64)</f>
        <v>0</v>
      </c>
      <c r="BT64" s="589">
        <f>SUM(H64,L64,P64,T64,X64,AB64,AF64,AJ64,AN64,AR64,AV64,AZ64,BD64,BH64,BL64,BP64)</f>
        <v>0</v>
      </c>
    </row>
    <row r="65" spans="1:74" s="208" customFormat="1" ht="15.75">
      <c r="A65" s="666"/>
      <c r="B65" s="667" t="s">
        <v>79</v>
      </c>
      <c r="C65" s="667"/>
      <c r="D65" s="615">
        <f>SUM(D12,D20,D25,D33,D41,D48,D62,D64)</f>
        <v>10</v>
      </c>
      <c r="E65" s="615">
        <f>SUM(E12,E20,E25,E33,E41,E48,E62,E64,E51)</f>
        <v>4176390</v>
      </c>
      <c r="F65" s="615">
        <f>SUM(F12,F20,F25,F33,F41,F48,F62,F64,F51)</f>
        <v>7683554</v>
      </c>
      <c r="G65" s="615">
        <f>SUM(G12,G20,G25,G33,G41,G48,G62,G64,G51)</f>
        <v>8154219</v>
      </c>
      <c r="H65" s="615">
        <f>SUM(H12,H20,H25,H33,H41,H48,H62,H64,H51)</f>
        <v>7703980</v>
      </c>
      <c r="I65" s="615">
        <f aca="true" t="shared" si="20" ref="I65:BR65">SUM(I12,I20,I25,I33,I41,I48,I62,I64,I51)</f>
        <v>742850</v>
      </c>
      <c r="J65" s="615">
        <f t="shared" si="20"/>
        <v>1379522</v>
      </c>
      <c r="K65" s="615">
        <f>SUM(K12,K20,K25,K33,K41,K48,K62,K64,K51)</f>
        <v>1464236</v>
      </c>
      <c r="L65" s="615">
        <f>SUM(L12,L20,L25,L33,L41,L48,L62,L64,L51)</f>
        <v>1456080</v>
      </c>
      <c r="M65" s="615">
        <f t="shared" si="20"/>
        <v>20785430</v>
      </c>
      <c r="N65" s="615">
        <f t="shared" si="20"/>
        <v>29092532</v>
      </c>
      <c r="O65" s="615">
        <f>SUM(O12,O20,O25,O33,O41,O48,O62,O64,O51)</f>
        <v>30484145</v>
      </c>
      <c r="P65" s="615">
        <f>SUM(P12,P20,P25,P33,P41,P48,P62,P64,P51)</f>
        <v>30475046</v>
      </c>
      <c r="Q65" s="615">
        <f t="shared" si="20"/>
        <v>4395000</v>
      </c>
      <c r="R65" s="615">
        <f t="shared" si="20"/>
        <v>4661700</v>
      </c>
      <c r="S65" s="615">
        <f>SUM(S12,S20,S25,S33,S41,S48,S62,S64,S51)</f>
        <v>5297000</v>
      </c>
      <c r="T65" s="615">
        <f>SUM(T12,T20,T25,T33,T41,T48,T62,T64,T51)</f>
        <v>4331200</v>
      </c>
      <c r="U65" s="615">
        <f t="shared" si="20"/>
        <v>684900</v>
      </c>
      <c r="V65" s="615">
        <f t="shared" si="20"/>
        <v>697166</v>
      </c>
      <c r="W65" s="615">
        <f>SUM(W12,W20,W25,W33,W41,W48,W62,W64,W51)</f>
        <v>697166</v>
      </c>
      <c r="X65" s="615">
        <f>SUM(X12,X20,X25,X33,X41,X48,X62,X64,X51)</f>
        <v>697166</v>
      </c>
      <c r="Y65" s="615">
        <f t="shared" si="20"/>
        <v>2100180</v>
      </c>
      <c r="Z65" s="615">
        <f t="shared" si="20"/>
        <v>2100180</v>
      </c>
      <c r="AA65" s="615">
        <f>SUM(AA12,AA20,AA25,AA33,AA41,AA48,AA62,AA64,AA51)</f>
        <v>2100180</v>
      </c>
      <c r="AB65" s="615">
        <f>SUM(AB12,AB20,AB25,AB33,AB41,AB48,AB62,AB64,AB51)</f>
        <v>1755743</v>
      </c>
      <c r="AC65" s="615">
        <f t="shared" si="20"/>
        <v>0</v>
      </c>
      <c r="AD65" s="615">
        <f t="shared" si="20"/>
        <v>0</v>
      </c>
      <c r="AE65" s="615">
        <f>SUM(AE12,AE20,AE25,AE33,AE41,AE48,AE62,AE64,AE51)</f>
        <v>0</v>
      </c>
      <c r="AF65" s="615">
        <f>SUM(AF12,AF20,AF25,AF33,AF41,AF48,AF62,AF64,AF51)</f>
        <v>0</v>
      </c>
      <c r="AG65" s="615">
        <f t="shared" si="20"/>
        <v>100000</v>
      </c>
      <c r="AH65" s="615">
        <f t="shared" si="20"/>
        <v>100000</v>
      </c>
      <c r="AI65" s="615">
        <f>SUM(AI12,AI20,AI25,AI33,AI41,AI48,AI62,AI64,AI51)</f>
        <v>100000</v>
      </c>
      <c r="AJ65" s="615">
        <f>SUM(AJ12,AJ20,AJ25,AJ33,AJ41,AJ48,AJ62,AJ64,AJ51)</f>
        <v>50000</v>
      </c>
      <c r="AK65" s="615">
        <f t="shared" si="20"/>
        <v>17377931</v>
      </c>
      <c r="AL65" s="615">
        <f>SUM(AL12,AL20,AL25,AL33,AL41,AL48,AL62,AL64,AL51)</f>
        <v>15826194</v>
      </c>
      <c r="AM65" s="615">
        <f>SUM(AM12,AM20,AM25,AM33,AM41,AM48,AM62,AM64,AM51)</f>
        <v>35758591</v>
      </c>
      <c r="AN65" s="615">
        <f>SUM(AN12,AN20,AN25,AN33,AN41,AN48,AN62,AN64,AN51)</f>
        <v>0</v>
      </c>
      <c r="AO65" s="615">
        <f t="shared" si="20"/>
        <v>152400</v>
      </c>
      <c r="AP65" s="615">
        <f t="shared" si="20"/>
        <v>4086407</v>
      </c>
      <c r="AQ65" s="615">
        <f>SUM(AQ12,AQ20,AQ25,AQ33,AQ41,AQ48,AQ62,AQ64,AQ51)</f>
        <v>4807387</v>
      </c>
      <c r="AR65" s="615">
        <f>SUM(AR12,AR20,AR25,AR33,AR41,AR48,AR62,AR64,AR51)</f>
        <v>4807387</v>
      </c>
      <c r="AS65" s="615">
        <f t="shared" si="20"/>
        <v>89036672</v>
      </c>
      <c r="AT65" s="615">
        <f t="shared" si="20"/>
        <v>79497770</v>
      </c>
      <c r="AU65" s="615">
        <f>SUM(AU12,AU20,AU25,AU33,AU41,AU48,AU62,AU64,AU51)</f>
        <v>81237979</v>
      </c>
      <c r="AV65" s="615">
        <f>SUM(AV12,AV20,AV25,AV33,AV41,AV48,AV62,AV64,AV51)</f>
        <v>72863443</v>
      </c>
      <c r="AW65" s="615">
        <f t="shared" si="20"/>
        <v>0</v>
      </c>
      <c r="AX65" s="615">
        <f t="shared" si="20"/>
        <v>0</v>
      </c>
      <c r="AY65" s="615">
        <f>SUM(AY12,AY20,AY25,AY33,AY41,AY48,AY62,AY64,AY51)</f>
        <v>0</v>
      </c>
      <c r="AZ65" s="615">
        <f>SUM(AZ12,AZ20,AZ25,AZ33,AZ41,AZ48,AZ62,AZ64,AZ51)</f>
        <v>0</v>
      </c>
      <c r="BA65" s="615">
        <f t="shared" si="20"/>
        <v>0</v>
      </c>
      <c r="BB65" s="615">
        <f t="shared" si="20"/>
        <v>0</v>
      </c>
      <c r="BC65" s="615">
        <f>SUM(BC12,BC20,BC25,BC33,BC41,BC48,BC62,BC64,BC51)</f>
        <v>0</v>
      </c>
      <c r="BD65" s="615">
        <f>SUM(BD12,BD20,BD25,BD33,BD41,BD48,BD62,BD64,BD51)</f>
        <v>0</v>
      </c>
      <c r="BE65" s="615">
        <f t="shared" si="20"/>
        <v>0</v>
      </c>
      <c r="BF65" s="615">
        <f t="shared" si="20"/>
        <v>0</v>
      </c>
      <c r="BG65" s="615">
        <f>SUM(BG12,BG20,BG25,BG33,BG41,BG48,BG62,BG64,BG51)</f>
        <v>0</v>
      </c>
      <c r="BH65" s="615">
        <f>SUM(BH12,BH20,BH25,BH33,BH41,BH48,BH62,BH64,BH51)</f>
        <v>0</v>
      </c>
      <c r="BI65" s="615">
        <f t="shared" si="20"/>
        <v>0</v>
      </c>
      <c r="BJ65" s="615">
        <f t="shared" si="20"/>
        <v>0</v>
      </c>
      <c r="BK65" s="615">
        <f>SUM(BK12,BK20,BK25,BK33,BK41,BK48,BK62,BK64,BK51)</f>
        <v>0</v>
      </c>
      <c r="BL65" s="615">
        <f>SUM(BL12,BL20,BL25,BL33,BL41,BL48,BL62,BL64,BL51)</f>
        <v>0</v>
      </c>
      <c r="BM65" s="615">
        <f t="shared" si="20"/>
        <v>1411250</v>
      </c>
      <c r="BN65" s="615">
        <f t="shared" si="20"/>
        <v>1411250</v>
      </c>
      <c r="BO65" s="615">
        <f>SUM(BO12,BO20,BO25,BO33,BO41,BO48,BO62,BO64,BO51)</f>
        <v>1411250</v>
      </c>
      <c r="BP65" s="615">
        <f>SUM(BP12,BP20,BP25,BP33,BP41,BP48,BP62,BP64,BP51)</f>
        <v>1411250</v>
      </c>
      <c r="BQ65" s="615">
        <f t="shared" si="20"/>
        <v>140963003</v>
      </c>
      <c r="BR65" s="615">
        <f t="shared" si="20"/>
        <v>148190006</v>
      </c>
      <c r="BS65" s="615">
        <f>SUM(BS12,BS20,BS25,BS33,BS41,BS48,BS62,BS64,BS51,BS63)</f>
        <v>173856270</v>
      </c>
      <c r="BT65" s="615">
        <f>SUM(BT12,BT20,BT25,BT33,BT41,BT48,BT62,BT64,BT51,BT63)</f>
        <v>125551295</v>
      </c>
      <c r="BV65" s="668"/>
    </row>
    <row r="66" spans="1:72" ht="15.75">
      <c r="A66" s="616"/>
      <c r="B66" s="617" t="s">
        <v>999</v>
      </c>
      <c r="C66" s="617"/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19"/>
      <c r="BF66" s="619"/>
      <c r="BG66" s="619"/>
      <c r="BH66" s="619"/>
      <c r="BI66" s="619"/>
      <c r="BJ66" s="619"/>
      <c r="BK66" s="619"/>
      <c r="BL66" s="619"/>
      <c r="BM66" s="619"/>
      <c r="BN66" s="619"/>
      <c r="BO66" s="619"/>
      <c r="BP66" s="619"/>
      <c r="BQ66" s="618">
        <f aca="true" t="shared" si="21" ref="BQ66:BT71">SUM(E66,I66,M66,Q66,U66,Y66,AC66,AG66,AK66,AO66,AS66,AW66,BA66,BE66,BI66,BM66)</f>
        <v>0</v>
      </c>
      <c r="BR66" s="618">
        <f t="shared" si="21"/>
        <v>0</v>
      </c>
      <c r="BS66" s="618">
        <f t="shared" si="21"/>
        <v>0</v>
      </c>
      <c r="BT66" s="618">
        <f t="shared" si="21"/>
        <v>0</v>
      </c>
    </row>
    <row r="67" spans="1:72" ht="15.75">
      <c r="A67" s="620">
        <v>91110</v>
      </c>
      <c r="B67" s="275" t="s">
        <v>352</v>
      </c>
      <c r="C67" s="617"/>
      <c r="D67" s="618"/>
      <c r="E67" s="618">
        <v>14017046</v>
      </c>
      <c r="F67" s="618">
        <f>14017046+157711+400000</f>
        <v>14574757</v>
      </c>
      <c r="G67" s="618">
        <f>14017046+157711+400000+171728</f>
        <v>14746485</v>
      </c>
      <c r="H67" s="618">
        <v>14110888</v>
      </c>
      <c r="I67" s="618">
        <v>2810367</v>
      </c>
      <c r="J67" s="618">
        <f>2810367+30754+108000</f>
        <v>2949121</v>
      </c>
      <c r="K67" s="618">
        <f>2810367+30754+108000+110224</f>
        <v>3059345</v>
      </c>
      <c r="L67" s="618">
        <v>2857908</v>
      </c>
      <c r="M67" s="618">
        <v>689130</v>
      </c>
      <c r="N67" s="618">
        <v>689130</v>
      </c>
      <c r="O67" s="618">
        <f>689130+108993-11440-60</f>
        <v>786623</v>
      </c>
      <c r="P67" s="619">
        <v>141800</v>
      </c>
      <c r="Q67" s="619"/>
      <c r="R67" s="619"/>
      <c r="S67" s="619"/>
      <c r="T67" s="619"/>
      <c r="U67" s="619"/>
      <c r="V67" s="619"/>
      <c r="W67" s="619"/>
      <c r="X67" s="619"/>
      <c r="Y67" s="619"/>
      <c r="Z67" s="619"/>
      <c r="AA67" s="619"/>
      <c r="AB67" s="619"/>
      <c r="AC67" s="619"/>
      <c r="AD67" s="619"/>
      <c r="AE67" s="619"/>
      <c r="AF67" s="619"/>
      <c r="AG67" s="619"/>
      <c r="AH67" s="619"/>
      <c r="AI67" s="619"/>
      <c r="AJ67" s="619"/>
      <c r="AK67" s="619"/>
      <c r="AL67" s="619"/>
      <c r="AM67" s="619"/>
      <c r="AN67" s="619"/>
      <c r="AO67" s="619"/>
      <c r="AP67" s="619"/>
      <c r="AQ67" s="619"/>
      <c r="AR67" s="619"/>
      <c r="AS67" s="619"/>
      <c r="AT67" s="619"/>
      <c r="AU67" s="619"/>
      <c r="AV67" s="619"/>
      <c r="AW67" s="619"/>
      <c r="AX67" s="619"/>
      <c r="AY67" s="619"/>
      <c r="AZ67" s="619"/>
      <c r="BA67" s="619"/>
      <c r="BB67" s="619"/>
      <c r="BC67" s="619"/>
      <c r="BD67" s="619"/>
      <c r="BE67" s="619"/>
      <c r="BF67" s="619"/>
      <c r="BG67" s="619"/>
      <c r="BH67" s="619"/>
      <c r="BI67" s="619"/>
      <c r="BJ67" s="619"/>
      <c r="BK67" s="619"/>
      <c r="BL67" s="619"/>
      <c r="BM67" s="619"/>
      <c r="BN67" s="619"/>
      <c r="BO67" s="619"/>
      <c r="BP67" s="619"/>
      <c r="BQ67" s="618">
        <f t="shared" si="21"/>
        <v>17516543</v>
      </c>
      <c r="BR67" s="618">
        <f t="shared" si="21"/>
        <v>18213008</v>
      </c>
      <c r="BS67" s="618">
        <f t="shared" si="21"/>
        <v>18592453</v>
      </c>
      <c r="BT67" s="618">
        <f t="shared" si="21"/>
        <v>17110596</v>
      </c>
    </row>
    <row r="68" spans="1:72" ht="15.75">
      <c r="A68" s="620">
        <v>91140</v>
      </c>
      <c r="B68" s="275" t="s">
        <v>353</v>
      </c>
      <c r="C68" s="617"/>
      <c r="D68" s="618"/>
      <c r="E68" s="618"/>
      <c r="F68" s="618"/>
      <c r="G68" s="618"/>
      <c r="H68" s="618"/>
      <c r="I68" s="618"/>
      <c r="J68" s="618"/>
      <c r="K68" s="618"/>
      <c r="L68" s="618"/>
      <c r="M68" s="618">
        <v>1651000</v>
      </c>
      <c r="N68" s="618">
        <v>1651000</v>
      </c>
      <c r="O68" s="618">
        <v>1651000</v>
      </c>
      <c r="P68" s="619">
        <v>2754184</v>
      </c>
      <c r="Q68" s="619"/>
      <c r="R68" s="619"/>
      <c r="S68" s="619"/>
      <c r="T68" s="619"/>
      <c r="U68" s="619"/>
      <c r="V68" s="619"/>
      <c r="W68" s="619"/>
      <c r="X68" s="619"/>
      <c r="Y68" s="619"/>
      <c r="Z68" s="619"/>
      <c r="AA68" s="619"/>
      <c r="AB68" s="619"/>
      <c r="AC68" s="619"/>
      <c r="AD68" s="619"/>
      <c r="AE68" s="619"/>
      <c r="AF68" s="619"/>
      <c r="AG68" s="619"/>
      <c r="AH68" s="619"/>
      <c r="AI68" s="619"/>
      <c r="AJ68" s="619"/>
      <c r="AK68" s="619"/>
      <c r="AL68" s="619"/>
      <c r="AM68" s="619"/>
      <c r="AN68" s="619"/>
      <c r="AO68" s="619"/>
      <c r="AP68" s="619"/>
      <c r="AQ68" s="619"/>
      <c r="AR68" s="619"/>
      <c r="AS68" s="619"/>
      <c r="AT68" s="619"/>
      <c r="AU68" s="619"/>
      <c r="AV68" s="619"/>
      <c r="AW68" s="619"/>
      <c r="AX68" s="619"/>
      <c r="AY68" s="619"/>
      <c r="AZ68" s="619"/>
      <c r="BA68" s="619"/>
      <c r="BB68" s="619"/>
      <c r="BC68" s="619"/>
      <c r="BD68" s="619"/>
      <c r="BE68" s="619"/>
      <c r="BF68" s="619"/>
      <c r="BG68" s="619"/>
      <c r="BH68" s="619"/>
      <c r="BI68" s="619"/>
      <c r="BJ68" s="619"/>
      <c r="BK68" s="619"/>
      <c r="BL68" s="619"/>
      <c r="BM68" s="619"/>
      <c r="BN68" s="619"/>
      <c r="BO68" s="619"/>
      <c r="BP68" s="619"/>
      <c r="BQ68" s="618">
        <f t="shared" si="21"/>
        <v>1651000</v>
      </c>
      <c r="BR68" s="618">
        <f t="shared" si="21"/>
        <v>1651000</v>
      </c>
      <c r="BS68" s="618">
        <f t="shared" si="21"/>
        <v>1651000</v>
      </c>
      <c r="BT68" s="618">
        <f t="shared" si="21"/>
        <v>2754184</v>
      </c>
    </row>
    <row r="69" spans="1:72" ht="15.75">
      <c r="A69" s="620">
        <v>96015</v>
      </c>
      <c r="B69" s="275" t="s">
        <v>417</v>
      </c>
      <c r="C69" s="617"/>
      <c r="D69" s="618"/>
      <c r="E69" s="618">
        <v>827892</v>
      </c>
      <c r="F69" s="618">
        <v>827892</v>
      </c>
      <c r="G69" s="618">
        <v>827892</v>
      </c>
      <c r="H69" s="618">
        <v>124462</v>
      </c>
      <c r="I69" s="618">
        <v>174726</v>
      </c>
      <c r="J69" s="618">
        <v>174726</v>
      </c>
      <c r="K69" s="618">
        <v>174726</v>
      </c>
      <c r="L69" s="618">
        <v>213553</v>
      </c>
      <c r="M69" s="618">
        <v>1307246</v>
      </c>
      <c r="N69" s="618">
        <v>1307246</v>
      </c>
      <c r="O69" s="618">
        <v>1307246</v>
      </c>
      <c r="P69" s="619">
        <v>1406270</v>
      </c>
      <c r="Q69" s="619"/>
      <c r="R69" s="619"/>
      <c r="S69" s="619"/>
      <c r="T69" s="619"/>
      <c r="U69" s="619"/>
      <c r="V69" s="619"/>
      <c r="W69" s="619"/>
      <c r="X69" s="619"/>
      <c r="Y69" s="619"/>
      <c r="Z69" s="619"/>
      <c r="AA69" s="619"/>
      <c r="AB69" s="619"/>
      <c r="AC69" s="619"/>
      <c r="AD69" s="619"/>
      <c r="AE69" s="619"/>
      <c r="AF69" s="619"/>
      <c r="AG69" s="619"/>
      <c r="AH69" s="619"/>
      <c r="AI69" s="619"/>
      <c r="AJ69" s="619"/>
      <c r="AK69" s="619"/>
      <c r="AL69" s="619"/>
      <c r="AM69" s="619"/>
      <c r="AN69" s="619"/>
      <c r="AO69" s="619">
        <v>200000</v>
      </c>
      <c r="AP69" s="619">
        <f>200000+127000</f>
        <v>327000</v>
      </c>
      <c r="AQ69" s="619">
        <f>200000+127000+208968</f>
        <v>535968</v>
      </c>
      <c r="AR69" s="619">
        <f>274547+127000</f>
        <v>401547</v>
      </c>
      <c r="AS69" s="619"/>
      <c r="AT69" s="619"/>
      <c r="AU69" s="619"/>
      <c r="AV69" s="619"/>
      <c r="AW69" s="619"/>
      <c r="AX69" s="619"/>
      <c r="AY69" s="619"/>
      <c r="AZ69" s="619"/>
      <c r="BA69" s="619"/>
      <c r="BB69" s="619"/>
      <c r="BC69" s="619"/>
      <c r="BD69" s="619"/>
      <c r="BE69" s="619"/>
      <c r="BF69" s="619"/>
      <c r="BG69" s="619"/>
      <c r="BH69" s="619"/>
      <c r="BI69" s="619"/>
      <c r="BJ69" s="619"/>
      <c r="BK69" s="619"/>
      <c r="BL69" s="619"/>
      <c r="BM69" s="619"/>
      <c r="BN69" s="619"/>
      <c r="BO69" s="619"/>
      <c r="BP69" s="619"/>
      <c r="BQ69" s="618">
        <f t="shared" si="21"/>
        <v>2509864</v>
      </c>
      <c r="BR69" s="618">
        <f t="shared" si="21"/>
        <v>2636864</v>
      </c>
      <c r="BS69" s="618">
        <f t="shared" si="21"/>
        <v>2845832</v>
      </c>
      <c r="BT69" s="618">
        <f t="shared" si="21"/>
        <v>2145832</v>
      </c>
    </row>
    <row r="70" spans="1:72" ht="15.75">
      <c r="A70" s="620">
        <v>13390</v>
      </c>
      <c r="B70" s="621" t="s">
        <v>443</v>
      </c>
      <c r="C70" s="617"/>
      <c r="D70" s="618"/>
      <c r="E70" s="618">
        <v>7451024</v>
      </c>
      <c r="F70" s="618">
        <v>7451024</v>
      </c>
      <c r="G70" s="618">
        <v>7451024</v>
      </c>
      <c r="H70" s="618">
        <v>7593020</v>
      </c>
      <c r="I70" s="618">
        <v>1572542</v>
      </c>
      <c r="J70" s="618">
        <v>1572542</v>
      </c>
      <c r="K70" s="618">
        <v>1572542</v>
      </c>
      <c r="L70" s="618">
        <v>1530468</v>
      </c>
      <c r="M70" s="618">
        <v>11765212</v>
      </c>
      <c r="N70" s="618">
        <v>11765212</v>
      </c>
      <c r="O70" s="618">
        <v>11765212</v>
      </c>
      <c r="P70" s="619">
        <f>11015273-180000</f>
        <v>10835273</v>
      </c>
      <c r="Q70" s="619"/>
      <c r="R70" s="619"/>
      <c r="S70" s="619"/>
      <c r="T70" s="619"/>
      <c r="U70" s="619"/>
      <c r="V70" s="619"/>
      <c r="W70" s="619"/>
      <c r="X70" s="619"/>
      <c r="Y70" s="619"/>
      <c r="Z70" s="619"/>
      <c r="AA70" s="619"/>
      <c r="AB70" s="619"/>
      <c r="AC70" s="619"/>
      <c r="AD70" s="619"/>
      <c r="AE70" s="619"/>
      <c r="AF70" s="619"/>
      <c r="AG70" s="619"/>
      <c r="AH70" s="619"/>
      <c r="AI70" s="619"/>
      <c r="AJ70" s="619"/>
      <c r="AK70" s="619"/>
      <c r="AL70" s="619"/>
      <c r="AM70" s="619"/>
      <c r="AN70" s="619"/>
      <c r="AO70" s="619"/>
      <c r="AP70" s="619"/>
      <c r="AQ70" s="619"/>
      <c r="AR70" s="619"/>
      <c r="AS70" s="619"/>
      <c r="AT70" s="619"/>
      <c r="AU70" s="619"/>
      <c r="AV70" s="619"/>
      <c r="AW70" s="619"/>
      <c r="AX70" s="619"/>
      <c r="AY70" s="619"/>
      <c r="AZ70" s="619"/>
      <c r="BA70" s="619"/>
      <c r="BB70" s="619"/>
      <c r="BC70" s="619"/>
      <c r="BD70" s="619"/>
      <c r="BE70" s="619"/>
      <c r="BF70" s="619"/>
      <c r="BG70" s="619"/>
      <c r="BH70" s="619"/>
      <c r="BI70" s="619"/>
      <c r="BJ70" s="619"/>
      <c r="BK70" s="619"/>
      <c r="BL70" s="619"/>
      <c r="BM70" s="619"/>
      <c r="BN70" s="619"/>
      <c r="BO70" s="619"/>
      <c r="BP70" s="619"/>
      <c r="BQ70" s="618">
        <f t="shared" si="21"/>
        <v>20788778</v>
      </c>
      <c r="BR70" s="618">
        <f t="shared" si="21"/>
        <v>20788778</v>
      </c>
      <c r="BS70" s="618">
        <f t="shared" si="21"/>
        <v>20788778</v>
      </c>
      <c r="BT70" s="618">
        <f t="shared" si="21"/>
        <v>19958761</v>
      </c>
    </row>
    <row r="71" spans="1:72" ht="15.75">
      <c r="A71" s="620">
        <v>96025</v>
      </c>
      <c r="B71" s="275" t="s">
        <v>432</v>
      </c>
      <c r="C71" s="617"/>
      <c r="D71" s="618"/>
      <c r="E71" s="618">
        <v>0</v>
      </c>
      <c r="F71" s="618">
        <v>0</v>
      </c>
      <c r="G71" s="618">
        <v>393518</v>
      </c>
      <c r="H71" s="618">
        <v>554527</v>
      </c>
      <c r="I71" s="618">
        <v>0</v>
      </c>
      <c r="J71" s="618">
        <v>0</v>
      </c>
      <c r="K71" s="618">
        <v>0</v>
      </c>
      <c r="L71" s="618">
        <v>35591</v>
      </c>
      <c r="M71" s="618">
        <v>0</v>
      </c>
      <c r="N71" s="618">
        <v>0</v>
      </c>
      <c r="O71" s="618">
        <v>0</v>
      </c>
      <c r="P71" s="619">
        <v>234378</v>
      </c>
      <c r="Q71" s="619"/>
      <c r="R71" s="619"/>
      <c r="S71" s="619"/>
      <c r="T71" s="619"/>
      <c r="U71" s="619"/>
      <c r="V71" s="619"/>
      <c r="W71" s="619"/>
      <c r="X71" s="619"/>
      <c r="Y71" s="619"/>
      <c r="Z71" s="619"/>
      <c r="AA71" s="619"/>
      <c r="AB71" s="619"/>
      <c r="AC71" s="619"/>
      <c r="AD71" s="619"/>
      <c r="AE71" s="619"/>
      <c r="AF71" s="619"/>
      <c r="AG71" s="619"/>
      <c r="AH71" s="619"/>
      <c r="AI71" s="619"/>
      <c r="AJ71" s="619"/>
      <c r="AK71" s="619"/>
      <c r="AL71" s="619"/>
      <c r="AM71" s="619"/>
      <c r="AN71" s="619"/>
      <c r="AO71" s="619"/>
      <c r="AP71" s="619"/>
      <c r="AQ71" s="619"/>
      <c r="AR71" s="619"/>
      <c r="AS71" s="619"/>
      <c r="AT71" s="619"/>
      <c r="AU71" s="619"/>
      <c r="AV71" s="619"/>
      <c r="AW71" s="619"/>
      <c r="AX71" s="619"/>
      <c r="AY71" s="619"/>
      <c r="AZ71" s="619"/>
      <c r="BA71" s="619"/>
      <c r="BB71" s="619"/>
      <c r="BC71" s="619"/>
      <c r="BD71" s="619"/>
      <c r="BE71" s="619"/>
      <c r="BF71" s="619"/>
      <c r="BG71" s="619"/>
      <c r="BH71" s="619"/>
      <c r="BI71" s="619"/>
      <c r="BJ71" s="619"/>
      <c r="BK71" s="619"/>
      <c r="BL71" s="619"/>
      <c r="BM71" s="619"/>
      <c r="BN71" s="619"/>
      <c r="BO71" s="619"/>
      <c r="BP71" s="619"/>
      <c r="BQ71" s="618">
        <f t="shared" si="21"/>
        <v>0</v>
      </c>
      <c r="BR71" s="618">
        <f t="shared" si="21"/>
        <v>0</v>
      </c>
      <c r="BS71" s="618">
        <f t="shared" si="21"/>
        <v>393518</v>
      </c>
      <c r="BT71" s="618">
        <f t="shared" si="21"/>
        <v>824496</v>
      </c>
    </row>
    <row r="72" spans="1:72" ht="15.75">
      <c r="A72" s="182" t="s">
        <v>171</v>
      </c>
      <c r="B72" s="621" t="s">
        <v>178</v>
      </c>
      <c r="C72" s="617"/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618"/>
      <c r="O72" s="618"/>
      <c r="P72" s="619"/>
      <c r="Q72" s="619"/>
      <c r="R72" s="619"/>
      <c r="S72" s="619"/>
      <c r="T72" s="619"/>
      <c r="U72" s="619">
        <v>0</v>
      </c>
      <c r="V72" s="619">
        <v>1529736</v>
      </c>
      <c r="W72" s="619">
        <v>1529736</v>
      </c>
      <c r="X72" s="619"/>
      <c r="Y72" s="619"/>
      <c r="Z72" s="619"/>
      <c r="AA72" s="619"/>
      <c r="AB72" s="619"/>
      <c r="AC72" s="619"/>
      <c r="AD72" s="619"/>
      <c r="AE72" s="619"/>
      <c r="AF72" s="619"/>
      <c r="AG72" s="619"/>
      <c r="AH72" s="619"/>
      <c r="AI72" s="619"/>
      <c r="AJ72" s="619"/>
      <c r="AK72" s="619"/>
      <c r="AL72" s="619"/>
      <c r="AM72" s="619"/>
      <c r="AN72" s="619"/>
      <c r="AO72" s="619"/>
      <c r="AP72" s="619"/>
      <c r="AQ72" s="619"/>
      <c r="AR72" s="619"/>
      <c r="AS72" s="619"/>
      <c r="AT72" s="619"/>
      <c r="AU72" s="619"/>
      <c r="AV72" s="619"/>
      <c r="AW72" s="619"/>
      <c r="AX72" s="619"/>
      <c r="AY72" s="619"/>
      <c r="AZ72" s="619"/>
      <c r="BA72" s="619"/>
      <c r="BB72" s="619"/>
      <c r="BC72" s="619"/>
      <c r="BD72" s="619"/>
      <c r="BE72" s="619"/>
      <c r="BF72" s="619"/>
      <c r="BG72" s="619"/>
      <c r="BH72" s="619"/>
      <c r="BI72" s="619"/>
      <c r="BJ72" s="619"/>
      <c r="BK72" s="619"/>
      <c r="BL72" s="619"/>
      <c r="BM72" s="619"/>
      <c r="BN72" s="619"/>
      <c r="BO72" s="619"/>
      <c r="BP72" s="619"/>
      <c r="BQ72" s="618"/>
      <c r="BR72" s="618"/>
      <c r="BS72" s="618"/>
      <c r="BT72" s="618"/>
    </row>
    <row r="73" spans="1:72" ht="15.75">
      <c r="A73" s="69"/>
      <c r="B73" s="242" t="s">
        <v>429</v>
      </c>
      <c r="C73" s="242"/>
      <c r="D73" s="242"/>
      <c r="E73" s="590">
        <f aca="true" t="shared" si="22" ref="E73:U73">SUM(E67:E71)</f>
        <v>22295962</v>
      </c>
      <c r="F73" s="590">
        <f t="shared" si="22"/>
        <v>22853673</v>
      </c>
      <c r="G73" s="590">
        <f t="shared" si="22"/>
        <v>23418919</v>
      </c>
      <c r="H73" s="590">
        <f>SUM(H67:H71)</f>
        <v>22382897</v>
      </c>
      <c r="I73" s="590">
        <f t="shared" si="22"/>
        <v>4557635</v>
      </c>
      <c r="J73" s="590">
        <f t="shared" si="22"/>
        <v>4696389</v>
      </c>
      <c r="K73" s="590">
        <f t="shared" si="22"/>
        <v>4806613</v>
      </c>
      <c r="L73" s="590">
        <f>SUM(L67:L71)</f>
        <v>4637520</v>
      </c>
      <c r="M73" s="590">
        <f t="shared" si="22"/>
        <v>15412588</v>
      </c>
      <c r="N73" s="590">
        <f t="shared" si="22"/>
        <v>15412588</v>
      </c>
      <c r="O73" s="590">
        <f t="shared" si="22"/>
        <v>15510081</v>
      </c>
      <c r="P73" s="622">
        <f>SUM(P67:P71)</f>
        <v>15371905</v>
      </c>
      <c r="Q73" s="622">
        <f t="shared" si="22"/>
        <v>0</v>
      </c>
      <c r="R73" s="622">
        <f t="shared" si="22"/>
        <v>0</v>
      </c>
      <c r="S73" s="622">
        <f t="shared" si="22"/>
        <v>0</v>
      </c>
      <c r="T73" s="622">
        <f>SUM(T67:T71)</f>
        <v>0</v>
      </c>
      <c r="U73" s="622">
        <f t="shared" si="22"/>
        <v>0</v>
      </c>
      <c r="V73" s="622">
        <f>SUM(V67:V72)</f>
        <v>1529736</v>
      </c>
      <c r="W73" s="622">
        <f>SUM(W67:W72)</f>
        <v>1529736</v>
      </c>
      <c r="X73" s="622">
        <f>SUM(X67:X72)</f>
        <v>0</v>
      </c>
      <c r="Y73" s="622">
        <f aca="true" t="shared" si="23" ref="Y73:BO73">SUM(Y67:Y71)</f>
        <v>0</v>
      </c>
      <c r="Z73" s="622">
        <f t="shared" si="23"/>
        <v>0</v>
      </c>
      <c r="AA73" s="622">
        <f t="shared" si="23"/>
        <v>0</v>
      </c>
      <c r="AB73" s="622"/>
      <c r="AC73" s="622">
        <f t="shared" si="23"/>
        <v>0</v>
      </c>
      <c r="AD73" s="622">
        <f t="shared" si="23"/>
        <v>0</v>
      </c>
      <c r="AE73" s="622">
        <f t="shared" si="23"/>
        <v>0</v>
      </c>
      <c r="AF73" s="622">
        <f>SUM(AF67:AF71)</f>
        <v>0</v>
      </c>
      <c r="AG73" s="622">
        <f t="shared" si="23"/>
        <v>0</v>
      </c>
      <c r="AH73" s="622">
        <f t="shared" si="23"/>
        <v>0</v>
      </c>
      <c r="AI73" s="622">
        <f t="shared" si="23"/>
        <v>0</v>
      </c>
      <c r="AJ73" s="622"/>
      <c r="AK73" s="622">
        <f t="shared" si="23"/>
        <v>0</v>
      </c>
      <c r="AL73" s="622">
        <f t="shared" si="23"/>
        <v>0</v>
      </c>
      <c r="AM73" s="622">
        <f t="shared" si="23"/>
        <v>0</v>
      </c>
      <c r="AN73" s="622">
        <f>SUM(AN67:AN71)</f>
        <v>0</v>
      </c>
      <c r="AO73" s="622">
        <f t="shared" si="23"/>
        <v>200000</v>
      </c>
      <c r="AP73" s="622">
        <f t="shared" si="23"/>
        <v>327000</v>
      </c>
      <c r="AQ73" s="622">
        <f t="shared" si="23"/>
        <v>535968</v>
      </c>
      <c r="AR73" s="622">
        <f>SUM(AR67:AR71)</f>
        <v>401547</v>
      </c>
      <c r="AS73" s="622">
        <f t="shared" si="23"/>
        <v>0</v>
      </c>
      <c r="AT73" s="622">
        <f t="shared" si="23"/>
        <v>0</v>
      </c>
      <c r="AU73" s="622">
        <f t="shared" si="23"/>
        <v>0</v>
      </c>
      <c r="AV73" s="622">
        <f>SUM(AV67:AV71)</f>
        <v>0</v>
      </c>
      <c r="AW73" s="622">
        <f t="shared" si="23"/>
        <v>0</v>
      </c>
      <c r="AX73" s="622">
        <f t="shared" si="23"/>
        <v>0</v>
      </c>
      <c r="AY73" s="622">
        <f t="shared" si="23"/>
        <v>0</v>
      </c>
      <c r="AZ73" s="622">
        <f>SUM(AZ67:AZ71)</f>
        <v>0</v>
      </c>
      <c r="BA73" s="622">
        <f t="shared" si="23"/>
        <v>0</v>
      </c>
      <c r="BB73" s="622">
        <f t="shared" si="23"/>
        <v>0</v>
      </c>
      <c r="BC73" s="622">
        <f t="shared" si="23"/>
        <v>0</v>
      </c>
      <c r="BD73" s="622">
        <f>SUM(BD67:BD71)</f>
        <v>0</v>
      </c>
      <c r="BE73" s="622">
        <f t="shared" si="23"/>
        <v>0</v>
      </c>
      <c r="BF73" s="622">
        <f t="shared" si="23"/>
        <v>0</v>
      </c>
      <c r="BG73" s="622">
        <f t="shared" si="23"/>
        <v>0</v>
      </c>
      <c r="BH73" s="622">
        <f>SUM(BH67:BH71)</f>
        <v>0</v>
      </c>
      <c r="BI73" s="622">
        <f t="shared" si="23"/>
        <v>0</v>
      </c>
      <c r="BJ73" s="622">
        <f t="shared" si="23"/>
        <v>0</v>
      </c>
      <c r="BK73" s="622">
        <f t="shared" si="23"/>
        <v>0</v>
      </c>
      <c r="BL73" s="622">
        <f>SUM(BL67:BL71)</f>
        <v>0</v>
      </c>
      <c r="BM73" s="622">
        <f t="shared" si="23"/>
        <v>0</v>
      </c>
      <c r="BN73" s="622">
        <f t="shared" si="23"/>
        <v>0</v>
      </c>
      <c r="BO73" s="622">
        <f t="shared" si="23"/>
        <v>0</v>
      </c>
      <c r="BP73" s="622">
        <f>SUM(BP67:BP71)</f>
        <v>0</v>
      </c>
      <c r="BQ73" s="618">
        <f>SUM(E73,I73,M73,Q73,U73,Y73,AC73,AG73,AK73,AO73,AS73,AW73,BA73,BE73,BI73,BM73)</f>
        <v>42466185</v>
      </c>
      <c r="BR73" s="618">
        <f>SUM(F73,J73,N73,R73,V73,Z73,AD73,AH73,AL73,AP73,AT73,AX73,BB73,BF73,BJ73,BN73)</f>
        <v>44819386</v>
      </c>
      <c r="BS73" s="618">
        <f>SUM(G73,K73,O73,S73,W73,AA73,AE73,AI73,AM73,AQ73,AU73,AY73,BC73,BG73,BK73,BO73)</f>
        <v>45801317</v>
      </c>
      <c r="BT73" s="618">
        <f>SUM(H73,L73,P73,T73,X73,AB73,AF73,AJ73,AN73,AR73,AV73,AZ73,BD73,BH73,BL73,BP73)</f>
        <v>42793869</v>
      </c>
    </row>
    <row r="74" spans="1:72" ht="15.75">
      <c r="A74" s="623"/>
      <c r="B74" s="624" t="s">
        <v>181</v>
      </c>
      <c r="C74" s="624"/>
      <c r="D74" s="625">
        <f>SUM(D65)</f>
        <v>10</v>
      </c>
      <c r="E74" s="625">
        <f aca="true" t="shared" si="24" ref="E74:BS74">SUM(E65+E73)</f>
        <v>26472352</v>
      </c>
      <c r="F74" s="625">
        <f t="shared" si="24"/>
        <v>30537227</v>
      </c>
      <c r="G74" s="625">
        <f t="shared" si="24"/>
        <v>31573138</v>
      </c>
      <c r="H74" s="625">
        <f>SUM(H65+H73)</f>
        <v>30086877</v>
      </c>
      <c r="I74" s="625">
        <f t="shared" si="24"/>
        <v>5300485</v>
      </c>
      <c r="J74" s="625">
        <f t="shared" si="24"/>
        <v>6075911</v>
      </c>
      <c r="K74" s="625">
        <f t="shared" si="24"/>
        <v>6270849</v>
      </c>
      <c r="L74" s="625">
        <f>SUM(L65+L73)</f>
        <v>6093600</v>
      </c>
      <c r="M74" s="625">
        <f t="shared" si="24"/>
        <v>36198018</v>
      </c>
      <c r="N74" s="625">
        <f t="shared" si="24"/>
        <v>44505120</v>
      </c>
      <c r="O74" s="625">
        <f t="shared" si="24"/>
        <v>45994226</v>
      </c>
      <c r="P74" s="625">
        <f t="shared" si="24"/>
        <v>45846951</v>
      </c>
      <c r="Q74" s="625">
        <f t="shared" si="24"/>
        <v>4395000</v>
      </c>
      <c r="R74" s="625">
        <f t="shared" si="24"/>
        <v>4661700</v>
      </c>
      <c r="S74" s="625">
        <f t="shared" si="24"/>
        <v>5297000</v>
      </c>
      <c r="T74" s="625">
        <f>SUM(T65+T73)</f>
        <v>4331200</v>
      </c>
      <c r="U74" s="625">
        <f t="shared" si="24"/>
        <v>684900</v>
      </c>
      <c r="V74" s="625">
        <f t="shared" si="24"/>
        <v>2226902</v>
      </c>
      <c r="W74" s="625">
        <f t="shared" si="24"/>
        <v>2226902</v>
      </c>
      <c r="X74" s="625">
        <f>SUM(X65+X73)</f>
        <v>697166</v>
      </c>
      <c r="Y74" s="625">
        <f t="shared" si="24"/>
        <v>2100180</v>
      </c>
      <c r="Z74" s="625">
        <f t="shared" si="24"/>
        <v>2100180</v>
      </c>
      <c r="AA74" s="625">
        <f t="shared" si="24"/>
        <v>2100180</v>
      </c>
      <c r="AB74" s="625"/>
      <c r="AC74" s="625">
        <f t="shared" si="24"/>
        <v>0</v>
      </c>
      <c r="AD74" s="625">
        <f t="shared" si="24"/>
        <v>0</v>
      </c>
      <c r="AE74" s="625">
        <f t="shared" si="24"/>
        <v>0</v>
      </c>
      <c r="AF74" s="625">
        <f>SUM(AF65+AF73)</f>
        <v>0</v>
      </c>
      <c r="AG74" s="625">
        <f t="shared" si="24"/>
        <v>100000</v>
      </c>
      <c r="AH74" s="625">
        <f t="shared" si="24"/>
        <v>100000</v>
      </c>
      <c r="AI74" s="625">
        <f t="shared" si="24"/>
        <v>100000</v>
      </c>
      <c r="AJ74" s="625"/>
      <c r="AK74" s="625">
        <f t="shared" si="24"/>
        <v>17377931</v>
      </c>
      <c r="AL74" s="625">
        <f t="shared" si="24"/>
        <v>15826194</v>
      </c>
      <c r="AM74" s="625">
        <f t="shared" si="24"/>
        <v>35758591</v>
      </c>
      <c r="AN74" s="625">
        <f>SUM(AN65+AN73)</f>
        <v>0</v>
      </c>
      <c r="AO74" s="625">
        <f t="shared" si="24"/>
        <v>352400</v>
      </c>
      <c r="AP74" s="625">
        <f t="shared" si="24"/>
        <v>4413407</v>
      </c>
      <c r="AQ74" s="625">
        <f t="shared" si="24"/>
        <v>5343355</v>
      </c>
      <c r="AR74" s="625">
        <f>SUM(AR65+AR73)</f>
        <v>5208934</v>
      </c>
      <c r="AS74" s="625">
        <f t="shared" si="24"/>
        <v>89036672</v>
      </c>
      <c r="AT74" s="625">
        <f t="shared" si="24"/>
        <v>79497770</v>
      </c>
      <c r="AU74" s="625">
        <f t="shared" si="24"/>
        <v>81237979</v>
      </c>
      <c r="AV74" s="625">
        <f>SUM(AV65+AV73)</f>
        <v>72863443</v>
      </c>
      <c r="AW74" s="625">
        <f t="shared" si="24"/>
        <v>0</v>
      </c>
      <c r="AX74" s="625">
        <f t="shared" si="24"/>
        <v>0</v>
      </c>
      <c r="AY74" s="625">
        <f t="shared" si="24"/>
        <v>0</v>
      </c>
      <c r="AZ74" s="625">
        <f>SUM(AZ65+AZ73)</f>
        <v>0</v>
      </c>
      <c r="BA74" s="625">
        <f t="shared" si="24"/>
        <v>0</v>
      </c>
      <c r="BB74" s="625">
        <f t="shared" si="24"/>
        <v>0</v>
      </c>
      <c r="BC74" s="625">
        <f t="shared" si="24"/>
        <v>0</v>
      </c>
      <c r="BD74" s="625">
        <f>SUM(BD65+BD73)</f>
        <v>0</v>
      </c>
      <c r="BE74" s="625">
        <f t="shared" si="24"/>
        <v>0</v>
      </c>
      <c r="BF74" s="625">
        <f t="shared" si="24"/>
        <v>0</v>
      </c>
      <c r="BG74" s="625">
        <f t="shared" si="24"/>
        <v>0</v>
      </c>
      <c r="BH74" s="625">
        <f>SUM(BH65+BH73)</f>
        <v>0</v>
      </c>
      <c r="BI74" s="625">
        <f t="shared" si="24"/>
        <v>0</v>
      </c>
      <c r="BJ74" s="625">
        <f t="shared" si="24"/>
        <v>0</v>
      </c>
      <c r="BK74" s="625">
        <f t="shared" si="24"/>
        <v>0</v>
      </c>
      <c r="BL74" s="625">
        <f>SUM(BL65+BL73)</f>
        <v>0</v>
      </c>
      <c r="BM74" s="625">
        <f t="shared" si="24"/>
        <v>1411250</v>
      </c>
      <c r="BN74" s="625">
        <f t="shared" si="24"/>
        <v>1411250</v>
      </c>
      <c r="BO74" s="625">
        <f t="shared" si="24"/>
        <v>1411250</v>
      </c>
      <c r="BP74" s="625">
        <f>SUM(BP65+BP73)</f>
        <v>1411250</v>
      </c>
      <c r="BQ74" s="625">
        <f t="shared" si="24"/>
        <v>183429188</v>
      </c>
      <c r="BR74" s="625">
        <f t="shared" si="24"/>
        <v>193009392</v>
      </c>
      <c r="BS74" s="625">
        <f t="shared" si="24"/>
        <v>219657587</v>
      </c>
      <c r="BT74" s="625">
        <f>SUM(BT65+BT73)</f>
        <v>168345164</v>
      </c>
    </row>
  </sheetData>
  <sheetProtection/>
  <mergeCells count="25">
    <mergeCell ref="AC2:AF2"/>
    <mergeCell ref="U2:X2"/>
    <mergeCell ref="Y2:AB2"/>
    <mergeCell ref="M1:P2"/>
    <mergeCell ref="Q1:T2"/>
    <mergeCell ref="I1:L2"/>
    <mergeCell ref="U1:AN1"/>
    <mergeCell ref="AW2:AZ2"/>
    <mergeCell ref="AS1:AV2"/>
    <mergeCell ref="AW1:BL1"/>
    <mergeCell ref="AO1:AR2"/>
    <mergeCell ref="AK2:AN2"/>
    <mergeCell ref="AG2:AJ2"/>
    <mergeCell ref="BE2:BH2"/>
    <mergeCell ref="BA2:BD2"/>
    <mergeCell ref="CQ1:CS1"/>
    <mergeCell ref="CK1:CM1"/>
    <mergeCell ref="CN1:CP1"/>
    <mergeCell ref="E1:H2"/>
    <mergeCell ref="A1:A2"/>
    <mergeCell ref="B1:B2"/>
    <mergeCell ref="D1:D2"/>
    <mergeCell ref="BQ1:BT2"/>
    <mergeCell ref="BM1:BP2"/>
    <mergeCell ref="BI2:BL2"/>
  </mergeCells>
  <printOptions horizontalCentered="1"/>
  <pageMargins left="0.1968503937007874" right="0.2362204724409449" top="0.9448818897637796" bottom="0.1968503937007874" header="0.31496062992125984" footer="0.1968503937007874"/>
  <pageSetup fitToHeight="1" fitToWidth="1" horizontalDpi="600" verticalDpi="600" orientation="landscape" paperSize="9" r:id="rId1"/>
  <headerFooter alignWithMargins="0">
    <oddHeader>&amp;C&amp;"Garamond,Félkövér"&amp;12 3/2019. (V.31.) számú költségvetési rendelethez
ZALASZABAR KÖZSÉG  ÖNKORMÁNYZATA ÉS INTÉZMÉNYE
2018. ÉVI KIADÁSI ELŐIRÁNYZATAI 
 &amp;R&amp;A
&amp;P.oldal
adatok Ft-ban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3"/>
  <sheetViews>
    <sheetView view="pageLayout" zoomScaleSheetLayoutView="90" workbookViewId="0" topLeftCell="A1">
      <selection activeCell="H5" sqref="H5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6.00390625" style="5" customWidth="1"/>
    <col min="4" max="4" width="14.00390625" style="5" customWidth="1"/>
    <col min="5" max="5" width="12.875" style="5" customWidth="1"/>
    <col min="6" max="6" width="14.125" style="5" customWidth="1"/>
    <col min="7" max="7" width="14.625" style="5" customWidth="1"/>
    <col min="8" max="8" width="13.125" style="628" customWidth="1"/>
    <col min="9" max="16384" width="11.375" style="5" customWidth="1"/>
  </cols>
  <sheetData>
    <row r="1" spans="1:8" ht="19.5" customHeight="1">
      <c r="A1" s="154" t="s">
        <v>14</v>
      </c>
      <c r="B1" s="155" t="s">
        <v>13</v>
      </c>
      <c r="C1" s="749" t="s">
        <v>457</v>
      </c>
      <c r="D1" s="749" t="s">
        <v>1000</v>
      </c>
      <c r="E1" s="749" t="s">
        <v>1001</v>
      </c>
      <c r="F1" s="749" t="s">
        <v>1002</v>
      </c>
      <c r="G1" s="751" t="s">
        <v>882</v>
      </c>
      <c r="H1" s="752"/>
    </row>
    <row r="2" spans="1:8" ht="19.5" customHeight="1">
      <c r="A2" s="156"/>
      <c r="B2" s="157"/>
      <c r="C2" s="750"/>
      <c r="D2" s="750"/>
      <c r="E2" s="750"/>
      <c r="F2" s="750"/>
      <c r="G2" s="751"/>
      <c r="H2" s="752"/>
    </row>
    <row r="3" spans="1:8" ht="30" customHeight="1">
      <c r="A3" s="294"/>
      <c r="B3" s="296" t="s">
        <v>264</v>
      </c>
      <c r="C3" s="297"/>
      <c r="D3" s="297"/>
      <c r="E3" s="297"/>
      <c r="F3" s="297"/>
      <c r="G3" s="629"/>
      <c r="H3" s="637"/>
    </row>
    <row r="4" spans="1:8" ht="24.75" customHeight="1">
      <c r="A4" s="9" t="s">
        <v>88</v>
      </c>
      <c r="B4" s="175" t="s">
        <v>90</v>
      </c>
      <c r="C4" s="12"/>
      <c r="D4" s="12"/>
      <c r="E4" s="12"/>
      <c r="F4" s="12"/>
      <c r="G4" s="630"/>
      <c r="H4" s="638"/>
    </row>
    <row r="5" spans="1:7" ht="24.75" customHeight="1">
      <c r="A5" s="9" t="s">
        <v>2</v>
      </c>
      <c r="B5" s="9" t="s">
        <v>119</v>
      </c>
      <c r="C5" s="7"/>
      <c r="D5" s="7"/>
      <c r="E5" s="7"/>
      <c r="F5" s="7"/>
      <c r="G5" s="631"/>
    </row>
    <row r="6" spans="1:8" ht="24.75" customHeight="1">
      <c r="A6" s="9"/>
      <c r="B6" s="10" t="s">
        <v>238</v>
      </c>
      <c r="C6" s="66">
        <v>640000</v>
      </c>
      <c r="D6" s="66">
        <v>560000</v>
      </c>
      <c r="E6" s="66">
        <v>560000</v>
      </c>
      <c r="F6" s="66">
        <v>560000</v>
      </c>
      <c r="G6" s="632">
        <v>480000</v>
      </c>
      <c r="H6" s="639"/>
    </row>
    <row r="7" spans="1:8" ht="24.75" customHeight="1">
      <c r="A7" s="9"/>
      <c r="B7" s="10" t="s">
        <v>1022</v>
      </c>
      <c r="C7" s="66">
        <v>800000</v>
      </c>
      <c r="D7" s="66">
        <v>840180</v>
      </c>
      <c r="E7" s="66">
        <v>840180</v>
      </c>
      <c r="F7" s="66">
        <v>840180</v>
      </c>
      <c r="G7" s="632">
        <v>926075</v>
      </c>
      <c r="H7" s="639"/>
    </row>
    <row r="8" spans="1:8" ht="24.75" customHeight="1">
      <c r="A8" s="9"/>
      <c r="B8" s="10" t="s">
        <v>1023</v>
      </c>
      <c r="C8" s="66">
        <v>0</v>
      </c>
      <c r="D8" s="66">
        <v>0</v>
      </c>
      <c r="E8" s="66">
        <v>0</v>
      </c>
      <c r="F8" s="66">
        <v>0</v>
      </c>
      <c r="G8" s="632">
        <v>139040</v>
      </c>
      <c r="H8" s="639"/>
    </row>
    <row r="9" spans="1:8" ht="24.75" customHeight="1">
      <c r="A9" s="9"/>
      <c r="B9" s="10" t="s">
        <v>1024</v>
      </c>
      <c r="C9" s="66">
        <v>481000</v>
      </c>
      <c r="D9" s="66">
        <v>700000</v>
      </c>
      <c r="E9" s="66">
        <v>700000</v>
      </c>
      <c r="F9" s="66">
        <v>700000</v>
      </c>
      <c r="G9" s="632">
        <v>210628</v>
      </c>
      <c r="H9" s="639"/>
    </row>
    <row r="10" spans="1:8" ht="24.75" customHeight="1">
      <c r="A10" s="9"/>
      <c r="B10" s="10" t="s">
        <v>1025</v>
      </c>
      <c r="C10" s="66">
        <v>250000</v>
      </c>
      <c r="D10" s="66">
        <v>0</v>
      </c>
      <c r="E10" s="66">
        <v>0</v>
      </c>
      <c r="F10" s="66">
        <v>0</v>
      </c>
      <c r="G10" s="632">
        <v>0</v>
      </c>
      <c r="H10" s="639"/>
    </row>
    <row r="11" spans="1:8" ht="24.75" customHeight="1">
      <c r="A11" s="91"/>
      <c r="B11" s="10" t="s">
        <v>1026</v>
      </c>
      <c r="C11" s="66">
        <v>29000</v>
      </c>
      <c r="D11" s="66">
        <v>0</v>
      </c>
      <c r="E11" s="66">
        <v>0</v>
      </c>
      <c r="F11" s="66">
        <v>0</v>
      </c>
      <c r="G11" s="632">
        <v>0</v>
      </c>
      <c r="H11" s="639"/>
    </row>
    <row r="12" spans="1:8" ht="24.75" customHeight="1">
      <c r="A12" s="91"/>
      <c r="B12" s="175" t="s">
        <v>123</v>
      </c>
      <c r="C12" s="106">
        <f>SUM(C6:C11)</f>
        <v>2200000</v>
      </c>
      <c r="D12" s="106">
        <f>SUM(D6:D11)</f>
        <v>2100180</v>
      </c>
      <c r="E12" s="106">
        <f>SUM(E6:E11)</f>
        <v>2100180</v>
      </c>
      <c r="F12" s="106">
        <f>SUM(F6:F11)</f>
        <v>2100180</v>
      </c>
      <c r="G12" s="633">
        <f>SUM(G6:G11)</f>
        <v>1755743</v>
      </c>
      <c r="H12" s="640"/>
    </row>
    <row r="13" spans="1:8" ht="24.75" customHeight="1">
      <c r="A13" s="176" t="s">
        <v>4</v>
      </c>
      <c r="B13" s="6" t="s">
        <v>384</v>
      </c>
      <c r="C13" s="106"/>
      <c r="D13" s="106">
        <v>100000</v>
      </c>
      <c r="E13" s="106">
        <v>100000</v>
      </c>
      <c r="F13" s="106">
        <v>100000</v>
      </c>
      <c r="G13" s="633">
        <v>50000</v>
      </c>
      <c r="H13" s="640"/>
    </row>
    <row r="14" spans="1:8" ht="24.75" customHeight="1">
      <c r="A14" s="176"/>
      <c r="B14" s="626" t="s">
        <v>1027</v>
      </c>
      <c r="C14" s="106"/>
      <c r="D14" s="627">
        <v>100000</v>
      </c>
      <c r="E14" s="627">
        <v>100000</v>
      </c>
      <c r="F14" s="627">
        <v>100000</v>
      </c>
      <c r="G14" s="634">
        <v>50000</v>
      </c>
      <c r="H14" s="639"/>
    </row>
    <row r="15" spans="1:8" ht="24.75" customHeight="1">
      <c r="A15" s="10" t="s">
        <v>305</v>
      </c>
      <c r="B15" s="175" t="s">
        <v>385</v>
      </c>
      <c r="C15" s="106"/>
      <c r="D15" s="106"/>
      <c r="E15" s="106"/>
      <c r="F15" s="106"/>
      <c r="G15" s="633"/>
      <c r="H15" s="639"/>
    </row>
    <row r="16" spans="1:8" ht="24.75" customHeight="1">
      <c r="A16" s="10"/>
      <c r="B16" s="175" t="s">
        <v>306</v>
      </c>
      <c r="C16" s="106">
        <v>0</v>
      </c>
      <c r="D16" s="106">
        <v>0</v>
      </c>
      <c r="E16" s="106">
        <v>0</v>
      </c>
      <c r="F16" s="106">
        <v>0</v>
      </c>
      <c r="G16" s="633">
        <v>0</v>
      </c>
      <c r="H16" s="640"/>
    </row>
    <row r="17" spans="1:8" ht="24.75" customHeight="1">
      <c r="A17" s="6" t="s">
        <v>6</v>
      </c>
      <c r="B17" s="175" t="s">
        <v>397</v>
      </c>
      <c r="C17" s="106"/>
      <c r="D17" s="106">
        <v>684900</v>
      </c>
      <c r="E17" s="106">
        <f>684900+12266+1529736</f>
        <v>2226902</v>
      </c>
      <c r="F17" s="106">
        <f>684900+12266+1529736</f>
        <v>2226902</v>
      </c>
      <c r="G17" s="633">
        <v>697166</v>
      </c>
      <c r="H17" s="640"/>
    </row>
    <row r="18" spans="1:8" ht="24.75" customHeight="1">
      <c r="A18" s="6" t="s">
        <v>8</v>
      </c>
      <c r="B18" s="9" t="s">
        <v>386</v>
      </c>
      <c r="C18" s="106">
        <v>7386927</v>
      </c>
      <c r="D18" s="106">
        <v>17377931</v>
      </c>
      <c r="E18" s="106">
        <v>15826194</v>
      </c>
      <c r="F18" s="106">
        <v>38102708</v>
      </c>
      <c r="G18" s="633">
        <v>0</v>
      </c>
      <c r="H18" s="640"/>
    </row>
    <row r="19" spans="1:8" ht="24.75" customHeight="1">
      <c r="A19" s="293"/>
      <c r="B19" s="294" t="s">
        <v>263</v>
      </c>
      <c r="C19" s="295">
        <f>C12+C13+C15+C17+C18</f>
        <v>9586927</v>
      </c>
      <c r="D19" s="295">
        <f>D12+D13+D15+D17+D18</f>
        <v>20263011</v>
      </c>
      <c r="E19" s="295">
        <f>E12+E13+E15+E17+E18</f>
        <v>20253276</v>
      </c>
      <c r="F19" s="295">
        <f>F12+F13+F15+F17+F18</f>
        <v>42529790</v>
      </c>
      <c r="G19" s="635">
        <f>G12+G13+G15+G17+G18</f>
        <v>2502909</v>
      </c>
      <c r="H19" s="640"/>
    </row>
    <row r="20" spans="1:8" ht="24.75" customHeight="1">
      <c r="A20" s="298"/>
      <c r="B20" s="296" t="s">
        <v>121</v>
      </c>
      <c r="C20" s="295"/>
      <c r="D20" s="295"/>
      <c r="E20" s="295"/>
      <c r="F20" s="295"/>
      <c r="G20" s="635"/>
      <c r="H20" s="640"/>
    </row>
    <row r="21" spans="1:8" ht="24.75" customHeight="1">
      <c r="A21" s="6" t="s">
        <v>88</v>
      </c>
      <c r="B21" s="175" t="s">
        <v>90</v>
      </c>
      <c r="C21" s="67"/>
      <c r="D21" s="67"/>
      <c r="E21" s="67"/>
      <c r="F21" s="67"/>
      <c r="G21" s="636"/>
      <c r="H21" s="640"/>
    </row>
    <row r="22" spans="1:8" ht="30" customHeight="1">
      <c r="A22" s="6" t="s">
        <v>2</v>
      </c>
      <c r="B22" s="175" t="s">
        <v>122</v>
      </c>
      <c r="C22" s="67"/>
      <c r="D22" s="67"/>
      <c r="E22" s="67"/>
      <c r="F22" s="67"/>
      <c r="G22" s="636"/>
      <c r="H22" s="640"/>
    </row>
    <row r="23" spans="1:8" ht="24.75" customHeight="1">
      <c r="A23" s="6" t="s">
        <v>4</v>
      </c>
      <c r="B23" s="9" t="s">
        <v>124</v>
      </c>
      <c r="C23" s="67">
        <v>0</v>
      </c>
      <c r="D23" s="67">
        <v>0</v>
      </c>
      <c r="E23" s="67">
        <v>0</v>
      </c>
      <c r="F23" s="67">
        <v>0</v>
      </c>
      <c r="G23" s="636">
        <v>0</v>
      </c>
      <c r="H23" s="641"/>
    </row>
    <row r="24" spans="1:8" ht="24.75" customHeight="1">
      <c r="A24" s="10"/>
      <c r="B24" s="175" t="s">
        <v>387</v>
      </c>
      <c r="C24" s="67"/>
      <c r="D24" s="67"/>
      <c r="E24" s="67"/>
      <c r="F24" s="67"/>
      <c r="G24" s="636"/>
      <c r="H24" s="641"/>
    </row>
    <row r="25" spans="1:8" ht="24.75" customHeight="1">
      <c r="A25" s="6"/>
      <c r="B25" s="127" t="s">
        <v>125</v>
      </c>
      <c r="C25" s="67"/>
      <c r="D25" s="67"/>
      <c r="E25" s="67"/>
      <c r="F25" s="67"/>
      <c r="G25" s="636"/>
      <c r="H25" s="641"/>
    </row>
    <row r="26" spans="1:8" ht="24.75" customHeight="1">
      <c r="A26" s="6" t="s">
        <v>5</v>
      </c>
      <c r="B26" s="6" t="s">
        <v>311</v>
      </c>
      <c r="C26" s="67">
        <f>C23+C25</f>
        <v>0</v>
      </c>
      <c r="D26" s="67">
        <f>D23+D25</f>
        <v>0</v>
      </c>
      <c r="E26" s="67">
        <f>E23+E25</f>
        <v>0</v>
      </c>
      <c r="F26" s="67">
        <f>F23+F25</f>
        <v>0</v>
      </c>
      <c r="G26" s="636">
        <f>G23+G25</f>
        <v>0</v>
      </c>
      <c r="H26" s="641"/>
    </row>
    <row r="27" spans="1:8" ht="24.75" customHeight="1">
      <c r="A27" s="6" t="s">
        <v>6</v>
      </c>
      <c r="B27" s="6" t="s">
        <v>423</v>
      </c>
      <c r="C27" s="67">
        <v>0</v>
      </c>
      <c r="D27" s="67">
        <v>0</v>
      </c>
      <c r="E27" s="67">
        <v>0</v>
      </c>
      <c r="F27" s="67">
        <v>0</v>
      </c>
      <c r="G27" s="636">
        <v>0</v>
      </c>
      <c r="H27" s="641"/>
    </row>
    <row r="28" spans="1:8" ht="24.75" customHeight="1">
      <c r="A28" s="642"/>
      <c r="B28" s="643" t="s">
        <v>398</v>
      </c>
      <c r="C28" s="644">
        <v>0</v>
      </c>
      <c r="D28" s="644">
        <v>0</v>
      </c>
      <c r="E28" s="644">
        <v>0</v>
      </c>
      <c r="F28" s="644">
        <v>0</v>
      </c>
      <c r="G28" s="645">
        <v>0</v>
      </c>
      <c r="H28" s="641"/>
    </row>
    <row r="29" spans="1:8" s="628" customFormat="1" ht="24.75" customHeight="1">
      <c r="A29" s="646"/>
      <c r="B29" s="646"/>
      <c r="C29" s="641"/>
      <c r="D29" s="641"/>
      <c r="E29" s="641"/>
      <c r="F29" s="641"/>
      <c r="G29" s="641"/>
      <c r="H29" s="641"/>
    </row>
    <row r="30" spans="1:8" s="628" customFormat="1" ht="27" customHeight="1">
      <c r="A30" s="646"/>
      <c r="B30" s="646"/>
      <c r="C30" s="641"/>
      <c r="D30" s="641"/>
      <c r="E30" s="641"/>
      <c r="F30" s="641"/>
      <c r="G30" s="641"/>
      <c r="H30" s="641"/>
    </row>
    <row r="31" spans="1:8" s="128" customFormat="1" ht="27" customHeight="1">
      <c r="A31" s="27"/>
      <c r="B31" s="27"/>
      <c r="C31" s="158"/>
      <c r="D31" s="158"/>
      <c r="H31" s="628"/>
    </row>
    <row r="32" spans="1:4" ht="24.75" customHeight="1">
      <c r="A32" s="27"/>
      <c r="B32" s="27"/>
      <c r="C32" s="27"/>
      <c r="D32" s="27"/>
    </row>
    <row r="33" spans="3:4" ht="24.75" customHeight="1">
      <c r="C33" s="27"/>
      <c r="D33" s="27"/>
    </row>
  </sheetData>
  <sheetProtection/>
  <mergeCells count="6">
    <mergeCell ref="D1:D2"/>
    <mergeCell ref="C1:C2"/>
    <mergeCell ref="E1:E2"/>
    <mergeCell ref="F1:F2"/>
    <mergeCell ref="G1:G2"/>
    <mergeCell ref="H1:H2"/>
  </mergeCells>
  <printOptions horizontalCentered="1"/>
  <pageMargins left="0.2362204724409449" right="0.2362204724409449" top="1.2" bottom="0.19" header="0.45" footer="0.19"/>
  <pageSetup fitToHeight="1" fitToWidth="1" horizontalDpi="600" verticalDpi="600" orientation="portrait" paperSize="9" scale="61" r:id="rId1"/>
  <headerFooter alignWithMargins="0">
    <oddHeader>&amp;C&amp;"Garamond,Félkövér"&amp;12 3/2019. (V.31.) számú költségvetési rendelethez
ZALASZABAR KÖZSÉG ÖNKORMÁNYZATA ÉS INTÉZMÉNYE   
EGYÉB MŰKÖDÉSI ÉS EGYÉB FEJLESZTÉSI CÉLÚ KIADÁSAI 
ÁLLAMHÁZTARTÁSON BELÜLRE ÉS KÍVÜLRE 2018.évben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G27"/>
  <sheetViews>
    <sheetView view="pageLayout" workbookViewId="0" topLeftCell="A1">
      <selection activeCell="I18" sqref="I18"/>
    </sheetView>
  </sheetViews>
  <sheetFormatPr defaultColWidth="9.00390625" defaultRowHeight="12.75"/>
  <cols>
    <col min="1" max="1" width="5.875" style="18" customWidth="1"/>
    <col min="2" max="2" width="56.75390625" style="18" customWidth="1"/>
    <col min="3" max="3" width="13.00390625" style="18" customWidth="1"/>
    <col min="4" max="4" width="11.625" style="18" customWidth="1"/>
    <col min="5" max="5" width="11.125" style="18" customWidth="1"/>
    <col min="6" max="6" width="12.875" style="18" customWidth="1"/>
    <col min="7" max="7" width="13.75390625" style="18" customWidth="1"/>
    <col min="8" max="8" width="12.875" style="18" customWidth="1"/>
    <col min="9" max="16384" width="9.125" style="18" customWidth="1"/>
  </cols>
  <sheetData>
    <row r="2" ht="15" customHeight="1"/>
    <row r="3" spans="1:7" ht="15" customHeight="1">
      <c r="A3" s="756" t="s">
        <v>59</v>
      </c>
      <c r="B3" s="757" t="s">
        <v>13</v>
      </c>
      <c r="C3" s="758" t="s">
        <v>464</v>
      </c>
      <c r="D3" s="758" t="s">
        <v>1003</v>
      </c>
      <c r="E3" s="756" t="s">
        <v>1001</v>
      </c>
      <c r="F3" s="756" t="s">
        <v>1002</v>
      </c>
      <c r="G3" s="756" t="s">
        <v>882</v>
      </c>
    </row>
    <row r="4" spans="1:7" ht="15" customHeight="1">
      <c r="A4" s="756"/>
      <c r="B4" s="757"/>
      <c r="C4" s="759"/>
      <c r="D4" s="759"/>
      <c r="E4" s="756"/>
      <c r="F4" s="756"/>
      <c r="G4" s="756"/>
    </row>
    <row r="5" spans="1:7" ht="15" customHeight="1">
      <c r="A5" s="756"/>
      <c r="B5" s="757"/>
      <c r="C5" s="759"/>
      <c r="D5" s="759"/>
      <c r="E5" s="756"/>
      <c r="F5" s="756"/>
      <c r="G5" s="756"/>
    </row>
    <row r="6" spans="1:7" ht="27.75" customHeight="1">
      <c r="A6" s="756"/>
      <c r="B6" s="757"/>
      <c r="C6" s="760"/>
      <c r="D6" s="760"/>
      <c r="E6" s="756"/>
      <c r="F6" s="756"/>
      <c r="G6" s="756"/>
    </row>
    <row r="7" spans="1:7" ht="27.75" customHeight="1">
      <c r="A7" s="753" t="s">
        <v>196</v>
      </c>
      <c r="B7" s="754"/>
      <c r="C7" s="754"/>
      <c r="D7" s="755"/>
      <c r="E7" s="647"/>
      <c r="F7" s="647"/>
      <c r="G7" s="647"/>
    </row>
    <row r="8" spans="1:7" ht="27.75" customHeight="1">
      <c r="A8" s="307"/>
      <c r="B8" s="308" t="s">
        <v>444</v>
      </c>
      <c r="C8" s="307"/>
      <c r="D8" s="307"/>
      <c r="E8" s="307"/>
      <c r="F8" s="307"/>
      <c r="G8" s="102">
        <v>278000</v>
      </c>
    </row>
    <row r="9" spans="1:7" ht="27.75" customHeight="1">
      <c r="A9" s="307"/>
      <c r="B9" s="309" t="s">
        <v>445</v>
      </c>
      <c r="C9" s="307"/>
      <c r="D9" s="307"/>
      <c r="E9" s="307"/>
      <c r="F9" s="307"/>
      <c r="G9" s="656"/>
    </row>
    <row r="10" spans="1:7" ht="24.75" customHeight="1">
      <c r="A10" s="305" t="s">
        <v>2</v>
      </c>
      <c r="B10" s="310" t="s">
        <v>446</v>
      </c>
      <c r="C10" s="311">
        <v>0</v>
      </c>
      <c r="D10" s="311">
        <v>0</v>
      </c>
      <c r="E10" s="311">
        <v>0</v>
      </c>
      <c r="F10" s="311">
        <v>0</v>
      </c>
      <c r="G10" s="657">
        <f>SUM(G8)</f>
        <v>278000</v>
      </c>
    </row>
    <row r="11" spans="1:7" ht="24.75" customHeight="1">
      <c r="A11" s="306"/>
      <c r="B11" s="648" t="s">
        <v>95</v>
      </c>
      <c r="C11" s="19"/>
      <c r="D11" s="19"/>
      <c r="E11" s="19"/>
      <c r="F11" s="19"/>
      <c r="G11" s="19"/>
    </row>
    <row r="12" spans="1:7" ht="24.75" customHeight="1">
      <c r="A12" s="306"/>
      <c r="B12" s="649" t="s">
        <v>185</v>
      </c>
      <c r="C12" s="93"/>
      <c r="D12" s="93"/>
      <c r="E12" s="93"/>
      <c r="F12" s="93"/>
      <c r="G12" s="93"/>
    </row>
    <row r="13" spans="1:7" ht="24.75" customHeight="1">
      <c r="A13" s="306" t="s">
        <v>4</v>
      </c>
      <c r="B13" s="116" t="s">
        <v>186</v>
      </c>
      <c r="C13" s="124">
        <f>SUM(C11:C12)</f>
        <v>0</v>
      </c>
      <c r="D13" s="124">
        <f>SUM(D11:D12)</f>
        <v>0</v>
      </c>
      <c r="E13" s="124">
        <f>SUM(E11:E12)</f>
        <v>0</v>
      </c>
      <c r="F13" s="124">
        <f>SUM(F11:F12)</f>
        <v>0</v>
      </c>
      <c r="G13" s="124">
        <f>SUM(G11:G12)</f>
        <v>0</v>
      </c>
    </row>
    <row r="14" spans="1:7" ht="24.75" customHeight="1">
      <c r="A14" s="306" t="s">
        <v>5</v>
      </c>
      <c r="B14" s="116" t="s">
        <v>188</v>
      </c>
      <c r="C14" s="93"/>
      <c r="D14" s="93"/>
      <c r="E14" s="93"/>
      <c r="F14" s="93"/>
      <c r="G14" s="93"/>
    </row>
    <row r="15" spans="1:7" ht="24.75" customHeight="1">
      <c r="A15" s="306"/>
      <c r="B15" s="649" t="s">
        <v>187</v>
      </c>
      <c r="C15" s="93"/>
      <c r="D15" s="93"/>
      <c r="E15" s="93"/>
      <c r="F15" s="93"/>
      <c r="G15" s="93"/>
    </row>
    <row r="16" spans="1:7" ht="24.75" customHeight="1">
      <c r="A16" s="306"/>
      <c r="B16" s="116" t="s">
        <v>189</v>
      </c>
      <c r="C16" s="150">
        <f>SUM(C15)</f>
        <v>0</v>
      </c>
      <c r="D16" s="150">
        <f>SUM(D15)</f>
        <v>0</v>
      </c>
      <c r="E16" s="150">
        <f>SUM(E15)</f>
        <v>0</v>
      </c>
      <c r="F16" s="150">
        <f>SUM(F15)</f>
        <v>0</v>
      </c>
      <c r="G16" s="150">
        <f>SUM(G15)</f>
        <v>0</v>
      </c>
    </row>
    <row r="17" spans="1:7" ht="24.75" customHeight="1">
      <c r="A17" s="306" t="s">
        <v>6</v>
      </c>
      <c r="B17" s="116" t="s">
        <v>190</v>
      </c>
      <c r="C17" s="65"/>
      <c r="D17" s="65"/>
      <c r="E17" s="65"/>
      <c r="F17" s="65"/>
      <c r="G17" s="65"/>
    </row>
    <row r="18" spans="1:7" ht="24.75" customHeight="1">
      <c r="A18" s="306"/>
      <c r="B18" s="649" t="s">
        <v>191</v>
      </c>
      <c r="C18" s="102">
        <v>1200000</v>
      </c>
      <c r="D18" s="102">
        <v>1200000</v>
      </c>
      <c r="E18" s="102">
        <v>1200000</v>
      </c>
      <c r="F18" s="102">
        <v>1200000</v>
      </c>
      <c r="G18" s="102">
        <v>999200</v>
      </c>
    </row>
    <row r="19" spans="1:7" ht="24.75" customHeight="1">
      <c r="A19" s="306"/>
      <c r="B19" s="649" t="s">
        <v>192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</row>
    <row r="20" spans="1:7" ht="24.75" customHeight="1">
      <c r="A20" s="650"/>
      <c r="B20" s="116" t="s">
        <v>190</v>
      </c>
      <c r="C20" s="124">
        <f>SUM(C18:C19)</f>
        <v>1200000</v>
      </c>
      <c r="D20" s="124">
        <f>SUM(D18:D19)</f>
        <v>1200000</v>
      </c>
      <c r="E20" s="124">
        <f>SUM(E18:E19)</f>
        <v>1200000</v>
      </c>
      <c r="F20" s="124">
        <f>SUM(F18:F19)</f>
        <v>1200000</v>
      </c>
      <c r="G20" s="124">
        <f>SUM(G18:G19)</f>
        <v>999200</v>
      </c>
    </row>
    <row r="21" spans="1:7" ht="24.75" customHeight="1">
      <c r="A21" s="306" t="s">
        <v>8</v>
      </c>
      <c r="B21" s="116" t="s">
        <v>193</v>
      </c>
      <c r="C21" s="102"/>
      <c r="D21" s="102"/>
      <c r="E21" s="102"/>
      <c r="F21" s="102"/>
      <c r="G21" s="102"/>
    </row>
    <row r="22" spans="1:7" ht="24.75" customHeight="1">
      <c r="A22" s="650"/>
      <c r="B22" s="116" t="s">
        <v>194</v>
      </c>
      <c r="C22" s="102">
        <v>3420000</v>
      </c>
      <c r="D22" s="102">
        <v>3195000</v>
      </c>
      <c r="E22" s="102">
        <v>3195000</v>
      </c>
      <c r="F22" s="102">
        <f>3195000+635300</f>
        <v>3830300</v>
      </c>
      <c r="G22" s="102">
        <f>3054000</f>
        <v>3054000</v>
      </c>
    </row>
    <row r="23" spans="1:7" ht="24.75" customHeight="1">
      <c r="A23" s="650"/>
      <c r="B23" s="116" t="s">
        <v>195</v>
      </c>
      <c r="C23" s="124">
        <f>C22</f>
        <v>3420000</v>
      </c>
      <c r="D23" s="150">
        <f>D22</f>
        <v>3195000</v>
      </c>
      <c r="E23" s="150">
        <f>E22+266700</f>
        <v>3461700</v>
      </c>
      <c r="F23" s="150">
        <f>F22+266700</f>
        <v>4097000</v>
      </c>
      <c r="G23" s="150">
        <f>SUM(G22)</f>
        <v>3054000</v>
      </c>
    </row>
    <row r="24" spans="1:7" ht="15.75">
      <c r="A24" s="651"/>
      <c r="B24" s="652" t="s">
        <v>197</v>
      </c>
      <c r="C24" s="125">
        <f>C13+C16+C20+C23</f>
        <v>4620000</v>
      </c>
      <c r="D24" s="125">
        <f>D13+D16+D20+D23</f>
        <v>4395000</v>
      </c>
      <c r="E24" s="125">
        <f>E13+E16+E20+E23</f>
        <v>4661700</v>
      </c>
      <c r="F24" s="125">
        <f>F13+F16+F20+F23</f>
        <v>5297000</v>
      </c>
      <c r="G24" s="125">
        <f>G13+G16+G20+G23+G10</f>
        <v>4331200</v>
      </c>
    </row>
    <row r="26" spans="2:3" ht="12.75">
      <c r="B26" s="151"/>
      <c r="C26" s="151"/>
    </row>
    <row r="27" spans="2:3" ht="12.75">
      <c r="B27" s="151"/>
      <c r="C27" s="151"/>
    </row>
  </sheetData>
  <sheetProtection/>
  <mergeCells count="8">
    <mergeCell ref="A7:D7"/>
    <mergeCell ref="A3:A6"/>
    <mergeCell ref="G3:G6"/>
    <mergeCell ref="B3:B6"/>
    <mergeCell ref="C3:C6"/>
    <mergeCell ref="D3:D6"/>
    <mergeCell ref="E3:E6"/>
    <mergeCell ref="F3:F6"/>
  </mergeCells>
  <printOptions horizontalCentered="1"/>
  <pageMargins left="0.2362204724409449" right="0.2362204724409449" top="1.09" bottom="0.19" header="0.36" footer="0.19"/>
  <pageSetup fitToHeight="0" fitToWidth="1" horizontalDpi="600" verticalDpi="600" orientation="portrait" paperSize="9" scale="81" r:id="rId1"/>
  <headerFooter alignWithMargins="0">
    <oddHeader>&amp;C&amp;"Garamond,Félkövér"&amp;14  3/2019. (V.31.) számú költségvetési rendelethez
Z&amp;12ALASZABAR KÖZSÉG ÖNKORMÁNYZATA ÁLTAL FOLYÓSÍTOTT 
ELLÁTÁSOK (SZOCIÁLIS) RÉSZLETEZÉSE  2018.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36"/>
  <sheetViews>
    <sheetView view="pageLayout" zoomScaleSheetLayoutView="80" workbookViewId="0" topLeftCell="A1">
      <selection activeCell="G16" sqref="G16"/>
    </sheetView>
  </sheetViews>
  <sheetFormatPr defaultColWidth="9.00390625" defaultRowHeight="12.75"/>
  <cols>
    <col min="1" max="1" width="7.125" style="18" customWidth="1"/>
    <col min="2" max="2" width="55.375" style="18" customWidth="1"/>
    <col min="3" max="3" width="14.00390625" style="18" customWidth="1"/>
    <col min="4" max="4" width="13.625" style="18" customWidth="1"/>
    <col min="5" max="5" width="13.125" style="18" customWidth="1"/>
    <col min="6" max="6" width="13.875" style="18" customWidth="1"/>
    <col min="7" max="8" width="14.00390625" style="18" customWidth="1"/>
    <col min="9" max="16384" width="9.125" style="18" customWidth="1"/>
  </cols>
  <sheetData>
    <row r="2" spans="1:7" ht="15" customHeight="1">
      <c r="A2" s="756" t="s">
        <v>59</v>
      </c>
      <c r="B2" s="757" t="s">
        <v>12</v>
      </c>
      <c r="C2" s="758" t="s">
        <v>465</v>
      </c>
      <c r="D2" s="758" t="s">
        <v>1004</v>
      </c>
      <c r="E2" s="758" t="s">
        <v>1005</v>
      </c>
      <c r="F2" s="758" t="s">
        <v>1006</v>
      </c>
      <c r="G2" s="758" t="s">
        <v>882</v>
      </c>
    </row>
    <row r="3" spans="1:7" ht="15" customHeight="1">
      <c r="A3" s="756"/>
      <c r="B3" s="757"/>
      <c r="C3" s="759"/>
      <c r="D3" s="759"/>
      <c r="E3" s="759"/>
      <c r="F3" s="759"/>
      <c r="G3" s="759"/>
    </row>
    <row r="4" spans="1:7" ht="15" customHeight="1">
      <c r="A4" s="756"/>
      <c r="B4" s="757"/>
      <c r="C4" s="759"/>
      <c r="D4" s="759"/>
      <c r="E4" s="759"/>
      <c r="F4" s="759"/>
      <c r="G4" s="759"/>
    </row>
    <row r="5" spans="1:7" ht="15" customHeight="1">
      <c r="A5" s="756"/>
      <c r="B5" s="757"/>
      <c r="C5" s="760"/>
      <c r="D5" s="760"/>
      <c r="E5" s="760"/>
      <c r="F5" s="760"/>
      <c r="G5" s="760"/>
    </row>
    <row r="6" spans="1:7" ht="19.5" customHeight="1">
      <c r="A6" s="20"/>
      <c r="B6" s="113" t="s">
        <v>74</v>
      </c>
      <c r="C6" s="20"/>
      <c r="D6" s="20"/>
      <c r="E6" s="20"/>
      <c r="F6" s="20"/>
      <c r="G6" s="20"/>
    </row>
    <row r="7" spans="1:7" ht="19.5" customHeight="1">
      <c r="A7" s="114" t="s">
        <v>32</v>
      </c>
      <c r="B7" s="121" t="s">
        <v>75</v>
      </c>
      <c r="C7" s="20"/>
      <c r="D7" s="20"/>
      <c r="E7" s="20"/>
      <c r="F7" s="20"/>
      <c r="G7" s="20"/>
    </row>
    <row r="8" spans="1:7" ht="19.5" customHeight="1">
      <c r="A8" s="114"/>
      <c r="B8" s="113" t="s">
        <v>91</v>
      </c>
      <c r="C8" s="20"/>
      <c r="D8" s="20"/>
      <c r="E8" s="20"/>
      <c r="F8" s="20"/>
      <c r="G8" s="20"/>
    </row>
    <row r="9" spans="1:7" ht="19.5" customHeight="1">
      <c r="A9" s="264" t="s">
        <v>2</v>
      </c>
      <c r="B9" s="92" t="s">
        <v>1007</v>
      </c>
      <c r="C9" s="93"/>
      <c r="D9" s="93">
        <v>152400</v>
      </c>
      <c r="E9" s="93">
        <v>152400</v>
      </c>
      <c r="F9" s="93">
        <v>152400</v>
      </c>
      <c r="G9" s="93">
        <v>152400</v>
      </c>
    </row>
    <row r="10" spans="1:7" ht="19.5" customHeight="1">
      <c r="A10" s="264" t="s">
        <v>4</v>
      </c>
      <c r="B10" s="92" t="s">
        <v>1008</v>
      </c>
      <c r="C10" s="93"/>
      <c r="D10" s="93">
        <v>0</v>
      </c>
      <c r="E10" s="93">
        <f>13436+1057250</f>
        <v>1070686</v>
      </c>
      <c r="F10" s="93">
        <f>13436+1057250</f>
        <v>1070686</v>
      </c>
      <c r="G10" s="93">
        <f>13436+1057250</f>
        <v>1070686</v>
      </c>
    </row>
    <row r="11" spans="1:7" ht="19.5" customHeight="1">
      <c r="A11" s="264" t="s">
        <v>5</v>
      </c>
      <c r="B11" s="263" t="s">
        <v>1009</v>
      </c>
      <c r="C11" s="93"/>
      <c r="D11" s="93"/>
      <c r="E11" s="93">
        <v>1231800</v>
      </c>
      <c r="F11" s="93">
        <v>1231800</v>
      </c>
      <c r="G11" s="93">
        <v>1231800</v>
      </c>
    </row>
    <row r="12" spans="1:7" ht="19.5" customHeight="1">
      <c r="A12" s="264" t="s">
        <v>6</v>
      </c>
      <c r="B12" s="92" t="s">
        <v>1010</v>
      </c>
      <c r="C12" s="93"/>
      <c r="D12" s="93">
        <v>0</v>
      </c>
      <c r="E12" s="93">
        <v>104790</v>
      </c>
      <c r="F12" s="93">
        <v>104790</v>
      </c>
      <c r="G12" s="93">
        <v>104790</v>
      </c>
    </row>
    <row r="13" spans="1:7" ht="19.5" customHeight="1">
      <c r="A13" s="264" t="s">
        <v>8</v>
      </c>
      <c r="B13" s="92" t="s">
        <v>1011</v>
      </c>
      <c r="C13" s="93"/>
      <c r="D13" s="93">
        <v>0</v>
      </c>
      <c r="E13" s="93">
        <v>1526731</v>
      </c>
      <c r="F13" s="93">
        <v>1526731</v>
      </c>
      <c r="G13" s="93">
        <v>1526731</v>
      </c>
    </row>
    <row r="14" spans="1:7" ht="19.5" customHeight="1">
      <c r="A14" s="264" t="s">
        <v>487</v>
      </c>
      <c r="B14" s="92" t="s">
        <v>1012</v>
      </c>
      <c r="C14" s="93"/>
      <c r="D14" s="93"/>
      <c r="E14" s="93"/>
      <c r="F14" s="93">
        <v>524980</v>
      </c>
      <c r="G14" s="93">
        <v>524980</v>
      </c>
    </row>
    <row r="15" spans="1:7" ht="19.5" customHeight="1">
      <c r="A15" s="264" t="s">
        <v>15</v>
      </c>
      <c r="B15" s="92" t="s">
        <v>1013</v>
      </c>
      <c r="C15" s="93"/>
      <c r="D15" s="93"/>
      <c r="E15" s="93"/>
      <c r="F15" s="93">
        <v>196000</v>
      </c>
      <c r="G15" s="93">
        <v>196000</v>
      </c>
    </row>
    <row r="16" spans="1:7" ht="19.5" customHeight="1">
      <c r="A16" s="265"/>
      <c r="B16" s="94" t="s">
        <v>92</v>
      </c>
      <c r="C16" s="177">
        <f>SUM(C9:C9)</f>
        <v>0</v>
      </c>
      <c r="D16" s="150">
        <f>SUM(D9:D13)</f>
        <v>152400</v>
      </c>
      <c r="E16" s="150">
        <f>SUM(E9:E13)</f>
        <v>4086407</v>
      </c>
      <c r="F16" s="150">
        <f>SUM(F9:F15)</f>
        <v>4807387</v>
      </c>
      <c r="G16" s="150">
        <f>SUM(G9:G15)</f>
        <v>4807387</v>
      </c>
    </row>
    <row r="17" spans="1:7" ht="19.5" customHeight="1">
      <c r="A17" s="265"/>
      <c r="B17" s="120"/>
      <c r="C17" s="65"/>
      <c r="D17" s="65"/>
      <c r="E17" s="65"/>
      <c r="F17" s="65"/>
      <c r="G17" s="65"/>
    </row>
    <row r="18" spans="1:7" ht="19.5" customHeight="1">
      <c r="A18" s="265"/>
      <c r="B18" s="120" t="s">
        <v>447</v>
      </c>
      <c r="C18" s="65"/>
      <c r="D18" s="65"/>
      <c r="E18" s="65"/>
      <c r="F18" s="65"/>
      <c r="G18" s="65"/>
    </row>
    <row r="19" spans="1:7" ht="19.5" customHeight="1">
      <c r="A19" s="265" t="s">
        <v>2</v>
      </c>
      <c r="B19" s="92" t="s">
        <v>466</v>
      </c>
      <c r="C19" s="65">
        <v>600000</v>
      </c>
      <c r="D19" s="65">
        <v>200000</v>
      </c>
      <c r="E19" s="65">
        <v>200000</v>
      </c>
      <c r="F19" s="65">
        <f>200000+208968</f>
        <v>408968</v>
      </c>
      <c r="G19" s="65">
        <v>274547</v>
      </c>
    </row>
    <row r="20" spans="1:7" ht="19.5" customHeight="1">
      <c r="A20" s="265" t="s">
        <v>4</v>
      </c>
      <c r="B20" s="92" t="s">
        <v>1014</v>
      </c>
      <c r="C20" s="65">
        <v>0</v>
      </c>
      <c r="D20" s="65">
        <v>0</v>
      </c>
      <c r="E20" s="65">
        <v>127000</v>
      </c>
      <c r="F20" s="65">
        <v>127000</v>
      </c>
      <c r="G20" s="65">
        <v>127000</v>
      </c>
    </row>
    <row r="21" spans="1:7" ht="19.5" customHeight="1">
      <c r="A21" s="265"/>
      <c r="B21" s="94" t="s">
        <v>456</v>
      </c>
      <c r="C21" s="124">
        <f>SUM(C19:C19)</f>
        <v>600000</v>
      </c>
      <c r="D21" s="124">
        <f>SUM(D19:D19)</f>
        <v>200000</v>
      </c>
      <c r="E21" s="124">
        <f>SUM(E19:E20)</f>
        <v>327000</v>
      </c>
      <c r="F21" s="124">
        <f>SUM(F19:F20)</f>
        <v>535968</v>
      </c>
      <c r="G21" s="124">
        <f>SUM(G19:G20)</f>
        <v>401547</v>
      </c>
    </row>
    <row r="22" spans="1:7" ht="19.5" customHeight="1">
      <c r="A22" s="265"/>
      <c r="B22" s="120"/>
      <c r="C22" s="95"/>
      <c r="D22" s="65"/>
      <c r="E22" s="65"/>
      <c r="F22" s="65"/>
      <c r="G22" s="65"/>
    </row>
    <row r="23" spans="1:7" ht="19.5" customHeight="1">
      <c r="A23" s="266"/>
      <c r="B23" s="179" t="s">
        <v>77</v>
      </c>
      <c r="C23" s="180">
        <f>SUM(C16,C21)</f>
        <v>600000</v>
      </c>
      <c r="D23" s="180">
        <f>SUM(D16,D21)</f>
        <v>352400</v>
      </c>
      <c r="E23" s="180">
        <f>SUM(E16,E21)</f>
        <v>4413407</v>
      </c>
      <c r="F23" s="180">
        <f>SUM(F16,F21)</f>
        <v>5343355</v>
      </c>
      <c r="G23" s="180">
        <f>SUM(G16,G21)</f>
        <v>5208934</v>
      </c>
    </row>
    <row r="24" spans="1:7" ht="19.5" customHeight="1">
      <c r="A24" s="265"/>
      <c r="B24" s="94"/>
      <c r="C24" s="261"/>
      <c r="D24" s="653"/>
      <c r="E24" s="653"/>
      <c r="F24" s="653"/>
      <c r="G24" s="653"/>
    </row>
    <row r="25" spans="1:7" ht="19.5" customHeight="1">
      <c r="A25" s="114" t="s">
        <v>391</v>
      </c>
      <c r="B25" s="262" t="s">
        <v>99</v>
      </c>
      <c r="C25" s="260"/>
      <c r="D25" s="65"/>
      <c r="E25" s="65"/>
      <c r="F25" s="65"/>
      <c r="G25" s="65"/>
    </row>
    <row r="26" spans="1:7" ht="19.5" customHeight="1">
      <c r="A26" s="265"/>
      <c r="B26" s="120" t="s">
        <v>392</v>
      </c>
      <c r="C26" s="260"/>
      <c r="D26" s="65"/>
      <c r="E26" s="65"/>
      <c r="F26" s="65"/>
      <c r="G26" s="65"/>
    </row>
    <row r="27" spans="1:7" ht="19.5" customHeight="1">
      <c r="A27" s="265" t="s">
        <v>2</v>
      </c>
      <c r="B27" s="263" t="s">
        <v>1015</v>
      </c>
      <c r="C27" s="260">
        <v>1800000</v>
      </c>
      <c r="D27" s="65">
        <v>10342956</v>
      </c>
      <c r="E27" s="65">
        <v>10342956</v>
      </c>
      <c r="F27" s="65">
        <v>10342956</v>
      </c>
      <c r="G27" s="658">
        <v>2668200</v>
      </c>
    </row>
    <row r="28" spans="1:7" ht="19.5" customHeight="1">
      <c r="A28" s="265" t="s">
        <v>4</v>
      </c>
      <c r="B28" s="92" t="s">
        <v>469</v>
      </c>
      <c r="C28" s="260">
        <v>200000</v>
      </c>
      <c r="D28" s="65">
        <v>0</v>
      </c>
      <c r="E28" s="65">
        <v>0</v>
      </c>
      <c r="F28" s="65">
        <v>0</v>
      </c>
      <c r="G28" s="658">
        <v>0</v>
      </c>
    </row>
    <row r="29" spans="1:7" ht="19.5" customHeight="1">
      <c r="A29" s="265" t="s">
        <v>5</v>
      </c>
      <c r="B29" s="92" t="s">
        <v>1028</v>
      </c>
      <c r="C29" s="260"/>
      <c r="D29" s="65">
        <v>36890000</v>
      </c>
      <c r="E29" s="65">
        <v>36890000</v>
      </c>
      <c r="F29" s="65">
        <v>36890000</v>
      </c>
      <c r="G29" s="658">
        <v>36890000</v>
      </c>
    </row>
    <row r="30" spans="1:7" ht="19.5" customHeight="1">
      <c r="A30" s="265" t="s">
        <v>6</v>
      </c>
      <c r="B30" s="92" t="s">
        <v>1016</v>
      </c>
      <c r="C30" s="260"/>
      <c r="D30" s="65">
        <v>16842000</v>
      </c>
      <c r="E30" s="65">
        <v>16842000</v>
      </c>
      <c r="F30" s="65">
        <v>16842000</v>
      </c>
      <c r="G30" s="658">
        <v>16995196</v>
      </c>
    </row>
    <row r="31" spans="1:7" ht="19.5" customHeight="1">
      <c r="A31" s="265" t="s">
        <v>8</v>
      </c>
      <c r="B31" s="92" t="s">
        <v>879</v>
      </c>
      <c r="C31" s="260"/>
      <c r="D31" s="65">
        <v>24961716</v>
      </c>
      <c r="E31" s="65">
        <f>24961716-7692752-1231800-614350</f>
        <v>15422814</v>
      </c>
      <c r="F31" s="65">
        <f>24961716-7692752-1231800-614350</f>
        <v>15422814</v>
      </c>
      <c r="G31" s="65">
        <v>14569836</v>
      </c>
    </row>
    <row r="32" spans="1:7" ht="15">
      <c r="A32" s="265" t="s">
        <v>291</v>
      </c>
      <c r="B32" s="92" t="s">
        <v>1017</v>
      </c>
      <c r="C32" s="260"/>
      <c r="D32" s="65"/>
      <c r="E32" s="65"/>
      <c r="F32" s="65">
        <v>1740209</v>
      </c>
      <c r="G32" s="65">
        <v>1740211</v>
      </c>
    </row>
    <row r="33" spans="1:7" ht="15">
      <c r="A33" s="265"/>
      <c r="B33" s="263"/>
      <c r="C33" s="260"/>
      <c r="D33" s="65"/>
      <c r="E33" s="65"/>
      <c r="F33" s="65"/>
      <c r="G33" s="65"/>
    </row>
    <row r="34" spans="1:7" ht="15">
      <c r="A34" s="265"/>
      <c r="B34" s="92"/>
      <c r="C34" s="260"/>
      <c r="D34" s="65"/>
      <c r="E34" s="65"/>
      <c r="F34" s="65"/>
      <c r="G34" s="65"/>
    </row>
    <row r="35" spans="1:7" ht="15">
      <c r="A35" s="178"/>
      <c r="B35" s="179" t="s">
        <v>396</v>
      </c>
      <c r="C35" s="180">
        <f>C27+C29</f>
        <v>1800000</v>
      </c>
      <c r="D35" s="180">
        <f>SUM(D27:D34)</f>
        <v>89036672</v>
      </c>
      <c r="E35" s="180">
        <f>SUM(E27:E34)</f>
        <v>79497770</v>
      </c>
      <c r="F35" s="180">
        <f>SUM(F27:F34)</f>
        <v>81237979</v>
      </c>
      <c r="G35" s="180">
        <f>SUM(G27:G34)</f>
        <v>72863443</v>
      </c>
    </row>
    <row r="36" spans="1:7" ht="15">
      <c r="A36" s="178"/>
      <c r="B36" s="179" t="s">
        <v>395</v>
      </c>
      <c r="C36" s="180">
        <f>C23+C35</f>
        <v>2400000</v>
      </c>
      <c r="D36" s="180">
        <f>D23+D35</f>
        <v>89389072</v>
      </c>
      <c r="E36" s="180">
        <f>E23+E35</f>
        <v>83911177</v>
      </c>
      <c r="F36" s="180">
        <f>F23+F35</f>
        <v>86581334</v>
      </c>
      <c r="G36" s="180">
        <f>G23+G35</f>
        <v>78072377</v>
      </c>
    </row>
  </sheetData>
  <sheetProtection/>
  <mergeCells count="7">
    <mergeCell ref="G2:G5"/>
    <mergeCell ref="B2:B5"/>
    <mergeCell ref="C2:C5"/>
    <mergeCell ref="A2:A5"/>
    <mergeCell ref="D2:D5"/>
    <mergeCell ref="E2:E5"/>
    <mergeCell ref="F2:F5"/>
  </mergeCells>
  <printOptions horizontalCentered="1"/>
  <pageMargins left="0.2362204724409449" right="0.2362204724409449" top="1.09" bottom="0.19" header="0.36" footer="0.19"/>
  <pageSetup fitToWidth="0" fitToHeight="1" horizontalDpi="600" verticalDpi="600" orientation="landscape" paperSize="9" scale="77" r:id="rId1"/>
  <headerFooter alignWithMargins="0">
    <oddHeader>&amp;C3/2019. (V.31.) számú költségvetési rendelethez 
ZALASZABAR KÖZSÉG ÖNKORMÁNYZATÁNAK ÉS INTÉZMÉNYÉNEK
2018.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2019-05-28T12:42:44Z</cp:lastPrinted>
  <dcterms:created xsi:type="dcterms:W3CDTF">2001-01-10T12:44:25Z</dcterms:created>
  <dcterms:modified xsi:type="dcterms:W3CDTF">2019-06-04T13:26:03Z</dcterms:modified>
  <cp:category/>
  <cp:version/>
  <cp:contentType/>
  <cp:contentStatus/>
</cp:coreProperties>
</file>