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nem épül be az egységesbe" sheetId="7" r:id="rId1"/>
  </sheets>
  <calcPr calcId="152511"/>
</workbook>
</file>

<file path=xl/calcChain.xml><?xml version="1.0" encoding="utf-8"?>
<calcChain xmlns="http://schemas.openxmlformats.org/spreadsheetml/2006/main">
  <c r="G10" i="7" l="1"/>
  <c r="G45" i="7"/>
  <c r="G139" i="7" s="1"/>
  <c r="F68" i="7"/>
  <c r="F83" i="7"/>
  <c r="F15" i="7"/>
  <c r="F129" i="7"/>
  <c r="F128" i="7"/>
  <c r="F125" i="7"/>
  <c r="F124" i="7"/>
  <c r="F123" i="7"/>
  <c r="F122" i="7"/>
  <c r="F133" i="7" s="1"/>
  <c r="F119" i="7"/>
  <c r="F118" i="7"/>
  <c r="F115" i="7"/>
  <c r="G111" i="7"/>
  <c r="F114" i="7"/>
  <c r="F109" i="7"/>
  <c r="G105" i="7" s="1"/>
  <c r="F108" i="7"/>
  <c r="F107" i="7"/>
  <c r="F134" i="7"/>
  <c r="F106" i="7"/>
  <c r="F102" i="7"/>
  <c r="F101" i="7"/>
  <c r="F100" i="7"/>
  <c r="F99" i="7"/>
  <c r="F98" i="7"/>
  <c r="F95" i="7"/>
  <c r="F94" i="7"/>
  <c r="F93" i="7"/>
  <c r="F92" i="7"/>
  <c r="G91" i="7" s="1"/>
  <c r="F88" i="7"/>
  <c r="F87" i="7"/>
  <c r="G85" i="7"/>
  <c r="F86" i="7"/>
  <c r="F82" i="7"/>
  <c r="F81" i="7"/>
  <c r="G80" i="7" s="1"/>
  <c r="F78" i="7"/>
  <c r="F77" i="7"/>
  <c r="F76" i="7"/>
  <c r="F75" i="7"/>
  <c r="F67" i="7"/>
  <c r="F66" i="7"/>
  <c r="F65" i="7"/>
  <c r="F64" i="7"/>
  <c r="F63" i="7"/>
  <c r="F62" i="7"/>
  <c r="F61" i="7"/>
  <c r="F60" i="7"/>
  <c r="G59" i="7" s="1"/>
  <c r="F58" i="7"/>
  <c r="F57" i="7"/>
  <c r="F56" i="7"/>
  <c r="F55" i="7"/>
  <c r="F54" i="7"/>
  <c r="G49" i="7"/>
  <c r="F53" i="7"/>
  <c r="F52" i="7"/>
  <c r="F51" i="7"/>
  <c r="F50" i="7"/>
  <c r="G48" i="7" s="1"/>
  <c r="F47" i="7"/>
  <c r="F43" i="7"/>
  <c r="F42" i="7"/>
  <c r="F41" i="7"/>
  <c r="F40" i="7"/>
  <c r="F39" i="7"/>
  <c r="F38" i="7"/>
  <c r="F37" i="7"/>
  <c r="F36" i="7"/>
  <c r="F31" i="7"/>
  <c r="F30" i="7"/>
  <c r="F28" i="7"/>
  <c r="G27" i="7"/>
  <c r="F24" i="7"/>
  <c r="F23" i="7"/>
  <c r="F22" i="7"/>
  <c r="F21" i="7"/>
  <c r="G20" i="7" s="1"/>
  <c r="F18" i="7"/>
  <c r="F17" i="7"/>
  <c r="F16" i="7"/>
  <c r="F14" i="7"/>
  <c r="G13" i="7" s="1"/>
  <c r="G11" i="7"/>
  <c r="F137" i="7"/>
  <c r="G127" i="7"/>
  <c r="G121" i="7"/>
  <c r="G110" i="7"/>
  <c r="G104" i="7"/>
  <c r="F136" i="7"/>
  <c r="F34" i="7"/>
  <c r="F33" i="7"/>
  <c r="F32" i="7"/>
  <c r="G46" i="7"/>
  <c r="A69" i="7"/>
  <c r="A72" i="7"/>
  <c r="A73" i="7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30" i="7" s="1"/>
  <c r="A131" i="7" s="1"/>
  <c r="A132" i="7" s="1"/>
  <c r="A133" i="7" s="1"/>
  <c r="A134" i="7" s="1"/>
  <c r="A135" i="7" s="1"/>
  <c r="A136" i="7" s="1"/>
  <c r="A138" i="7" s="1"/>
  <c r="A139" i="7" s="1"/>
  <c r="A140" i="7" s="1"/>
  <c r="A141" i="7" s="1"/>
  <c r="A142" i="7" s="1"/>
  <c r="G97" i="7"/>
  <c r="G116" i="7"/>
  <c r="G117" i="7"/>
  <c r="G74" i="7"/>
  <c r="G120" i="7"/>
  <c r="G126" i="7"/>
  <c r="G29" i="7"/>
  <c r="G132" i="7"/>
  <c r="G103" i="7"/>
  <c r="F135" i="7"/>
  <c r="G131" i="7"/>
  <c r="G138" i="7"/>
  <c r="G35" i="7"/>
  <c r="G140" i="7"/>
  <c r="G141" i="7"/>
  <c r="G142" i="7" l="1"/>
</calcChain>
</file>

<file path=xl/sharedStrings.xml><?xml version="1.0" encoding="utf-8"?>
<sst xmlns="http://schemas.openxmlformats.org/spreadsheetml/2006/main" count="234" uniqueCount="90">
  <si>
    <t>A</t>
  </si>
  <si>
    <t>B</t>
  </si>
  <si>
    <t>C</t>
  </si>
  <si>
    <t>D</t>
  </si>
  <si>
    <t>E</t>
  </si>
  <si>
    <t>F</t>
  </si>
  <si>
    <t>feladatonkénti bontásban</t>
  </si>
  <si>
    <t xml:space="preserve">I. </t>
  </si>
  <si>
    <t>1.) Állami támogatás fedezetével előirányzat módosítás összesen:</t>
  </si>
  <si>
    <t>-</t>
  </si>
  <si>
    <t>2.) Intézményi működési bevételekből előirányzat módosítás összesen:</t>
  </si>
  <si>
    <t>személyi juttatásokból</t>
  </si>
  <si>
    <t>munkaadót terhelő járulékokból</t>
  </si>
  <si>
    <t>dologi kiadásokra</t>
  </si>
  <si>
    <t>egyéb működési célú kiadásokra</t>
  </si>
  <si>
    <t>beruházás, felújításokra</t>
  </si>
  <si>
    <t>II. Intézmények költségvetésének módosítása</t>
  </si>
  <si>
    <t>1.) Gyógyászati Központ és Gyógyfürdő</t>
  </si>
  <si>
    <t>személyi juttatásokra</t>
  </si>
  <si>
    <t>munkaadót terhelő járulékokra</t>
  </si>
  <si>
    <t xml:space="preserve">2.) Kecskeméti Gábor Kulturális Központ </t>
  </si>
  <si>
    <t>3.) Jantyik Mátyás Múzeum</t>
  </si>
  <si>
    <t>4.) Püski Sándor Könyvtár</t>
  </si>
  <si>
    <t>a.) Gyógyászati Központ és Gyógyfürdő összesen:</t>
  </si>
  <si>
    <t>dologi kiadásokból</t>
  </si>
  <si>
    <t>b.) Kecskeméti Gábor Kulturális Központ összesen:</t>
  </si>
  <si>
    <t>d.) Polgármesteri Hivatal</t>
  </si>
  <si>
    <t>Állami és önkormányzati támogatásból biztosított feladatokra előirányzat módosítás összesen:</t>
  </si>
  <si>
    <t>II. Intézmények összesen:</t>
  </si>
  <si>
    <t>Mindösszesen: I. +II.</t>
  </si>
  <si>
    <t>Összevont szociális ágazati pótlék (Óvoda) támogatása</t>
  </si>
  <si>
    <t>Kulturális ágazatban dolgozók pótlékának támogatása</t>
  </si>
  <si>
    <t>Költségvetési szerveknél foglalkoztatottak bérkompenzációjának támogatása</t>
  </si>
  <si>
    <t>működési tartalékokból</t>
  </si>
  <si>
    <t xml:space="preserve"> Intézmények kiemelt kiadási előirányzata közötti átcsoportosítása összesen:</t>
  </si>
  <si>
    <t>Intézmények saját bevételeinek módosítása összesen:</t>
  </si>
  <si>
    <t>5.) Polgármesteri Hivatal</t>
  </si>
  <si>
    <t xml:space="preserve"> Az Önkormányzat költségvetésének módosítása</t>
  </si>
  <si>
    <t>Kiszámlázott ÁFA és ÁFA visszatérítés évkozi módosításának helyesbítése (összesen saját bevételek alul teljesülése miatt)</t>
  </si>
  <si>
    <t>Önkormányzat kiemelt  előirányzatainak módosítása összesen:</t>
  </si>
  <si>
    <t>tartalékokra</t>
  </si>
  <si>
    <t>beruházás, felújításokból</t>
  </si>
  <si>
    <t>c.) Jantyik Mátyás Múzeum összesen:</t>
  </si>
  <si>
    <t>d.) Püski Sándor Könytár összesen:</t>
  </si>
  <si>
    <t>személyi juittatásokból</t>
  </si>
  <si>
    <t>beruházás, felőjításokra</t>
  </si>
  <si>
    <t>2018. I. félévi módosított előirányzat mindösszesen:</t>
  </si>
  <si>
    <t>Szociális foglalkoztatás kiegészítő támogatására</t>
  </si>
  <si>
    <t xml:space="preserve">Felülvizsgálat utáni 2016. évi Önkormányzati pótlólagos támogatás </t>
  </si>
  <si>
    <t>KAB-KEF-17-A Drogtükör pályázat kiadásaira</t>
  </si>
  <si>
    <t>Szennyvíz csatorna építés kiásaira (2017. évi GFT beruházás) kiszámlázott bevételek terhére</t>
  </si>
  <si>
    <t>Alföldvíz bérleti díjára kiszámlázott bevételek terhére</t>
  </si>
  <si>
    <t>TOP-4.3.1.-15 BS1 Leromlott város pályázat kiadásaira</t>
  </si>
  <si>
    <t>TOP-1.4.1.-15 BS1 Korona utcai Óvi tornaszoba pályázat kiadásaira</t>
  </si>
  <si>
    <t>TOP-3.2.1.-16 BS1 Épületenergetika III. ütem pályázat kiadásaira</t>
  </si>
  <si>
    <t>EFOP-1.2.11.-16 Esély a fiataloknak pályázat kiadásaira</t>
  </si>
  <si>
    <t>TOP-2.1.2.-16 Zöldváros pályázat kiadásaira</t>
  </si>
  <si>
    <t>TOP-3.2.1.-16 BS1 Épületenergetika II. ütem pályázat kiadásaira</t>
  </si>
  <si>
    <t>TOP-2.1.3.-16 BS1Csapadékvíz elvezetés pályázat kiadásaira</t>
  </si>
  <si>
    <t>EFOP-1.5.3.-16 Településeinkért pályázat kiadásaira</t>
  </si>
  <si>
    <t>7.) Likviditási célú hitelek felvételéből előirányzat módosítás összesen:</t>
  </si>
  <si>
    <t>Likviditási célú hitelek halmozott forgalmának (törlesztésének) elszámolására</t>
  </si>
  <si>
    <t>4.) Működési célú átvett pénzeszközökből előirányzat módosítás összesen:</t>
  </si>
  <si>
    <t>5.) Felhalmozási célra átvett pénzeszközökből előirányzat módosítás összesen:</t>
  </si>
  <si>
    <t>6.) Önkormányzati és állami támogatásból intézmények támogatására előirányzat módosítás intézményeknek összesen:</t>
  </si>
  <si>
    <t>3.) Előző évi költségvetési maradvány igénybevétele összesen:</t>
  </si>
  <si>
    <t>2018. évi költségvetésben tervezett és a 2017. évi zárszámadásban jóváhagyott különbség</t>
  </si>
  <si>
    <t>Szociális ágazatban dolgozók pótlékának támogatása (Összevont szociális ágazait pótlék)</t>
  </si>
  <si>
    <t>ellátottak pénzbeli juttatásaiból</t>
  </si>
  <si>
    <t>likviditási célú hitel törlesztésére</t>
  </si>
  <si>
    <t>8.) Kiemelt kiadási előirányzatok közötti átcsoportosítás összesen:</t>
  </si>
  <si>
    <t>fejlesztési tartalékokból</t>
  </si>
  <si>
    <t>finanszírozási kiadásokra</t>
  </si>
  <si>
    <t>6.) Intézmények kiemelt kiadási előirányzata közötti átcsoportosítása</t>
  </si>
  <si>
    <t>Előző évi maradványból és működési célra átvett pénzeszközökből összesen:</t>
  </si>
  <si>
    <t>Előző évi maradvánból, intézményi működési bevételekből és működési célra átvett pénzeszközökből összesen:</t>
  </si>
  <si>
    <t>egyéb felhalmási célú kiadásokra</t>
  </si>
  <si>
    <t>finaszírozási kiadásokra</t>
  </si>
  <si>
    <t xml:space="preserve">A 2018.évi költségvetés III. negyedévi  módosítása </t>
  </si>
  <si>
    <t>2018. III. negyedévi módosított előirányzat mindösszesen:</t>
  </si>
  <si>
    <t>Kötelező önkormányzati feladatot ellátó intézmények támogatása (Verseny utca útburkolat)</t>
  </si>
  <si>
    <t>Széchenyi téri lakás gázkazán csere kiadásaira kiszámlázott bevételek terhére</t>
  </si>
  <si>
    <t>Közvetített szolgáltatás kiadásaira kiszámlázott közvetített szolgáltatás többlet bevételének terhére</t>
  </si>
  <si>
    <t>Veres Péter tér 7/B fűtés felújítás kiadásaira kiszámlázott bevételek terhére</t>
  </si>
  <si>
    <t>Diákmunka személyi bérének kiadásaira támogatás terhére</t>
  </si>
  <si>
    <t>Betheln Gábor pályázat kiadásaira</t>
  </si>
  <si>
    <t>Gyermekvédelmi támogatásban részesülők támogatására ("Erzsébet utalvány")</t>
  </si>
  <si>
    <t>ROHU 14 pályázat kiadásaira</t>
  </si>
  <si>
    <t>2018. évi eredeti előirányzat összesen</t>
  </si>
  <si>
    <t>10. sz. melléklet a 30/2018. (XI.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</si>
</sst>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5" formatCode="#,##0\ _F_t"/>
  </numFmts>
  <fonts count="31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Arial"/>
      <charset val="238"/>
    </font>
    <font>
      <b/>
      <sz val="12"/>
      <color rgb="FFFF0000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</cellStyleXfs>
  <cellXfs count="118">
    <xf numFmtId="0" fontId="0" fillId="0" borderId="0" xfId="0"/>
    <xf numFmtId="0" fontId="23" fillId="0" borderId="0" xfId="39" applyFont="1" applyAlignment="1">
      <alignment horizontal="right" vertical="center"/>
    </xf>
    <xf numFmtId="0" fontId="23" fillId="0" borderId="0" xfId="41" applyFont="1" applyAlignment="1">
      <alignment horizontal="right" vertical="center"/>
    </xf>
    <xf numFmtId="0" fontId="23" fillId="0" borderId="0" xfId="40" applyFont="1"/>
    <xf numFmtId="3" fontId="22" fillId="0" borderId="0" xfId="32" applyNumberFormat="1" applyFont="1" applyAlignment="1">
      <alignment horizontal="right"/>
    </xf>
    <xf numFmtId="3" fontId="23" fillId="0" borderId="0" xfId="32" applyNumberFormat="1" applyFont="1" applyAlignment="1">
      <alignment horizontal="right"/>
    </xf>
    <xf numFmtId="0" fontId="24" fillId="0" borderId="0" xfId="41" applyFont="1" applyAlignment="1">
      <alignment horizontal="center" vertical="center"/>
    </xf>
    <xf numFmtId="0" fontId="22" fillId="0" borderId="0" xfId="41" applyFont="1" applyAlignment="1">
      <alignment horizontal="center" vertical="center"/>
    </xf>
    <xf numFmtId="0" fontId="22" fillId="0" borderId="18" xfId="40" applyFont="1" applyFill="1" applyBorder="1" applyAlignment="1">
      <alignment horizontal="center" vertical="center"/>
    </xf>
    <xf numFmtId="0" fontId="23" fillId="24" borderId="15" xfId="40" applyFont="1" applyFill="1" applyBorder="1" applyAlignment="1">
      <alignment horizontal="center" vertical="center"/>
    </xf>
    <xf numFmtId="0" fontId="22" fillId="24" borderId="10" xfId="39" applyFont="1" applyFill="1" applyBorder="1" applyAlignment="1">
      <alignment horizontal="center" vertical="center"/>
    </xf>
    <xf numFmtId="3" fontId="22" fillId="24" borderId="10" xfId="32" applyNumberFormat="1" applyFont="1" applyFill="1" applyBorder="1" applyAlignment="1">
      <alignment horizontal="center" vertical="center"/>
    </xf>
    <xf numFmtId="0" fontId="23" fillId="24" borderId="10" xfId="40" applyFont="1" applyFill="1" applyBorder="1" applyAlignment="1">
      <alignment horizontal="center" vertical="center"/>
    </xf>
    <xf numFmtId="3" fontId="26" fillId="0" borderId="10" xfId="32" applyNumberFormat="1" applyFont="1" applyBorder="1" applyAlignment="1">
      <alignment horizontal="right"/>
    </xf>
    <xf numFmtId="3" fontId="26" fillId="0" borderId="10" xfId="32" applyNumberFormat="1" applyFont="1" applyBorder="1" applyAlignment="1">
      <alignment vertical="center"/>
    </xf>
    <xf numFmtId="0" fontId="26" fillId="0" borderId="10" xfId="40" applyFont="1" applyBorder="1" applyAlignment="1">
      <alignment horizontal="center" vertical="center"/>
    </xf>
    <xf numFmtId="0" fontId="26" fillId="0" borderId="16" xfId="40" applyFont="1" applyBorder="1"/>
    <xf numFmtId="0" fontId="26" fillId="0" borderId="0" xfId="40" applyFont="1"/>
    <xf numFmtId="0" fontId="23" fillId="0" borderId="16" xfId="40" applyFont="1" applyBorder="1"/>
    <xf numFmtId="0" fontId="23" fillId="0" borderId="13" xfId="40" quotePrefix="1" applyFont="1" applyBorder="1" applyAlignment="1">
      <alignment horizontal="right" vertical="top"/>
    </xf>
    <xf numFmtId="3" fontId="23" fillId="0" borderId="10" xfId="32" applyNumberFormat="1" applyFont="1" applyBorder="1" applyAlignment="1">
      <alignment vertical="center"/>
    </xf>
    <xf numFmtId="3" fontId="26" fillId="0" borderId="10" xfId="32" applyNumberFormat="1" applyFont="1" applyBorder="1" applyAlignment="1">
      <alignment horizontal="right" vertical="center"/>
    </xf>
    <xf numFmtId="3" fontId="26" fillId="0" borderId="12" xfId="32" applyNumberFormat="1" applyFont="1" applyBorder="1" applyAlignment="1">
      <alignment horizontal="right" vertical="center"/>
    </xf>
    <xf numFmtId="0" fontId="23" fillId="0" borderId="18" xfId="40" applyFont="1" applyBorder="1" applyAlignment="1">
      <alignment vertical="center"/>
    </xf>
    <xf numFmtId="3" fontId="26" fillId="0" borderId="15" xfId="32" applyNumberFormat="1" applyFont="1" applyBorder="1" applyAlignment="1">
      <alignment horizontal="right" vertical="center"/>
    </xf>
    <xf numFmtId="0" fontId="23" fillId="0" borderId="18" xfId="40" quotePrefix="1" applyFont="1" applyBorder="1" applyAlignment="1">
      <alignment horizontal="right" vertical="center"/>
    </xf>
    <xf numFmtId="0" fontId="23" fillId="0" borderId="18" xfId="40" applyFont="1" applyBorder="1" applyAlignment="1">
      <alignment vertical="center" wrapText="1"/>
    </xf>
    <xf numFmtId="3" fontId="23" fillId="0" borderId="15" xfId="32" applyNumberFormat="1" applyFont="1" applyBorder="1" applyAlignment="1">
      <alignment horizontal="right" vertical="center"/>
    </xf>
    <xf numFmtId="0" fontId="23" fillId="0" borderId="20" xfId="40" applyFont="1" applyBorder="1"/>
    <xf numFmtId="0" fontId="23" fillId="0" borderId="13" xfId="40" quotePrefix="1" applyFont="1" applyBorder="1" applyAlignment="1">
      <alignment horizontal="right" vertical="center"/>
    </xf>
    <xf numFmtId="3" fontId="23" fillId="0" borderId="10" xfId="32" applyNumberFormat="1" applyFont="1" applyBorder="1" applyAlignment="1">
      <alignment horizontal="right" vertical="center"/>
    </xf>
    <xf numFmtId="3" fontId="26" fillId="0" borderId="10" xfId="40" applyNumberFormat="1" applyFont="1" applyBorder="1" applyAlignment="1">
      <alignment horizontal="right" vertical="center"/>
    </xf>
    <xf numFmtId="0" fontId="23" fillId="24" borderId="10" xfId="39" applyFont="1" applyFill="1" applyBorder="1" applyAlignment="1">
      <alignment horizontal="center" vertical="center"/>
    </xf>
    <xf numFmtId="3" fontId="23" fillId="24" borderId="10" xfId="32" applyNumberFormat="1" applyFont="1" applyFill="1" applyBorder="1" applyAlignment="1">
      <alignment horizontal="center" vertical="center"/>
    </xf>
    <xf numFmtId="0" fontId="26" fillId="0" borderId="14" xfId="40" applyFont="1" applyBorder="1" applyAlignment="1">
      <alignment vertical="center"/>
    </xf>
    <xf numFmtId="0" fontId="26" fillId="0" borderId="11" xfId="40" applyFont="1" applyBorder="1" applyAlignment="1">
      <alignment vertical="center"/>
    </xf>
    <xf numFmtId="0" fontId="26" fillId="0" borderId="10" xfId="40" applyFont="1" applyBorder="1" applyAlignment="1">
      <alignment horizontal="right" vertical="center"/>
    </xf>
    <xf numFmtId="3" fontId="23" fillId="0" borderId="10" xfId="32" applyNumberFormat="1" applyFont="1" applyBorder="1" applyAlignment="1">
      <alignment horizontal="right"/>
    </xf>
    <xf numFmtId="0" fontId="23" fillId="0" borderId="21" xfId="40" quotePrefix="1" applyFont="1" applyBorder="1"/>
    <xf numFmtId="0" fontId="23" fillId="0" borderId="22" xfId="40" applyFont="1" applyBorder="1"/>
    <xf numFmtId="0" fontId="23" fillId="0" borderId="0" xfId="40" quotePrefix="1" applyFont="1" applyBorder="1" applyAlignment="1">
      <alignment horizontal="right" vertical="center"/>
    </xf>
    <xf numFmtId="0" fontId="23" fillId="0" borderId="0" xfId="40" applyFont="1" applyBorder="1"/>
    <xf numFmtId="0" fontId="23" fillId="0" borderId="14" xfId="40" applyFont="1" applyBorder="1"/>
    <xf numFmtId="0" fontId="26" fillId="0" borderId="22" xfId="40" applyFont="1" applyBorder="1"/>
    <xf numFmtId="3" fontId="26" fillId="0" borderId="15" xfId="32" applyNumberFormat="1" applyFont="1" applyBorder="1" applyAlignment="1">
      <alignment horizontal="right"/>
    </xf>
    <xf numFmtId="49" fontId="23" fillId="0" borderId="18" xfId="40" applyNumberFormat="1" applyFont="1" applyBorder="1" applyAlignment="1">
      <alignment horizontal="right" vertical="center"/>
    </xf>
    <xf numFmtId="0" fontId="23" fillId="0" borderId="23" xfId="40" quotePrefix="1" applyFont="1" applyBorder="1" applyAlignment="1">
      <alignment horizontal="right" vertical="center"/>
    </xf>
    <xf numFmtId="0" fontId="26" fillId="0" borderId="10" xfId="40" applyFont="1" applyBorder="1" applyAlignment="1">
      <alignment vertical="center"/>
    </xf>
    <xf numFmtId="0" fontId="23" fillId="0" borderId="14" xfId="40" quotePrefix="1" applyFont="1" applyBorder="1" applyAlignment="1">
      <alignment horizontal="right" vertical="center"/>
    </xf>
    <xf numFmtId="3" fontId="26" fillId="0" borderId="11" xfId="32" applyNumberFormat="1" applyFont="1" applyBorder="1" applyAlignment="1">
      <alignment horizontal="right"/>
    </xf>
    <xf numFmtId="3" fontId="26" fillId="0" borderId="17" xfId="32" applyNumberFormat="1" applyFont="1" applyBorder="1" applyAlignment="1">
      <alignment horizontal="right"/>
    </xf>
    <xf numFmtId="0" fontId="23" fillId="0" borderId="13" xfId="40" applyFont="1" applyBorder="1" applyAlignment="1">
      <alignment horizontal="right" vertical="center"/>
    </xf>
    <xf numFmtId="0" fontId="26" fillId="0" borderId="11" xfId="40" applyFont="1" applyBorder="1" applyAlignment="1">
      <alignment horizontal="center" vertical="center"/>
    </xf>
    <xf numFmtId="0" fontId="23" fillId="0" borderId="13" xfId="40" applyFont="1" applyBorder="1"/>
    <xf numFmtId="0" fontId="23" fillId="0" borderId="11" xfId="40" applyFont="1" applyBorder="1"/>
    <xf numFmtId="3" fontId="27" fillId="0" borderId="0" xfId="32" applyNumberFormat="1" applyFont="1" applyBorder="1" applyAlignment="1">
      <alignment horizontal="right" vertical="center"/>
    </xf>
    <xf numFmtId="0" fontId="28" fillId="0" borderId="0" xfId="40" applyFont="1"/>
    <xf numFmtId="0" fontId="23" fillId="0" borderId="18" xfId="40" applyFont="1" applyBorder="1"/>
    <xf numFmtId="165" fontId="26" fillId="0" borderId="10" xfId="40" applyNumberFormat="1" applyFont="1" applyBorder="1"/>
    <xf numFmtId="3" fontId="30" fillId="0" borderId="10" xfId="32" applyNumberFormat="1" applyFont="1" applyBorder="1" applyAlignment="1">
      <alignment horizontal="right"/>
    </xf>
    <xf numFmtId="3" fontId="26" fillId="0" borderId="12" xfId="32" applyNumberFormat="1" applyFont="1" applyBorder="1" applyAlignment="1">
      <alignment vertical="center"/>
    </xf>
    <xf numFmtId="3" fontId="23" fillId="0" borderId="12" xfId="32" applyNumberFormat="1" applyFont="1" applyBorder="1" applyAlignment="1">
      <alignment vertical="center"/>
    </xf>
    <xf numFmtId="3" fontId="26" fillId="0" borderId="10" xfId="32" applyNumberFormat="1" applyFont="1" applyFill="1" applyBorder="1" applyAlignment="1">
      <alignment vertical="center"/>
    </xf>
    <xf numFmtId="3" fontId="26" fillId="0" borderId="10" xfId="32" applyNumberFormat="1" applyFont="1" applyFill="1" applyBorder="1" applyAlignment="1">
      <alignment horizontal="right" vertical="center"/>
    </xf>
    <xf numFmtId="0" fontId="23" fillId="0" borderId="10" xfId="40" quotePrefix="1" applyFont="1" applyBorder="1" applyAlignment="1">
      <alignment horizontal="right" vertical="center"/>
    </xf>
    <xf numFmtId="0" fontId="23" fillId="0" borderId="10" xfId="40" applyFont="1" applyBorder="1"/>
    <xf numFmtId="3" fontId="23" fillId="0" borderId="10" xfId="40" applyNumberFormat="1" applyFont="1" applyBorder="1"/>
    <xf numFmtId="165" fontId="30" fillId="0" borderId="10" xfId="40" applyNumberFormat="1" applyFont="1" applyBorder="1" applyAlignment="1">
      <alignment vertical="center"/>
    </xf>
    <xf numFmtId="0" fontId="26" fillId="0" borderId="10" xfId="40" applyFont="1" applyBorder="1"/>
    <xf numFmtId="3" fontId="30" fillId="0" borderId="10" xfId="40" applyNumberFormat="1" applyFont="1" applyBorder="1" applyAlignment="1">
      <alignment vertical="center"/>
    </xf>
    <xf numFmtId="3" fontId="23" fillId="25" borderId="10" xfId="32" applyNumberFormat="1" applyFont="1" applyFill="1" applyBorder="1" applyAlignment="1">
      <alignment horizontal="right" vertical="center"/>
    </xf>
    <xf numFmtId="0" fontId="0" fillId="0" borderId="13" xfId="0" applyBorder="1" applyAlignment="1"/>
    <xf numFmtId="0" fontId="23" fillId="0" borderId="10" xfId="40" applyFont="1" applyBorder="1" applyAlignment="1">
      <alignment horizontal="left" vertical="center" wrapText="1"/>
    </xf>
    <xf numFmtId="0" fontId="23" fillId="25" borderId="14" xfId="40" applyFont="1" applyFill="1" applyBorder="1" applyAlignment="1">
      <alignment horizontal="left" vertical="center" wrapText="1"/>
    </xf>
    <xf numFmtId="0" fontId="23" fillId="25" borderId="11" xfId="40" applyFont="1" applyFill="1" applyBorder="1" applyAlignment="1">
      <alignment horizontal="left" vertical="center" wrapText="1"/>
    </xf>
    <xf numFmtId="0" fontId="26" fillId="0" borderId="23" xfId="40" applyFont="1" applyBorder="1" applyAlignment="1">
      <alignment vertical="center"/>
    </xf>
    <xf numFmtId="0" fontId="23" fillId="0" borderId="23" xfId="40" applyFont="1" applyBorder="1" applyAlignment="1">
      <alignment vertical="center"/>
    </xf>
    <xf numFmtId="0" fontId="23" fillId="0" borderId="18" xfId="40" applyFont="1" applyBorder="1" applyAlignment="1">
      <alignment vertical="center"/>
    </xf>
    <xf numFmtId="0" fontId="26" fillId="0" borderId="10" xfId="40" applyFont="1" applyBorder="1" applyAlignment="1">
      <alignment horizontal="left" vertical="center"/>
    </xf>
    <xf numFmtId="0" fontId="23" fillId="0" borderId="10" xfId="40" applyFont="1" applyBorder="1" applyAlignment="1">
      <alignment horizontal="left" vertical="center"/>
    </xf>
    <xf numFmtId="0" fontId="23" fillId="0" borderId="13" xfId="40" applyFont="1" applyBorder="1" applyAlignment="1">
      <alignment vertical="center" wrapText="1"/>
    </xf>
    <xf numFmtId="0" fontId="23" fillId="0" borderId="11" xfId="40" applyFont="1" applyBorder="1" applyAlignment="1">
      <alignment vertical="center" wrapText="1"/>
    </xf>
    <xf numFmtId="0" fontId="26" fillId="0" borderId="10" xfId="40" applyFont="1" applyBorder="1" applyAlignment="1">
      <alignment vertical="center"/>
    </xf>
    <xf numFmtId="0" fontId="26" fillId="0" borderId="14" xfId="40" applyFont="1" applyBorder="1" applyAlignment="1">
      <alignment vertical="center"/>
    </xf>
    <xf numFmtId="0" fontId="0" fillId="0" borderId="11" xfId="0" applyBorder="1" applyAlignment="1"/>
    <xf numFmtId="0" fontId="26" fillId="0" borderId="21" xfId="4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6" fillId="0" borderId="24" xfId="4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10" xfId="40" applyFont="1" applyBorder="1" applyAlignment="1">
      <alignment vertical="center"/>
    </xf>
    <xf numFmtId="0" fontId="26" fillId="0" borderId="17" xfId="40" applyFont="1" applyBorder="1" applyAlignment="1">
      <alignment vertical="center"/>
    </xf>
    <xf numFmtId="0" fontId="26" fillId="0" borderId="15" xfId="40" applyFont="1" applyBorder="1" applyAlignment="1">
      <alignment vertical="center"/>
    </xf>
    <xf numFmtId="0" fontId="26" fillId="0" borderId="13" xfId="40" applyFont="1" applyBorder="1" applyAlignment="1">
      <alignment vertical="center"/>
    </xf>
    <xf numFmtId="0" fontId="23" fillId="0" borderId="14" xfId="40" applyFont="1" applyBorder="1" applyAlignment="1">
      <alignment horizontal="left" vertical="center" wrapText="1"/>
    </xf>
    <xf numFmtId="0" fontId="23" fillId="0" borderId="11" xfId="40" applyFont="1" applyBorder="1" applyAlignment="1">
      <alignment horizontal="left" vertical="center" wrapText="1"/>
    </xf>
    <xf numFmtId="0" fontId="23" fillId="0" borderId="0" xfId="40" applyFont="1" applyAlignment="1">
      <alignment horizontal="right" vertical="center"/>
    </xf>
    <xf numFmtId="0" fontId="23" fillId="0" borderId="0" xfId="41" applyFont="1" applyAlignment="1">
      <alignment horizontal="right" vertical="center"/>
    </xf>
    <xf numFmtId="0" fontId="26" fillId="0" borderId="14" xfId="40" applyFont="1" applyFill="1" applyBorder="1" applyAlignment="1">
      <alignment vertical="center"/>
    </xf>
    <xf numFmtId="0" fontId="26" fillId="0" borderId="13" xfId="40" applyFont="1" applyFill="1" applyBorder="1" applyAlignment="1">
      <alignment vertical="center"/>
    </xf>
    <xf numFmtId="0" fontId="26" fillId="0" borderId="11" xfId="40" applyFont="1" applyFill="1" applyBorder="1" applyAlignment="1">
      <alignment vertical="center"/>
    </xf>
    <xf numFmtId="3" fontId="26" fillId="0" borderId="12" xfId="32" applyNumberFormat="1" applyFont="1" applyBorder="1" applyAlignment="1">
      <alignment horizontal="center" vertical="center"/>
    </xf>
    <xf numFmtId="3" fontId="26" fillId="0" borderId="15" xfId="32" applyNumberFormat="1" applyFont="1" applyBorder="1" applyAlignment="1">
      <alignment horizontal="center" vertical="center"/>
    </xf>
    <xf numFmtId="0" fontId="26" fillId="0" borderId="14" xfId="40" applyFont="1" applyBorder="1" applyAlignment="1">
      <alignment vertical="center" wrapText="1"/>
    </xf>
    <xf numFmtId="0" fontId="26" fillId="0" borderId="13" xfId="40" applyFont="1" applyBorder="1" applyAlignment="1">
      <alignment vertical="center" wrapText="1"/>
    </xf>
    <xf numFmtId="0" fontId="26" fillId="0" borderId="11" xfId="40" applyFont="1" applyBorder="1" applyAlignment="1">
      <alignment vertical="center" wrapText="1"/>
    </xf>
    <xf numFmtId="0" fontId="26" fillId="0" borderId="10" xfId="40" applyFont="1" applyBorder="1" applyAlignment="1">
      <alignment vertical="center" wrapText="1"/>
    </xf>
    <xf numFmtId="0" fontId="23" fillId="0" borderId="13" xfId="40" applyFont="1" applyBorder="1" applyAlignment="1">
      <alignment horizontal="left" vertical="center" wrapText="1"/>
    </xf>
    <xf numFmtId="0" fontId="26" fillId="0" borderId="11" xfId="40" applyFont="1" applyFill="1" applyBorder="1" applyAlignment="1">
      <alignment vertical="center" wrapText="1"/>
    </xf>
    <xf numFmtId="0" fontId="26" fillId="0" borderId="10" xfId="40" applyFont="1" applyFill="1" applyBorder="1" applyAlignment="1">
      <alignment vertical="center" wrapText="1"/>
    </xf>
    <xf numFmtId="0" fontId="26" fillId="0" borderId="14" xfId="40" applyFont="1" applyFill="1" applyBorder="1" applyAlignment="1">
      <alignment vertical="center" wrapText="1"/>
    </xf>
    <xf numFmtId="0" fontId="23" fillId="0" borderId="0" xfId="39" applyFont="1" applyAlignment="1">
      <alignment horizontal="right" vertical="center"/>
    </xf>
    <xf numFmtId="0" fontId="24" fillId="0" borderId="0" xfId="41" applyFont="1" applyAlignment="1">
      <alignment horizontal="center" vertical="center"/>
    </xf>
    <xf numFmtId="0" fontId="22" fillId="0" borderId="0" xfId="41" applyFont="1" applyAlignment="1">
      <alignment horizontal="center" vertical="center"/>
    </xf>
    <xf numFmtId="0" fontId="26" fillId="0" borderId="14" xfId="40" applyFont="1" applyBorder="1" applyAlignment="1">
      <alignment horizontal="left" vertical="center"/>
    </xf>
    <xf numFmtId="0" fontId="23" fillId="0" borderId="13" xfId="40" applyFont="1" applyBorder="1" applyAlignment="1">
      <alignment horizontal="left" vertical="center"/>
    </xf>
    <xf numFmtId="0" fontId="23" fillId="0" borderId="11" xfId="40" applyFont="1" applyBorder="1" applyAlignment="1">
      <alignment horizontal="left" vertical="center"/>
    </xf>
  </cellXfs>
  <cellStyles count="46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10.III.n.évi beszámoló" xfId="39"/>
    <cellStyle name="Normál_Táblázatminták üres" xfId="40"/>
    <cellStyle name="Normál_Testület 3.n.év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81"/>
  <sheetViews>
    <sheetView tabSelected="1" view="pageBreakPreview" zoomScaleNormal="100" workbookViewId="0">
      <selection sqref="A1:G1"/>
    </sheetView>
  </sheetViews>
  <sheetFormatPr defaultRowHeight="17.25" customHeight="1" x14ac:dyDescent="0.25"/>
  <cols>
    <col min="1" max="1" width="5" style="3" customWidth="1"/>
    <col min="2" max="2" width="3.140625" style="3" customWidth="1"/>
    <col min="3" max="3" width="3.42578125" style="3" customWidth="1"/>
    <col min="4" max="4" width="3.140625" style="3" customWidth="1"/>
    <col min="5" max="5" width="85.85546875" style="3" customWidth="1"/>
    <col min="6" max="6" width="16.85546875" style="4" customWidth="1"/>
    <col min="7" max="7" width="18.7109375" style="5" customWidth="1"/>
    <col min="8" max="8" width="15.5703125" style="3" bestFit="1" customWidth="1"/>
    <col min="9" max="16384" width="9.140625" style="3"/>
  </cols>
  <sheetData>
    <row r="1" spans="1:7" ht="17.25" customHeight="1" x14ac:dyDescent="0.25">
      <c r="A1" s="112" t="s">
        <v>89</v>
      </c>
      <c r="B1" s="98"/>
      <c r="C1" s="98"/>
      <c r="D1" s="98"/>
      <c r="E1" s="98"/>
      <c r="F1" s="98"/>
      <c r="G1" s="98"/>
    </row>
    <row r="2" spans="1:7" ht="12.75" customHeight="1" x14ac:dyDescent="0.25">
      <c r="A2" s="1"/>
      <c r="B2" s="2"/>
      <c r="C2" s="2"/>
      <c r="D2" s="2"/>
      <c r="E2" s="2"/>
      <c r="F2" s="2"/>
      <c r="G2" s="2"/>
    </row>
    <row r="3" spans="1:7" ht="11.25" customHeight="1" x14ac:dyDescent="0.25"/>
    <row r="4" spans="1:7" ht="17.25" customHeight="1" x14ac:dyDescent="0.25">
      <c r="A4" s="113" t="s">
        <v>78</v>
      </c>
      <c r="B4" s="114"/>
      <c r="C4" s="114"/>
      <c r="D4" s="114"/>
      <c r="E4" s="114"/>
      <c r="F4" s="114"/>
      <c r="G4" s="114"/>
    </row>
    <row r="5" spans="1:7" ht="17.25" customHeight="1" x14ac:dyDescent="0.25">
      <c r="A5" s="113" t="s">
        <v>6</v>
      </c>
      <c r="B5" s="114"/>
      <c r="C5" s="114"/>
      <c r="D5" s="114"/>
      <c r="E5" s="114"/>
      <c r="F5" s="114"/>
      <c r="G5" s="114"/>
    </row>
    <row r="6" spans="1:7" ht="12.75" customHeight="1" x14ac:dyDescent="0.25">
      <c r="A6" s="6"/>
      <c r="B6" s="7"/>
      <c r="C6" s="7"/>
      <c r="D6" s="7"/>
      <c r="E6" s="7"/>
      <c r="F6" s="7"/>
      <c r="G6" s="7"/>
    </row>
    <row r="7" spans="1:7" ht="12" customHeight="1" x14ac:dyDescent="0.25">
      <c r="A7" s="6"/>
      <c r="B7" s="7"/>
      <c r="C7" s="7"/>
      <c r="D7" s="7"/>
      <c r="E7" s="7"/>
      <c r="F7" s="7"/>
      <c r="G7" s="7"/>
    </row>
    <row r="8" spans="1:7" ht="17.25" customHeight="1" x14ac:dyDescent="0.25">
      <c r="A8" s="8"/>
    </row>
    <row r="9" spans="1:7" ht="17.25" customHeight="1" x14ac:dyDescent="0.25">
      <c r="A9" s="9"/>
      <c r="B9" s="10" t="s">
        <v>0</v>
      </c>
      <c r="C9" s="10" t="s">
        <v>1</v>
      </c>
      <c r="D9" s="10" t="s">
        <v>2</v>
      </c>
      <c r="E9" s="10" t="s">
        <v>3</v>
      </c>
      <c r="F9" s="11" t="s">
        <v>4</v>
      </c>
      <c r="G9" s="11" t="s">
        <v>5</v>
      </c>
    </row>
    <row r="10" spans="1:7" ht="17.25" customHeight="1" x14ac:dyDescent="0.25">
      <c r="A10" s="12">
        <v>1</v>
      </c>
      <c r="B10" s="78" t="s">
        <v>88</v>
      </c>
      <c r="C10" s="79"/>
      <c r="D10" s="79"/>
      <c r="E10" s="79"/>
      <c r="F10" s="59"/>
      <c r="G10" s="13">
        <f>4589263879</f>
        <v>4589263879</v>
      </c>
    </row>
    <row r="11" spans="1:7" ht="17.25" customHeight="1" x14ac:dyDescent="0.25">
      <c r="A11" s="12">
        <v>2</v>
      </c>
      <c r="B11" s="115" t="s">
        <v>46</v>
      </c>
      <c r="C11" s="116"/>
      <c r="D11" s="116"/>
      <c r="E11" s="117"/>
      <c r="G11" s="21">
        <f>5537940788</f>
        <v>5537940788</v>
      </c>
    </row>
    <row r="12" spans="1:7" ht="17.25" customHeight="1" x14ac:dyDescent="0.25">
      <c r="A12" s="12">
        <v>3</v>
      </c>
      <c r="B12" s="15" t="s">
        <v>7</v>
      </c>
      <c r="C12" s="78" t="s">
        <v>37</v>
      </c>
      <c r="D12" s="78"/>
      <c r="E12" s="78"/>
      <c r="F12" s="13"/>
      <c r="G12" s="14"/>
    </row>
    <row r="13" spans="1:7" s="17" customFormat="1" ht="17.25" customHeight="1" x14ac:dyDescent="0.25">
      <c r="A13" s="12">
        <v>4</v>
      </c>
      <c r="B13" s="16"/>
      <c r="C13" s="104" t="s">
        <v>8</v>
      </c>
      <c r="D13" s="105"/>
      <c r="E13" s="105"/>
      <c r="F13" s="58"/>
      <c r="G13" s="14">
        <f>SUM(F14:F19)</f>
        <v>43324901</v>
      </c>
    </row>
    <row r="14" spans="1:7" ht="17.25" customHeight="1" x14ac:dyDescent="0.25">
      <c r="A14" s="12">
        <v>5</v>
      </c>
      <c r="B14" s="18"/>
      <c r="C14" s="19" t="s">
        <v>9</v>
      </c>
      <c r="D14" s="80" t="s">
        <v>67</v>
      </c>
      <c r="E14" s="80"/>
      <c r="F14" s="20">
        <f>2501293+2457578+2447639+2453957+2491948+2621249+7972240-14973664</f>
        <v>7972240</v>
      </c>
      <c r="G14" s="20"/>
    </row>
    <row r="15" spans="1:7" ht="17.25" customHeight="1" x14ac:dyDescent="0.25">
      <c r="A15" s="12">
        <v>6</v>
      </c>
      <c r="B15" s="18"/>
      <c r="C15" s="19" t="s">
        <v>9</v>
      </c>
      <c r="D15" s="80" t="s">
        <v>30</v>
      </c>
      <c r="E15" s="80"/>
      <c r="F15" s="20">
        <f>635450+642371+638792+618909+636354+629845+1919818-3801721</f>
        <v>1919818</v>
      </c>
      <c r="G15" s="20"/>
    </row>
    <row r="16" spans="1:7" ht="17.25" customHeight="1" x14ac:dyDescent="0.25">
      <c r="A16" s="12">
        <v>7</v>
      </c>
      <c r="B16" s="18"/>
      <c r="C16" s="19" t="s">
        <v>9</v>
      </c>
      <c r="D16" s="80" t="s">
        <v>31</v>
      </c>
      <c r="E16" s="80"/>
      <c r="F16" s="20">
        <f>2410046+1167638-2410046</f>
        <v>1167638</v>
      </c>
      <c r="G16" s="20"/>
    </row>
    <row r="17" spans="1:7" ht="17.25" customHeight="1" x14ac:dyDescent="0.25">
      <c r="A17" s="12">
        <v>8</v>
      </c>
      <c r="B17" s="18"/>
      <c r="C17" s="19" t="s">
        <v>9</v>
      </c>
      <c r="D17" s="80" t="s">
        <v>32</v>
      </c>
      <c r="E17" s="80"/>
      <c r="F17" s="20">
        <f>1374696+1083264+1101789+1035227+1024472+1009534+3056094-6628982</f>
        <v>3056094</v>
      </c>
      <c r="G17" s="20"/>
    </row>
    <row r="18" spans="1:7" ht="17.25" customHeight="1" x14ac:dyDescent="0.25">
      <c r="A18" s="12">
        <v>9</v>
      </c>
      <c r="B18" s="18"/>
      <c r="C18" s="19" t="s">
        <v>9</v>
      </c>
      <c r="D18" s="80" t="s">
        <v>48</v>
      </c>
      <c r="E18" s="81"/>
      <c r="F18" s="20">
        <f>2430101-2430101</f>
        <v>0</v>
      </c>
      <c r="G18" s="20"/>
    </row>
    <row r="19" spans="1:7" ht="17.25" customHeight="1" x14ac:dyDescent="0.25">
      <c r="A19" s="12"/>
      <c r="B19" s="18"/>
      <c r="C19" s="19" t="s">
        <v>9</v>
      </c>
      <c r="D19" s="108" t="s">
        <v>80</v>
      </c>
      <c r="E19" s="96"/>
      <c r="F19" s="20">
        <v>29209111</v>
      </c>
      <c r="G19" s="20"/>
    </row>
    <row r="20" spans="1:7" s="17" customFormat="1" ht="17.25" customHeight="1" x14ac:dyDescent="0.25">
      <c r="A20" s="12">
        <v>10</v>
      </c>
      <c r="B20" s="16"/>
      <c r="C20" s="104" t="s">
        <v>10</v>
      </c>
      <c r="D20" s="105"/>
      <c r="E20" s="106"/>
      <c r="F20" s="14"/>
      <c r="G20" s="21">
        <f>SUM(F21:F26)</f>
        <v>5647540</v>
      </c>
    </row>
    <row r="21" spans="1:7" s="17" customFormat="1" ht="17.25" customHeight="1" x14ac:dyDescent="0.25">
      <c r="A21" s="12">
        <v>11</v>
      </c>
      <c r="B21" s="16"/>
      <c r="C21" s="19" t="s">
        <v>9</v>
      </c>
      <c r="D21" s="80" t="s">
        <v>81</v>
      </c>
      <c r="E21" s="81"/>
      <c r="F21" s="20">
        <f>1722861-1722861</f>
        <v>0</v>
      </c>
      <c r="G21" s="21"/>
    </row>
    <row r="22" spans="1:7" s="17" customFormat="1" ht="17.25" customHeight="1" x14ac:dyDescent="0.25">
      <c r="A22" s="12">
        <v>12</v>
      </c>
      <c r="B22" s="16"/>
      <c r="C22" s="19" t="s">
        <v>9</v>
      </c>
      <c r="D22" s="80" t="s">
        <v>50</v>
      </c>
      <c r="E22" s="81"/>
      <c r="F22" s="20">
        <f>6673994-6673994</f>
        <v>0</v>
      </c>
      <c r="G22" s="21"/>
    </row>
    <row r="23" spans="1:7" s="17" customFormat="1" ht="18" customHeight="1" x14ac:dyDescent="0.25">
      <c r="A23" s="12">
        <v>13</v>
      </c>
      <c r="B23" s="16"/>
      <c r="C23" s="19" t="s">
        <v>9</v>
      </c>
      <c r="D23" s="80" t="s">
        <v>51</v>
      </c>
      <c r="E23" s="81"/>
      <c r="F23" s="20">
        <f>10584195+997000-10584195</f>
        <v>997000</v>
      </c>
      <c r="G23" s="21"/>
    </row>
    <row r="24" spans="1:7" s="17" customFormat="1" ht="27.75" customHeight="1" x14ac:dyDescent="0.25">
      <c r="A24" s="12">
        <v>14</v>
      </c>
      <c r="B24" s="16"/>
      <c r="C24" s="19" t="s">
        <v>9</v>
      </c>
      <c r="D24" s="80" t="s">
        <v>38</v>
      </c>
      <c r="E24" s="81"/>
      <c r="F24" s="20">
        <f>4594381-4594381</f>
        <v>0</v>
      </c>
      <c r="G24" s="21"/>
    </row>
    <row r="25" spans="1:7" s="17" customFormat="1" ht="27.75" customHeight="1" x14ac:dyDescent="0.25">
      <c r="A25" s="12"/>
      <c r="B25" s="16"/>
      <c r="C25" s="19" t="s">
        <v>9</v>
      </c>
      <c r="D25" s="108" t="s">
        <v>82</v>
      </c>
      <c r="E25" s="96"/>
      <c r="F25" s="20">
        <v>3807088</v>
      </c>
      <c r="G25" s="21"/>
    </row>
    <row r="26" spans="1:7" s="17" customFormat="1" ht="27.75" customHeight="1" x14ac:dyDescent="0.25">
      <c r="A26" s="12"/>
      <c r="B26" s="16"/>
      <c r="C26" s="19" t="s">
        <v>9</v>
      </c>
      <c r="D26" s="108" t="s">
        <v>83</v>
      </c>
      <c r="E26" s="96"/>
      <c r="F26" s="20">
        <v>843452</v>
      </c>
      <c r="G26" s="21"/>
    </row>
    <row r="27" spans="1:7" s="17" customFormat="1" ht="21.75" customHeight="1" x14ac:dyDescent="0.25">
      <c r="A27" s="12">
        <v>15</v>
      </c>
      <c r="B27" s="16"/>
      <c r="C27" s="106" t="s">
        <v>65</v>
      </c>
      <c r="D27" s="107"/>
      <c r="E27" s="104"/>
      <c r="F27" s="20"/>
      <c r="G27" s="21">
        <f>F28</f>
        <v>0</v>
      </c>
    </row>
    <row r="28" spans="1:7" s="17" customFormat="1" ht="24" customHeight="1" x14ac:dyDescent="0.25">
      <c r="A28" s="12">
        <v>16</v>
      </c>
      <c r="B28" s="16"/>
      <c r="C28" s="19" t="s">
        <v>9</v>
      </c>
      <c r="D28" s="80" t="s">
        <v>66</v>
      </c>
      <c r="E28" s="80"/>
      <c r="F28" s="20">
        <f>268011106-268011106</f>
        <v>0</v>
      </c>
      <c r="G28" s="21"/>
    </row>
    <row r="29" spans="1:7" s="17" customFormat="1" ht="17.25" customHeight="1" x14ac:dyDescent="0.25">
      <c r="A29" s="12">
        <v>17</v>
      </c>
      <c r="B29" s="16"/>
      <c r="C29" s="106" t="s">
        <v>62</v>
      </c>
      <c r="D29" s="107"/>
      <c r="E29" s="104"/>
      <c r="F29" s="20"/>
      <c r="G29" s="21">
        <f>SUM(F30:F34)</f>
        <v>12136386</v>
      </c>
    </row>
    <row r="30" spans="1:7" s="17" customFormat="1" ht="17.25" customHeight="1" x14ac:dyDescent="0.25">
      <c r="A30" s="12">
        <v>18</v>
      </c>
      <c r="B30" s="16"/>
      <c r="C30" s="19" t="s">
        <v>9</v>
      </c>
      <c r="D30" s="80" t="s">
        <v>47</v>
      </c>
      <c r="E30" s="80"/>
      <c r="F30" s="20">
        <f>1272078-1272078</f>
        <v>0</v>
      </c>
      <c r="G30" s="21"/>
    </row>
    <row r="31" spans="1:7" s="17" customFormat="1" ht="17.25" customHeight="1" x14ac:dyDescent="0.25">
      <c r="A31" s="12">
        <v>19</v>
      </c>
      <c r="B31" s="16"/>
      <c r="C31" s="19" t="s">
        <v>9</v>
      </c>
      <c r="D31" s="80" t="s">
        <v>49</v>
      </c>
      <c r="E31" s="80"/>
      <c r="F31" s="20">
        <f>200000+130010+669990-1000000</f>
        <v>0</v>
      </c>
      <c r="G31" s="21"/>
    </row>
    <row r="32" spans="1:7" s="17" customFormat="1" ht="17.25" customHeight="1" x14ac:dyDescent="0.25">
      <c r="A32" s="12"/>
      <c r="B32" s="16"/>
      <c r="C32" s="19" t="s">
        <v>9</v>
      </c>
      <c r="D32" s="108" t="s">
        <v>84</v>
      </c>
      <c r="E32" s="96"/>
      <c r="F32" s="20">
        <f>2338733+1925153</f>
        <v>4263886</v>
      </c>
      <c r="G32" s="21"/>
    </row>
    <row r="33" spans="1:7" s="17" customFormat="1" ht="17.25" customHeight="1" x14ac:dyDescent="0.25">
      <c r="A33" s="12"/>
      <c r="B33" s="16"/>
      <c r="C33" s="19" t="s">
        <v>9</v>
      </c>
      <c r="D33" s="108" t="s">
        <v>85</v>
      </c>
      <c r="E33" s="96"/>
      <c r="F33" s="20">
        <f>1017228+382772</f>
        <v>1400000</v>
      </c>
      <c r="G33" s="21"/>
    </row>
    <row r="34" spans="1:7" s="17" customFormat="1" ht="17.25" customHeight="1" x14ac:dyDescent="0.25">
      <c r="A34" s="12"/>
      <c r="B34" s="16"/>
      <c r="C34" s="19" t="s">
        <v>9</v>
      </c>
      <c r="D34" s="80" t="s">
        <v>86</v>
      </c>
      <c r="E34" s="80"/>
      <c r="F34" s="20">
        <f>6441000+31500</f>
        <v>6472500</v>
      </c>
      <c r="G34" s="21"/>
    </row>
    <row r="35" spans="1:7" s="17" customFormat="1" ht="17.25" customHeight="1" x14ac:dyDescent="0.25">
      <c r="A35" s="12">
        <v>20</v>
      </c>
      <c r="B35" s="16"/>
      <c r="C35" s="106" t="s">
        <v>63</v>
      </c>
      <c r="D35" s="107"/>
      <c r="E35" s="104"/>
      <c r="F35" s="20"/>
      <c r="G35" s="21">
        <f>SUM(F36:F44)</f>
        <v>57566665</v>
      </c>
    </row>
    <row r="36" spans="1:7" s="17" customFormat="1" ht="17.25" customHeight="1" x14ac:dyDescent="0.25">
      <c r="A36" s="12">
        <v>21</v>
      </c>
      <c r="B36" s="16"/>
      <c r="C36" s="19" t="s">
        <v>9</v>
      </c>
      <c r="D36" s="80" t="s">
        <v>52</v>
      </c>
      <c r="E36" s="80"/>
      <c r="F36" s="20">
        <f>7905750+8600000+1200000+5191125+5191125-17705750</f>
        <v>10382250</v>
      </c>
      <c r="G36" s="21"/>
    </row>
    <row r="37" spans="1:7" s="17" customFormat="1" ht="17.25" customHeight="1" x14ac:dyDescent="0.25">
      <c r="A37" s="12">
        <v>22</v>
      </c>
      <c r="B37" s="16"/>
      <c r="C37" s="19" t="s">
        <v>9</v>
      </c>
      <c r="D37" s="80" t="s">
        <v>53</v>
      </c>
      <c r="E37" s="80"/>
      <c r="F37" s="20">
        <f>254000+1270000-254000</f>
        <v>1270000</v>
      </c>
      <c r="G37" s="21"/>
    </row>
    <row r="38" spans="1:7" s="17" customFormat="1" ht="17.25" customHeight="1" x14ac:dyDescent="0.25">
      <c r="A38" s="12">
        <v>23</v>
      </c>
      <c r="B38" s="16"/>
      <c r="C38" s="19" t="s">
        <v>9</v>
      </c>
      <c r="D38" s="80" t="s">
        <v>54</v>
      </c>
      <c r="E38" s="80"/>
      <c r="F38" s="20">
        <f>6947789+2577211-6947789</f>
        <v>2577211</v>
      </c>
      <c r="G38" s="21"/>
    </row>
    <row r="39" spans="1:7" s="17" customFormat="1" ht="17.25" customHeight="1" x14ac:dyDescent="0.25">
      <c r="A39" s="12">
        <v>24</v>
      </c>
      <c r="B39" s="16"/>
      <c r="C39" s="19" t="s">
        <v>9</v>
      </c>
      <c r="D39" s="80" t="s">
        <v>55</v>
      </c>
      <c r="E39" s="80"/>
      <c r="F39" s="20">
        <f>12089900+655929+218643+218643+218643-12745829</f>
        <v>655929</v>
      </c>
      <c r="G39" s="21"/>
    </row>
    <row r="40" spans="1:7" s="17" customFormat="1" ht="17.25" customHeight="1" x14ac:dyDescent="0.25">
      <c r="A40" s="12">
        <v>25</v>
      </c>
      <c r="B40" s="16"/>
      <c r="C40" s="19" t="s">
        <v>9</v>
      </c>
      <c r="D40" s="80" t="s">
        <v>56</v>
      </c>
      <c r="E40" s="80"/>
      <c r="F40" s="20">
        <f>6096000+1905000+350400+1905000-6096000</f>
        <v>4160400</v>
      </c>
      <c r="G40" s="21"/>
    </row>
    <row r="41" spans="1:7" s="17" customFormat="1" ht="17.25" customHeight="1" x14ac:dyDescent="0.25">
      <c r="A41" s="12">
        <v>26</v>
      </c>
      <c r="B41" s="16"/>
      <c r="C41" s="19" t="s">
        <v>9</v>
      </c>
      <c r="D41" s="80" t="s">
        <v>57</v>
      </c>
      <c r="E41" s="80"/>
      <c r="F41" s="20">
        <f>5702300+2806700-5702300</f>
        <v>2806700</v>
      </c>
      <c r="G41" s="21"/>
    </row>
    <row r="42" spans="1:7" s="17" customFormat="1" ht="17.25" customHeight="1" x14ac:dyDescent="0.25">
      <c r="A42" s="12">
        <v>27</v>
      </c>
      <c r="B42" s="16"/>
      <c r="C42" s="19" t="s">
        <v>9</v>
      </c>
      <c r="D42" s="80" t="s">
        <v>58</v>
      </c>
      <c r="E42" s="80"/>
      <c r="F42" s="20">
        <f>3810000+8615000-3810000</f>
        <v>8615000</v>
      </c>
      <c r="G42" s="21"/>
    </row>
    <row r="43" spans="1:7" s="17" customFormat="1" ht="17.25" customHeight="1" x14ac:dyDescent="0.25">
      <c r="A43" s="12">
        <v>28</v>
      </c>
      <c r="B43" s="16"/>
      <c r="C43" s="19" t="s">
        <v>9</v>
      </c>
      <c r="D43" s="80" t="s">
        <v>59</v>
      </c>
      <c r="E43" s="80"/>
      <c r="F43" s="20">
        <f>298750+12506374+3948190+3306711-298750</f>
        <v>19761275</v>
      </c>
      <c r="G43" s="21"/>
    </row>
    <row r="44" spans="1:7" s="17" customFormat="1" ht="17.25" customHeight="1" x14ac:dyDescent="0.25">
      <c r="A44" s="12"/>
      <c r="B44" s="16"/>
      <c r="C44" s="19" t="s">
        <v>9</v>
      </c>
      <c r="D44" s="108" t="s">
        <v>87</v>
      </c>
      <c r="E44" s="96"/>
      <c r="F44" s="20">
        <v>7337900</v>
      </c>
      <c r="G44" s="21"/>
    </row>
    <row r="45" spans="1:7" s="17" customFormat="1" ht="27.75" customHeight="1" x14ac:dyDescent="0.25">
      <c r="A45" s="12">
        <v>29</v>
      </c>
      <c r="B45" s="16"/>
      <c r="C45" s="109" t="s">
        <v>64</v>
      </c>
      <c r="D45" s="110"/>
      <c r="E45" s="111"/>
      <c r="F45" s="62"/>
      <c r="G45" s="63">
        <f>602425611-597180695-3613271</f>
        <v>1631645</v>
      </c>
    </row>
    <row r="46" spans="1:7" s="17" customFormat="1" ht="22.5" customHeight="1" x14ac:dyDescent="0.25">
      <c r="A46" s="12">
        <v>30</v>
      </c>
      <c r="B46" s="16"/>
      <c r="C46" s="106" t="s">
        <v>60</v>
      </c>
      <c r="D46" s="107"/>
      <c r="E46" s="104"/>
      <c r="F46" s="60"/>
      <c r="G46" s="22">
        <f>F47</f>
        <v>112790428</v>
      </c>
    </row>
    <row r="47" spans="1:7" s="17" customFormat="1" ht="22.5" customHeight="1" x14ac:dyDescent="0.25">
      <c r="A47" s="12">
        <v>31</v>
      </c>
      <c r="B47" s="16"/>
      <c r="C47" s="29" t="s">
        <v>9</v>
      </c>
      <c r="D47" s="80" t="s">
        <v>61</v>
      </c>
      <c r="E47" s="80"/>
      <c r="F47" s="61">
        <f>156355126-43564698</f>
        <v>112790428</v>
      </c>
      <c r="G47" s="22"/>
    </row>
    <row r="48" spans="1:7" ht="12" customHeight="1" x14ac:dyDescent="0.25">
      <c r="A48" s="12">
        <v>32</v>
      </c>
      <c r="B48" s="18"/>
      <c r="C48" s="75" t="s">
        <v>70</v>
      </c>
      <c r="D48" s="76"/>
      <c r="E48" s="76"/>
      <c r="F48" s="102"/>
      <c r="G48" s="21">
        <f>F50+F51+F52+F56+F57+F58</f>
        <v>39299434</v>
      </c>
    </row>
    <row r="49" spans="1:7" ht="12" customHeight="1" x14ac:dyDescent="0.25">
      <c r="A49" s="12">
        <v>33</v>
      </c>
      <c r="B49" s="18"/>
      <c r="C49" s="77"/>
      <c r="D49" s="77"/>
      <c r="E49" s="77"/>
      <c r="F49" s="103"/>
      <c r="G49" s="21">
        <f>F53+F54+F55</f>
        <v>-39299434</v>
      </c>
    </row>
    <row r="50" spans="1:7" ht="17.25" customHeight="1" x14ac:dyDescent="0.25">
      <c r="A50" s="12">
        <v>34</v>
      </c>
      <c r="B50" s="18"/>
      <c r="C50" s="64" t="s">
        <v>9</v>
      </c>
      <c r="D50" s="72" t="s">
        <v>18</v>
      </c>
      <c r="E50" s="72"/>
      <c r="F50" s="27">
        <f>6256300+5061971+4552669+3724966+7137959-527600-19595906</f>
        <v>6610359</v>
      </c>
      <c r="G50" s="65"/>
    </row>
    <row r="51" spans="1:7" ht="17.25" customHeight="1" x14ac:dyDescent="0.25">
      <c r="A51" s="12">
        <v>35</v>
      </c>
      <c r="B51" s="28"/>
      <c r="C51" s="64" t="s">
        <v>9</v>
      </c>
      <c r="D51" s="72" t="s">
        <v>19</v>
      </c>
      <c r="E51" s="72"/>
      <c r="F51" s="30">
        <f>797066+332945+347090+276783+1309971-87000-1753884</f>
        <v>1222971</v>
      </c>
      <c r="G51" s="65"/>
    </row>
    <row r="52" spans="1:7" ht="17.25" customHeight="1" x14ac:dyDescent="0.25">
      <c r="A52" s="12">
        <v>36</v>
      </c>
      <c r="B52" s="28"/>
      <c r="C52" s="64" t="s">
        <v>9</v>
      </c>
      <c r="D52" s="72" t="s">
        <v>13</v>
      </c>
      <c r="E52" s="72"/>
      <c r="F52" s="30">
        <f>22539092+9084972+939786+2905580+20339149-35469430</f>
        <v>20339149</v>
      </c>
      <c r="G52" s="65"/>
    </row>
    <row r="53" spans="1:7" ht="17.25" customHeight="1" x14ac:dyDescent="0.25">
      <c r="A53" s="12">
        <v>37</v>
      </c>
      <c r="B53" s="28"/>
      <c r="C53" s="64" t="s">
        <v>9</v>
      </c>
      <c r="D53" s="95" t="s">
        <v>68</v>
      </c>
      <c r="E53" s="96"/>
      <c r="F53" s="30">
        <f>-5889500+5889500</f>
        <v>0</v>
      </c>
      <c r="G53" s="65"/>
    </row>
    <row r="54" spans="1:7" ht="17.25" customHeight="1" x14ac:dyDescent="0.25">
      <c r="A54" s="12">
        <v>38</v>
      </c>
      <c r="B54" s="28"/>
      <c r="C54" s="64" t="s">
        <v>9</v>
      </c>
      <c r="D54" s="73" t="s">
        <v>33</v>
      </c>
      <c r="E54" s="74"/>
      <c r="F54" s="70">
        <f>-28011737+34311161</f>
        <v>6299424</v>
      </c>
      <c r="G54" s="65"/>
    </row>
    <row r="55" spans="1:7" ht="17.25" customHeight="1" x14ac:dyDescent="0.25">
      <c r="A55" s="12">
        <v>39</v>
      </c>
      <c r="B55" s="28"/>
      <c r="C55" s="64" t="s">
        <v>9</v>
      </c>
      <c r="D55" s="73" t="s">
        <v>71</v>
      </c>
      <c r="E55" s="74"/>
      <c r="F55" s="70">
        <f>-141965064+96366206</f>
        <v>-45598858</v>
      </c>
      <c r="G55" s="66"/>
    </row>
    <row r="56" spans="1:7" ht="17.25" customHeight="1" x14ac:dyDescent="0.25">
      <c r="A56" s="12">
        <v>40</v>
      </c>
      <c r="B56" s="28"/>
      <c r="C56" s="64" t="s">
        <v>9</v>
      </c>
      <c r="D56" s="95" t="s">
        <v>14</v>
      </c>
      <c r="E56" s="96"/>
      <c r="F56" s="30">
        <f>10384864+495098+79726-706526-190385+614600-10253162</f>
        <v>424215</v>
      </c>
      <c r="G56" s="65"/>
    </row>
    <row r="57" spans="1:7" ht="17.25" customHeight="1" x14ac:dyDescent="0.25">
      <c r="A57" s="12">
        <v>41</v>
      </c>
      <c r="B57" s="28"/>
      <c r="C57" s="64" t="s">
        <v>9</v>
      </c>
      <c r="D57" s="72" t="s">
        <v>15</v>
      </c>
      <c r="E57" s="72"/>
      <c r="F57" s="30">
        <f>2794856+13911609+52498020+10578950-69204485</f>
        <v>10578950</v>
      </c>
      <c r="G57" s="65"/>
    </row>
    <row r="58" spans="1:7" ht="17.25" customHeight="1" x14ac:dyDescent="0.25">
      <c r="A58" s="12">
        <v>42</v>
      </c>
      <c r="B58" s="28"/>
      <c r="C58" s="64" t="s">
        <v>9</v>
      </c>
      <c r="D58" s="72" t="s">
        <v>72</v>
      </c>
      <c r="E58" s="72"/>
      <c r="F58" s="30">
        <f>290000+123790-290000</f>
        <v>123790</v>
      </c>
      <c r="G58" s="65"/>
    </row>
    <row r="59" spans="1:7" ht="17.25" customHeight="1" x14ac:dyDescent="0.25">
      <c r="A59" s="12">
        <v>43</v>
      </c>
      <c r="B59" s="15" t="s">
        <v>7</v>
      </c>
      <c r="C59" s="106" t="s">
        <v>39</v>
      </c>
      <c r="D59" s="107"/>
      <c r="E59" s="104"/>
      <c r="F59" s="21"/>
      <c r="G59" s="31">
        <f>SUM(F60:F68)</f>
        <v>231465920</v>
      </c>
    </row>
    <row r="60" spans="1:7" ht="17.25" customHeight="1" x14ac:dyDescent="0.25">
      <c r="A60" s="12">
        <v>44</v>
      </c>
      <c r="B60" s="18"/>
      <c r="C60" s="29" t="s">
        <v>9</v>
      </c>
      <c r="D60" s="80" t="s">
        <v>18</v>
      </c>
      <c r="E60" s="80"/>
      <c r="F60" s="30">
        <f>325996591-288265000-20539758</f>
        <v>17191833</v>
      </c>
      <c r="G60" s="30"/>
    </row>
    <row r="61" spans="1:7" ht="17.25" customHeight="1" x14ac:dyDescent="0.25">
      <c r="A61" s="12">
        <v>45</v>
      </c>
      <c r="B61" s="18"/>
      <c r="C61" s="29" t="s">
        <v>9</v>
      </c>
      <c r="D61" s="80" t="s">
        <v>19</v>
      </c>
      <c r="E61" s="80"/>
      <c r="F61" s="30">
        <f>41585100-36555000-1918230</f>
        <v>3111870</v>
      </c>
      <c r="G61" s="30"/>
    </row>
    <row r="62" spans="1:7" ht="17.25" customHeight="1" x14ac:dyDescent="0.25">
      <c r="A62" s="12">
        <v>46</v>
      </c>
      <c r="B62" s="18"/>
      <c r="C62" s="29" t="s">
        <v>9</v>
      </c>
      <c r="D62" s="80" t="s">
        <v>13</v>
      </c>
      <c r="E62" s="80"/>
      <c r="F62" s="30">
        <f>513530537-356292240-92550211</f>
        <v>64688086</v>
      </c>
      <c r="G62" s="30"/>
    </row>
    <row r="63" spans="1:7" ht="17.25" customHeight="1" x14ac:dyDescent="0.25">
      <c r="A63" s="12">
        <v>47</v>
      </c>
      <c r="B63" s="18"/>
      <c r="C63" s="29" t="s">
        <v>9</v>
      </c>
      <c r="D63" s="80" t="s">
        <v>68</v>
      </c>
      <c r="E63" s="80"/>
      <c r="F63" s="30">
        <f>120283000-119700000+5889500</f>
        <v>6472500</v>
      </c>
      <c r="G63" s="30"/>
    </row>
    <row r="64" spans="1:7" ht="17.25" customHeight="1" x14ac:dyDescent="0.25">
      <c r="A64" s="12">
        <v>48</v>
      </c>
      <c r="B64" s="18"/>
      <c r="C64" s="29" t="s">
        <v>9</v>
      </c>
      <c r="D64" s="80" t="s">
        <v>40</v>
      </c>
      <c r="E64" s="80"/>
      <c r="F64" s="30">
        <f>1500823274-1402612403-129706667</f>
        <v>-31495796</v>
      </c>
      <c r="G64" s="30"/>
    </row>
    <row r="65" spans="1:7" ht="17.25" customHeight="1" x14ac:dyDescent="0.25">
      <c r="A65" s="12">
        <v>49</v>
      </c>
      <c r="B65" s="18"/>
      <c r="C65" s="29" t="s">
        <v>9</v>
      </c>
      <c r="D65" s="80" t="s">
        <v>14</v>
      </c>
      <c r="E65" s="80"/>
      <c r="F65" s="30">
        <f>910506459-852727000-45967288</f>
        <v>11812171</v>
      </c>
      <c r="G65" s="30"/>
    </row>
    <row r="66" spans="1:7" ht="17.25" customHeight="1" x14ac:dyDescent="0.25">
      <c r="A66" s="12">
        <v>50</v>
      </c>
      <c r="B66" s="18"/>
      <c r="C66" s="29" t="s">
        <v>9</v>
      </c>
      <c r="D66" s="80" t="s">
        <v>41</v>
      </c>
      <c r="E66" s="81"/>
      <c r="F66" s="30">
        <f>295279805-160759000-89257622</f>
        <v>45263183</v>
      </c>
      <c r="G66" s="30"/>
    </row>
    <row r="67" spans="1:7" ht="17.25" customHeight="1" x14ac:dyDescent="0.25">
      <c r="A67" s="12">
        <v>51</v>
      </c>
      <c r="B67" s="18"/>
      <c r="C67" s="29" t="s">
        <v>9</v>
      </c>
      <c r="D67" s="80" t="s">
        <v>69</v>
      </c>
      <c r="E67" s="80"/>
      <c r="F67" s="30">
        <f>156355126-43564698</f>
        <v>112790428</v>
      </c>
      <c r="G67" s="30"/>
    </row>
    <row r="68" spans="1:7" ht="17.25" customHeight="1" x14ac:dyDescent="0.25">
      <c r="A68" s="12">
        <v>52</v>
      </c>
      <c r="B68" s="18"/>
      <c r="C68" s="29" t="s">
        <v>9</v>
      </c>
      <c r="D68" s="80" t="s">
        <v>77</v>
      </c>
      <c r="E68" s="80"/>
      <c r="F68" s="30">
        <f>602425611-597180695-3613271</f>
        <v>1631645</v>
      </c>
      <c r="G68" s="30"/>
    </row>
    <row r="69" spans="1:7" ht="17.25" customHeight="1" x14ac:dyDescent="0.25">
      <c r="A69" s="97" t="str">
        <f>A1</f>
        <v>10. sz. melléklet a 30/2018. (XI. 30.) önkormányzati rendelethez</v>
      </c>
      <c r="B69" s="98"/>
      <c r="C69" s="98"/>
      <c r="D69" s="98"/>
      <c r="E69" s="98"/>
      <c r="F69" s="98"/>
      <c r="G69" s="98"/>
    </row>
    <row r="71" spans="1:7" ht="17.25" customHeight="1" x14ac:dyDescent="0.25">
      <c r="A71" s="12"/>
      <c r="B71" s="32" t="s">
        <v>0</v>
      </c>
      <c r="C71" s="32" t="s">
        <v>1</v>
      </c>
      <c r="D71" s="32" t="s">
        <v>2</v>
      </c>
      <c r="E71" s="32" t="s">
        <v>3</v>
      </c>
      <c r="F71" s="33" t="s">
        <v>4</v>
      </c>
      <c r="G71" s="33" t="s">
        <v>5</v>
      </c>
    </row>
    <row r="72" spans="1:7" ht="17.25" customHeight="1" x14ac:dyDescent="0.25">
      <c r="A72" s="12">
        <f>A68+1</f>
        <v>53</v>
      </c>
      <c r="B72" s="99" t="s">
        <v>16</v>
      </c>
      <c r="C72" s="100" t="s">
        <v>9</v>
      </c>
      <c r="D72" s="100"/>
      <c r="E72" s="101"/>
      <c r="F72" s="21"/>
      <c r="G72" s="31"/>
    </row>
    <row r="73" spans="1:7" ht="17.25" customHeight="1" x14ac:dyDescent="0.25">
      <c r="A73" s="12">
        <f t="shared" ref="A73:A141" si="0">A72+1</f>
        <v>54</v>
      </c>
      <c r="B73" s="18"/>
      <c r="C73" s="92" t="s">
        <v>17</v>
      </c>
      <c r="D73" s="93"/>
      <c r="E73" s="93"/>
      <c r="F73" s="36"/>
      <c r="G73" s="13"/>
    </row>
    <row r="74" spans="1:7" ht="17.25" customHeight="1" x14ac:dyDescent="0.25">
      <c r="A74" s="12">
        <f t="shared" si="0"/>
        <v>55</v>
      </c>
      <c r="B74" s="18"/>
      <c r="C74" s="40" t="s">
        <v>9</v>
      </c>
      <c r="D74" s="80" t="s">
        <v>74</v>
      </c>
      <c r="E74" s="80"/>
      <c r="F74" s="37"/>
      <c r="G74" s="21">
        <f>SUM(F75:F78)</f>
        <v>1933060</v>
      </c>
    </row>
    <row r="75" spans="1:7" ht="17.25" customHeight="1" x14ac:dyDescent="0.25">
      <c r="A75" s="12">
        <f t="shared" si="0"/>
        <v>56</v>
      </c>
      <c r="B75" s="18"/>
      <c r="C75" s="38"/>
      <c r="D75" s="25" t="s">
        <v>9</v>
      </c>
      <c r="E75" s="26" t="s">
        <v>18</v>
      </c>
      <c r="F75" s="37">
        <f>72637262+43007000+1855588-115644262</f>
        <v>1855588</v>
      </c>
      <c r="G75" s="21"/>
    </row>
    <row r="76" spans="1:7" ht="17.25" customHeight="1" x14ac:dyDescent="0.25">
      <c r="A76" s="12">
        <f t="shared" si="0"/>
        <v>57</v>
      </c>
      <c r="B76" s="18"/>
      <c r="C76" s="38"/>
      <c r="D76" s="25" t="s">
        <v>9</v>
      </c>
      <c r="E76" s="26" t="s">
        <v>19</v>
      </c>
      <c r="F76" s="37">
        <f>13807901+8646859+77472-22454760</f>
        <v>77472</v>
      </c>
      <c r="G76" s="21"/>
    </row>
    <row r="77" spans="1:7" ht="17.25" customHeight="1" x14ac:dyDescent="0.25">
      <c r="A77" s="12">
        <f t="shared" si="0"/>
        <v>58</v>
      </c>
      <c r="B77" s="18"/>
      <c r="C77" s="38"/>
      <c r="D77" s="25" t="s">
        <v>9</v>
      </c>
      <c r="E77" s="26" t="s">
        <v>13</v>
      </c>
      <c r="F77" s="30">
        <f>3019428+14652745-17672173</f>
        <v>0</v>
      </c>
      <c r="G77" s="30"/>
    </row>
    <row r="78" spans="1:7" ht="17.25" customHeight="1" x14ac:dyDescent="0.25">
      <c r="A78" s="12">
        <f t="shared" si="0"/>
        <v>59</v>
      </c>
      <c r="B78" s="28"/>
      <c r="C78" s="38"/>
      <c r="D78" s="25" t="s">
        <v>9</v>
      </c>
      <c r="E78" s="26" t="s">
        <v>15</v>
      </c>
      <c r="F78" s="30">
        <f>4109200+6350000-10459200</f>
        <v>0</v>
      </c>
      <c r="G78" s="30"/>
    </row>
    <row r="79" spans="1:7" s="17" customFormat="1" ht="17.25" customHeight="1" x14ac:dyDescent="0.25">
      <c r="A79" s="12">
        <f t="shared" si="0"/>
        <v>60</v>
      </c>
      <c r="B79" s="39"/>
      <c r="C79" s="83" t="s">
        <v>20</v>
      </c>
      <c r="D79" s="94"/>
      <c r="E79" s="94"/>
      <c r="F79" s="68"/>
      <c r="G79" s="24"/>
    </row>
    <row r="80" spans="1:7" ht="17.25" customHeight="1" x14ac:dyDescent="0.25">
      <c r="A80" s="12">
        <f t="shared" si="0"/>
        <v>61</v>
      </c>
      <c r="B80" s="39"/>
      <c r="C80" s="40" t="s">
        <v>9</v>
      </c>
      <c r="D80" s="80" t="s">
        <v>74</v>
      </c>
      <c r="E80" s="80"/>
      <c r="F80" s="21"/>
      <c r="G80" s="21">
        <f>SUM(F81:F83)</f>
        <v>23937250</v>
      </c>
    </row>
    <row r="81" spans="1:7" ht="17.25" customHeight="1" x14ac:dyDescent="0.25">
      <c r="A81" s="12">
        <f t="shared" si="0"/>
        <v>62</v>
      </c>
      <c r="B81" s="41"/>
      <c r="C81" s="42"/>
      <c r="D81" s="29" t="s">
        <v>9</v>
      </c>
      <c r="E81" s="26" t="s">
        <v>18</v>
      </c>
      <c r="F81" s="30">
        <f>30977891+2000000+16499152-32977891</f>
        <v>16499152</v>
      </c>
      <c r="G81" s="30"/>
    </row>
    <row r="82" spans="1:7" ht="17.25" customHeight="1" x14ac:dyDescent="0.25">
      <c r="A82" s="12">
        <f t="shared" si="0"/>
        <v>63</v>
      </c>
      <c r="B82" s="41"/>
      <c r="C82" s="42"/>
      <c r="D82" s="29" t="s">
        <v>9</v>
      </c>
      <c r="E82" s="26" t="s">
        <v>19</v>
      </c>
      <c r="F82" s="30">
        <f>6890686+400000+2218098-7290686</f>
        <v>2218098</v>
      </c>
      <c r="G82" s="30"/>
    </row>
    <row r="83" spans="1:7" ht="17.25" customHeight="1" x14ac:dyDescent="0.25">
      <c r="A83" s="12">
        <f t="shared" si="0"/>
        <v>64</v>
      </c>
      <c r="B83" s="18"/>
      <c r="C83" s="57"/>
      <c r="D83" s="29" t="s">
        <v>9</v>
      </c>
      <c r="E83" s="26" t="s">
        <v>13</v>
      </c>
      <c r="F83" s="30">
        <f>4851021+11149036+5220000-16000057</f>
        <v>5220000</v>
      </c>
      <c r="G83" s="27"/>
    </row>
    <row r="84" spans="1:7" ht="17.25" customHeight="1" x14ac:dyDescent="0.25">
      <c r="A84" s="12">
        <f t="shared" si="0"/>
        <v>65</v>
      </c>
      <c r="B84" s="43"/>
      <c r="C84" s="92" t="s">
        <v>21</v>
      </c>
      <c r="D84" s="93"/>
      <c r="E84" s="93"/>
      <c r="F84" s="21"/>
      <c r="G84" s="44"/>
    </row>
    <row r="85" spans="1:7" ht="27" customHeight="1" x14ac:dyDescent="0.25">
      <c r="A85" s="12">
        <f t="shared" si="0"/>
        <v>66</v>
      </c>
      <c r="B85" s="39"/>
      <c r="C85" s="48" t="s">
        <v>9</v>
      </c>
      <c r="D85" s="80" t="s">
        <v>75</v>
      </c>
      <c r="E85" s="80"/>
      <c r="F85" s="30"/>
      <c r="G85" s="21">
        <f>SUM(F86:F89)</f>
        <v>1023588</v>
      </c>
    </row>
    <row r="86" spans="1:7" ht="17.25" customHeight="1" x14ac:dyDescent="0.25">
      <c r="A86" s="12">
        <f t="shared" si="0"/>
        <v>67</v>
      </c>
      <c r="B86" s="41"/>
      <c r="C86" s="42"/>
      <c r="D86" s="45" t="s">
        <v>9</v>
      </c>
      <c r="E86" s="26" t="s">
        <v>18</v>
      </c>
      <c r="F86" s="37">
        <f>768000+1900000+703000-2668000</f>
        <v>703000</v>
      </c>
      <c r="G86" s="21"/>
    </row>
    <row r="87" spans="1:7" ht="17.25" customHeight="1" x14ac:dyDescent="0.25">
      <c r="A87" s="12">
        <f t="shared" si="0"/>
        <v>68</v>
      </c>
      <c r="B87" s="41"/>
      <c r="C87" s="42"/>
      <c r="D87" s="45" t="s">
        <v>9</v>
      </c>
      <c r="E87" s="26" t="s">
        <v>19</v>
      </c>
      <c r="F87" s="37">
        <f>168831+400000-568831</f>
        <v>0</v>
      </c>
      <c r="G87" s="21"/>
    </row>
    <row r="88" spans="1:7" ht="17.25" customHeight="1" x14ac:dyDescent="0.25">
      <c r="A88" s="12">
        <f t="shared" si="0"/>
        <v>69</v>
      </c>
      <c r="B88" s="41"/>
      <c r="C88" s="42"/>
      <c r="D88" s="45" t="s">
        <v>9</v>
      </c>
      <c r="E88" s="26" t="s">
        <v>13</v>
      </c>
      <c r="F88" s="30">
        <f>111151+1148898+140588-1260049</f>
        <v>140588</v>
      </c>
      <c r="G88" s="24"/>
    </row>
    <row r="89" spans="1:7" ht="17.25" customHeight="1" x14ac:dyDescent="0.25">
      <c r="A89" s="12"/>
      <c r="B89" s="41"/>
      <c r="C89" s="42"/>
      <c r="D89" s="29" t="s">
        <v>9</v>
      </c>
      <c r="E89" s="26" t="s">
        <v>15</v>
      </c>
      <c r="F89" s="30">
        <v>180000</v>
      </c>
      <c r="G89" s="24"/>
    </row>
    <row r="90" spans="1:7" s="17" customFormat="1" ht="17.25" customHeight="1" x14ac:dyDescent="0.25">
      <c r="A90" s="12">
        <f>A88+1</f>
        <v>70</v>
      </c>
      <c r="B90" s="43"/>
      <c r="C90" s="92" t="s">
        <v>22</v>
      </c>
      <c r="D90" s="93"/>
      <c r="E90" s="93"/>
      <c r="F90" s="21"/>
      <c r="G90" s="24"/>
    </row>
    <row r="91" spans="1:7" ht="17.25" customHeight="1" x14ac:dyDescent="0.25">
      <c r="A91" s="12">
        <f t="shared" si="0"/>
        <v>71</v>
      </c>
      <c r="B91" s="39"/>
      <c r="C91" s="46" t="s">
        <v>9</v>
      </c>
      <c r="D91" s="80" t="s">
        <v>74</v>
      </c>
      <c r="E91" s="80"/>
      <c r="F91" s="30"/>
      <c r="G91" s="21">
        <f>SUM(F92:F95)</f>
        <v>402548</v>
      </c>
    </row>
    <row r="92" spans="1:7" ht="17.25" customHeight="1" x14ac:dyDescent="0.25">
      <c r="A92" s="12">
        <f t="shared" si="0"/>
        <v>72</v>
      </c>
      <c r="B92" s="41"/>
      <c r="C92" s="42"/>
      <c r="D92" s="29" t="s">
        <v>9</v>
      </c>
      <c r="E92" s="26" t="s">
        <v>18</v>
      </c>
      <c r="F92" s="30">
        <f>20600000+200000+338582-20800000</f>
        <v>338582</v>
      </c>
      <c r="G92" s="30"/>
    </row>
    <row r="93" spans="1:7" ht="17.25" customHeight="1" x14ac:dyDescent="0.25">
      <c r="A93" s="12">
        <f t="shared" si="0"/>
        <v>73</v>
      </c>
      <c r="B93" s="41"/>
      <c r="C93" s="42"/>
      <c r="D93" s="29" t="s">
        <v>9</v>
      </c>
      <c r="E93" s="26" t="s">
        <v>19</v>
      </c>
      <c r="F93" s="30">
        <f>4015691+137784+21174-4153475</f>
        <v>21174</v>
      </c>
      <c r="G93" s="30"/>
    </row>
    <row r="94" spans="1:7" ht="17.25" customHeight="1" x14ac:dyDescent="0.25">
      <c r="A94" s="12">
        <f t="shared" si="0"/>
        <v>74</v>
      </c>
      <c r="B94" s="41"/>
      <c r="C94" s="42"/>
      <c r="D94" s="29" t="s">
        <v>9</v>
      </c>
      <c r="E94" s="26" t="s">
        <v>13</v>
      </c>
      <c r="F94" s="30">
        <f>6909825+482000+42792-7391825</f>
        <v>42792</v>
      </c>
      <c r="G94" s="30"/>
    </row>
    <row r="95" spans="1:7" ht="17.25" customHeight="1" x14ac:dyDescent="0.25">
      <c r="A95" s="12">
        <f t="shared" si="0"/>
        <v>75</v>
      </c>
      <c r="B95" s="41"/>
      <c r="C95" s="42"/>
      <c r="D95" s="29" t="s">
        <v>9</v>
      </c>
      <c r="E95" s="26" t="s">
        <v>15</v>
      </c>
      <c r="F95" s="30">
        <f>1977326+318000-2295326</f>
        <v>0</v>
      </c>
      <c r="G95" s="30"/>
    </row>
    <row r="96" spans="1:7" ht="17.25" customHeight="1" x14ac:dyDescent="0.25">
      <c r="A96" s="12">
        <f t="shared" si="0"/>
        <v>76</v>
      </c>
      <c r="B96" s="18"/>
      <c r="C96" s="92" t="s">
        <v>36</v>
      </c>
      <c r="D96" s="93"/>
      <c r="E96" s="93"/>
      <c r="F96" s="30"/>
      <c r="G96" s="30"/>
    </row>
    <row r="97" spans="1:7" ht="17.25" customHeight="1" x14ac:dyDescent="0.25">
      <c r="A97" s="12">
        <f t="shared" si="0"/>
        <v>77</v>
      </c>
      <c r="B97" s="18"/>
      <c r="C97" s="48" t="s">
        <v>9</v>
      </c>
      <c r="D97" s="80" t="s">
        <v>74</v>
      </c>
      <c r="E97" s="80"/>
      <c r="F97" s="30"/>
      <c r="G97" s="21">
        <f>SUM(F98:F102)</f>
        <v>0</v>
      </c>
    </row>
    <row r="98" spans="1:7" ht="17.25" customHeight="1" x14ac:dyDescent="0.25">
      <c r="A98" s="12">
        <f t="shared" si="0"/>
        <v>78</v>
      </c>
      <c r="B98" s="18"/>
      <c r="C98" s="42"/>
      <c r="D98" s="45" t="s">
        <v>9</v>
      </c>
      <c r="E98" s="26" t="s">
        <v>18</v>
      </c>
      <c r="F98" s="30">
        <f>4162862+4000000-8162862</f>
        <v>0</v>
      </c>
      <c r="G98" s="21"/>
    </row>
    <row r="99" spans="1:7" ht="17.25" customHeight="1" x14ac:dyDescent="0.25">
      <c r="A99" s="12">
        <f t="shared" si="0"/>
        <v>79</v>
      </c>
      <c r="B99" s="18"/>
      <c r="C99" s="42"/>
      <c r="D99" s="45" t="s">
        <v>9</v>
      </c>
      <c r="E99" s="26" t="s">
        <v>19</v>
      </c>
      <c r="F99" s="30">
        <f>820071+1641312-2461383</f>
        <v>0</v>
      </c>
      <c r="G99" s="30"/>
    </row>
    <row r="100" spans="1:7" ht="17.25" customHeight="1" x14ac:dyDescent="0.25">
      <c r="A100" s="12">
        <f t="shared" si="0"/>
        <v>80</v>
      </c>
      <c r="B100" s="41"/>
      <c r="C100" s="42"/>
      <c r="D100" s="29" t="s">
        <v>9</v>
      </c>
      <c r="E100" s="26" t="s">
        <v>13</v>
      </c>
      <c r="F100" s="30">
        <f>779273-779273</f>
        <v>0</v>
      </c>
      <c r="G100" s="30"/>
    </row>
    <row r="101" spans="1:7" ht="17.25" customHeight="1" x14ac:dyDescent="0.25">
      <c r="A101" s="12">
        <f t="shared" si="0"/>
        <v>81</v>
      </c>
      <c r="B101" s="41"/>
      <c r="C101" s="42"/>
      <c r="D101" s="29" t="s">
        <v>9</v>
      </c>
      <c r="E101" s="26" t="s">
        <v>15</v>
      </c>
      <c r="F101" s="30">
        <f>2808611-2808611</f>
        <v>0</v>
      </c>
      <c r="G101" s="30"/>
    </row>
    <row r="102" spans="1:7" ht="17.25" customHeight="1" x14ac:dyDescent="0.25">
      <c r="A102" s="12">
        <f t="shared" si="0"/>
        <v>82</v>
      </c>
      <c r="B102" s="41"/>
      <c r="C102" s="42"/>
      <c r="D102" s="29" t="s">
        <v>9</v>
      </c>
      <c r="E102" s="26" t="s">
        <v>76</v>
      </c>
      <c r="F102" s="30">
        <f>1600000-1600000</f>
        <v>0</v>
      </c>
      <c r="G102" s="30"/>
    </row>
    <row r="103" spans="1:7" ht="17.25" customHeight="1" x14ac:dyDescent="0.25">
      <c r="A103" s="12">
        <f t="shared" si="0"/>
        <v>83</v>
      </c>
      <c r="B103" s="41"/>
      <c r="C103" s="82" t="s">
        <v>73</v>
      </c>
      <c r="D103" s="91"/>
      <c r="E103" s="91"/>
      <c r="F103" s="30"/>
      <c r="G103" s="30">
        <f>SUM(G104:G130)</f>
        <v>0</v>
      </c>
    </row>
    <row r="104" spans="1:7" ht="12.75" customHeight="1" x14ac:dyDescent="0.25">
      <c r="A104" s="12">
        <f t="shared" si="0"/>
        <v>84</v>
      </c>
      <c r="B104" s="41"/>
      <c r="C104" s="85" t="s">
        <v>23</v>
      </c>
      <c r="D104" s="86"/>
      <c r="E104" s="86"/>
      <c r="F104" s="30"/>
      <c r="G104" s="21">
        <f>F106+F107</f>
        <v>-13923695</v>
      </c>
    </row>
    <row r="105" spans="1:7" ht="12.75" customHeight="1" x14ac:dyDescent="0.25">
      <c r="A105" s="12">
        <f t="shared" si="0"/>
        <v>85</v>
      </c>
      <c r="B105" s="39"/>
      <c r="C105" s="87"/>
      <c r="D105" s="88"/>
      <c r="E105" s="88"/>
      <c r="F105" s="22"/>
      <c r="G105" s="22">
        <f>F109+F108</f>
        <v>13923695</v>
      </c>
    </row>
    <row r="106" spans="1:7" ht="15.75" customHeight="1" x14ac:dyDescent="0.25">
      <c r="A106" s="12">
        <f t="shared" si="0"/>
        <v>86</v>
      </c>
      <c r="B106" s="43"/>
      <c r="C106" s="34"/>
      <c r="D106" s="29" t="s">
        <v>9</v>
      </c>
      <c r="E106" s="23" t="s">
        <v>11</v>
      </c>
      <c r="F106" s="30">
        <f>-3716046-11729500+3716046</f>
        <v>-11729500</v>
      </c>
      <c r="G106" s="49"/>
    </row>
    <row r="107" spans="1:7" ht="16.5" customHeight="1" x14ac:dyDescent="0.25">
      <c r="A107" s="12">
        <f t="shared" si="0"/>
        <v>87</v>
      </c>
      <c r="B107" s="43"/>
      <c r="C107" s="34"/>
      <c r="D107" s="29" t="s">
        <v>9</v>
      </c>
      <c r="E107" s="23" t="s">
        <v>12</v>
      </c>
      <c r="F107" s="27">
        <f>-725281-2194195+725281</f>
        <v>-2194195</v>
      </c>
      <c r="G107" s="50"/>
    </row>
    <row r="108" spans="1:7" ht="17.25" customHeight="1" x14ac:dyDescent="0.25">
      <c r="A108" s="12">
        <f t="shared" si="0"/>
        <v>88</v>
      </c>
      <c r="B108" s="43"/>
      <c r="C108" s="34"/>
      <c r="D108" s="29" t="s">
        <v>9</v>
      </c>
      <c r="E108" s="23" t="s">
        <v>13</v>
      </c>
      <c r="F108" s="27">
        <f>-2812150+12845528+2812150</f>
        <v>12845528</v>
      </c>
      <c r="G108" s="44"/>
    </row>
    <row r="109" spans="1:7" ht="17.25" customHeight="1" x14ac:dyDescent="0.25">
      <c r="A109" s="12">
        <f t="shared" si="0"/>
        <v>89</v>
      </c>
      <c r="B109" s="43"/>
      <c r="C109" s="34"/>
      <c r="D109" s="29" t="s">
        <v>9</v>
      </c>
      <c r="E109" s="23" t="s">
        <v>15</v>
      </c>
      <c r="F109" s="30">
        <f>7253477+1078167-7253477</f>
        <v>1078167</v>
      </c>
      <c r="G109" s="13"/>
    </row>
    <row r="110" spans="1:7" ht="14.25" customHeight="1" x14ac:dyDescent="0.25">
      <c r="A110" s="12">
        <f t="shared" si="0"/>
        <v>90</v>
      </c>
      <c r="B110" s="43"/>
      <c r="C110" s="85" t="s">
        <v>25</v>
      </c>
      <c r="D110" s="75"/>
      <c r="E110" s="89"/>
      <c r="F110" s="30"/>
      <c r="G110" s="13">
        <f>F112+F113</f>
        <v>-10755000</v>
      </c>
    </row>
    <row r="111" spans="1:7" ht="13.5" customHeight="1" x14ac:dyDescent="0.25">
      <c r="A111" s="12">
        <f t="shared" si="0"/>
        <v>91</v>
      </c>
      <c r="B111" s="43"/>
      <c r="C111" s="87"/>
      <c r="D111" s="88"/>
      <c r="E111" s="90"/>
      <c r="F111" s="30"/>
      <c r="G111" s="13">
        <f>F114+F115</f>
        <v>10755000</v>
      </c>
    </row>
    <row r="112" spans="1:7" ht="13.5" customHeight="1" x14ac:dyDescent="0.25">
      <c r="A112" s="12"/>
      <c r="B112" s="43"/>
      <c r="C112" s="42"/>
      <c r="D112" s="29" t="s">
        <v>9</v>
      </c>
      <c r="E112" s="26" t="s">
        <v>44</v>
      </c>
      <c r="F112" s="30">
        <v>-9000000</v>
      </c>
      <c r="G112" s="49"/>
    </row>
    <row r="113" spans="1:7" ht="13.5" customHeight="1" x14ac:dyDescent="0.25">
      <c r="A113" s="12"/>
      <c r="B113" s="43"/>
      <c r="C113" s="34"/>
      <c r="D113" s="29" t="s">
        <v>9</v>
      </c>
      <c r="E113" s="23" t="s">
        <v>12</v>
      </c>
      <c r="F113" s="30">
        <v>-1755000</v>
      </c>
      <c r="G113" s="49"/>
    </row>
    <row r="114" spans="1:7" ht="13.5" customHeight="1" x14ac:dyDescent="0.25">
      <c r="A114" s="12">
        <f>A111+1</f>
        <v>92</v>
      </c>
      <c r="B114" s="43"/>
      <c r="C114" s="42"/>
      <c r="D114" s="29" t="s">
        <v>9</v>
      </c>
      <c r="E114" s="26" t="s">
        <v>13</v>
      </c>
      <c r="F114" s="30">
        <f>-1109203+10755000+1109203</f>
        <v>10755000</v>
      </c>
      <c r="G114" s="49"/>
    </row>
    <row r="115" spans="1:7" ht="13.5" customHeight="1" x14ac:dyDescent="0.25">
      <c r="A115" s="12">
        <f t="shared" si="0"/>
        <v>93</v>
      </c>
      <c r="B115" s="43"/>
      <c r="C115" s="42"/>
      <c r="D115" s="29" t="s">
        <v>9</v>
      </c>
      <c r="E115" s="23" t="s">
        <v>15</v>
      </c>
      <c r="F115" s="30">
        <f>1109203-1109203</f>
        <v>0</v>
      </c>
      <c r="G115" s="49"/>
    </row>
    <row r="116" spans="1:7" ht="14.25" customHeight="1" x14ac:dyDescent="0.25">
      <c r="A116" s="12">
        <f t="shared" si="0"/>
        <v>94</v>
      </c>
      <c r="B116" s="43"/>
      <c r="C116" s="85" t="s">
        <v>42</v>
      </c>
      <c r="D116" s="75"/>
      <c r="E116" s="89"/>
      <c r="F116" s="30"/>
      <c r="G116" s="49">
        <f>F118</f>
        <v>0</v>
      </c>
    </row>
    <row r="117" spans="1:7" ht="14.25" customHeight="1" x14ac:dyDescent="0.25">
      <c r="A117" s="12">
        <f t="shared" si="0"/>
        <v>95</v>
      </c>
      <c r="B117" s="43"/>
      <c r="C117" s="87"/>
      <c r="D117" s="88"/>
      <c r="E117" s="90"/>
      <c r="F117" s="30"/>
      <c r="G117" s="49">
        <f>F119</f>
        <v>0</v>
      </c>
    </row>
    <row r="118" spans="1:7" ht="14.25" customHeight="1" x14ac:dyDescent="0.25">
      <c r="A118" s="12">
        <f t="shared" si="0"/>
        <v>96</v>
      </c>
      <c r="B118" s="43"/>
      <c r="C118" s="42"/>
      <c r="D118" s="29" t="s">
        <v>9</v>
      </c>
      <c r="E118" s="26" t="s">
        <v>24</v>
      </c>
      <c r="F118" s="30">
        <f>-23494+23494</f>
        <v>0</v>
      </c>
      <c r="G118" s="49"/>
    </row>
    <row r="119" spans="1:7" ht="14.25" customHeight="1" x14ac:dyDescent="0.25">
      <c r="A119" s="12">
        <f t="shared" si="0"/>
        <v>97</v>
      </c>
      <c r="B119" s="43"/>
      <c r="C119" s="42"/>
      <c r="D119" s="29" t="s">
        <v>9</v>
      </c>
      <c r="E119" s="23" t="s">
        <v>15</v>
      </c>
      <c r="F119" s="30">
        <f>23494-23494</f>
        <v>0</v>
      </c>
      <c r="G119" s="49"/>
    </row>
    <row r="120" spans="1:7" ht="14.25" customHeight="1" x14ac:dyDescent="0.25">
      <c r="A120" s="12">
        <f t="shared" si="0"/>
        <v>98</v>
      </c>
      <c r="B120" s="43"/>
      <c r="C120" s="85" t="s">
        <v>43</v>
      </c>
      <c r="D120" s="75"/>
      <c r="E120" s="89"/>
      <c r="F120" s="30"/>
      <c r="G120" s="49">
        <f>F122+F123+F124</f>
        <v>0</v>
      </c>
    </row>
    <row r="121" spans="1:7" ht="14.25" customHeight="1" x14ac:dyDescent="0.25">
      <c r="A121" s="12">
        <f t="shared" si="0"/>
        <v>99</v>
      </c>
      <c r="B121" s="43"/>
      <c r="C121" s="87"/>
      <c r="D121" s="88"/>
      <c r="E121" s="90"/>
      <c r="F121" s="30"/>
      <c r="G121" s="49">
        <f>F125</f>
        <v>0</v>
      </c>
    </row>
    <row r="122" spans="1:7" ht="14.25" customHeight="1" x14ac:dyDescent="0.25">
      <c r="A122" s="12">
        <f t="shared" si="0"/>
        <v>100</v>
      </c>
      <c r="B122" s="43"/>
      <c r="C122" s="42"/>
      <c r="D122" s="29" t="s">
        <v>9</v>
      </c>
      <c r="E122" s="26" t="s">
        <v>44</v>
      </c>
      <c r="F122" s="30">
        <f>-1600000+20200+1600000</f>
        <v>20200</v>
      </c>
      <c r="G122" s="49"/>
    </row>
    <row r="123" spans="1:7" ht="14.25" customHeight="1" x14ac:dyDescent="0.25">
      <c r="A123" s="12">
        <f t="shared" si="0"/>
        <v>101</v>
      </c>
      <c r="B123" s="43"/>
      <c r="C123" s="42"/>
      <c r="D123" s="29" t="s">
        <v>9</v>
      </c>
      <c r="E123" s="26" t="s">
        <v>12</v>
      </c>
      <c r="F123" s="30">
        <f>-311175-20200+311175</f>
        <v>-20200</v>
      </c>
      <c r="G123" s="49"/>
    </row>
    <row r="124" spans="1:7" ht="14.25" customHeight="1" x14ac:dyDescent="0.25">
      <c r="A124" s="12">
        <f t="shared" si="0"/>
        <v>102</v>
      </c>
      <c r="B124" s="43"/>
      <c r="C124" s="42"/>
      <c r="D124" s="29" t="s">
        <v>9</v>
      </c>
      <c r="E124" s="26" t="s">
        <v>24</v>
      </c>
      <c r="F124" s="30">
        <f>-3115773+3115773</f>
        <v>0</v>
      </c>
      <c r="G124" s="49"/>
    </row>
    <row r="125" spans="1:7" ht="14.25" customHeight="1" x14ac:dyDescent="0.25">
      <c r="A125" s="12">
        <f t="shared" si="0"/>
        <v>103</v>
      </c>
      <c r="B125" s="43"/>
      <c r="C125" s="42"/>
      <c r="D125" s="29" t="s">
        <v>9</v>
      </c>
      <c r="E125" s="26" t="s">
        <v>45</v>
      </c>
      <c r="F125" s="30">
        <f>5026948-5026948</f>
        <v>0</v>
      </c>
      <c r="G125" s="49"/>
    </row>
    <row r="126" spans="1:7" ht="13.5" customHeight="1" x14ac:dyDescent="0.25">
      <c r="A126" s="12">
        <f t="shared" si="0"/>
        <v>104</v>
      </c>
      <c r="B126" s="39"/>
      <c r="C126" s="85" t="s">
        <v>26</v>
      </c>
      <c r="D126" s="75"/>
      <c r="E126" s="89"/>
      <c r="F126" s="30"/>
      <c r="G126" s="13">
        <f>F128+F129</f>
        <v>1600000</v>
      </c>
    </row>
    <row r="127" spans="1:7" ht="13.5" customHeight="1" x14ac:dyDescent="0.25">
      <c r="A127" s="12">
        <f t="shared" si="0"/>
        <v>105</v>
      </c>
      <c r="B127" s="39"/>
      <c r="C127" s="87"/>
      <c r="D127" s="88"/>
      <c r="E127" s="90"/>
      <c r="F127" s="30"/>
      <c r="G127" s="13">
        <f>F130</f>
        <v>-1600000</v>
      </c>
    </row>
    <row r="128" spans="1:7" ht="15.75" customHeight="1" x14ac:dyDescent="0.25">
      <c r="A128" s="12">
        <f t="shared" si="0"/>
        <v>106</v>
      </c>
      <c r="B128" s="39"/>
      <c r="C128" s="42"/>
      <c r="D128" s="29" t="s">
        <v>9</v>
      </c>
      <c r="E128" s="26" t="s">
        <v>24</v>
      </c>
      <c r="F128" s="30">
        <f>-87495+1600000+87495</f>
        <v>1600000</v>
      </c>
      <c r="G128" s="13"/>
    </row>
    <row r="129" spans="1:8" ht="15.75" customHeight="1" x14ac:dyDescent="0.25">
      <c r="A129" s="12"/>
      <c r="B129" s="39"/>
      <c r="C129" s="42"/>
      <c r="D129" s="51" t="s">
        <v>9</v>
      </c>
      <c r="E129" s="26" t="s">
        <v>45</v>
      </c>
      <c r="F129" s="30">
        <f>87495-87495</f>
        <v>0</v>
      </c>
      <c r="G129" s="13"/>
    </row>
    <row r="130" spans="1:8" ht="15.75" customHeight="1" x14ac:dyDescent="0.25">
      <c r="A130" s="12">
        <f>A128+1</f>
        <v>107</v>
      </c>
      <c r="B130" s="39"/>
      <c r="C130" s="42"/>
      <c r="D130" s="51" t="s">
        <v>9</v>
      </c>
      <c r="E130" s="26" t="s">
        <v>76</v>
      </c>
      <c r="F130" s="30">
        <v>-1600000</v>
      </c>
      <c r="G130" s="13"/>
    </row>
    <row r="131" spans="1:8" ht="17.25" customHeight="1" x14ac:dyDescent="0.25">
      <c r="A131" s="12">
        <f t="shared" si="0"/>
        <v>108</v>
      </c>
      <c r="B131" s="39"/>
      <c r="C131" s="82" t="s">
        <v>34</v>
      </c>
      <c r="D131" s="91"/>
      <c r="E131" s="91"/>
      <c r="F131" s="30"/>
      <c r="G131" s="13">
        <f>F135+F136</f>
        <v>26278695</v>
      </c>
    </row>
    <row r="132" spans="1:8" ht="17.25" customHeight="1" x14ac:dyDescent="0.25">
      <c r="A132" s="12">
        <f t="shared" si="0"/>
        <v>109</v>
      </c>
      <c r="B132" s="39"/>
      <c r="C132" s="91"/>
      <c r="D132" s="91"/>
      <c r="E132" s="91"/>
      <c r="F132" s="30"/>
      <c r="G132" s="13">
        <f>F133+F134+F137</f>
        <v>-26278695</v>
      </c>
    </row>
    <row r="133" spans="1:8" ht="15" customHeight="1" x14ac:dyDescent="0.25">
      <c r="A133" s="12">
        <f t="shared" si="0"/>
        <v>110</v>
      </c>
      <c r="B133" s="39"/>
      <c r="C133" s="42"/>
      <c r="D133" s="25" t="s">
        <v>9</v>
      </c>
      <c r="E133" s="26" t="s">
        <v>11</v>
      </c>
      <c r="F133" s="30">
        <f>F106+F122+F112</f>
        <v>-20709300</v>
      </c>
      <c r="G133" s="13"/>
    </row>
    <row r="134" spans="1:8" ht="17.25" customHeight="1" x14ac:dyDescent="0.25">
      <c r="A134" s="12">
        <f t="shared" si="0"/>
        <v>111</v>
      </c>
      <c r="B134" s="39"/>
      <c r="C134" s="42"/>
      <c r="D134" s="25" t="s">
        <v>9</v>
      </c>
      <c r="E134" s="26" t="s">
        <v>12</v>
      </c>
      <c r="F134" s="30">
        <f>F107+F123+F113</f>
        <v>-3969395</v>
      </c>
      <c r="G134" s="37"/>
    </row>
    <row r="135" spans="1:8" ht="17.25" customHeight="1" x14ac:dyDescent="0.25">
      <c r="A135" s="12">
        <f t="shared" si="0"/>
        <v>112</v>
      </c>
      <c r="B135" s="39"/>
      <c r="C135" s="42"/>
      <c r="D135" s="25" t="s">
        <v>9</v>
      </c>
      <c r="E135" s="26" t="s">
        <v>24</v>
      </c>
      <c r="F135" s="30">
        <f>F108+F114+F118+F124+F128</f>
        <v>25200528</v>
      </c>
      <c r="G135" s="37"/>
    </row>
    <row r="136" spans="1:8" ht="17.25" customHeight="1" x14ac:dyDescent="0.25">
      <c r="A136" s="12">
        <f t="shared" si="0"/>
        <v>113</v>
      </c>
      <c r="B136" s="39"/>
      <c r="C136" s="42"/>
      <c r="D136" s="29" t="s">
        <v>9</v>
      </c>
      <c r="E136" s="26" t="s">
        <v>15</v>
      </c>
      <c r="F136" s="30">
        <f>F109+F115+F119+F125+F129</f>
        <v>1078167</v>
      </c>
      <c r="G136" s="37"/>
    </row>
    <row r="137" spans="1:8" ht="17.25" customHeight="1" x14ac:dyDescent="0.25">
      <c r="A137" s="12"/>
      <c r="B137" s="39"/>
      <c r="C137" s="42"/>
      <c r="D137" s="51" t="s">
        <v>9</v>
      </c>
      <c r="E137" s="26" t="s">
        <v>76</v>
      </c>
      <c r="F137" s="30">
        <f>F130</f>
        <v>-1600000</v>
      </c>
      <c r="G137" s="37"/>
    </row>
    <row r="138" spans="1:8" ht="17.25" customHeight="1" x14ac:dyDescent="0.25">
      <c r="A138" s="12">
        <f>A136+1</f>
        <v>114</v>
      </c>
      <c r="B138" s="52"/>
      <c r="C138" s="82" t="s">
        <v>35</v>
      </c>
      <c r="D138" s="82"/>
      <c r="E138" s="82"/>
      <c r="F138" s="21"/>
      <c r="G138" s="21">
        <f>SUM(G74:G102)</f>
        <v>27296446</v>
      </c>
    </row>
    <row r="139" spans="1:8" ht="17.25" customHeight="1" x14ac:dyDescent="0.25">
      <c r="A139" s="12">
        <f t="shared" si="0"/>
        <v>115</v>
      </c>
      <c r="B139" s="52"/>
      <c r="C139" s="82" t="s">
        <v>27</v>
      </c>
      <c r="D139" s="82"/>
      <c r="E139" s="82"/>
      <c r="F139" s="21"/>
      <c r="G139" s="21">
        <f>G45</f>
        <v>1631645</v>
      </c>
    </row>
    <row r="140" spans="1:8" ht="17.25" customHeight="1" x14ac:dyDescent="0.25">
      <c r="A140" s="12">
        <f t="shared" si="0"/>
        <v>116</v>
      </c>
      <c r="B140" s="35" t="s">
        <v>28</v>
      </c>
      <c r="C140" s="47"/>
      <c r="D140" s="47"/>
      <c r="E140" s="47"/>
      <c r="F140" s="47"/>
      <c r="G140" s="21">
        <f>SUM(G138)</f>
        <v>27296446</v>
      </c>
    </row>
    <row r="141" spans="1:8" ht="17.25" customHeight="1" x14ac:dyDescent="0.25">
      <c r="A141" s="12">
        <f t="shared" si="0"/>
        <v>117</v>
      </c>
      <c r="B141" s="47" t="s">
        <v>29</v>
      </c>
      <c r="C141" s="53"/>
      <c r="D141" s="53"/>
      <c r="E141" s="54"/>
      <c r="F141" s="69"/>
      <c r="G141" s="21">
        <f>G59+G140</f>
        <v>258762366</v>
      </c>
    </row>
    <row r="142" spans="1:8" ht="17.25" customHeight="1" x14ac:dyDescent="0.25">
      <c r="A142" s="12">
        <f>A141+1</f>
        <v>118</v>
      </c>
      <c r="B142" s="83" t="s">
        <v>79</v>
      </c>
      <c r="C142" s="71"/>
      <c r="D142" s="71"/>
      <c r="E142" s="84"/>
      <c r="F142" s="67"/>
      <c r="G142" s="21">
        <f>G11+G59+G140</f>
        <v>5796703154</v>
      </c>
    </row>
    <row r="143" spans="1:8" ht="17.25" customHeight="1" x14ac:dyDescent="0.25">
      <c r="F143" s="3"/>
      <c r="G143" s="3"/>
    </row>
    <row r="144" spans="1:8" ht="17.25" customHeight="1" x14ac:dyDescent="0.25">
      <c r="F144" s="3"/>
      <c r="G144" s="3"/>
      <c r="H144" s="55"/>
    </row>
    <row r="145" spans="3:7" ht="17.25" customHeight="1" x14ac:dyDescent="0.25">
      <c r="C145" s="17"/>
      <c r="D145" s="17"/>
      <c r="E145" s="17"/>
      <c r="F145" s="3"/>
      <c r="G145" s="3"/>
    </row>
    <row r="146" spans="3:7" ht="17.25" customHeight="1" x14ac:dyDescent="0.25">
      <c r="C146" s="17"/>
      <c r="D146" s="17"/>
      <c r="E146" s="17"/>
      <c r="F146" s="3"/>
      <c r="G146" s="3"/>
    </row>
    <row r="147" spans="3:7" s="17" customFormat="1" ht="17.25" customHeight="1" x14ac:dyDescent="0.25"/>
    <row r="148" spans="3:7" s="17" customFormat="1" ht="17.25" customHeight="1" x14ac:dyDescent="0.25"/>
    <row r="149" spans="3:7" s="17" customFormat="1" ht="17.25" customHeight="1" x14ac:dyDescent="0.25"/>
    <row r="150" spans="3:7" s="17" customFormat="1" ht="17.25" customHeight="1" x14ac:dyDescent="0.25">
      <c r="C150" s="3"/>
      <c r="D150" s="3"/>
      <c r="E150" s="3"/>
    </row>
    <row r="151" spans="3:7" s="17" customFormat="1" ht="17.25" customHeight="1" x14ac:dyDescent="0.25">
      <c r="C151" s="3"/>
      <c r="D151" s="3"/>
      <c r="E151" s="3"/>
    </row>
    <row r="168" spans="2:7" s="56" customFormat="1" ht="17.25" customHeight="1" x14ac:dyDescent="0.25">
      <c r="B168" s="3"/>
      <c r="C168" s="3"/>
      <c r="D168" s="3"/>
      <c r="E168" s="3"/>
      <c r="F168" s="4"/>
      <c r="G168" s="5"/>
    </row>
    <row r="169" spans="2:7" s="56" customFormat="1" ht="17.25" customHeight="1" x14ac:dyDescent="0.25">
      <c r="B169" s="3"/>
      <c r="C169" s="3"/>
      <c r="D169" s="3"/>
      <c r="E169" s="3"/>
      <c r="F169" s="4"/>
      <c r="G169" s="5"/>
    </row>
    <row r="170" spans="2:7" s="56" customFormat="1" ht="17.25" customHeight="1" x14ac:dyDescent="0.25">
      <c r="B170" s="3"/>
      <c r="C170" s="3"/>
      <c r="D170" s="3"/>
      <c r="E170" s="3"/>
      <c r="F170" s="4"/>
      <c r="G170" s="5"/>
    </row>
    <row r="174" spans="2:7" s="41" customFormat="1" ht="17.25" customHeight="1" x14ac:dyDescent="0.25">
      <c r="B174" s="3"/>
      <c r="C174" s="3"/>
      <c r="D174" s="3"/>
      <c r="E174" s="3"/>
      <c r="F174" s="4"/>
      <c r="G174" s="5"/>
    </row>
    <row r="180" spans="2:7" s="56" customFormat="1" ht="17.25" customHeight="1" x14ac:dyDescent="0.25">
      <c r="B180" s="3"/>
      <c r="C180" s="3"/>
      <c r="D180" s="3"/>
      <c r="E180" s="3"/>
      <c r="F180" s="4"/>
      <c r="G180" s="5"/>
    </row>
    <row r="181" spans="2:7" s="56" customFormat="1" ht="17.25" customHeight="1" x14ac:dyDescent="0.25">
      <c r="B181" s="3"/>
      <c r="C181" s="3"/>
      <c r="D181" s="3"/>
      <c r="E181" s="3"/>
      <c r="F181" s="4"/>
      <c r="G181" s="5"/>
    </row>
  </sheetData>
  <mergeCells count="84">
    <mergeCell ref="D19:E19"/>
    <mergeCell ref="D25:E25"/>
    <mergeCell ref="D26:E26"/>
    <mergeCell ref="D32:E32"/>
    <mergeCell ref="D33:E33"/>
    <mergeCell ref="D34:E34"/>
    <mergeCell ref="C29:E29"/>
    <mergeCell ref="D24:E24"/>
    <mergeCell ref="C59:E59"/>
    <mergeCell ref="D60:E60"/>
    <mergeCell ref="D61:E61"/>
    <mergeCell ref="D63:E63"/>
    <mergeCell ref="D64:E64"/>
    <mergeCell ref="D62:E62"/>
    <mergeCell ref="D17:E17"/>
    <mergeCell ref="D15:E15"/>
    <mergeCell ref="D68:E68"/>
    <mergeCell ref="D42:E42"/>
    <mergeCell ref="A1:G1"/>
    <mergeCell ref="A4:G4"/>
    <mergeCell ref="A5:G5"/>
    <mergeCell ref="B11:E11"/>
    <mergeCell ref="C12:E12"/>
    <mergeCell ref="D67:E67"/>
    <mergeCell ref="D16:E16"/>
    <mergeCell ref="C13:E13"/>
    <mergeCell ref="D14:E14"/>
    <mergeCell ref="C45:E45"/>
    <mergeCell ref="D28:E28"/>
    <mergeCell ref="D31:E31"/>
    <mergeCell ref="D37:E37"/>
    <mergeCell ref="D38:E38"/>
    <mergeCell ref="D30:E30"/>
    <mergeCell ref="D40:E40"/>
    <mergeCell ref="D41:E41"/>
    <mergeCell ref="C20:E20"/>
    <mergeCell ref="C46:E46"/>
    <mergeCell ref="D47:E47"/>
    <mergeCell ref="C35:E35"/>
    <mergeCell ref="D43:E43"/>
    <mergeCell ref="C27:E27"/>
    <mergeCell ref="D44:E44"/>
    <mergeCell ref="D36:E36"/>
    <mergeCell ref="D56:E56"/>
    <mergeCell ref="D39:E39"/>
    <mergeCell ref="D58:E58"/>
    <mergeCell ref="A69:G69"/>
    <mergeCell ref="B72:E72"/>
    <mergeCell ref="C73:E73"/>
    <mergeCell ref="D57:E57"/>
    <mergeCell ref="D53:E53"/>
    <mergeCell ref="D54:E54"/>
    <mergeCell ref="F48:F49"/>
    <mergeCell ref="C79:E79"/>
    <mergeCell ref="D74:E74"/>
    <mergeCell ref="D65:E65"/>
    <mergeCell ref="D66:E66"/>
    <mergeCell ref="D80:E80"/>
    <mergeCell ref="C84:E84"/>
    <mergeCell ref="D85:E85"/>
    <mergeCell ref="C90:E90"/>
    <mergeCell ref="D91:E91"/>
    <mergeCell ref="C96:E96"/>
    <mergeCell ref="D97:E97"/>
    <mergeCell ref="C103:E103"/>
    <mergeCell ref="C138:E138"/>
    <mergeCell ref="C139:E139"/>
    <mergeCell ref="B142:E142"/>
    <mergeCell ref="C104:E105"/>
    <mergeCell ref="C110:E111"/>
    <mergeCell ref="C116:E117"/>
    <mergeCell ref="C120:E121"/>
    <mergeCell ref="C126:E127"/>
    <mergeCell ref="C131:E132"/>
    <mergeCell ref="D52:E52"/>
    <mergeCell ref="D55:E55"/>
    <mergeCell ref="D50:E50"/>
    <mergeCell ref="D51:E51"/>
    <mergeCell ref="C48:E49"/>
    <mergeCell ref="B10:E10"/>
    <mergeCell ref="D18:E18"/>
    <mergeCell ref="D23:E23"/>
    <mergeCell ref="D21:E21"/>
    <mergeCell ref="D22:E22"/>
  </mergeCells>
  <phoneticPr fontId="25" type="noConversion"/>
  <pageMargins left="0" right="0" top="0" bottom="0" header="0" footer="0"/>
  <pageSetup paperSize="9" scale="70" orientation="portrait" r:id="rId1"/>
  <headerFooter alignWithMargins="0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nem épül be az egységesbe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2018-11-30T07:53:08Z</dcterms:modified>
</cp:coreProperties>
</file>