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.a" sheetId="15" r:id="rId15"/>
    <sheet name="13.b" sheetId="16" r:id="rId16"/>
    <sheet name="14" sheetId="17" r:id="rId17"/>
    <sheet name="15" sheetId="18" r:id="rId18"/>
  </sheets>
  <externalReferences>
    <externalReference r:id="rId21"/>
  </externalReferences>
  <definedNames>
    <definedName name="_xlnm.Print_Titles" localSheetId="12">'11'!$1:$3</definedName>
    <definedName name="_xlnm.Print_Titles" localSheetId="14">'13.a'!$1:$1</definedName>
    <definedName name="_xlnm.Print_Titles" localSheetId="15">'13.b'!$1:$1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Area" localSheetId="2">'3'!$A$1:$K$68</definedName>
    <definedName name="_xlnm.Print_Area" localSheetId="5">'5.a'!$A$1:$O$121</definedName>
    <definedName name="_xlnm.Print_Area" localSheetId="7">'6.a'!$A$1:$Q$675</definedName>
    <definedName name="_xlnm.Print_Area" localSheetId="10">'9'!$A$5:$O$9</definedName>
  </definedNames>
  <calcPr fullCalcOnLoad="1"/>
</workbook>
</file>

<file path=xl/sharedStrings.xml><?xml version="1.0" encoding="utf-8"?>
<sst xmlns="http://schemas.openxmlformats.org/spreadsheetml/2006/main" count="1849" uniqueCount="1405">
  <si>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</si>
  <si>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</si>
  <si>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</si>
  <si>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</si>
  <si>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</si>
  <si>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</si>
  <si>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</si>
  <si>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</si>
  <si>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</si>
  <si>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Zalaegerszegi GESZ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</si>
  <si>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</si>
  <si>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</si>
  <si>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</si>
  <si>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</si>
  <si>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</si>
  <si>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</si>
  <si>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</si>
  <si>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</si>
  <si>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</si>
  <si>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</si>
  <si>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Zalaegerszegi Turisztikai Hivatal és Információs Iroda</t>
  </si>
  <si>
    <t>Hevesi Sándor Színház</t>
  </si>
  <si>
    <t>Griff Bábszínház</t>
  </si>
  <si>
    <t>Városi Sportlétesítmények Gondnoksága</t>
  </si>
  <si>
    <t xml:space="preserve"> - Városi Strandfürdő és Fedett uszoda műk.  támogatása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</si>
  <si>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</si>
  <si>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</si>
  <si>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</si>
  <si>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</si>
  <si>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</si>
  <si>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</si>
  <si>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</si>
  <si>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</si>
  <si>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</si>
  <si>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</si>
  <si>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</si>
  <si>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</si>
  <si>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>Városépítészet összesen:</t>
  </si>
  <si>
    <t xml:space="preserve">Vagyonkezelési feladatok </t>
  </si>
  <si>
    <t xml:space="preserve"> - helyiséggazdálkodás kiadásai</t>
  </si>
  <si>
    <t xml:space="preserve"> - önk. által kezelt ing.közös ktg.közüz.díj</t>
  </si>
  <si>
    <t xml:space="preserve"> - Zala Open Táncbajnokság megrendezéséhez támogatás</t>
  </si>
  <si>
    <t xml:space="preserve">        címpótlék a szociális intézményekben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</si>
  <si>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</si>
  <si>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</si>
  <si>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</si>
  <si>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</si>
  <si>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</si>
  <si>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</si>
  <si>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</si>
  <si>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</si>
  <si>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</si>
  <si>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</si>
  <si>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 xml:space="preserve">1. </t>
  </si>
  <si>
    <t>Zalaegerszeg Megyei Jogú Város Polgármesteri Hivatala</t>
  </si>
  <si>
    <t>Fogyasztási helyek:</t>
  </si>
  <si>
    <t xml:space="preserve"> Zalaegerszegi Ady Endre Általános Iskola, Gimnázium és Alapfokú Művészeti Iskola  (Kisfaludy u. 2.)</t>
  </si>
  <si>
    <t xml:space="preserve"> Zalaegerszegi Belvárosi Magyar-Angol Két Tanítási Nyelvű Általános Iskola (Kosztolányi u. 17-21)</t>
  </si>
  <si>
    <t xml:space="preserve"> Zalaegerszegi Belvárosi Magyar-Angol Két Tanítási Nyelvű Általános Iskola  Dózsa György Tagiskolája (Kis u. 6)</t>
  </si>
  <si>
    <t xml:space="preserve"> Zalaegerszegi Kertvárosi Általános Iskola (Köztársaság u. 68.)</t>
  </si>
  <si>
    <t xml:space="preserve"> Zalaegerszegi Kertvárosi Általános Iskola Liszt Ferenc Tagiskolája (Varkaus tér)</t>
  </si>
  <si>
    <t xml:space="preserve"> Landorhegyi Sportiskolai Általános Iskola (Landorhegyi u. 12.)</t>
  </si>
  <si>
    <t xml:space="preserve"> Béke ligeti Általános Iskola, Speciális Szakiskola és Egységes Gyógypedagógiai Módszertani Intézmény  Béke liget 6. (csak villamos energia)</t>
  </si>
  <si>
    <t>084031 Civil szervezetek műk. támogatása</t>
  </si>
  <si>
    <t xml:space="preserve"> -  Ocean's Seven sorozat támogatása (ZKSE)</t>
  </si>
  <si>
    <t xml:space="preserve"> - ZTE ZÁÉV Női Teke Klub támogatása</t>
  </si>
  <si>
    <t xml:space="preserve"> - ZTE Női Kosárlabda Klub támogatása</t>
  </si>
  <si>
    <t xml:space="preserve"> - Zalaegerszegi Vívó Egylet támogatása</t>
  </si>
  <si>
    <t xml:space="preserve"> - Zalaegerszegi Kerékpáros SE támogatása</t>
  </si>
  <si>
    <t xml:space="preserve"> - Göcsej Sportklub támogatása</t>
  </si>
  <si>
    <t xml:space="preserve"> - VERSO projekt </t>
  </si>
  <si>
    <t>Beruházási kiadások:</t>
  </si>
  <si>
    <t>2014. évről áthúzódó feladatok</t>
  </si>
  <si>
    <t>Hevesi Sándor Színházban szőnyeg beszerzés</t>
  </si>
  <si>
    <t>Sportcentrumban felépülő 111 x 72 m méretű műfüves labdarúgó pálya építés pályázati önerő és egyéb feladatok</t>
  </si>
  <si>
    <t>Belvárosi I.sz.Óvoda Mikes tagóvoda részére pe.átadás belső felújításhoz</t>
  </si>
  <si>
    <t>Főépítészi feladatok működési kiadásai</t>
  </si>
  <si>
    <t>Állatmenhely szennyvízbekötése</t>
  </si>
  <si>
    <t>Telekalja u.csapadékvíz elvezetés</t>
  </si>
  <si>
    <t>2.a/1.</t>
  </si>
  <si>
    <t>"Ivóvízminőség javítása" KEOP pályázathoz Önerő alap támogatás átadása</t>
  </si>
  <si>
    <t>2.a/2.</t>
  </si>
  <si>
    <t>Parkolóépítés parkolómegváltás bevételéből</t>
  </si>
  <si>
    <t>Liget utca 0651/65 hrsz.magánerős útépítés</t>
  </si>
  <si>
    <t>5.a/6</t>
  </si>
  <si>
    <t>Intézményi fejlesztések előkészítési munkái (tervezési, bonyolítási,  műszaki ellenőrzési díjak és kivitelezés)</t>
  </si>
  <si>
    <t>4.a/8</t>
  </si>
  <si>
    <t>4.a/9</t>
  </si>
  <si>
    <t>4.a/10</t>
  </si>
  <si>
    <t>4.a/11</t>
  </si>
  <si>
    <t>4.a/12</t>
  </si>
  <si>
    <t>8.a/2</t>
  </si>
  <si>
    <t>8.a/3</t>
  </si>
  <si>
    <t>8.a/4</t>
  </si>
  <si>
    <t>Társasház felújításához pénzeszköz átadás Kossuth L.u. 32. sz.társasház részére</t>
  </si>
  <si>
    <t>Városépítészet működési kiadások:</t>
  </si>
  <si>
    <t xml:space="preserve"> Beruházási kiadások </t>
  </si>
  <si>
    <t xml:space="preserve">Út, járda, parkoló </t>
  </si>
  <si>
    <t>Duális képzőközpont kialakítása</t>
  </si>
  <si>
    <t>6.a/1</t>
  </si>
  <si>
    <t>6.a/2</t>
  </si>
  <si>
    <t>6.a/3</t>
  </si>
  <si>
    <t>6.b/16</t>
  </si>
  <si>
    <t>Szociális városrehabilitáció területszerzés, -rendezés, bontás</t>
  </si>
  <si>
    <t>Társasházi felúj.alap átadása LÉSZ Kft. részére (Széchenyi tér 4-6.)</t>
  </si>
  <si>
    <t>Kossuth L.u. 45.  felújítás</t>
  </si>
  <si>
    <t>Gébárti kézművesház támfalbontás</t>
  </si>
  <si>
    <t xml:space="preserve"> - rendezett tanácsú várossá nyilvánítás 130. évfordulója</t>
  </si>
  <si>
    <t>B7.</t>
  </si>
  <si>
    <t>7.a./3</t>
  </si>
  <si>
    <t xml:space="preserve">                                              4 hóra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</si>
  <si>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</si>
  <si>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</si>
  <si>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- V. Zegasztár megrendezése</t>
  </si>
  <si>
    <t xml:space="preserve">  (2) Mesterpedagódus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</si>
  <si>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</si>
  <si>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2015. évi  eredeti előirányzat</t>
  </si>
  <si>
    <t xml:space="preserve"> - megélhetési támogatás</t>
  </si>
  <si>
    <t xml:space="preserve"> - gyermekétkeztetési támogatás</t>
  </si>
  <si>
    <t xml:space="preserve"> - rendkívüli települési támogatás</t>
  </si>
  <si>
    <t xml:space="preserve"> - adósságrendezési támogatás</t>
  </si>
  <si>
    <t xml:space="preserve"> - gyógyszertámogatás</t>
  </si>
  <si>
    <t xml:space="preserve"> - adósságcsökkentési támogatás</t>
  </si>
  <si>
    <t xml:space="preserve"> - úszásoktatás támogatása</t>
  </si>
  <si>
    <t xml:space="preserve">               </t>
  </si>
  <si>
    <t xml:space="preserve"> - Holokauszt Emlékév és állandó kiállítás</t>
  </si>
  <si>
    <t xml:space="preserve"> - Egervári várkastéllyal való együttműködés</t>
  </si>
  <si>
    <t xml:space="preserve"> - Keleti harcművészeti egyesület támogatása</t>
  </si>
  <si>
    <t>Rádió frekvencia indítása</t>
  </si>
  <si>
    <t xml:space="preserve"> - ünnepi díszkivilágítás szerelés és bővítés</t>
  </si>
  <si>
    <t>Közösségi tér fejlesztése Zalabesenyőben</t>
  </si>
  <si>
    <t>Elektromos töltőállomás</t>
  </si>
  <si>
    <t xml:space="preserve">Tehermentesítő út II. ütem építéséhez kapcsolódó közműépítések                                                             </t>
  </si>
  <si>
    <t xml:space="preserve">Kosztolányi u. kétirányúsítása                                    </t>
  </si>
  <si>
    <t>Szeretet  és Cédrus út felújítás</t>
  </si>
  <si>
    <t xml:space="preserve">Közvilágítás korszerűsítés Zalaegerszeg I. (KEOP-5.5.0/A/12-2013-0191)                                             </t>
  </si>
  <si>
    <t>Aquaparkban  fejlesztés és felújítás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</si>
  <si>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</si>
  <si>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</si>
  <si>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</si>
  <si>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Szent István szobor ünnepség</t>
  </si>
  <si>
    <t xml:space="preserve"> - díszokleveles pedagógusok ünnepsége és jutalmazása</t>
  </si>
  <si>
    <t xml:space="preserve"> -VIII Fazekas-keramikus találkozó</t>
  </si>
  <si>
    <t xml:space="preserve">         2015. évi közösségi, művészeti pályázatok</t>
  </si>
  <si>
    <t xml:space="preserve"> - VII. Zalaegerszegi Kórusfesztivál</t>
  </si>
  <si>
    <t xml:space="preserve"> - Ezer Lámpás Éjszakája rendezvény támogatása</t>
  </si>
  <si>
    <t xml:space="preserve"> - várostörténeti konferencia</t>
  </si>
  <si>
    <t>Zalaegerszegi Landorhegyi Óvoda  Űrhajós utcai Székhelyóvoda (csak villamos energia)</t>
  </si>
  <si>
    <t>Tartalék összesen:</t>
  </si>
  <si>
    <t xml:space="preserve"> - ZALAVÍZ Zrt. befizetése</t>
  </si>
  <si>
    <t xml:space="preserve"> - volt laktanyával kapcsolatos bevétel</t>
  </si>
  <si>
    <t>Önkormányzat tulajdonában lévő lakóépületek (lakások)  teljes vagy részleges  felújítása, korszerűsítése  (Lakásalap)</t>
  </si>
  <si>
    <t>Összesen:</t>
  </si>
  <si>
    <t>Működési célú támogatások áht-n belülről</t>
  </si>
  <si>
    <t>Felhalmozási célú támogatások áht-n belülről</t>
  </si>
  <si>
    <t>Közhatalmi bevételek</t>
  </si>
  <si>
    <t xml:space="preserve">    Városi Hangverseny- és Kiállítóterem (csak villamos energia)</t>
  </si>
  <si>
    <t xml:space="preserve">     Kézműves Ház (Gébárt) (csak villamos energia)</t>
  </si>
  <si>
    <t xml:space="preserve">     Családi Intézet (csak villamos energia)</t>
  </si>
  <si>
    <t xml:space="preserve">     Zalaegerszegi Turisztikai Hivatal és Információs Iroda (csak villamos energia)</t>
  </si>
  <si>
    <t xml:space="preserve">Hevesi Sándor Színház  </t>
  </si>
  <si>
    <t>- Deák Ferenc Megyei és Városi Könyvtár Deák Ferenc tér 6. (gáz és villamos energia)</t>
  </si>
  <si>
    <t xml:space="preserve">- Keresztury Ház Bartók Béla u. 60.(csak villamos energia) </t>
  </si>
  <si>
    <t>- Göcsej Múzeum Batthyány u. 2. (gáz és villamos energia)</t>
  </si>
  <si>
    <t>- Vendégszoba Várkör 3. (csak villamos energia)</t>
  </si>
  <si>
    <t>- Göcsej Falumúzeum és Finnugor Néprajzi Park Falumúzeum u. 18.(csak villamos energia)</t>
  </si>
  <si>
    <t>Ellátottak pénzbeli juttatásai</t>
  </si>
  <si>
    <t>Egyéb felhalmo-zási célú kiadások</t>
  </si>
  <si>
    <t xml:space="preserve"> - belterületi fás szárú növények fenntartási munkái</t>
  </si>
  <si>
    <t xml:space="preserve"> - játszóterek fenntartása, karbantartása</t>
  </si>
  <si>
    <t>Sorszám</t>
  </si>
  <si>
    <t>Cím</t>
  </si>
  <si>
    <t>Elnyert forrás</t>
  </si>
  <si>
    <t>Saját erő</t>
  </si>
  <si>
    <t>Összköltség</t>
  </si>
  <si>
    <t>III. Települési önkormányzatok szociális és gyermekjóléti feladatainak támogatása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</si>
  <si>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</si>
  <si>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</si>
  <si>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</si>
  <si>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</si>
  <si>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>Közvilágítás energiatakarékos átalakítása Zalaegerszegen II. ütem (KEOP-5.5.0/A/12-2013-0182)</t>
  </si>
  <si>
    <t>Zalaegerszeg, elővárosi közlekedés fejlesztése (KÖZOP-5.5.0-09-11-2012-0016)</t>
  </si>
  <si>
    <t>Zalaegerszeg, intermodális közösségi közlekedési csomópont létesítése (KÖZOP-5.5.0-09-11-2012-0019)</t>
  </si>
  <si>
    <t>LÉSZ Kft. telephely útcsatlakozás és szervízút építés</t>
  </si>
  <si>
    <t xml:space="preserve">      Bölcsödei ellátás fogyatékos gyermek</t>
  </si>
  <si>
    <t>Szociális városrehabilitáció Zalaegerszegen (NYDOP-3.1.1/B2-12-k1-2013-0001)</t>
  </si>
  <si>
    <t>Természettudományos oktatás eszközrendszerének és módszertanának fejlesztése a Kölcsey Ferenc Gimnáziumban (TÁMOP 3.1.3.-11/2-2012-0023 )</t>
  </si>
  <si>
    <t>2012</t>
  </si>
  <si>
    <t>Önkormányzat által irányított költségvetési szervek:</t>
  </si>
  <si>
    <t>2011</t>
  </si>
  <si>
    <t xml:space="preserve">Költségvetési szervek összesen: 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</si>
  <si>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</si>
  <si>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</si>
  <si>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</si>
  <si>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</si>
  <si>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korábban kiutalt támogatás, előleg</t>
  </si>
  <si>
    <t xml:space="preserve"> - közterületi reklám bevétel</t>
  </si>
  <si>
    <t xml:space="preserve"> - közterületi reklám </t>
  </si>
  <si>
    <t>1.a) megyei hatókörű városi múzeumok feldataiank támogatása ( Göcseji Múzeum)</t>
  </si>
  <si>
    <t>1.c) megyei jogú városok közművelődési támogatása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</si>
  <si>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</si>
  <si>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</si>
  <si>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</si>
  <si>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>Szociális városrehabilitáció Zalaegerszegen NYDOP-3.1.1/B2-13-k2-2013-0001</t>
  </si>
  <si>
    <r>
      <t>Zalaegerszegi Városzrészek Művelődési Központja és Könyvtára</t>
    </r>
    <r>
      <rPr>
        <sz val="10"/>
        <rFont val="Times New Roman"/>
        <family val="1"/>
      </rPr>
      <t>: "Itt kiköthetsz" Diák-Sziget (TÁMOP-5.2.5.B-10/2-2010-0070</t>
    </r>
  </si>
  <si>
    <r>
      <t>Deák Ferenc Megyei és Városi Könyvtár:</t>
    </r>
    <r>
      <rPr>
        <sz val="10"/>
        <rFont val="Times New Roman"/>
        <family val="1"/>
      </rPr>
      <t xml:space="preserve"> Olvasás, megértés, érvényes tudás támogatása könyvtári eszközökkel Zala megyében (TÁMOP-3.2.4.A-11/1-2012-0102)</t>
    </r>
  </si>
  <si>
    <r>
      <t>Deák Ferenc Megyei és Városi Könyvtár:</t>
    </r>
    <r>
      <rPr>
        <sz val="10"/>
        <rFont val="Times New Roman"/>
        <family val="1"/>
      </rPr>
      <t xml:space="preserve"> Zala megyei könyvtárosok összehangolt továbbképzése 2013-2015 (TÁMOP-3.2.12-12/12012-0027)</t>
    </r>
  </si>
  <si>
    <t>önrész / megelőlegezés</t>
  </si>
  <si>
    <t xml:space="preserve">1.b) megyei hatáskörű könyvtárak feladatainak támogatása ( (Deák Ferenc Megyei    Könyvtár és a  városi könyvtár) </t>
  </si>
  <si>
    <t>1.h) megyei hatókörű könyvtár kistelepülési könyvtári és közművelődési célú kieg. Támogatása ( év közben pályázat)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</si>
  <si>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</si>
  <si>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</si>
  <si>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</si>
  <si>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</si>
  <si>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Domb alja u. szennyvízelvezetés és úthelyreállítás I.ütem</t>
  </si>
  <si>
    <t>Avas árok és a Bíró M. utcai vasúti áteresz felújítása</t>
  </si>
  <si>
    <t>Köztársaság út 92-102. sz társasház keleti oldalán lévő terület vízelvezetése</t>
  </si>
  <si>
    <t>Ady Iskolában felújítás</t>
  </si>
  <si>
    <t>Petőfi Iskolában felújítás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</si>
  <si>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</si>
  <si>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</si>
  <si>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</si>
  <si>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</si>
  <si>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</si>
  <si>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</si>
  <si>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Hitelező</t>
  </si>
  <si>
    <t>Lejárat éve</t>
  </si>
  <si>
    <t>II. Felhalmozási célú kiadások</t>
  </si>
  <si>
    <t>II. Felhalmozási célú bevételek</t>
  </si>
  <si>
    <t>2.) Beruházás</t>
  </si>
  <si>
    <t>3.) Felújítás</t>
  </si>
  <si>
    <t>4.) Céltartalék</t>
  </si>
  <si>
    <t>6.b/1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</si>
  <si>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</si>
  <si>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</si>
  <si>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</si>
  <si>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</si>
  <si>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 foglalkoztatást helyettesítő támogatás</t>
  </si>
  <si>
    <t xml:space="preserve"> -Fogyatékos Otthon működtetése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</si>
  <si>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</si>
  <si>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</si>
  <si>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</si>
  <si>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intézmények támogatása, rendezvényeik finanszírozása</t>
  </si>
  <si>
    <t xml:space="preserve"> - Zalaegerszegi Atlétikai Klub támogatása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</si>
  <si>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</si>
  <si>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</si>
  <si>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</si>
  <si>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</si>
  <si>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</si>
  <si>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</si>
  <si>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</si>
  <si>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</si>
  <si>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</si>
  <si>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 xml:space="preserve"> - alapfokú versenyek rendezése és  támogatása</t>
  </si>
  <si>
    <t xml:space="preserve"> - szabadidősport klubok támogatása</t>
  </si>
  <si>
    <t xml:space="preserve">  - Andráshidai LSC sportlétesítmény üzemeltetés tám.</t>
  </si>
  <si>
    <t>Természettudományos oktatás eszközrendszerének és módszertanának fejlesztése a Kölcsey F. Gimnáziumban TÁMOP 3.1.3.-11/2-2012-0023</t>
  </si>
  <si>
    <t>100 %-os támogatottságú pályázatok előkészítésének költségei</t>
  </si>
  <si>
    <t>Városrehabilitáció II. ütem folytatása Lakásalapból</t>
  </si>
  <si>
    <t>önkormányzat hitel állománya</t>
  </si>
  <si>
    <t>A lakáscélú állami támogatásokról szóló külön jogszabály szerinti pályázati önrész finanszírozása (egycsatornás gyűjtőkémények felújítása) Lakásalapból</t>
  </si>
  <si>
    <t>Állami támogatások  évközi visszafizetésére</t>
  </si>
  <si>
    <t xml:space="preserve">Év közben jelentkező feladatokra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</si>
  <si>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</si>
  <si>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</si>
  <si>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</si>
  <si>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</si>
  <si>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</si>
  <si>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</si>
  <si>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</si>
  <si>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</si>
  <si>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</si>
  <si>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</si>
  <si>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</si>
  <si>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</si>
  <si>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</si>
  <si>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</si>
  <si>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</si>
  <si>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</si>
  <si>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</si>
  <si>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</si>
  <si>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</si>
  <si>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</si>
  <si>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</si>
  <si>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</si>
  <si>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</si>
  <si>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</si>
  <si>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</si>
  <si>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</si>
  <si>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</si>
  <si>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</si>
  <si>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</si>
  <si>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</si>
  <si>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</si>
  <si>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</si>
  <si>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</si>
  <si>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</si>
  <si>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5.) Működési bevételek (áfa visszaigénylés)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</si>
  <si>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</si>
  <si>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</si>
  <si>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</si>
  <si>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VMK DK-i szárny belső átalakítása (Családsegítő Szolgálat és Gyermekjóléti Központ)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</si>
  <si>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</si>
  <si>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</si>
  <si>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</si>
  <si>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</si>
  <si>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</si>
  <si>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</si>
  <si>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</si>
  <si>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</si>
  <si>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</si>
  <si>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</si>
  <si>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</si>
  <si>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</si>
  <si>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</si>
  <si>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</si>
  <si>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</si>
  <si>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</si>
  <si>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</si>
  <si>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</si>
  <si>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</si>
  <si>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</si>
  <si>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</si>
  <si>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</si>
  <si>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Ebergényben sportpálya és pihenőpark kialakítása</t>
  </si>
  <si>
    <t>6.b/2</t>
  </si>
  <si>
    <t>Rendezési tervek</t>
  </si>
  <si>
    <t>6.b/3</t>
  </si>
  <si>
    <t>6.b/4</t>
  </si>
  <si>
    <t>6.b/5</t>
  </si>
  <si>
    <t>6.b/6</t>
  </si>
  <si>
    <t>Belvárosrehabilitáció II.ütemének előkészítő munkái</t>
  </si>
  <si>
    <t xml:space="preserve">Körzeti megbízotti iroda céljára ingatlan vásárlás </t>
  </si>
  <si>
    <t>1.a./2</t>
  </si>
  <si>
    <t>1.a./3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</si>
  <si>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</si>
  <si>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</si>
  <si>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</si>
  <si>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</si>
  <si>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</si>
  <si>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</si>
  <si>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</si>
  <si>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</si>
  <si>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</si>
  <si>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</si>
  <si>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</si>
  <si>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>011320 Nemzetközi szervezetekben való részvétel</t>
  </si>
  <si>
    <t>Szociális rászorultság alapján és egyéb biztosítandó támogatások  a költségvetési szerveknél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</si>
  <si>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</si>
  <si>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</si>
  <si>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</si>
  <si>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</si>
  <si>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</si>
  <si>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</si>
  <si>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</si>
  <si>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>Hitelkeret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</si>
  <si>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</si>
  <si>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</si>
  <si>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</si>
  <si>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</si>
  <si>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</si>
  <si>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Zalaegerszegi Főiskolások Egyesülete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</si>
  <si>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</si>
  <si>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</si>
  <si>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</si>
  <si>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</si>
  <si>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</si>
  <si>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</si>
  <si>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</si>
  <si>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</si>
  <si>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 xml:space="preserve"> - vízbázis védőidomok, kártalanítások</t>
  </si>
  <si>
    <t>5./2</t>
  </si>
  <si>
    <t>5./4</t>
  </si>
  <si>
    <t>7.a./1</t>
  </si>
  <si>
    <t>1.a./1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</si>
  <si>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</si>
  <si>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</si>
  <si>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</si>
  <si>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</si>
  <si>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</si>
  <si>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Mindösszesen: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</si>
  <si>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</si>
  <si>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</si>
  <si>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</si>
  <si>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</si>
  <si>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</si>
  <si>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</si>
  <si>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</si>
  <si>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Idősek Otthona férőhely megváltás visszafizetése</t>
  </si>
  <si>
    <t xml:space="preserve"> ITP projektek engedélyes terv készítésével kapcsolatos kiadások</t>
  </si>
  <si>
    <t>Pintér M. u. - Lőrincz b. u. és Püspöki G. u. közötti szakaszának csapadékvízelvezetése</t>
  </si>
  <si>
    <t xml:space="preserve">Balesetveszélyes rézsűk, partfalak stabilizálása </t>
  </si>
  <si>
    <t>5.a/10</t>
  </si>
  <si>
    <t>5.a/11</t>
  </si>
  <si>
    <t>1.a./6</t>
  </si>
  <si>
    <t>1.a./7</t>
  </si>
  <si>
    <t>1.a./8</t>
  </si>
  <si>
    <t>8.a/6</t>
  </si>
  <si>
    <t xml:space="preserve"> - Kvártélyház Kft.támogatása</t>
  </si>
  <si>
    <t xml:space="preserve"> - egyéb ingatlanhasznosítás (nem lakás célú hely bérl. díj)</t>
  </si>
  <si>
    <t xml:space="preserve"> Zalaegerszeg, Rákóczi Ferenc utca Arany János utca és Mártírok útja között lévő szakaszán üzemelő csapadékcsatorna és ivóvízvezeték rekonstrukciója</t>
  </si>
  <si>
    <t xml:space="preserve"> - belterületbe vonással kapcsolatos működési kiadások</t>
  </si>
  <si>
    <t xml:space="preserve"> - dolgozói lakásépítés és -vásárlás támogatása</t>
  </si>
  <si>
    <t xml:space="preserve"> - helyi buszközlekedés veszteségének finanszírozása</t>
  </si>
  <si>
    <t xml:space="preserve"> - Közösségi rendezvények Andráshidán</t>
  </si>
  <si>
    <t xml:space="preserve"> - 2015. évi Vis maior támogatás</t>
  </si>
  <si>
    <t xml:space="preserve"> - Zalaegerszegi Televízió Kft. támogatása</t>
  </si>
  <si>
    <t>6./4</t>
  </si>
  <si>
    <t>Előtervezések víziközmű fejlesztésekhez</t>
  </si>
  <si>
    <t xml:space="preserve"> - energia támogatás</t>
  </si>
  <si>
    <t>Közvetett támogatás jogcíme</t>
  </si>
  <si>
    <t xml:space="preserve">2015. évben várható támogatás, kedvezmény összege             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</si>
  <si>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</si>
  <si>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</si>
  <si>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</si>
  <si>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</si>
  <si>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</si>
  <si>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</si>
  <si>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Az adókedvezmények és mentességek esetében a 2013. évi adat állt rendelkezésre</t>
  </si>
  <si>
    <t>2015. évi kötelezettség</t>
  </si>
  <si>
    <t>2016. évi kötelezettség</t>
  </si>
  <si>
    <t>2017. évi kötelezettség</t>
  </si>
  <si>
    <t>Megjegyzés</t>
  </si>
  <si>
    <t>II. Támogatási és egyéb megállapodások</t>
  </si>
  <si>
    <t>ZTE Kosárlabda Klub Sportszolgáltató Kft.</t>
  </si>
  <si>
    <t>Helyi buszközlekedés veszteségének finanszírozása</t>
  </si>
  <si>
    <t>Edelmann Hungary Packaging Zrt. lízingszerződés</t>
  </si>
  <si>
    <t>Zala Megyei Vállalkozásfejlesztési Alapítvány támogatása</t>
  </si>
  <si>
    <t>Támogatási és egyéb megállapodások összesen:</t>
  </si>
  <si>
    <t>III. Készfizető kezességvállalások</t>
  </si>
  <si>
    <t>ZTE FC Zrt.</t>
  </si>
  <si>
    <t>Zalaegerszegi Városfejlesztő Zrt.</t>
  </si>
  <si>
    <t>Városgazdálkodási Kft.</t>
  </si>
  <si>
    <t xml:space="preserve"> Készfizető kezességek összesen:</t>
  </si>
  <si>
    <t>Összes kötelezettség:</t>
  </si>
  <si>
    <t xml:space="preserve"> - "M9" Térségi Fejlesztési Tanács műk.költségei</t>
  </si>
  <si>
    <t xml:space="preserve"> - rendszeres gyermekvédelmi segély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</si>
  <si>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</si>
  <si>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</si>
  <si>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</si>
  <si>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</si>
  <si>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</si>
  <si>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</si>
  <si>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</si>
  <si>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</si>
  <si>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</si>
  <si>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</si>
  <si>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</si>
  <si>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</si>
  <si>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</si>
  <si>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</si>
  <si>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</si>
  <si>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</si>
  <si>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</si>
  <si>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</si>
  <si>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</si>
  <si>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</si>
  <si>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</si>
  <si>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</si>
  <si>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</si>
  <si>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</si>
  <si>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</si>
  <si>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</si>
  <si>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</si>
  <si>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>Arany J.u.-tól nyugatra lévő lakóövezet járda felújítási munkái</t>
  </si>
  <si>
    <t>Bazita u. járdaburkolat felújítás</t>
  </si>
  <si>
    <t xml:space="preserve"> - ZALA-DEPO Kft.által fizetett haszn. díj </t>
  </si>
  <si>
    <t xml:space="preserve"> - lakásfenntartási támogatás normatív alapon</t>
  </si>
  <si>
    <t xml:space="preserve"> - rendszeres szociális segély</t>
  </si>
  <si>
    <t xml:space="preserve"> - ápolási díj méltányossági alapon</t>
  </si>
  <si>
    <t xml:space="preserve"> - köztemetés</t>
  </si>
  <si>
    <t>2016. évi adósságszolg.</t>
  </si>
  <si>
    <t>081041 Versenysport- és utánpótlás - nevelés tevékenység</t>
  </si>
  <si>
    <t>101211 Fogyatékossággal élők tartós bentlakásos ellátása</t>
  </si>
  <si>
    <t>Zeg. Belváros közl.rendsz.komplett átalakítása</t>
  </si>
  <si>
    <t>084010 Társ.tev., esélyegyenlőséggel, érdekképv., nemzetiségekkel, egyházakkal kapcs. felad.igazg.</t>
  </si>
  <si>
    <t>092211 Gimn. oktatás, nevelés szakmai feladatai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</si>
  <si>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</si>
  <si>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</si>
  <si>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</si>
  <si>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</si>
  <si>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Buslakpuszta bezárt hulladéklerakó szennyezés lokalizáció (pályázatban nem támogatott)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</si>
  <si>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</si>
  <si>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</si>
  <si>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</si>
  <si>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</si>
  <si>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</si>
  <si>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</si>
  <si>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</si>
  <si>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</si>
  <si>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</si>
  <si>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Kovács K. tér buszmegálló járdaburkolat felújítás</t>
  </si>
  <si>
    <t>5.a/1</t>
  </si>
  <si>
    <t>Helyi építészeti értékek védelme</t>
  </si>
  <si>
    <t>Zalaegerszeg szennyvíz-elvezetés és tisztítás fejlesztése</t>
  </si>
  <si>
    <t>Buszváró létesítése Kaszaházán</t>
  </si>
  <si>
    <t>9.a/3</t>
  </si>
  <si>
    <t>5.a/2</t>
  </si>
  <si>
    <t>5.a/3</t>
  </si>
  <si>
    <t>6.b/7</t>
  </si>
  <si>
    <t>6.b/8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</si>
  <si>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</si>
  <si>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</si>
  <si>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 xml:space="preserve"> Helyi és helyközi közösségi közlekedés fejlesztése pályázati  támogatással NYDOP -3.2.1/B-12-2013-0001</t>
  </si>
  <si>
    <t>6.b/9</t>
  </si>
  <si>
    <t>6.b/10</t>
  </si>
  <si>
    <t>6.b/11</t>
  </si>
  <si>
    <t>6.b/12</t>
  </si>
  <si>
    <t>6.b/13</t>
  </si>
  <si>
    <t xml:space="preserve"> Buslakpusztai bezárt szilárd hulladéklerakó okozta szennyezés lokalizációja  pályázati támogatással KEOP-2.4.0/B/2F/10-11-2012-0005</t>
  </si>
  <si>
    <t>7.a./2</t>
  </si>
  <si>
    <t xml:space="preserve"> a) a finanszírozás szempontjából elismert szakmai dolgozók bértámogatása</t>
  </si>
  <si>
    <t>b) Gyermekétkeztetés-üzemeltetési támogatás</t>
  </si>
  <si>
    <t xml:space="preserve"> Pálóczi Horváth Ádám Alapfokú Művészeti Iskola Köztársaság u. 2/A. (csak villamos energia)</t>
  </si>
  <si>
    <t xml:space="preserve"> Zalaegerszegi Kölcsey Ferenc Gimnázium (Rákóczi u. 49-53.)</t>
  </si>
  <si>
    <t xml:space="preserve"> Zalaegerszegi Zrínyi Miklós Gimnázium (Rákóczi u. 30.)</t>
  </si>
  <si>
    <t xml:space="preserve"> Zalaegerszegi Városi Középiskolai Kollégium (Göcseji u. 16.)</t>
  </si>
  <si>
    <t xml:space="preserve"> Zalaegerszegi Városi Középiskolai Kollégium Kovács Károly Tagkollégiuma (Puskás T. u. 1-3.)</t>
  </si>
  <si>
    <t xml:space="preserve"> Zalaegerszegi Városi Középiskolai Kollégium Kaffka Margit Tagkollégiuma (Puskás T. u.2.)</t>
  </si>
  <si>
    <t xml:space="preserve">  - Apáczai Csere János tér 5</t>
  </si>
  <si>
    <t xml:space="preserve">  - Szivárvány tér 1-3.</t>
  </si>
  <si>
    <t xml:space="preserve">      Zalaegerszegi Tipegő Bölcsőde (csak villamos energia beszerzés)</t>
  </si>
  <si>
    <t xml:space="preserve">      Zalaegerszegi Cseperedő Bölcsőde (csak villamos energia beszerzés)</t>
  </si>
  <si>
    <t xml:space="preserve">      Zalaegerszegi Űrhajós Bölcsőde</t>
  </si>
  <si>
    <t xml:space="preserve">     Kossuth L. u. 58-60.</t>
  </si>
  <si>
    <t xml:space="preserve">     II. sz. Idősek Klubja, Kosztolányi u. 23.</t>
  </si>
  <si>
    <t xml:space="preserve">     III. sz. Idősek Klubja, Platán sor 4.</t>
  </si>
  <si>
    <t xml:space="preserve">     IV. sz. Idősek Klubja, Andráshida u. 5.</t>
  </si>
  <si>
    <t xml:space="preserve">     Idősek Gondozóháza, Landorhegyi u. 13/a.</t>
  </si>
  <si>
    <t xml:space="preserve">     Idősek Otthona, Gasparich u. 3. (gáz és villamos energia)</t>
  </si>
  <si>
    <t xml:space="preserve">Zalaegerszegi Belvárosi I. sz.  Óvoda </t>
  </si>
  <si>
    <t>Zalaegerszegi Belvárosi I. sz.  Óvoda Mikes K. utcai Tagóvodája (csak villamos energia)</t>
  </si>
  <si>
    <t>Zalaegerszegi Balvárosi I. sz. Óvoda  Ságodi Telephelye (csak villamos energia)</t>
  </si>
  <si>
    <t>Zalaegerszegi Belvárosi I. sz. Óvoda Kis utcai Székhelye  (gáz és villamos energia)</t>
  </si>
  <si>
    <t>Zalaegerszegi Belvárosi I. sz. Óvoda Szivárvány téri Tagóvodája (csak villamos energia)</t>
  </si>
  <si>
    <t xml:space="preserve">Zalaegerszegi Belvárosi II. sz. Óvoda </t>
  </si>
  <si>
    <t xml:space="preserve"> - idősügyi feladatok</t>
  </si>
  <si>
    <t>Zalaegerszegi Belvárosi II. sz. Óvoda  Radnóti utcai Székhelyóvoda (gáz és villamos energia)</t>
  </si>
  <si>
    <t>Zalaegerszegi Belvárosi II. sz. Óvoda  Petőfi utcai Tagóvodája (gáz és villamos energia)</t>
  </si>
  <si>
    <t xml:space="preserve"> - haszonbérleti szerződés</t>
  </si>
  <si>
    <t>1. Pénzbeli szociális ellátások kiegészítése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</si>
  <si>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</si>
  <si>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</si>
  <si>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</si>
  <si>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 xml:space="preserve">Viziközművekkel kapcsolatos feladatok </t>
  </si>
  <si>
    <t xml:space="preserve"> -Ivóvízminőség javítása KEOP pályázathoz önrész (KEOP-1.3.0/09-11-2013-0013 )</t>
  </si>
  <si>
    <t>2017. évi adósságszolg.</t>
  </si>
  <si>
    <t>Későbbi évek tőketörlesztése</t>
  </si>
  <si>
    <t>Hitelek állománya  2014. XII. 31-én</t>
  </si>
  <si>
    <t>2015. évre áthuzódó  feladatokhoz hitel igénybe vétel</t>
  </si>
  <si>
    <t>2015. évi feladatokhoz hitel igénybevétel</t>
  </si>
  <si>
    <t>Tőketörlesz- tés</t>
  </si>
  <si>
    <t>Tőketörlesztés</t>
  </si>
  <si>
    <t>2038.</t>
  </si>
  <si>
    <t>Közvilágítás energiatak.átalakítása</t>
  </si>
  <si>
    <t>Áfa visszatérülés</t>
  </si>
  <si>
    <t xml:space="preserve"> - Természettudományos oktatás eszközrendszerének és módszertanának fejlesztése a Kölcsey F. Gimnáziumban TÁMOP 3.1.3.-11/2-2012-0023</t>
  </si>
  <si>
    <t xml:space="preserve"> -  Buslakpusztai bezárt szilárd hulladéklerakó okozta szennyezés lokalizációja  pályázati támogatással KEOP-2.4.0/B/2F/10-11-2012-0005</t>
  </si>
  <si>
    <t xml:space="preserve"> - Közvilágítás energiatakarékos átalakítása Zalaegerszegen I. ütem KEOP-5.5.0/A/12-2013-0191 pályázati pe.</t>
  </si>
  <si>
    <t xml:space="preserve"> - Közvilágítás energiatakarékos átalakítása Zalaegerszegen II. ütem KEOP-5.5.0/A/12-2013-0182 pályázati pe.</t>
  </si>
  <si>
    <t xml:space="preserve"> - Zalaegerszeg történelmi városközpont rehabilitációs és revitalizációs program NYDOP-3.1.1/B-2009-0005</t>
  </si>
  <si>
    <t xml:space="preserve"> - Labdarúgó Stadion fejlesztéséhez költségvetési támogatás</t>
  </si>
  <si>
    <t xml:space="preserve"> - "Komplex belváros rehabilitációs program Zalaegerszegen" projekt pályázati támogatással NYDOP-3.1.1/B1-13-k-2013-0005 </t>
  </si>
  <si>
    <t xml:space="preserve"> - Szociális városrehabilitáció Zalaegerszegen NYDOP-3.1.1/B2-13-k2-2013-0001</t>
  </si>
  <si>
    <t>I. Hitelek törlesztése és kamatai</t>
  </si>
  <si>
    <t>ZTE Football Club Zrt.és ZTE-SPORTSZOLG Kft.támogatása</t>
  </si>
  <si>
    <t>részletesen a 9. mellékletben</t>
  </si>
  <si>
    <t>Városgazdálkodási Kft. (Parkoló Gazda Kft.)</t>
  </si>
  <si>
    <t>ZTE-SPORTSZOLG Kft.</t>
  </si>
  <si>
    <t>Zala-Depo Kft.</t>
  </si>
  <si>
    <t>Nyugat-Pannon Regionális Fejlesztési Zrt.  Zeg. Városfejlesztő Zrt.-ben lévő részvénycsomagjának megvásárlása</t>
  </si>
  <si>
    <t xml:space="preserve">megállapodás szerint 2024-ig infláció követéssel </t>
  </si>
  <si>
    <t>megállapodás alapján 2016.12.31-ig</t>
  </si>
  <si>
    <t>tíz éves időtartam 2022-ig</t>
  </si>
  <si>
    <t>2015. június 30-i lejárattal</t>
  </si>
  <si>
    <t>2015. évi módosítás</t>
  </si>
  <si>
    <t>2015. évi  módosított előirányzat</t>
  </si>
  <si>
    <t>2015. évi eredeti előirányzat</t>
  </si>
  <si>
    <t>2015. évi módosított előirányzat</t>
  </si>
  <si>
    <t>Értékesítési és forgalmi adók ( helyi adók)</t>
  </si>
  <si>
    <t>2015. évi bevétel eredeti előirányzata</t>
  </si>
  <si>
    <t>2015. évi bevétel módosított előirányzata</t>
  </si>
  <si>
    <t>6. 2014. évről áthúzódó bérkompenzáció támogatása</t>
  </si>
  <si>
    <t>V. Helyi önkorányzatok kiegészítő támogatásai</t>
  </si>
  <si>
    <t>1. Önkormányzatok és társulásaik európai uniós fejlesztési pályázatai saját forrás kiegészítésének támogatása</t>
  </si>
  <si>
    <t>tervezési alapegység</t>
  </si>
  <si>
    <t xml:space="preserve"> -Ivóvízminőség javítása KEOP pályázathoz önrész (KEOP-1.3.0/09-11-2013-0013 ) állami hozzájárulás</t>
  </si>
  <si>
    <t xml:space="preserve"> - Járulékmegtakarításból eredő int.i befizetési kötelezettség</t>
  </si>
  <si>
    <t>22190*</t>
  </si>
  <si>
    <t>3./1./4</t>
  </si>
  <si>
    <t>Cseperedő bölcsődében felújítások</t>
  </si>
  <si>
    <t>O66010 Zöldterület kezelés</t>
  </si>
  <si>
    <t>Buszvárók telepítése</t>
  </si>
  <si>
    <t>Berzsenyi 14-16-18 átjáró és környezetének rendbetétele</t>
  </si>
  <si>
    <t>Pózvai játszótérre játékok beszerzése</t>
  </si>
  <si>
    <t>8./1.</t>
  </si>
  <si>
    <t xml:space="preserve">Göcseji úti temető ravatalozó épület felújítása </t>
  </si>
  <si>
    <t xml:space="preserve"> - Járulékcsökkenésből eredő megtakarítás befizetési kötelezettség </t>
  </si>
  <si>
    <t>2216*</t>
  </si>
  <si>
    <t>Címszám</t>
  </si>
  <si>
    <t>Költségvetési szerv megnevezése</t>
  </si>
  <si>
    <t>2015. eredeti előirányzat</t>
  </si>
  <si>
    <t>Módosítás összege</t>
  </si>
  <si>
    <t>Közgyűjteményi és Közművelődési GESZ</t>
  </si>
  <si>
    <t>Költségvetési szervek mindösszesen:</t>
  </si>
  <si>
    <t>Munkaadókat terhelő járulékok és szociális hozzájárulási adó</t>
  </si>
  <si>
    <t>2015. évi  előirányzat</t>
  </si>
  <si>
    <t>Ügyviteli dolgozó</t>
  </si>
  <si>
    <t>2015. évi módos. ei.</t>
  </si>
  <si>
    <t>19.</t>
  </si>
  <si>
    <t>ZMJVK 214/2014.(XII.18.)határozata  5 éves időtartam 2019-ig</t>
  </si>
  <si>
    <t>ZMJVK 102/2008.(V.22.) kgy.határozat 2018. évi lejárattal</t>
  </si>
  <si>
    <t>ZMJVK 132/2012.(VI.21.) kgy.határozat</t>
  </si>
  <si>
    <t>ZMJVK 104/2012.(VI.21.) kgy.határozat</t>
  </si>
  <si>
    <t>ZMJVK 153/2013.(VII.18.) kgy.határozat</t>
  </si>
  <si>
    <t>ZMJVK 36/2014.(III.05.) kgy.határozat</t>
  </si>
  <si>
    <t>ZMJVK 27/2014.(III.05.) kgy.határozat</t>
  </si>
  <si>
    <t>ZMJVK 153/2013.(VII.18.) kgy.határozat, utolsó ütem 2020-ban:50.000 eFt</t>
  </si>
  <si>
    <t>ZMJVK 254/2013.(XII.19.) kgy.határozat 2023-ig 8 éves időtartamban</t>
  </si>
  <si>
    <t>ZMJV Önkormányzata költségvetésében 2015. évben tervezett</t>
  </si>
  <si>
    <t>Települési szilárdhulladék-gazdálkodási rendszerek eszközparkjának fejlesztése, informatikai korszerűsítése pályázati támogatás és Áfa   KEOP-1.1.1/C/13.</t>
  </si>
  <si>
    <t>2014</t>
  </si>
  <si>
    <r>
      <t>Zalaegerszegi Városzrészek Művelődési Központja és Könyvtára:</t>
    </r>
    <r>
      <rPr>
        <sz val="10"/>
        <rFont val="Times New Roman"/>
        <family val="1"/>
      </rPr>
      <t xml:space="preserve"> Kulturális szakemberek továbbképzése a könyvtári szolgáltatások érdekében (TÁMOP-3.2.12-12/1-2012-0027) konzorciumi keretben</t>
    </r>
  </si>
  <si>
    <r>
      <t xml:space="preserve">Keresztury Dezső VMK: </t>
    </r>
    <r>
      <rPr>
        <sz val="10"/>
        <rFont val="Times New Roman"/>
        <family val="1"/>
      </rPr>
      <t>Intézményi és személyes célok közös útján - a sikeres közművelődési intézmény (TÁMOP 2.4.5-12/7-2012-0031)</t>
    </r>
  </si>
  <si>
    <t>Zalaegerszeg, Pais D. u. 2. szám alatti volt Pais Dezső Általános Iskola épület</t>
  </si>
  <si>
    <t>Izsák Imre Általános Iskola (Szivárvány tér 1-3.)</t>
  </si>
  <si>
    <t>Zalaegerszegi Öveges József Általános Iskola (Iskola u. 1.)</t>
  </si>
  <si>
    <t xml:space="preserve">  - Zalaegerszeg, Iskola u. 1. </t>
  </si>
  <si>
    <t>Zalaegerszegi Belvárosi II. sz. Óvoda  Kosztolányi D. téri Tagóvodája (csak villamos energia)</t>
  </si>
  <si>
    <t>Zalaegerszegi Belvárosi II. sz. Óvoda  Szent László úti Tagóvodája (csak villamos energia)</t>
  </si>
  <si>
    <t>Zalaegerszegi  Kertvárosi  Óvoda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</si>
  <si>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</si>
  <si>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</si>
  <si>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</si>
  <si>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</si>
  <si>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</si>
  <si>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</si>
  <si>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</si>
  <si>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</si>
  <si>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</si>
  <si>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</si>
  <si>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</si>
  <si>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</si>
  <si>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 xml:space="preserve"> - Buslakpusztai bezárt hulladéklerakó szennyezés lokalizációja létesítmény üzemeltetés</t>
  </si>
  <si>
    <t xml:space="preserve"> - közterületen hagyott gépjárművek értékesítése</t>
  </si>
  <si>
    <t xml:space="preserve"> - kiegészítő támogatás 2015. évi feladatok biztonságos finanszírozásához</t>
  </si>
  <si>
    <t xml:space="preserve"> - 2014. évi pénzmaradvány igénybevétele áthúzódó feladatokhoz</t>
  </si>
  <si>
    <t>2014. évről áthúzódó feladat</t>
  </si>
  <si>
    <t>Önkormányzati területek rendezése, bontások</t>
  </si>
  <si>
    <t xml:space="preserve"> Petőfi Iskolában vizesblokk felújítás II. üteme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</si>
  <si>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</si>
  <si>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</si>
  <si>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</si>
  <si>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</si>
  <si>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</si>
  <si>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</si>
  <si>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</si>
  <si>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</si>
  <si>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</si>
  <si>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 xml:space="preserve"> - lakásalap  pénzmaradványának bevonása</t>
  </si>
  <si>
    <t xml:space="preserve"> - Ny-Magyarországi Egyetem költségtérítéses hallgatók támogatása</t>
  </si>
  <si>
    <t>Egészségügyi és humánigazgatási feladatok</t>
  </si>
  <si>
    <t>OTP</t>
  </si>
  <si>
    <t>2021.</t>
  </si>
  <si>
    <t>Kamat és egyéb ktg.</t>
  </si>
  <si>
    <t>Önkormányzat összesen:</t>
  </si>
  <si>
    <t>I. Működési célú bevételek</t>
  </si>
  <si>
    <t>I. Működési célú kiadások</t>
  </si>
  <si>
    <t xml:space="preserve"> - csapadékvízelvezető és árvízvédelmi létesítménnyek tisztítása-diagnosztika</t>
  </si>
  <si>
    <t>6.b/15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</si>
  <si>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</si>
  <si>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</si>
  <si>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</si>
  <si>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</si>
  <si>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</si>
  <si>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</si>
  <si>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</si>
  <si>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 xml:space="preserve"> - felsőoktatási ösztöndíj</t>
  </si>
  <si>
    <t>Önkormányzat</t>
  </si>
  <si>
    <t xml:space="preserve">Önkormányzat </t>
  </si>
  <si>
    <t>Költségvetési szervek</t>
  </si>
  <si>
    <t>Zalaegerszegi Kertvárosi Óvoda Csillag közi  Székhelyóvoda (csak villamos energia)</t>
  </si>
  <si>
    <t>Zalaegerszegi Kertvárosi Óvoda  Andráshidai Tagóvodája (csak villamos energia)</t>
  </si>
  <si>
    <t xml:space="preserve"> - fogászati alapellátás 2015. évi önkormányzati támogatása</t>
  </si>
  <si>
    <t xml:space="preserve"> - Ispita Alapítvány támogatása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</si>
  <si>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</si>
  <si>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</si>
  <si>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</si>
  <si>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 xml:space="preserve"> - tanulmánytervek készítése,tervpályázati eljárások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</si>
  <si>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</si>
  <si>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</si>
  <si>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</si>
  <si>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</si>
  <si>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</si>
  <si>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</si>
  <si>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</si>
  <si>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    ba) zöldterület gazdálkodással kapcsolatos feladatok ellátásának támogatása (hektár)</t>
  </si>
  <si>
    <t xml:space="preserve"> -" Landorhegyi esték" rendezvény</t>
  </si>
  <si>
    <t xml:space="preserve"> - Szent István szobor 15. éves évforduló</t>
  </si>
  <si>
    <t xml:space="preserve">     bb) közvilágítás fenntartásának támogatása  (km)</t>
  </si>
  <si>
    <t xml:space="preserve"> - III. Zalaegerszegi Városi Diáknapok</t>
  </si>
  <si>
    <t xml:space="preserve"> -" Lakhatásáért" Közalapítvány támogatása</t>
  </si>
  <si>
    <t xml:space="preserve"> - Zalaegerszeg Kultúrájáért Közalapítvány támogatása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</si>
  <si>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</si>
  <si>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</si>
  <si>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</si>
  <si>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</si>
  <si>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tagsági díjak (MÖSZ, MJVSZ stb.)</t>
  </si>
  <si>
    <t xml:space="preserve"> - monográfia</t>
  </si>
  <si>
    <t xml:space="preserve"> - 2014. évi normatív hozzájárulás elszámolása </t>
  </si>
  <si>
    <t xml:space="preserve"> - Ágazati felad. postai szolg. és utalvány díja, illeték</t>
  </si>
  <si>
    <t xml:space="preserve"> - Intézményi pályázatokhoz biztosított kölcsön visszafizetése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</si>
  <si>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</si>
  <si>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</si>
  <si>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</si>
  <si>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</si>
  <si>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 xml:space="preserve"> - VERSO projekt pályázati támogatás</t>
  </si>
  <si>
    <t>Munkaadókat terhelő járulékok és szociális hj. adó</t>
  </si>
  <si>
    <t xml:space="preserve">Dologi kiadások </t>
  </si>
  <si>
    <t xml:space="preserve"> - ZTE KK. Kft. támogatás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</si>
  <si>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</si>
  <si>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Kiemelt projektek</t>
  </si>
  <si>
    <t>Beruházási és felújítási kiadások</t>
  </si>
  <si>
    <t>Időseket és demens állapotúakat ellátó intézmény kialakításának munkái (volt Pais Iskolában)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</si>
  <si>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</si>
  <si>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</si>
  <si>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</si>
  <si>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</si>
  <si>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</si>
  <si>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</si>
  <si>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>1./2/7</t>
  </si>
  <si>
    <t>1./2/8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</si>
  <si>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</si>
  <si>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</si>
  <si>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</si>
  <si>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6.a/8</t>
  </si>
  <si>
    <t>6.a/9</t>
  </si>
  <si>
    <t>6.a/10</t>
  </si>
  <si>
    <t>6.a/11</t>
  </si>
  <si>
    <t>1./8</t>
  </si>
  <si>
    <t>1./9</t>
  </si>
  <si>
    <t>1./10</t>
  </si>
  <si>
    <t>1./11</t>
  </si>
  <si>
    <t>1.a/8</t>
  </si>
  <si>
    <t>KEOP vízvezeték építéshez pályázatban nem támogatott munkákra pe.átadás</t>
  </si>
  <si>
    <t>4./38</t>
  </si>
  <si>
    <t>4./39</t>
  </si>
  <si>
    <t>4./40</t>
  </si>
  <si>
    <t>4./41</t>
  </si>
  <si>
    <t>4.a/13</t>
  </si>
  <si>
    <t>4.a/14</t>
  </si>
  <si>
    <t>4.a/15</t>
  </si>
  <si>
    <t>5./12</t>
  </si>
  <si>
    <t>5./13</t>
  </si>
  <si>
    <t>5./14</t>
  </si>
  <si>
    <t>5./15</t>
  </si>
  <si>
    <t>5.a/7</t>
  </si>
  <si>
    <t>5.a/8</t>
  </si>
  <si>
    <t>5.a/9</t>
  </si>
  <si>
    <t>8.a/5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</si>
  <si>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</si>
  <si>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</si>
  <si>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</si>
  <si>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</si>
  <si>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</si>
  <si>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</si>
  <si>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</si>
  <si>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 xml:space="preserve">  ZMJV ITP projektjeinek előkészítésével kapcsolatos kiadások</t>
  </si>
  <si>
    <t>Zalaegerszegi Landorhegyi Óvoda  Kodály Zoltán utcai Tagóvodája (csak villamos energia)</t>
  </si>
  <si>
    <t>Zalaegerszegi Landorhegyi Óvoda  Bazitai Telephelye (csak villamos energia)</t>
  </si>
  <si>
    <t>Zalaegerszegi Landorhegyi Óvoda  Landorhegyi útcai Tagóvodája (csak villamos energia)</t>
  </si>
  <si>
    <t>feladat jellege</t>
  </si>
  <si>
    <t>Cím    szám</t>
  </si>
  <si>
    <t>Orvos</t>
  </si>
  <si>
    <t>Vásárcsarnok</t>
  </si>
  <si>
    <t>Dologi kiadások</t>
  </si>
  <si>
    <t>Felhalmozási célú céltartalék</t>
  </si>
  <si>
    <r>
      <t xml:space="preserve">Zalaegerszegi Családsegítő Szolgálat és Gyermekjóléti Központ </t>
    </r>
    <r>
      <rPr>
        <sz val="11"/>
        <rFont val="Times New Roman"/>
        <family val="1"/>
      </rPr>
      <t>(csak villamos energia)</t>
    </r>
  </si>
  <si>
    <r>
      <t xml:space="preserve">Zalaegerszegi Egészségügyi Alapellátási Intézmény </t>
    </r>
    <r>
      <rPr>
        <sz val="11"/>
        <rFont val="Times New Roman"/>
        <family val="1"/>
      </rPr>
      <t xml:space="preserve"> (csak villamos energia)</t>
    </r>
  </si>
  <si>
    <r>
      <t xml:space="preserve">Zalaegerszegi Gondozási Központ </t>
    </r>
    <r>
      <rPr>
        <sz val="11"/>
        <rFont val="Times New Roman"/>
        <family val="1"/>
      </rPr>
      <t>(a megjelölt fogyasztási hely kivételével csak villamos energia)</t>
    </r>
  </si>
  <si>
    <r>
      <t xml:space="preserve">Keresztury Dezső VMK  </t>
    </r>
    <r>
      <rPr>
        <sz val="11"/>
        <rFont val="Times New Roman"/>
        <family val="1"/>
      </rPr>
      <t xml:space="preserve"> </t>
    </r>
  </si>
  <si>
    <r>
      <t xml:space="preserve">Városi Sportlétesítmény Gondnokság Intézménye </t>
    </r>
    <r>
      <rPr>
        <sz val="11"/>
        <rFont val="Times New Roman"/>
        <family val="1"/>
      </rPr>
      <t>(csak villamos energia beszerzés)</t>
    </r>
  </si>
  <si>
    <r>
      <t xml:space="preserve">ZMJV Vásárcsarnok Gazdálkodási Szervezete </t>
    </r>
    <r>
      <rPr>
        <sz val="11"/>
        <rFont val="Times New Roman"/>
        <family val="1"/>
      </rPr>
      <t>(csak villamos energia beszerzés)</t>
    </r>
  </si>
  <si>
    <t>1. Óvodapedagógusok és az óvodapedagógusok nevelő munkáját közvetlenül segítők bértámogatása</t>
  </si>
  <si>
    <t xml:space="preserve">Nehézatlétikai pálya kialakítása Városi Sportcentrum területén 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</si>
  <si>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</si>
  <si>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</si>
  <si>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</si>
  <si>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</si>
  <si>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</si>
  <si>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</si>
  <si>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</si>
  <si>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</si>
  <si>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</si>
  <si>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</si>
  <si>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</si>
  <si>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</si>
  <si>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</si>
  <si>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</si>
  <si>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>Bevételek összesen</t>
  </si>
  <si>
    <t>Támogatási intenzitás</t>
  </si>
  <si>
    <t>Szerződéskötés éve</t>
  </si>
  <si>
    <t>ZMJV Önkormányzata költségvetésében 2014. évben tervezett</t>
  </si>
  <si>
    <t>összköltsége</t>
  </si>
  <si>
    <t>forrásai</t>
  </si>
  <si>
    <t>támogatás</t>
  </si>
  <si>
    <t>önrészből EU-önerőalap</t>
  </si>
  <si>
    <t>Zalaegerszeg, Buslakpusztai bezárt települési hulladéklerakó okozta szennyezés lokalizációja (KEOP-2.4.0/B/2F/10-11-2012-0005)</t>
  </si>
  <si>
    <t>2013</t>
  </si>
  <si>
    <t>Közvilágítás energiatakarékos átalakítása Zalaegerszegen I. ütem (KEOP-5.5.0/A/12-2013-0191)</t>
  </si>
  <si>
    <t xml:space="preserve"> l) Gyermekek átmeneti intézményei ( helyettes szülői ellátás)</t>
  </si>
  <si>
    <t>A helyi és helyközi közösségi közlekedés fejlesztése a Nyugat-dunántúli Régióban (NYDOP-3.2.1/B-12-2013-0001)</t>
  </si>
  <si>
    <t>Zalaegerszeg történelmi városközpont rehabilitációs és revitalizációs program (konzorciumi partnerekkel együtt) (NYDOP-3.1.1/B-2009-0005)</t>
  </si>
  <si>
    <t>2009</t>
  </si>
  <si>
    <t xml:space="preserve">Közvilágítás korszerűsítés Zalaegerszeg II. (KEOP-5.5.0/A/12-2013-0182                                          </t>
  </si>
  <si>
    <t xml:space="preserve"> - "Települési szilárdhulladék-gazdálkodási rendszerek eszközparkjának fejlesztése, informatikai korszerűsítése" pályázati támogatás és Áfa   KEOP-1.1.1/C13-2013-0182.</t>
  </si>
  <si>
    <t>"Települési szilárdhulladék-gazdálkodási rendszerek eszközparkjának fejlesztése, informatikai korszerűsítése" pályázati támogatással KEOP-1.1.1/C13-2013-0016</t>
  </si>
  <si>
    <t>Komplex belváros rehabilitációs program Zalaegerszegen (NYDOP-3.1.1/B1-13-k-2013-0005)</t>
  </si>
  <si>
    <t>Önkormányzat hozzájárulása európai uniós projektek megvalósulásához:</t>
  </si>
  <si>
    <t>Zalaegerszeg történelmi városközpont rehabilitációs és revitalizációs program NYDOP-3.1.1/B-2009-0005</t>
  </si>
  <si>
    <r>
      <t xml:space="preserve">Önkormányzati Társulás Zalaegerszeg és térsége ivóvízminőségének javítására </t>
    </r>
    <r>
      <rPr>
        <sz val="10"/>
        <rFont val="Times New Roman"/>
        <family val="1"/>
      </rPr>
      <t>által elnyert pályázat: A Zalavíz Zrt. szolgáltatási területén lévő településeinek ivóvízminőség javítása és vízellátás fejlesztése (KEOP-1.3.0/09-11-2013-0013)</t>
    </r>
  </si>
  <si>
    <t xml:space="preserve"> - rendezvényhez kapcsolódó forgalomkorlátozások</t>
  </si>
  <si>
    <t xml:space="preserve"> - utastájékoztatási rendszer üzemeltetése</t>
  </si>
  <si>
    <t xml:space="preserve"> - köztemetőben lévő hadisírok rendbetétele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</si>
  <si>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</si>
  <si>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</si>
  <si>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</si>
  <si>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</si>
  <si>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</si>
  <si>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</si>
  <si>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>Belvárosi zöldfelület és játszótér felújítások</t>
  </si>
  <si>
    <t xml:space="preserve"> - Zalaegerszegi Honvédklub támogatása</t>
  </si>
  <si>
    <t xml:space="preserve">Bekeháza temető környezetének rendezése, temetőt megközelítő út kialakítása </t>
  </si>
  <si>
    <t>Belvárosi járdák felújítása</t>
  </si>
  <si>
    <t>Információs táblák pótlása, kihelyezése</t>
  </si>
  <si>
    <t xml:space="preserve">2. </t>
  </si>
  <si>
    <t>Mártírok u. burkolatfelújítás, csapadékcsatorna építés</t>
  </si>
  <si>
    <t>Önkormányzat által nyújtott lakástámogatás első lakáshoz jutók részére  (Lakásalapból)</t>
  </si>
  <si>
    <t>5.a/4</t>
  </si>
  <si>
    <t>5.a/5</t>
  </si>
  <si>
    <t>Bozsoki horhos partfal stabilizációk</t>
  </si>
  <si>
    <t>Buslakpuszta hulladékdepó bővítéséhez területszerzés, kisajátítás</t>
  </si>
  <si>
    <t>6.b/14</t>
  </si>
  <si>
    <t>Fenyő utca útépítés, közműfejlesztés, bővítés</t>
  </si>
  <si>
    <t>Pályázati műszaki előkészítés</t>
  </si>
  <si>
    <t xml:space="preserve">Vasútfejlesztés 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</si>
  <si>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</si>
  <si>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</si>
  <si>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</si>
  <si>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</si>
  <si>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</si>
  <si>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</si>
  <si>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</si>
  <si>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</si>
  <si>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</si>
  <si>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</si>
  <si>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</si>
  <si>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</si>
  <si>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</si>
  <si>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</si>
  <si>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</si>
  <si>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</si>
  <si>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</si>
  <si>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</si>
  <si>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</si>
  <si>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</si>
  <si>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</si>
  <si>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</si>
  <si>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</si>
  <si>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 xml:space="preserve"> 045120 Út, autópálya építés</t>
  </si>
  <si>
    <t>051040 Nem veszélyes hulladék kezelése, ártalmatlanítása</t>
  </si>
  <si>
    <t>018010 Önkormányzatok elszámolásai a központi költségvetéssel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</si>
  <si>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</si>
  <si>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</si>
  <si>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</si>
  <si>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 xml:space="preserve"> - épületek energiatanúsítványának elkészítése</t>
  </si>
  <si>
    <t>Zalaegerszeg, 4815/6 hrsz-ú ingatlan vízbekötésének és szennyvízelvezetésének, valamint az Alkotmány utca 2, 4 és 6. sz. ingatlanok szennyvízelvezetésének megvalósítása</t>
  </si>
  <si>
    <t>Béke utca szennyvízcsatorna rekonstrukció és járulékos munkák</t>
  </si>
  <si>
    <t>Dísz tér átépítéséhez kapcsolódó építési munkák</t>
  </si>
  <si>
    <t xml:space="preserve">Zalaegerszeg, 5530/12 hrsz területén üzemelő hírközlési földkábel teljeskörű kiváltása </t>
  </si>
  <si>
    <t>Beruházásokhoz kapcsolódó egyéb feladatok ( tervezés, eljárási díjak)</t>
  </si>
  <si>
    <t>Gébárti fürdőlétesítmények (Aquacity) fejlesztési koncepció terv készítés</t>
  </si>
  <si>
    <t>Ingatlanvásárlások</t>
  </si>
  <si>
    <t>AGORA-program - Ady mozi területszerzés (pince), jogi rendezés</t>
  </si>
  <si>
    <t>Takarék köz közműcsere utáni helyreállítás</t>
  </si>
  <si>
    <t>Tervek készítése, műszaki ellenőrzések és egyéb hatósági díjak</t>
  </si>
  <si>
    <t>Ady utca út- és járda felújítása (vízkiváltással)</t>
  </si>
  <si>
    <t>Gyimesi utca parkolófelújítás I. ütem</t>
  </si>
  <si>
    <t>Ságodi u. járdaburkolat felújítás</t>
  </si>
  <si>
    <t>Ola utca járda felújítás és zöldfelület rendezés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</si>
  <si>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</si>
  <si>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</si>
  <si>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</si>
  <si>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</si>
  <si>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</si>
  <si>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</si>
  <si>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</si>
  <si>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</si>
  <si>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</si>
  <si>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</si>
  <si>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</si>
  <si>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 xml:space="preserve"> - Fejlesztési célú hitel felvétel  áthúzódó feladatokhoz kapcsolódó hitelkeretekből</t>
  </si>
  <si>
    <t>Oktatási feladatok</t>
  </si>
  <si>
    <t>Kulturális és ifjúsági feladatok</t>
  </si>
  <si>
    <t>2015. évi adósságszolg.</t>
  </si>
  <si>
    <t>Egyéb működési célú kiadások</t>
  </si>
  <si>
    <t xml:space="preserve"> - hibaelhárítás, sürgősségi feladatok</t>
  </si>
  <si>
    <t xml:space="preserve">        egyéb szociális szolgáltatás</t>
  </si>
  <si>
    <t>Ügyrendi, Jogi és Vagyonnyilatkozatot  Ellenőrző Bizottság</t>
  </si>
  <si>
    <t xml:space="preserve">        közbiztonsági feladatokra</t>
  </si>
  <si>
    <t>B53</t>
  </si>
  <si>
    <t>Egyéb tárgyi eszközök értékesítése</t>
  </si>
  <si>
    <t xml:space="preserve">   B818</t>
  </si>
  <si>
    <t>Betétek megszüntetése</t>
  </si>
  <si>
    <t>8.) Betétek megszüntetése</t>
  </si>
  <si>
    <t>6.) Egyéb finanszírozási kiadás</t>
  </si>
  <si>
    <t xml:space="preserve"> - Idősek Otthona kialakításához pénzeszköz átvétel</t>
  </si>
  <si>
    <t>Vízelvezetési problémák megoldása Botfán</t>
  </si>
  <si>
    <t>Vízelvezetési problémák megoldása Zalabesenyőben</t>
  </si>
  <si>
    <t>Játszótér és park kialakítása Hatházán</t>
  </si>
  <si>
    <t>Közvilágítás kiépítése ellátatlan területen</t>
  </si>
  <si>
    <t>3.a/1</t>
  </si>
  <si>
    <t>3.a/2</t>
  </si>
  <si>
    <t>103010, 104051, 107060 kormányzati funkciók</t>
  </si>
  <si>
    <t>Szent András park és játszótér fejlesztésének folytatása</t>
  </si>
  <si>
    <t>Temetői fejlesztések</t>
  </si>
  <si>
    <t>Idősek Otthona mögötti tömbbelső parkoló-zöldsáv megújítás</t>
  </si>
  <si>
    <t>Kamatmentes kölcsön az ideiglenesen nehéz helyzetbe került zeg-i polgárok számára (Lakásalapból)</t>
  </si>
  <si>
    <t>Elővásárlási jog gyakorlásával történő lakóingatlan vásárlása (Lakásalap)</t>
  </si>
  <si>
    <t>1.a./4</t>
  </si>
  <si>
    <t>1.a./5</t>
  </si>
  <si>
    <t>Tüttő Gy u. 15.. és a szomszédos ingatlanok csapadékvízelvezetése</t>
  </si>
  <si>
    <t xml:space="preserve">"Komplex belváros rehabilitációs program Zalaegerszegen" projekt pályázati támogatással NYDOP-3.1.1/B1-13-k-2013-0005 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</si>
  <si>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</si>
  <si>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</si>
  <si>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</si>
  <si>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</si>
  <si>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</si>
  <si>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</si>
  <si>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</si>
  <si>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</si>
  <si>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</si>
  <si>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</si>
  <si>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</si>
  <si>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</si>
  <si>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</si>
  <si>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központosított előirányzatok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</si>
  <si>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</si>
  <si>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</si>
  <si>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</si>
  <si>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</si>
  <si>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</si>
  <si>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</si>
  <si>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</si>
  <si>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</si>
  <si>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</si>
  <si>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</si>
  <si>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</si>
  <si>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</si>
  <si>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</si>
  <si>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</si>
  <si>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Gépjárműadók</t>
  </si>
  <si>
    <t>B355</t>
  </si>
  <si>
    <t>Egyéb áruhasználati és szolgáltatási adók (talajterhelési díj)</t>
  </si>
  <si>
    <t>B36</t>
  </si>
  <si>
    <t>Közhatalmi bevételek összesen</t>
  </si>
  <si>
    <t>Egyéb közhatalmi bevételek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</si>
  <si>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</si>
  <si>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</si>
  <si>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</si>
  <si>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</si>
  <si>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</si>
  <si>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</si>
  <si>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</si>
  <si>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</si>
  <si>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</si>
  <si>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</si>
  <si>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</si>
  <si>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</si>
  <si>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</si>
  <si>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</si>
  <si>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</si>
  <si>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</si>
  <si>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</si>
  <si>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</si>
  <si>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</si>
  <si>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</si>
  <si>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</si>
  <si>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</si>
  <si>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</si>
  <si>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</si>
  <si>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</si>
  <si>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</si>
  <si>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</si>
  <si>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</si>
  <si>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</si>
  <si>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</si>
  <si>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</si>
  <si>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</si>
  <si>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</si>
  <si>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</si>
  <si>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</si>
  <si>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</si>
  <si>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</si>
  <si>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</si>
  <si>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Csillagközi óvoda udvar parkosítás, füvesítés</t>
  </si>
  <si>
    <t>Kodály úti tagóvodában vizesblokk felújítás</t>
  </si>
  <si>
    <t>5./1</t>
  </si>
  <si>
    <t>6.</t>
  </si>
  <si>
    <t>6./1</t>
  </si>
  <si>
    <t>5.</t>
  </si>
  <si>
    <t>6./2</t>
  </si>
  <si>
    <t>6./3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</si>
  <si>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</si>
  <si>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</si>
  <si>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</si>
  <si>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</si>
  <si>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</si>
  <si>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</si>
  <si>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</si>
  <si>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</si>
  <si>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Landorhegyi Idősek Klubja tetőcsere</t>
  </si>
  <si>
    <t>Orvosi rendelők felújítása</t>
  </si>
  <si>
    <t xml:space="preserve"> - Zalaegerszegi Szociális és Gyermekjóléti Alapszolgáltatási Társulás működési hozzájárulás</t>
  </si>
  <si>
    <t>Térfigyelő kamera felszerelése Botfán</t>
  </si>
  <si>
    <t>082091 Közművelődés – közösségi és társadalmi részvétel fejlesztése</t>
  </si>
  <si>
    <t>107060 Egyéb szociális pénzbeli ellátások, támogatások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</si>
  <si>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</si>
  <si>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</si>
  <si>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</si>
  <si>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Gyepmesteri feladatok ellátásához anyag -eszközigény biztosítása</t>
  </si>
  <si>
    <t>5./5</t>
  </si>
  <si>
    <t>5./6</t>
  </si>
  <si>
    <t>Göcseji úti köztemető ravatalozójának padozat cseréje, felújítása</t>
  </si>
  <si>
    <t>Új köztemető ravatalozó tetőfelújítás</t>
  </si>
  <si>
    <t>Olasz hősi temető sírhelyek felújítása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</si>
  <si>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</si>
  <si>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</si>
  <si>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</si>
  <si>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</si>
  <si>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</si>
  <si>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Vagyonkezelési felad. összesen: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</si>
  <si>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</si>
  <si>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</si>
  <si>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</si>
  <si>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</si>
  <si>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</si>
  <si>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szakképzési  ösztöndíj</t>
  </si>
  <si>
    <t xml:space="preserve"> - víziközművek területigénybevételével  kapcsolatos költségek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</si>
  <si>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</si>
  <si>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</si>
  <si>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</si>
  <si>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</si>
  <si>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</si>
  <si>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</si>
  <si>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</si>
  <si>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</si>
  <si>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</si>
  <si>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</si>
  <si>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</si>
  <si>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Csácsbozsok-Alsónemesapáti LSC sportlét.bérleti díj</t>
  </si>
  <si>
    <t xml:space="preserve"> - országos DO. zalaegerszegi rendezvényei</t>
  </si>
  <si>
    <t xml:space="preserve"> - sportfeladatok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</si>
  <si>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</si>
  <si>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</si>
  <si>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</si>
  <si>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</si>
  <si>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</si>
  <si>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</si>
  <si>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</si>
  <si>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</si>
  <si>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</si>
  <si>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 xml:space="preserve"> - Településrészi Önkormányzatok</t>
  </si>
  <si>
    <t>1.a/6</t>
  </si>
  <si>
    <t>Önkormányzati tulajdonú ingatlanok szennyvízbekötései</t>
  </si>
  <si>
    <t>Csapadékvízelvezetéssel, vízrendezésekkel kapcsolatos tervezési díjak</t>
  </si>
  <si>
    <t>2./2</t>
  </si>
  <si>
    <t>Magánerős ivóvíz bekötések</t>
  </si>
  <si>
    <t xml:space="preserve">Kápolnahegyi u. vízellátása </t>
  </si>
  <si>
    <t xml:space="preserve">KEOP vízvezeték építések miatti úthelyreállítások  </t>
  </si>
  <si>
    <t>Magánerős szennyvízcsatorna bekötések</t>
  </si>
  <si>
    <t>9./2</t>
  </si>
  <si>
    <t>3./1</t>
  </si>
  <si>
    <t xml:space="preserve">Kosztolányi téri óvoda felújítása </t>
  </si>
  <si>
    <t xml:space="preserve">Kosztolányi téri óvoda régi épület mosdó felújítás </t>
  </si>
  <si>
    <t>Óvodák felújítása</t>
  </si>
  <si>
    <t>Hegyi közvilágítás fejlesztése Botfán</t>
  </si>
  <si>
    <t>Szívhegyi közvilágítás fejlesztés</t>
  </si>
  <si>
    <t>Közvilágítás kiépítése az Y elágazó és Öreghegy között</t>
  </si>
  <si>
    <t>Bozsoki utca oszlopkiváltás (gömbkőris)</t>
  </si>
  <si>
    <t>Gálafej közvilágítás fejlesztés</t>
  </si>
  <si>
    <t>Közvilágítás fejlesztés Csács és Bozsok</t>
  </si>
  <si>
    <t>Egerszeghegyi közvilágítás fejlesztés</t>
  </si>
  <si>
    <t>3./2</t>
  </si>
  <si>
    <t>3./3</t>
  </si>
  <si>
    <t>3./4</t>
  </si>
  <si>
    <t>3./5</t>
  </si>
  <si>
    <t>3./6</t>
  </si>
  <si>
    <t>3./7</t>
  </si>
  <si>
    <t>1./1</t>
  </si>
  <si>
    <t>A Centrum tér és az Ady mozi melletti terület csapadékvízelvezetése</t>
  </si>
  <si>
    <t>Önkormányzati kezelésben lévő intézmények közműveinek felújítása</t>
  </si>
  <si>
    <t>Vagyonkezelésre a Zalavíznek nem átadott szennyvízcsatornák felújítása</t>
  </si>
  <si>
    <t>Zárda u. - Alsójánkahegyi u. víztározó töltővezeték építés utáni helyreállítási munkálatok</t>
  </si>
  <si>
    <t>1./2</t>
  </si>
  <si>
    <t>1./3</t>
  </si>
  <si>
    <t>1./4</t>
  </si>
  <si>
    <t>1./5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</si>
  <si>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</si>
  <si>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</si>
  <si>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</si>
  <si>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>1./1/1</t>
  </si>
  <si>
    <t>Kis utcai Székhelyóvoda vizesblokk felújítási munkái II. ütem</t>
  </si>
  <si>
    <t xml:space="preserve">Petőfi úti Tagóvoda felújítása </t>
  </si>
  <si>
    <t>Szent László utcai Tagóvoda nyílászáró csere</t>
  </si>
  <si>
    <t xml:space="preserve">             Általános iskolák</t>
  </si>
  <si>
    <t>1./2.</t>
  </si>
  <si>
    <t>1./1/2</t>
  </si>
  <si>
    <t>1./1/3</t>
  </si>
  <si>
    <t>1./1/4</t>
  </si>
  <si>
    <t>1./1/5</t>
  </si>
  <si>
    <t>Liszt Iskola felújítás támogatás</t>
  </si>
  <si>
    <t>Mindszenty Iskola felújítás, támogatás</t>
  </si>
  <si>
    <t>Izsák I. Általános iskola beruházás, fejlesztés</t>
  </si>
  <si>
    <t>Zrínyi Gimnázium gázellátásának szabályossá tétele</t>
  </si>
  <si>
    <t>1./2/1</t>
  </si>
  <si>
    <t>1./2/2</t>
  </si>
  <si>
    <t>1./2/3</t>
  </si>
  <si>
    <t>1./2/4</t>
  </si>
  <si>
    <t>1./2/5</t>
  </si>
  <si>
    <t>1./2/6</t>
  </si>
  <si>
    <t>Általános iskolák felújítása</t>
  </si>
  <si>
    <t>Városi Középiskolai Kollégium felújítás</t>
  </si>
  <si>
    <t>1./3.</t>
  </si>
  <si>
    <t>1./3./1</t>
  </si>
  <si>
    <t>1./3./2</t>
  </si>
  <si>
    <t>Andráshida gyerekorvosi rendelő felújítása</t>
  </si>
  <si>
    <t>3./1./1</t>
  </si>
  <si>
    <t>3./1./2</t>
  </si>
  <si>
    <t>Bölcsődék felújítása</t>
  </si>
  <si>
    <t>6.a/4</t>
  </si>
  <si>
    <t>6.a/5</t>
  </si>
  <si>
    <t>6.a/6</t>
  </si>
  <si>
    <t>6.a/7</t>
  </si>
  <si>
    <t>Bóbita játszótér WC és kézmosó</t>
  </si>
  <si>
    <t>Pózvai közösségi ház ablak cseréje</t>
  </si>
  <si>
    <t>Zalabesenyő temető kápolna felújítási munkái</t>
  </si>
  <si>
    <t>Költségvetési szervek felújítási kerete (Vis maior)</t>
  </si>
  <si>
    <t xml:space="preserve">Ovifoci pályázattal megvalósuló műfüves pályák előkészítési munkái  és építési munkái OVI-FOCI Aapítvány közreműködésével Kosztolányi téri és Csillagközi óvodákban </t>
  </si>
  <si>
    <t>Páterdombi sportfejlesztési feladatok</t>
  </si>
  <si>
    <t>Hadkieg Toborzó Iroda épületének homlokzat felújítási és fűtéskorszerűsítési munkái</t>
  </si>
  <si>
    <t>Falumúzeum szennyvízbekötése (telekhatáron belül 1 m-re)</t>
  </si>
  <si>
    <t>Kispálhegyi utca szennyvízelvezetés</t>
  </si>
  <si>
    <t>Zalaegerszeg, 5530/12 hrsz területén üzemelő hírközlési földkábel teljeskörű kiváltása</t>
  </si>
  <si>
    <t>Zalaegerszeg, 5530/12 hrsz területén kútkiváltás</t>
  </si>
  <si>
    <t>Vágóhíd utcai 72 x 111 m méretű műfüves sportpálya térvilágításának kiépítéséhez szükséges kapacitásbővítés</t>
  </si>
  <si>
    <t>Völgyi utca vízellátása</t>
  </si>
  <si>
    <t>Déli ipari terület fejlesztés: bekötőút és parkoló létesítése és közvilágítás kiépítése</t>
  </si>
  <si>
    <t xml:space="preserve">Déli ipari terület fejlesztés:  tüzivíz </t>
  </si>
  <si>
    <t>Déli ipari terület fejlesztés: gyalogjárda és kerékpárút kiépítéséhez területszerzés, tervezés, útelőkészítési munkák ( 550 fm hossz)</t>
  </si>
  <si>
    <t>Fenyő utca feltáró út kialakítása, közvilágítás kiépítése</t>
  </si>
  <si>
    <t>Szentmártoni utca I. szakaszán járdaépítés</t>
  </si>
  <si>
    <t>Takarék köz burkolatfelújítás II. ütem</t>
  </si>
  <si>
    <t>Sas utca - Jánkahegyi út csp átépítése: támfal építés</t>
  </si>
  <si>
    <t>Sas utca - Jánkahegyi út csp átépítése: vízvezeték átépítés</t>
  </si>
  <si>
    <t>Belső tehermentesítő út II. ütemhez kapcsolódó építési munkák (nem támogatott munkarészek)</t>
  </si>
  <si>
    <t xml:space="preserve">Becsali úti járdaépítés </t>
  </si>
  <si>
    <t>Andráshidai templomnál parkoló építés</t>
  </si>
  <si>
    <t>4./3</t>
  </si>
  <si>
    <t>4./4</t>
  </si>
  <si>
    <t>4./5</t>
  </si>
  <si>
    <t>4./6</t>
  </si>
  <si>
    <t>4./7</t>
  </si>
  <si>
    <t>4./8</t>
  </si>
  <si>
    <t>4./9</t>
  </si>
  <si>
    <t>4./10</t>
  </si>
  <si>
    <t>1./6</t>
  </si>
  <si>
    <t>1./7</t>
  </si>
  <si>
    <t>Városi Strand rehabilitációs feladatai és tanuszoda, külső medence átépítés, területrendezés előkészítése</t>
  </si>
  <si>
    <t>Ebergényi sportpálya fejlesztés</t>
  </si>
  <si>
    <t>ZTE Stadion pályavilágításához kapcsolódó kapacitásbővítés költsége és trafó áthelyezés</t>
  </si>
  <si>
    <t>Sportfejlesztési TAO-os pályázatok önrésze</t>
  </si>
  <si>
    <t>Ebergényi Polgárőrség gépkocsi vásárlás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</si>
  <si>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</si>
  <si>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</si>
  <si>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</si>
  <si>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</si>
  <si>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</si>
  <si>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</si>
  <si>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</si>
  <si>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</si>
  <si>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</si>
  <si>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</si>
  <si>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</si>
  <si>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</si>
  <si>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</si>
  <si>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</si>
  <si>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</si>
  <si>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</si>
  <si>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</si>
  <si>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</si>
  <si>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</si>
  <si>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</si>
  <si>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</si>
  <si>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</si>
  <si>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</si>
  <si>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</si>
  <si>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</si>
  <si>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</si>
  <si>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</si>
  <si>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</si>
  <si>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</si>
  <si>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</si>
  <si>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</si>
  <si>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</si>
  <si>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</si>
  <si>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 xml:space="preserve"> - MOL Nyrt. adomány</t>
  </si>
  <si>
    <t xml:space="preserve"> - osztalék bevétel VG Kft-től</t>
  </si>
  <si>
    <t xml:space="preserve"> - 2014. évi pénzmaradvány igénybevétele új feladatokhoz</t>
  </si>
  <si>
    <t>*</t>
  </si>
  <si>
    <t>Vízelvezetési problémák megoldása Páterdombon</t>
  </si>
  <si>
    <t>Termálmedence csempeburkolat javítása</t>
  </si>
  <si>
    <t>032020 Tűz- és katasztrófavéd. tevékenység</t>
  </si>
  <si>
    <t>013350 Az önkorm. vagyonnal való gazd. kapcs. feladatok</t>
  </si>
  <si>
    <t>084070 A fiatalok társ. integrációját segítő struktúra, szakmai szolgált. fejlesztése, működtetése</t>
  </si>
  <si>
    <t xml:space="preserve"> - Zalaegerszegi Teke Klub támogatása</t>
  </si>
  <si>
    <t>Dózsa Gy. Tagiskola Informatikai fejlesztés, új számítógépek vásárlása</t>
  </si>
  <si>
    <t>Öveges Iskola  konyha és az iskola épület (Északi) zárt folyosóval való összekötése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</si>
  <si>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</si>
  <si>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</si>
  <si>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</si>
  <si>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</si>
  <si>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>Kinizsi u. fák cserjék</t>
  </si>
  <si>
    <t>Göcseji úti köztemető hősi halottak sírjelének fú.</t>
  </si>
  <si>
    <t>Csillagközi Óvodát és autóbuszmegállót összekötő járda építés</t>
  </si>
  <si>
    <t>Tomori P. u. -Zrínyi út felőli járdafelújítás</t>
  </si>
  <si>
    <t>Madách u. – Landorhegyi u. 37– 51. sz. társasházakat összekötő lépcső felújítása</t>
  </si>
  <si>
    <t>Berzsenyi u. 11.sz. rámpa</t>
  </si>
  <si>
    <t>Szennyvíztársulástól átvett víziközmű vagyon fejlesztésére pénzeszköz átadás Szennyvzítársulás részére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</si>
  <si>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</si>
  <si>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</si>
  <si>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</si>
  <si>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9./3</t>
  </si>
  <si>
    <t>Jogi és igazgatási feladatok működési kiadásai összesen:</t>
  </si>
  <si>
    <t>Ady utca járda - strand előtti szakasz felújítása</t>
  </si>
  <si>
    <t xml:space="preserve"> - kulturális városi rendezvények</t>
  </si>
  <si>
    <t xml:space="preserve"> - lépcsők,sétányok, támfalak, korlátok javítása</t>
  </si>
  <si>
    <t xml:space="preserve"> - csapadékvízelvezető és árvízvédelmi létesítmények fenntartása</t>
  </si>
  <si>
    <t xml:space="preserve"> - csapadékvíz elvezető rendszer fennmaradási/üzemeltetési engedélyek</t>
  </si>
  <si>
    <t xml:space="preserve"> - védett síremlékek rendbetétele</t>
  </si>
  <si>
    <t xml:space="preserve"> - Idegenforgalmi feladatok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</si>
  <si>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</si>
  <si>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</si>
  <si>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</si>
  <si>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</si>
  <si>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Páterdombi LSC sportlétesítmény bérleti díj</t>
  </si>
  <si>
    <t>Igazga-tási dolgozó</t>
  </si>
  <si>
    <t>Óvoda pedagó-gus</t>
  </si>
  <si>
    <t>Népmű-velő, könyv-táros</t>
  </si>
  <si>
    <t>Egyéb szakal-kal- mazott</t>
  </si>
  <si>
    <t xml:space="preserve"> Zalaegerszegi Egészségügyi Alapellátás</t>
  </si>
  <si>
    <t>Zalaegerszegi Belvárosi I. sz.Óvoda</t>
  </si>
  <si>
    <t>Zalaegerszegi Belvárosi II. sz.Óvoda</t>
  </si>
  <si>
    <t>Zalaegerszegi Városrészek  Művelődési Központja és Könyvtára</t>
  </si>
  <si>
    <t xml:space="preserve">Hevesi Sándor Színház </t>
  </si>
  <si>
    <t>Költségvetési szervek összesen:</t>
  </si>
  <si>
    <t>Területcsere É-i és D-i ipari parkban 254/2013. kgy.hat.alapján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</si>
  <si>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</si>
  <si>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</si>
  <si>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</si>
  <si>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</si>
  <si>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</si>
  <si>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</si>
  <si>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</si>
  <si>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>Berzsenyi-Stadion utcai tömbbelsőben és környékén járda felújítás és zöldfelület rendezés</t>
  </si>
  <si>
    <t>Önkormányzati erdő ápolási, felújítási munkálatainak elvégzése</t>
  </si>
  <si>
    <t>9.a/2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</si>
  <si>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</si>
  <si>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</si>
  <si>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</si>
  <si>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</si>
  <si>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</si>
  <si>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</si>
  <si>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</si>
  <si>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</si>
  <si>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</si>
  <si>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</si>
  <si>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</si>
  <si>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</si>
  <si>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</si>
  <si>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</si>
  <si>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</si>
  <si>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</si>
  <si>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</si>
  <si>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</si>
  <si>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</si>
  <si>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Építési telek kialakítása, közművesítése (Flórián u. , Andráshida ) Lakásalap</t>
  </si>
  <si>
    <t>Művészlakások felújítása I.ütem lakásalapból</t>
  </si>
  <si>
    <t xml:space="preserve"> - szociális és egészségügyi rendezvények szervezése</t>
  </si>
  <si>
    <t xml:space="preserve"> - új idegenforgalmi koncepció</t>
  </si>
  <si>
    <t xml:space="preserve"> Polgármesteri Kabinet</t>
  </si>
  <si>
    <t>1./1/6</t>
  </si>
  <si>
    <t>3./1./3</t>
  </si>
  <si>
    <t>Polgármesteri Kabinet</t>
  </si>
  <si>
    <t>Polgármesteri Kabinet kiadásai</t>
  </si>
  <si>
    <t>Mártírok - Síp u. tömbbelsőben útfelújítás</t>
  </si>
  <si>
    <t>Borostyán út rézsű megtámasztás Vis maior pályázatból</t>
  </si>
  <si>
    <t xml:space="preserve"> - ZTE FC Zrt.  és  Sportszolg. Kft.támogatása </t>
  </si>
  <si>
    <t xml:space="preserve"> - Landorhegyi közbiztonsági feladatok</t>
  </si>
  <si>
    <t xml:space="preserve"> - közbiztonsági feladatok</t>
  </si>
  <si>
    <t>Támogatott lakások elkülönített lakbérbevételéből</t>
  </si>
  <si>
    <t>Domb  utca szennyvíz-elvezetés I. ütem</t>
  </si>
  <si>
    <t>Dísz téri köztéri műalkotás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</si>
  <si>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</si>
  <si>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</si>
  <si>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</si>
  <si>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</si>
  <si>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</si>
  <si>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</si>
  <si>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</si>
  <si>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</si>
  <si>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</si>
  <si>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</si>
  <si>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</si>
  <si>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</si>
  <si>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</si>
  <si>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</si>
  <si>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</si>
  <si>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</si>
  <si>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</si>
  <si>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</si>
  <si>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</si>
  <si>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Önkormányzat bevételei mindösszesen:</t>
  </si>
  <si>
    <t>Önkormányzat  működési kiadásai</t>
  </si>
  <si>
    <t>Önkormányzat felhalmozási kiadási</t>
  </si>
  <si>
    <t>Önkormányzat költségvetési szervek nélkül</t>
  </si>
  <si>
    <t>Zalaegerszegi Eü.  Alapellátás</t>
  </si>
  <si>
    <t>Zegi Belvárosi I. számú Óvoda</t>
  </si>
  <si>
    <t>Zegi Belvárosi II. számú Óvoda</t>
  </si>
  <si>
    <t>Zalaegerszegi Városrészek MKK</t>
  </si>
  <si>
    <t>Keresztury Dezső VMK</t>
  </si>
  <si>
    <t>Önkormányzat kiadásai mindösszesen: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</si>
  <si>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</si>
  <si>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</si>
  <si>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</si>
  <si>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Landorhegyi u. 8.szám alatti gyermekorvosi rendelő felújítás</t>
  </si>
  <si>
    <t>Vállalkozásfejlesztési Alapítvány kamattámogatás</t>
  </si>
  <si>
    <t>Közlekedési területek (út,járda) rendezése, területszerzés</t>
  </si>
  <si>
    <t>Bozsoki u. buszváró áthelyezése</t>
  </si>
  <si>
    <t xml:space="preserve">Nagytemplom környékének felújítása </t>
  </si>
  <si>
    <t>Mókus utca burkolat felújítás tervezése</t>
  </si>
  <si>
    <t>Platán sor aszfaltszőnyegezési munkái</t>
  </si>
  <si>
    <t>Batsányi J. u. felújítása III. ütem</t>
  </si>
  <si>
    <t xml:space="preserve">Akácfa utca felújítása </t>
  </si>
  <si>
    <t>Útfelújítás a Platán sor 1.-es számú felújított társasház mellett</t>
  </si>
  <si>
    <t>Landorhegyi u. 18. parkoló felújítás</t>
  </si>
  <si>
    <t>Tomori P. u. felújítása</t>
  </si>
  <si>
    <t>Besenyő u. (temető) parkolási lehetőség bővítése</t>
  </si>
  <si>
    <t>Csörge u. részleges burkolatfelújítás</t>
  </si>
  <si>
    <t xml:space="preserve">Alkotmány u. alsó szakaszának aszfaltozása </t>
  </si>
  <si>
    <t xml:space="preserve">Landorhegyi u. 25-29. sz. társasházak mögötti járdaszakasz, rézsű aszfaltozása, felújítása I. ütem </t>
  </si>
  <si>
    <t xml:space="preserve">Hegybíró út aszfaltozása II. ütem </t>
  </si>
  <si>
    <t>Göcseji úti temető hátsó bejáratánál lévő parkoló felújítása</t>
  </si>
  <si>
    <t>Csács és Bozsokon hegyi utak felújítása</t>
  </si>
  <si>
    <t>Bodza u. burkolat felújítás</t>
  </si>
  <si>
    <t>Karácsony S. u.vízvezeték utáni felújítás</t>
  </si>
  <si>
    <t>Bozsoki u. járdaburkolat felújítás III. ütem</t>
  </si>
  <si>
    <t xml:space="preserve">Tesco körforgalom gyalogátkelő és járdakapcsolat kialakítás </t>
  </si>
  <si>
    <t>Kaszaházi u. ÉNY-i balesetveszélyes járda felújítása</t>
  </si>
  <si>
    <t>Ságodi u. járdafelújításának folytatása a Paperdő u. kereszteződésétől</t>
  </si>
  <si>
    <t>Belvárosi járda felújítás</t>
  </si>
  <si>
    <t>Járdaszakaszok lokális felújítása Páterdombon</t>
  </si>
  <si>
    <t xml:space="preserve">Landorhegyi út – Madách út összekötő lépcső felújítása II. ütem </t>
  </si>
  <si>
    <t>Szent László utca és környéke, járdafelújítások</t>
  </si>
  <si>
    <t>Göcseji úti járda (Deák F. Szakközépiskola környezetében) felújítása</t>
  </si>
  <si>
    <t>Göcseji Pataki F. u. 23-31 járda felújítás, akadálymentesítés</t>
  </si>
  <si>
    <t>Olajmunkás u. járdaburkolat felújítás</t>
  </si>
  <si>
    <t>Ifjúság u. 13/4 járda akadálymentesítés</t>
  </si>
  <si>
    <t>Közösségi tér fejlesztés Vorhotán</t>
  </si>
  <si>
    <t xml:space="preserve">Közösségi térfejlesztése Újhegyen </t>
  </si>
  <si>
    <t>9./4</t>
  </si>
  <si>
    <t>Beruházási és felújítási kiadások:</t>
  </si>
  <si>
    <t xml:space="preserve">      Zalaegerszegi Napsugár Bölcsőde </t>
  </si>
  <si>
    <t>Zalaegerszegi Kertvárosi Óvoda  Napsugár utcai Tagóvodája (gáz és villamos energia)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</si>
  <si>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</si>
  <si>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</si>
  <si>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</si>
  <si>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 xml:space="preserve"> - új helyi adó bevétele</t>
  </si>
  <si>
    <t>Gébárti tó andráshidai ág rendbetétele</t>
  </si>
  <si>
    <t>Hatházán közösségi tér kialakításának folytatása</t>
  </si>
  <si>
    <t>Botfa u. Mária szobor környezetének fejlesztése</t>
  </si>
  <si>
    <t>Liszt F. Általános Iskola számára 2 db kosárlabdapalánk+festés</t>
  </si>
  <si>
    <t>Berzsenyi-Stadion belső lakótömbbe műanyag fűvédő a felnőtt játszótér köré</t>
  </si>
  <si>
    <t>7./1</t>
  </si>
  <si>
    <t>Lakótelepek faállományának megújítása</t>
  </si>
  <si>
    <t>Önkormányzati erdő ápolási és megújítási feladatok</t>
  </si>
  <si>
    <t>Csány László szobor környezetének rendezése</t>
  </si>
  <si>
    <t>Ságodi játszótér felújítása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</si>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</sst>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95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i/>
      <sz val="7"/>
      <name val="Times New Roman"/>
      <family val="1"/>
    </font>
    <font>
      <sz val="8.1"/>
      <name val="Times New Roman"/>
      <family val="1"/>
    </font>
    <font>
      <sz val="9"/>
      <color indexed="10"/>
      <name val="Arial CE"/>
      <family val="2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i/>
      <sz val="7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9"/>
      <name val="Times New Roman CE"/>
      <family val="0"/>
    </font>
    <font>
      <b/>
      <sz val="9"/>
      <name val="Arial CE"/>
      <family val="2"/>
    </font>
    <font>
      <sz val="8"/>
      <name val="Arial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45" fillId="3" borderId="0" applyNumberFormat="0" applyBorder="0" applyAlignment="0" applyProtection="0"/>
    <xf numFmtId="0" fontId="76" fillId="2" borderId="0" applyNumberFormat="0" applyBorder="0" applyAlignment="0" applyProtection="0"/>
    <xf numFmtId="0" fontId="27" fillId="4" borderId="0" applyNumberFormat="0" applyBorder="0" applyAlignment="0" applyProtection="0"/>
    <xf numFmtId="0" fontId="45" fillId="5" borderId="0" applyNumberFormat="0" applyBorder="0" applyAlignment="0" applyProtection="0"/>
    <xf numFmtId="0" fontId="76" fillId="4" borderId="0" applyNumberFormat="0" applyBorder="0" applyAlignment="0" applyProtection="0"/>
    <xf numFmtId="0" fontId="27" fillId="6" borderId="0" applyNumberFormat="0" applyBorder="0" applyAlignment="0" applyProtection="0"/>
    <xf numFmtId="0" fontId="45" fillId="7" borderId="0" applyNumberFormat="0" applyBorder="0" applyAlignment="0" applyProtection="0"/>
    <xf numFmtId="0" fontId="76" fillId="6" borderId="0" applyNumberFormat="0" applyBorder="0" applyAlignment="0" applyProtection="0"/>
    <xf numFmtId="0" fontId="27" fillId="8" borderId="0" applyNumberFormat="0" applyBorder="0" applyAlignment="0" applyProtection="0"/>
    <xf numFmtId="0" fontId="45" fillId="9" borderId="0" applyNumberFormat="0" applyBorder="0" applyAlignment="0" applyProtection="0"/>
    <xf numFmtId="0" fontId="76" fillId="8" borderId="0" applyNumberFormat="0" applyBorder="0" applyAlignment="0" applyProtection="0"/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76" fillId="10" borderId="0" applyNumberFormat="0" applyBorder="0" applyAlignment="0" applyProtection="0"/>
    <xf numFmtId="0" fontId="27" fillId="12" borderId="0" applyNumberFormat="0" applyBorder="0" applyAlignment="0" applyProtection="0"/>
    <xf numFmtId="0" fontId="45" fillId="13" borderId="0" applyNumberFormat="0" applyBorder="0" applyAlignment="0" applyProtection="0"/>
    <xf numFmtId="0" fontId="76" fillId="1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27" fillId="14" borderId="0" applyNumberFormat="0" applyBorder="0" applyAlignment="0" applyProtection="0"/>
    <xf numFmtId="0" fontId="45" fillId="15" borderId="0" applyNumberFormat="0" applyBorder="0" applyAlignment="0" applyProtection="0"/>
    <xf numFmtId="0" fontId="76" fillId="14" borderId="0" applyNumberFormat="0" applyBorder="0" applyAlignment="0" applyProtection="0"/>
    <xf numFmtId="0" fontId="27" fillId="16" borderId="0" applyNumberFormat="0" applyBorder="0" applyAlignment="0" applyProtection="0"/>
    <xf numFmtId="0" fontId="45" fillId="17" borderId="0" applyNumberFormat="0" applyBorder="0" applyAlignment="0" applyProtection="0"/>
    <xf numFmtId="0" fontId="76" fillId="16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76" fillId="18" borderId="0" applyNumberFormat="0" applyBorder="0" applyAlignment="0" applyProtection="0"/>
    <xf numFmtId="0" fontId="27" fillId="8" borderId="0" applyNumberFormat="0" applyBorder="0" applyAlignment="0" applyProtection="0"/>
    <xf numFmtId="0" fontId="45" fillId="9" borderId="0" applyNumberFormat="0" applyBorder="0" applyAlignment="0" applyProtection="0"/>
    <xf numFmtId="0" fontId="76" fillId="8" borderId="0" applyNumberFormat="0" applyBorder="0" applyAlignment="0" applyProtection="0"/>
    <xf numFmtId="0" fontId="27" fillId="14" borderId="0" applyNumberFormat="0" applyBorder="0" applyAlignment="0" applyProtection="0"/>
    <xf numFmtId="0" fontId="45" fillId="15" borderId="0" applyNumberFormat="0" applyBorder="0" applyAlignment="0" applyProtection="0"/>
    <xf numFmtId="0" fontId="76" fillId="14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76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20" borderId="0" applyNumberFormat="0" applyBorder="0" applyAlignment="0" applyProtection="0"/>
    <xf numFmtId="0" fontId="28" fillId="22" borderId="0" applyNumberFormat="0" applyBorder="0" applyAlignment="0" applyProtection="0"/>
    <xf numFmtId="0" fontId="46" fillId="23" borderId="0" applyNumberFormat="0" applyBorder="0" applyAlignment="0" applyProtection="0"/>
    <xf numFmtId="0" fontId="77" fillId="22" borderId="0" applyNumberFormat="0" applyBorder="0" applyAlignment="0" applyProtection="0"/>
    <xf numFmtId="0" fontId="28" fillId="16" borderId="0" applyNumberFormat="0" applyBorder="0" applyAlignment="0" applyProtection="0"/>
    <xf numFmtId="0" fontId="46" fillId="17" borderId="0" applyNumberFormat="0" applyBorder="0" applyAlignment="0" applyProtection="0"/>
    <xf numFmtId="0" fontId="77" fillId="16" borderId="0" applyNumberFormat="0" applyBorder="0" applyAlignment="0" applyProtection="0"/>
    <xf numFmtId="0" fontId="28" fillId="18" borderId="0" applyNumberFormat="0" applyBorder="0" applyAlignment="0" applyProtection="0"/>
    <xf numFmtId="0" fontId="46" fillId="19" borderId="0" applyNumberFormat="0" applyBorder="0" applyAlignment="0" applyProtection="0"/>
    <xf numFmtId="0" fontId="77" fillId="18" borderId="0" applyNumberFormat="0" applyBorder="0" applyAlignment="0" applyProtection="0"/>
    <xf numFmtId="0" fontId="28" fillId="24" borderId="0" applyNumberFormat="0" applyBorder="0" applyAlignment="0" applyProtection="0"/>
    <xf numFmtId="0" fontId="46" fillId="25" borderId="0" applyNumberFormat="0" applyBorder="0" applyAlignment="0" applyProtection="0"/>
    <xf numFmtId="0" fontId="77" fillId="24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77" fillId="26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0" applyNumberFormat="0" applyBorder="0" applyAlignment="0" applyProtection="0"/>
    <xf numFmtId="0" fontId="77" fillId="28" borderId="0" applyNumberFormat="0" applyBorder="0" applyAlignment="0" applyProtection="0"/>
    <xf numFmtId="0" fontId="46" fillId="22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33" borderId="0" applyNumberFormat="0" applyBorder="0" applyAlignment="0" applyProtection="0"/>
    <xf numFmtId="0" fontId="47" fillId="4" borderId="0" applyNumberFormat="0" applyBorder="0" applyAlignment="0" applyProtection="0"/>
    <xf numFmtId="0" fontId="29" fillId="12" borderId="1" applyNumberFormat="0" applyAlignment="0" applyProtection="0"/>
    <xf numFmtId="0" fontId="55" fillId="13" borderId="1" applyNumberFormat="0" applyAlignment="0" applyProtection="0"/>
    <xf numFmtId="0" fontId="78" fillId="12" borderId="1" applyNumberFormat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52" fillId="0" borderId="4" applyNumberFormat="0" applyFill="0" applyAlignment="0" applyProtection="0"/>
    <xf numFmtId="0" fontId="79" fillId="0" borderId="3" applyNumberFormat="0" applyFill="0" applyAlignment="0" applyProtection="0"/>
    <xf numFmtId="0" fontId="32" fillId="0" borderId="5" applyNumberFormat="0" applyFill="0" applyAlignment="0" applyProtection="0"/>
    <xf numFmtId="0" fontId="53" fillId="0" borderId="6" applyNumberFormat="0" applyFill="0" applyAlignment="0" applyProtection="0"/>
    <xf numFmtId="0" fontId="80" fillId="0" borderId="5" applyNumberFormat="0" applyFill="0" applyAlignment="0" applyProtection="0"/>
    <xf numFmtId="0" fontId="33" fillId="0" borderId="7" applyNumberFormat="0" applyFill="0" applyAlignment="0" applyProtection="0"/>
    <xf numFmtId="0" fontId="54" fillId="0" borderId="8" applyNumberFormat="0" applyFill="0" applyAlignment="0" applyProtection="0"/>
    <xf numFmtId="0" fontId="81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4" fillId="35" borderId="2" applyNumberFormat="0" applyAlignment="0" applyProtection="0"/>
    <xf numFmtId="0" fontId="49" fillId="36" borderId="2" applyNumberFormat="0" applyAlignment="0" applyProtection="0"/>
    <xf numFmtId="0" fontId="82" fillId="35" borderId="2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5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6" fillId="0" borderId="9" applyNumberFormat="0" applyFill="0" applyAlignment="0" applyProtection="0"/>
    <xf numFmtId="0" fontId="84" fillId="0" borderId="9" applyNumberFormat="0" applyFill="0" applyAlignment="0" applyProtection="0"/>
    <xf numFmtId="0" fontId="55" fillId="12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8" fillId="30" borderId="0" applyNumberFormat="0" applyBorder="0" applyAlignment="0" applyProtection="0"/>
    <xf numFmtId="0" fontId="46" fillId="39" borderId="0" applyNumberFormat="0" applyBorder="0" applyAlignment="0" applyProtection="0"/>
    <xf numFmtId="0" fontId="77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40" borderId="0" applyNumberFormat="0" applyBorder="0" applyAlignment="0" applyProtection="0"/>
    <xf numFmtId="0" fontId="77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41" borderId="0" applyNumberFormat="0" applyBorder="0" applyAlignment="0" applyProtection="0"/>
    <xf numFmtId="0" fontId="77" fillId="32" borderId="0" applyNumberFormat="0" applyBorder="0" applyAlignment="0" applyProtection="0"/>
    <xf numFmtId="0" fontId="28" fillId="24" borderId="0" applyNumberFormat="0" applyBorder="0" applyAlignment="0" applyProtection="0"/>
    <xf numFmtId="0" fontId="46" fillId="25" borderId="0" applyNumberFormat="0" applyBorder="0" applyAlignment="0" applyProtection="0"/>
    <xf numFmtId="0" fontId="77" fillId="24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77" fillId="26" borderId="0" applyNumberFormat="0" applyBorder="0" applyAlignment="0" applyProtection="0"/>
    <xf numFmtId="0" fontId="28" fillId="33" borderId="0" applyNumberFormat="0" applyBorder="0" applyAlignment="0" applyProtection="0"/>
    <xf numFmtId="0" fontId="46" fillId="42" borderId="0" applyNumberFormat="0" applyBorder="0" applyAlignment="0" applyProtection="0"/>
    <xf numFmtId="0" fontId="77" fillId="33" borderId="0" applyNumberFormat="0" applyBorder="0" applyAlignment="0" applyProtection="0"/>
    <xf numFmtId="0" fontId="37" fillId="6" borderId="0" applyNumberFormat="0" applyBorder="0" applyAlignment="0" applyProtection="0"/>
    <xf numFmtId="0" fontId="51" fillId="7" borderId="0" applyNumberFormat="0" applyBorder="0" applyAlignment="0" applyProtection="0"/>
    <xf numFmtId="0" fontId="85" fillId="6" borderId="0" applyNumberFormat="0" applyBorder="0" applyAlignment="0" applyProtection="0"/>
    <xf numFmtId="0" fontId="38" fillId="34" borderId="11" applyNumberFormat="0" applyAlignment="0" applyProtection="0"/>
    <xf numFmtId="0" fontId="58" fillId="43" borderId="11" applyNumberFormat="0" applyAlignment="0" applyProtection="0"/>
    <xf numFmtId="0" fontId="86" fillId="34" borderId="11" applyNumberFormat="0" applyAlignment="0" applyProtection="0"/>
    <xf numFmtId="0" fontId="56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5" fillId="37" borderId="10" applyNumberFormat="0" applyFont="0" applyAlignment="0" applyProtection="0"/>
    <xf numFmtId="0" fontId="58" fillId="34" borderId="11" applyNumberFormat="0" applyAlignment="0" applyProtection="0"/>
    <xf numFmtId="0" fontId="40" fillId="0" borderId="12" applyNumberFormat="0" applyFill="0" applyAlignment="0" applyProtection="0"/>
    <xf numFmtId="0" fontId="59" fillId="0" borderId="12" applyNumberFormat="0" applyFill="0" applyAlignment="0" applyProtection="0"/>
    <xf numFmtId="0" fontId="8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7" fillId="5" borderId="0" applyNumberFormat="0" applyBorder="0" applyAlignment="0" applyProtection="0"/>
    <xf numFmtId="0" fontId="89" fillId="4" borderId="0" applyNumberFormat="0" applyBorder="0" applyAlignment="0" applyProtection="0"/>
    <xf numFmtId="0" fontId="42" fillId="44" borderId="0" applyNumberFormat="0" applyBorder="0" applyAlignment="0" applyProtection="0"/>
    <xf numFmtId="0" fontId="57" fillId="45" borderId="0" applyNumberFormat="0" applyBorder="0" applyAlignment="0" applyProtection="0"/>
    <xf numFmtId="0" fontId="90" fillId="44" borderId="0" applyNumberFormat="0" applyBorder="0" applyAlignment="0" applyProtection="0"/>
    <xf numFmtId="0" fontId="43" fillId="34" borderId="1" applyNumberFormat="0" applyAlignment="0" applyProtection="0"/>
    <xf numFmtId="0" fontId="48" fillId="43" borderId="1" applyNumberFormat="0" applyAlignment="0" applyProtection="0"/>
    <xf numFmtId="0" fontId="91" fillId="34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40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13" fillId="0" borderId="13" xfId="207" applyNumberFormat="1" applyFont="1" applyFill="1" applyBorder="1" applyAlignment="1">
      <alignment horizontal="center" vertical="center" wrapText="1"/>
      <protection/>
    </xf>
    <xf numFmtId="3" fontId="12" fillId="0" borderId="13" xfId="207" applyNumberFormat="1" applyFont="1" applyFill="1" applyBorder="1" applyAlignment="1">
      <alignment horizontal="center" vertical="center" wrapText="1"/>
      <protection/>
    </xf>
    <xf numFmtId="3" fontId="13" fillId="0" borderId="13" xfId="207" applyNumberFormat="1" applyFont="1" applyBorder="1" applyAlignment="1">
      <alignment horizontal="center" vertical="center"/>
      <protection/>
    </xf>
    <xf numFmtId="3" fontId="13" fillId="0" borderId="13" xfId="207" applyNumberFormat="1" applyFont="1" applyBorder="1" applyAlignment="1">
      <alignment horizontal="right" vertical="center"/>
      <protection/>
    </xf>
    <xf numFmtId="3" fontId="13" fillId="0" borderId="13" xfId="207" applyNumberFormat="1" applyFont="1" applyBorder="1" applyAlignment="1">
      <alignment vertical="center"/>
      <protection/>
    </xf>
    <xf numFmtId="3" fontId="13" fillId="0" borderId="13" xfId="207" applyNumberFormat="1" applyFont="1" applyFill="1" applyBorder="1" applyAlignment="1">
      <alignment horizontal="center" vertical="center"/>
      <protection/>
    </xf>
    <xf numFmtId="3" fontId="13" fillId="0" borderId="13" xfId="207" applyNumberFormat="1" applyFont="1" applyFill="1" applyBorder="1" applyAlignment="1">
      <alignment vertical="center"/>
      <protection/>
    </xf>
    <xf numFmtId="3" fontId="12" fillId="6" borderId="13" xfId="207" applyNumberFormat="1" applyFont="1" applyFill="1" applyBorder="1" applyAlignment="1">
      <alignment horizontal="right" vertical="center"/>
      <protection/>
    </xf>
    <xf numFmtId="3" fontId="12" fillId="6" borderId="13" xfId="207" applyNumberFormat="1" applyFont="1" applyFill="1" applyBorder="1" applyAlignment="1">
      <alignment vertical="center"/>
      <protection/>
    </xf>
    <xf numFmtId="3" fontId="13" fillId="0" borderId="14" xfId="207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18" fillId="0" borderId="0" xfId="207" applyNumberFormat="1" applyFont="1" applyFill="1" applyAlignment="1">
      <alignment vertical="center"/>
      <protection/>
    </xf>
    <xf numFmtId="3" fontId="6" fillId="0" borderId="0" xfId="207" applyNumberFormat="1" applyFont="1" applyAlignment="1">
      <alignment vertical="center"/>
      <protection/>
    </xf>
    <xf numFmtId="3" fontId="6" fillId="0" borderId="0" xfId="207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6" borderId="16" xfId="0" applyNumberFormat="1" applyFont="1" applyFill="1" applyBorder="1" applyAlignment="1">
      <alignment horizontal="center" vertical="center" wrapText="1"/>
    </xf>
    <xf numFmtId="3" fontId="12" fillId="6" borderId="17" xfId="0" applyNumberFormat="1" applyFont="1" applyFill="1" applyBorder="1" applyAlignment="1">
      <alignment horizontal="center" vertical="center" wrapText="1"/>
    </xf>
    <xf numFmtId="3" fontId="12" fillId="6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6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6" borderId="19" xfId="0" applyNumberFormat="1" applyFont="1" applyFill="1" applyBorder="1" applyAlignment="1">
      <alignment vertical="center" wrapText="1"/>
    </xf>
    <xf numFmtId="3" fontId="12" fillId="6" borderId="20" xfId="0" applyNumberFormat="1" applyFont="1" applyFill="1" applyBorder="1" applyAlignment="1">
      <alignment vertical="center" wrapText="1"/>
    </xf>
    <xf numFmtId="3" fontId="12" fillId="6" borderId="20" xfId="0" applyNumberFormat="1" applyFont="1" applyFill="1" applyBorder="1" applyAlignment="1">
      <alignment vertical="center"/>
    </xf>
    <xf numFmtId="3" fontId="12" fillId="6" borderId="21" xfId="0" applyNumberFormat="1" applyFont="1" applyFill="1" applyBorder="1" applyAlignment="1">
      <alignment vertical="center"/>
    </xf>
    <xf numFmtId="3" fontId="12" fillId="6" borderId="22" xfId="0" applyNumberFormat="1" applyFont="1" applyFill="1" applyBorder="1" applyAlignment="1">
      <alignment horizontal="left" vertical="center" wrapText="1"/>
    </xf>
    <xf numFmtId="3" fontId="18" fillId="0" borderId="0" xfId="207" applyNumberFormat="1" applyFont="1" applyAlignment="1">
      <alignment vertical="center"/>
      <protection/>
    </xf>
    <xf numFmtId="3" fontId="6" fillId="0" borderId="0" xfId="207" applyNumberFormat="1" applyFont="1" applyFill="1" applyAlignment="1">
      <alignment vertical="center"/>
      <protection/>
    </xf>
    <xf numFmtId="3" fontId="9" fillId="6" borderId="13" xfId="0" applyNumberFormat="1" applyFont="1" applyFill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center" vertical="center" wrapText="1"/>
    </xf>
    <xf numFmtId="3" fontId="9" fillId="6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6" borderId="13" xfId="0" applyNumberFormat="1" applyFont="1" applyFill="1" applyBorder="1" applyAlignment="1">
      <alignment horizontal="center" vertical="center" wrapText="1"/>
    </xf>
    <xf numFmtId="3" fontId="13" fillId="0" borderId="13" xfId="207" applyNumberFormat="1" applyFont="1" applyBorder="1" applyAlignment="1">
      <alignment horizontal="left" vertical="center" wrapText="1"/>
      <protection/>
    </xf>
    <xf numFmtId="3" fontId="13" fillId="0" borderId="13" xfId="207" applyNumberFormat="1" applyFont="1" applyBorder="1" applyAlignment="1">
      <alignment horizontal="left" vertical="center"/>
      <protection/>
    </xf>
    <xf numFmtId="3" fontId="13" fillId="6" borderId="13" xfId="207" applyNumberFormat="1" applyFont="1" applyFill="1" applyBorder="1" applyAlignment="1">
      <alignment horizontal="center" vertical="center"/>
      <protection/>
    </xf>
    <xf numFmtId="0" fontId="8" fillId="0" borderId="13" xfId="194" applyFont="1" applyBorder="1" applyAlignment="1">
      <alignment vertical="center"/>
      <protection/>
    </xf>
    <xf numFmtId="3" fontId="9" fillId="46" borderId="23" xfId="207" applyNumberFormat="1" applyFont="1" applyFill="1" applyBorder="1" applyAlignment="1">
      <alignment horizontal="center" vertical="center" wrapText="1"/>
      <protection/>
    </xf>
    <xf numFmtId="3" fontId="9" fillId="0" borderId="13" xfId="207" applyNumberFormat="1" applyFont="1" applyFill="1" applyBorder="1" applyAlignment="1">
      <alignment horizontal="left" vertical="center" wrapText="1"/>
      <protection/>
    </xf>
    <xf numFmtId="3" fontId="8" fillId="0" borderId="13" xfId="207" applyNumberFormat="1" applyFont="1" applyFill="1" applyBorder="1" applyAlignment="1">
      <alignment horizontal="center" vertical="center" wrapText="1"/>
      <protection/>
    </xf>
    <xf numFmtId="3" fontId="8" fillId="0" borderId="13" xfId="207" applyNumberFormat="1" applyFont="1" applyFill="1" applyBorder="1" applyAlignment="1">
      <alignment horizontal="left" vertical="center" wrapText="1"/>
      <protection/>
    </xf>
    <xf numFmtId="3" fontId="8" fillId="0" borderId="13" xfId="207" applyNumberFormat="1" applyFont="1" applyBorder="1" applyAlignment="1">
      <alignment horizontal="center" vertical="center"/>
      <protection/>
    </xf>
    <xf numFmtId="3" fontId="8" fillId="0" borderId="13" xfId="207" applyNumberFormat="1" applyFont="1" applyBorder="1" applyAlignment="1">
      <alignment horizontal="left" vertical="center" wrapText="1"/>
      <protection/>
    </xf>
    <xf numFmtId="3" fontId="8" fillId="0" borderId="13" xfId="207" applyNumberFormat="1" applyFont="1" applyBorder="1" applyAlignment="1">
      <alignment vertical="center"/>
      <protection/>
    </xf>
    <xf numFmtId="3" fontId="8" fillId="0" borderId="13" xfId="207" applyNumberFormat="1" applyFont="1" applyBorder="1" applyAlignment="1">
      <alignment horizontal="left" vertical="center"/>
      <protection/>
    </xf>
    <xf numFmtId="3" fontId="8" fillId="6" borderId="13" xfId="207" applyNumberFormat="1" applyFont="1" applyFill="1" applyBorder="1" applyAlignment="1">
      <alignment horizontal="center" vertical="center"/>
      <protection/>
    </xf>
    <xf numFmtId="3" fontId="9" fillId="6" borderId="13" xfId="207" applyNumberFormat="1" applyFont="1" applyFill="1" applyBorder="1" applyAlignment="1">
      <alignment horizontal="left" vertical="center" wrapText="1"/>
      <protection/>
    </xf>
    <xf numFmtId="3" fontId="9" fillId="6" borderId="13" xfId="207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8" fillId="0" borderId="13" xfId="194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207" applyNumberFormat="1" applyFont="1" applyFill="1" applyBorder="1" applyAlignment="1">
      <alignment vertical="center" wrapText="1"/>
      <protection/>
    </xf>
    <xf numFmtId="3" fontId="9" fillId="0" borderId="13" xfId="207" applyNumberFormat="1" applyFont="1" applyBorder="1" applyAlignment="1">
      <alignment vertical="center"/>
      <protection/>
    </xf>
    <xf numFmtId="3" fontId="9" fillId="0" borderId="13" xfId="207" applyNumberFormat="1" applyFont="1" applyBorder="1" applyAlignment="1">
      <alignment horizontal="left" vertical="center" wrapText="1"/>
      <protection/>
    </xf>
    <xf numFmtId="3" fontId="8" fillId="6" borderId="1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12" fillId="0" borderId="25" xfId="207" applyNumberFormat="1" applyFont="1" applyFill="1" applyBorder="1" applyAlignment="1">
      <alignment vertical="center"/>
      <protection/>
    </xf>
    <xf numFmtId="3" fontId="14" fillId="0" borderId="13" xfId="207" applyNumberFormat="1" applyFont="1" applyFill="1" applyBorder="1" applyAlignment="1">
      <alignment vertical="center"/>
      <protection/>
    </xf>
    <xf numFmtId="3" fontId="13" fillId="0" borderId="13" xfId="207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6" borderId="13" xfId="0" applyNumberFormat="1" applyFont="1" applyFill="1" applyBorder="1" applyAlignment="1">
      <alignment horizontal="center" vertical="center"/>
    </xf>
    <xf numFmtId="3" fontId="9" fillId="6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6" borderId="14" xfId="0" applyNumberFormat="1" applyFont="1" applyFill="1" applyBorder="1" applyAlignment="1">
      <alignment vertical="center"/>
    </xf>
    <xf numFmtId="3" fontId="12" fillId="6" borderId="15" xfId="0" applyNumberFormat="1" applyFont="1" applyFill="1" applyBorder="1" applyAlignment="1">
      <alignment vertical="center"/>
    </xf>
    <xf numFmtId="3" fontId="9" fillId="6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2" fillId="6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6" fillId="47" borderId="13" xfId="207" applyNumberFormat="1" applyFont="1" applyFill="1" applyBorder="1" applyAlignment="1">
      <alignment horizontal="center" vertical="top" wrapText="1"/>
      <protection/>
    </xf>
    <xf numFmtId="3" fontId="16" fillId="47" borderId="13" xfId="207" applyNumberFormat="1" applyFont="1" applyFill="1" applyBorder="1" applyAlignment="1">
      <alignment horizontal="center" vertical="center" wrapText="1"/>
      <protection/>
    </xf>
    <xf numFmtId="3" fontId="13" fillId="47" borderId="13" xfId="207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12" fillId="6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207" applyNumberFormat="1" applyFont="1" applyFill="1" applyBorder="1" applyAlignment="1">
      <alignment horizontal="center" vertical="top" wrapText="1"/>
      <protection/>
    </xf>
    <xf numFmtId="3" fontId="12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6" borderId="15" xfId="0" applyNumberFormat="1" applyFont="1" applyFill="1" applyBorder="1" applyAlignment="1">
      <alignment horizontal="left" vertical="center"/>
    </xf>
    <xf numFmtId="3" fontId="12" fillId="6" borderId="13" xfId="0" applyNumberFormat="1" applyFont="1" applyFill="1" applyBorder="1" applyAlignment="1">
      <alignment horizontal="right" vertical="center"/>
    </xf>
    <xf numFmtId="3" fontId="6" fillId="47" borderId="0" xfId="0" applyNumberFormat="1" applyFont="1" applyFill="1" applyAlignment="1">
      <alignment vertical="center"/>
    </xf>
    <xf numFmtId="3" fontId="6" fillId="6" borderId="0" xfId="0" applyNumberFormat="1" applyFont="1" applyFill="1" applyAlignment="1">
      <alignment vertical="center"/>
    </xf>
    <xf numFmtId="3" fontId="25" fillId="0" borderId="13" xfId="207" applyNumberFormat="1" applyFont="1" applyFill="1" applyBorder="1" applyAlignment="1">
      <alignment horizontal="right" vertical="center"/>
      <protection/>
    </xf>
    <xf numFmtId="3" fontId="25" fillId="0" borderId="13" xfId="207" applyNumberFormat="1" applyFont="1" applyFill="1" applyBorder="1" applyAlignment="1">
      <alignment horizontal="center" vertical="center"/>
      <protection/>
    </xf>
    <xf numFmtId="3" fontId="25" fillId="0" borderId="13" xfId="207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3" fontId="26" fillId="47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6" borderId="24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6" borderId="27" xfId="0" applyNumberFormat="1" applyFont="1" applyFill="1" applyBorder="1" applyAlignment="1">
      <alignment vertical="center" wrapText="1"/>
    </xf>
    <xf numFmtId="3" fontId="12" fillId="6" borderId="28" xfId="0" applyNumberFormat="1" applyFont="1" applyFill="1" applyBorder="1" applyAlignment="1">
      <alignment vertical="center"/>
    </xf>
    <xf numFmtId="3" fontId="12" fillId="6" borderId="28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3" fontId="12" fillId="0" borderId="13" xfId="207" applyNumberFormat="1" applyFont="1" applyFill="1" applyBorder="1" applyAlignment="1">
      <alignment horizontal="center" vertical="center"/>
      <protection/>
    </xf>
    <xf numFmtId="3" fontId="8" fillId="0" borderId="13" xfId="207" applyNumberFormat="1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vertical="center"/>
    </xf>
    <xf numFmtId="3" fontId="9" fillId="6" borderId="14" xfId="0" applyNumberFormat="1" applyFont="1" applyFill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vertical="center"/>
    </xf>
    <xf numFmtId="3" fontId="12" fillId="47" borderId="29" xfId="0" applyNumberFormat="1" applyFont="1" applyFill="1" applyBorder="1" applyAlignment="1">
      <alignment vertical="center"/>
    </xf>
    <xf numFmtId="0" fontId="8" fillId="0" borderId="13" xfId="194" applyFont="1" applyFill="1" applyBorder="1" applyAlignment="1">
      <alignment vertical="center"/>
      <protection/>
    </xf>
    <xf numFmtId="0" fontId="61" fillId="6" borderId="13" xfId="194" applyFont="1" applyFill="1" applyBorder="1" applyAlignment="1">
      <alignment horizontal="center" vertical="center"/>
      <protection/>
    </xf>
    <xf numFmtId="0" fontId="62" fillId="6" borderId="13" xfId="194" applyFont="1" applyFill="1" applyBorder="1" applyAlignment="1">
      <alignment vertical="center"/>
      <protection/>
    </xf>
    <xf numFmtId="3" fontId="12" fillId="6" borderId="30" xfId="207" applyNumberFormat="1" applyFont="1" applyFill="1" applyBorder="1" applyAlignment="1">
      <alignment horizontal="center" vertical="center" wrapText="1"/>
      <protection/>
    </xf>
    <xf numFmtId="3" fontId="9" fillId="0" borderId="13" xfId="207" applyNumberFormat="1" applyFont="1" applyFill="1" applyBorder="1" applyAlignment="1">
      <alignment vertical="center"/>
      <protection/>
    </xf>
    <xf numFmtId="3" fontId="12" fillId="6" borderId="31" xfId="0" applyNumberFormat="1" applyFont="1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0" fontId="3" fillId="6" borderId="21" xfId="0" applyFont="1" applyFill="1" applyBorder="1" applyAlignment="1">
      <alignment horizontal="center" vertical="center" wrapText="1"/>
    </xf>
    <xf numFmtId="3" fontId="8" fillId="47" borderId="13" xfId="207" applyNumberFormat="1" applyFont="1" applyFill="1" applyBorder="1" applyAlignment="1">
      <alignment horizontal="right" vertical="top" wrapText="1"/>
      <protection/>
    </xf>
    <xf numFmtId="3" fontId="12" fillId="6" borderId="13" xfId="207" applyNumberFormat="1" applyFont="1" applyFill="1" applyBorder="1" applyAlignment="1">
      <alignment horizontal="center" vertical="center" wrapText="1"/>
      <protection/>
    </xf>
    <xf numFmtId="0" fontId="63" fillId="6" borderId="13" xfId="0" applyFont="1" applyFill="1" applyBorder="1" applyAlignment="1">
      <alignment horizontal="center" vertical="center" wrapText="1"/>
    </xf>
    <xf numFmtId="0" fontId="8" fillId="0" borderId="13" xfId="194" applyFont="1" applyFill="1" applyBorder="1" applyAlignment="1">
      <alignment vertical="center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vertical="center" wrapText="1"/>
    </xf>
    <xf numFmtId="3" fontId="9" fillId="0" borderId="22" xfId="207" applyNumberFormat="1" applyFont="1" applyFill="1" applyBorder="1" applyAlignment="1">
      <alignment horizontal="center" vertical="center" wrapText="1"/>
      <protection/>
    </xf>
    <xf numFmtId="3" fontId="9" fillId="0" borderId="22" xfId="207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6" borderId="24" xfId="0" applyNumberFormat="1" applyFont="1" applyFill="1" applyBorder="1" applyAlignment="1">
      <alignment horizontal="center" vertical="center" wrapText="1"/>
    </xf>
    <xf numFmtId="3" fontId="13" fillId="0" borderId="21" xfId="207" applyNumberFormat="1" applyFont="1" applyFill="1" applyBorder="1" applyAlignment="1">
      <alignment horizontal="center" vertical="center" wrapText="1"/>
      <protection/>
    </xf>
    <xf numFmtId="3" fontId="12" fillId="6" borderId="33" xfId="207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6" fillId="6" borderId="34" xfId="207" applyNumberFormat="1" applyFont="1" applyFill="1" applyBorder="1" applyAlignment="1">
      <alignment horizontal="center" vertical="center"/>
      <protection/>
    </xf>
    <xf numFmtId="3" fontId="16" fillId="6" borderId="28" xfId="207" applyNumberFormat="1" applyFont="1" applyFill="1" applyBorder="1" applyAlignment="1">
      <alignment horizontal="center" vertical="center"/>
      <protection/>
    </xf>
    <xf numFmtId="0" fontId="8" fillId="0" borderId="13" xfId="199" applyFont="1" applyFill="1" applyBorder="1" applyAlignment="1">
      <alignment horizontal="left" vertical="center" wrapText="1"/>
      <protection/>
    </xf>
    <xf numFmtId="0" fontId="61" fillId="6" borderId="13" xfId="194" applyFont="1" applyFill="1" applyBorder="1" applyAlignment="1">
      <alignment vertical="center"/>
      <protection/>
    </xf>
    <xf numFmtId="0" fontId="22" fillId="0" borderId="13" xfId="193" applyFont="1" applyFill="1" applyBorder="1" applyAlignment="1">
      <alignment horizontal="left" vertical="center" wrapText="1"/>
      <protection/>
    </xf>
    <xf numFmtId="0" fontId="13" fillId="0" borderId="13" xfId="194" applyFont="1" applyFill="1" applyBorder="1" applyAlignment="1">
      <alignment vertical="center" wrapText="1"/>
      <protection/>
    </xf>
    <xf numFmtId="3" fontId="12" fillId="0" borderId="13" xfId="207" applyNumberFormat="1" applyFont="1" applyFill="1" applyBorder="1" applyAlignment="1">
      <alignment horizontal="right" vertical="center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left" vertical="center" wrapText="1"/>
    </xf>
    <xf numFmtId="0" fontId="13" fillId="0" borderId="35" xfId="198" applyFont="1" applyBorder="1" applyAlignment="1">
      <alignment wrapText="1"/>
      <protection/>
    </xf>
    <xf numFmtId="0" fontId="13" fillId="0" borderId="35" xfId="198" applyFont="1" applyFill="1" applyBorder="1">
      <alignment/>
      <protection/>
    </xf>
    <xf numFmtId="49" fontId="8" fillId="48" borderId="35" xfId="198" applyNumberFormat="1" applyFont="1" applyFill="1" applyBorder="1" applyAlignment="1">
      <alignment horizontal="left" vertical="top" wrapText="1"/>
      <protection/>
    </xf>
    <xf numFmtId="3" fontId="13" fillId="0" borderId="36" xfId="187" applyNumberFormat="1" applyFont="1" applyFill="1" applyBorder="1" applyAlignment="1">
      <alignment vertical="center" wrapText="1"/>
      <protection/>
    </xf>
    <xf numFmtId="0" fontId="8" fillId="0" borderId="35" xfId="198" applyFont="1" applyFill="1" applyBorder="1">
      <alignment/>
      <protection/>
    </xf>
    <xf numFmtId="49" fontId="8" fillId="0" borderId="35" xfId="198" applyNumberFormat="1" applyFont="1" applyFill="1" applyBorder="1" applyAlignment="1">
      <alignment horizontal="left" vertical="top" wrapText="1"/>
      <protection/>
    </xf>
    <xf numFmtId="0" fontId="13" fillId="0" borderId="35" xfId="198" applyFont="1" applyBorder="1">
      <alignment/>
      <protection/>
    </xf>
    <xf numFmtId="3" fontId="8" fillId="0" borderId="35" xfId="198" applyNumberFormat="1" applyFont="1" applyFill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63" fillId="6" borderId="14" xfId="0" applyFont="1" applyFill="1" applyBorder="1" applyAlignment="1">
      <alignment horizontal="center" vertical="center" wrapText="1"/>
    </xf>
    <xf numFmtId="3" fontId="13" fillId="0" borderId="14" xfId="207" applyNumberFormat="1" applyFont="1" applyFill="1" applyBorder="1" applyAlignment="1">
      <alignment horizontal="left" vertical="center"/>
      <protection/>
    </xf>
    <xf numFmtId="49" fontId="13" fillId="0" borderId="14" xfId="0" applyNumberFormat="1" applyFont="1" applyBorder="1" applyAlignment="1">
      <alignment vertical="center"/>
    </xf>
    <xf numFmtId="3" fontId="12" fillId="6" borderId="21" xfId="207" applyNumberFormat="1" applyFont="1" applyFill="1" applyBorder="1" applyAlignment="1">
      <alignment horizontal="center" vertical="center" wrapText="1"/>
      <protection/>
    </xf>
    <xf numFmtId="3" fontId="12" fillId="6" borderId="37" xfId="207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0" fontId="65" fillId="0" borderId="0" xfId="199" applyFont="1" applyAlignment="1">
      <alignment horizontal="center"/>
      <protection/>
    </xf>
    <xf numFmtId="0" fontId="65" fillId="0" borderId="0" xfId="199" applyFont="1">
      <alignment/>
      <protection/>
    </xf>
    <xf numFmtId="10" fontId="20" fillId="0" borderId="13" xfId="225" applyNumberFormat="1" applyFont="1" applyFill="1" applyBorder="1" applyAlignment="1">
      <alignment horizontal="center" vertical="center" wrapText="1"/>
    </xf>
    <xf numFmtId="49" fontId="8" fillId="0" borderId="13" xfId="225" applyNumberFormat="1" applyFont="1" applyFill="1" applyBorder="1" applyAlignment="1">
      <alignment horizontal="center" vertical="center" wrapText="1"/>
    </xf>
    <xf numFmtId="10" fontId="20" fillId="0" borderId="29" xfId="225" applyNumberFormat="1" applyFont="1" applyFill="1" applyBorder="1" applyAlignment="1">
      <alignment horizontal="center" vertical="center" wrapText="1"/>
    </xf>
    <xf numFmtId="49" fontId="8" fillId="0" borderId="29" xfId="225" applyNumberFormat="1" applyFont="1" applyFill="1" applyBorder="1" applyAlignment="1">
      <alignment horizontal="center" vertical="center" wrapText="1"/>
    </xf>
    <xf numFmtId="10" fontId="20" fillId="0" borderId="38" xfId="225" applyNumberFormat="1" applyFont="1" applyFill="1" applyBorder="1" applyAlignment="1">
      <alignment horizontal="center" vertical="center" wrapText="1"/>
    </xf>
    <xf numFmtId="49" fontId="8" fillId="0" borderId="38" xfId="225" applyNumberFormat="1" applyFont="1" applyFill="1" applyBorder="1" applyAlignment="1">
      <alignment horizontal="center" vertical="center" wrapText="1"/>
    </xf>
    <xf numFmtId="0" fontId="13" fillId="0" borderId="35" xfId="198" applyFont="1" applyFill="1" applyBorder="1" applyAlignment="1">
      <alignment wrapText="1"/>
      <protection/>
    </xf>
    <xf numFmtId="0" fontId="3" fillId="6" borderId="37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vertical="center"/>
    </xf>
    <xf numFmtId="3" fontId="13" fillId="6" borderId="15" xfId="0" applyNumberFormat="1" applyFont="1" applyFill="1" applyBorder="1" applyAlignment="1">
      <alignment vertical="center"/>
    </xf>
    <xf numFmtId="3" fontId="13" fillId="6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left" vertical="center"/>
    </xf>
    <xf numFmtId="3" fontId="69" fillId="0" borderId="0" xfId="0" applyNumberFormat="1" applyFont="1" applyAlignment="1">
      <alignment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3" fontId="13" fillId="0" borderId="14" xfId="207" applyNumberFormat="1" applyFont="1" applyFill="1" applyBorder="1" applyAlignment="1">
      <alignment horizontal="left" vertical="center" wrapText="1"/>
      <protection/>
    </xf>
    <xf numFmtId="3" fontId="15" fillId="0" borderId="14" xfId="0" applyNumberFormat="1" applyFont="1" applyFill="1" applyBorder="1" applyAlignment="1">
      <alignment vertical="center" wrapText="1"/>
    </xf>
    <xf numFmtId="3" fontId="13" fillId="0" borderId="14" xfId="207" applyNumberFormat="1" applyFont="1" applyBorder="1" applyAlignment="1">
      <alignment horizontal="left" vertical="center"/>
      <protection/>
    </xf>
    <xf numFmtId="3" fontId="13" fillId="0" borderId="14" xfId="207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6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5" xfId="0" applyNumberFormat="1" applyFont="1" applyFill="1" applyBorder="1" applyAlignment="1">
      <alignment horizontal="center" vertical="center"/>
    </xf>
    <xf numFmtId="3" fontId="13" fillId="0" borderId="39" xfId="187" applyNumberFormat="1" applyFont="1" applyFill="1" applyBorder="1" applyAlignment="1">
      <alignment vertic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8" fillId="0" borderId="39" xfId="198" applyFont="1" applyBorder="1" applyAlignment="1">
      <alignment horizontal="left" wrapText="1"/>
      <protection/>
    </xf>
    <xf numFmtId="3" fontId="8" fillId="0" borderId="14" xfId="0" applyNumberFormat="1" applyFont="1" applyFill="1" applyBorder="1" applyAlignment="1">
      <alignment horizontal="left" vertical="center"/>
    </xf>
    <xf numFmtId="3" fontId="15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left" vertical="center"/>
    </xf>
    <xf numFmtId="49" fontId="13" fillId="0" borderId="14" xfId="198" applyNumberFormat="1" applyFont="1" applyBorder="1" applyAlignment="1">
      <alignment horizontal="left" vertical="center" wrapText="1"/>
      <protection/>
    </xf>
    <xf numFmtId="49" fontId="13" fillId="0" borderId="40" xfId="198" applyNumberFormat="1" applyFont="1" applyBorder="1" applyAlignment="1">
      <alignment horizontal="left" vertical="center" wrapText="1"/>
      <protection/>
    </xf>
    <xf numFmtId="49" fontId="13" fillId="0" borderId="41" xfId="198" applyNumberFormat="1" applyFont="1" applyBorder="1" applyAlignment="1">
      <alignment horizontal="left" vertical="center" wrapText="1"/>
      <protection/>
    </xf>
    <xf numFmtId="49" fontId="22" fillId="0" borderId="14" xfId="198" applyNumberFormat="1" applyFont="1" applyFill="1" applyBorder="1" applyAlignment="1">
      <alignment horizontal="left" vertical="center" wrapText="1"/>
      <protection/>
    </xf>
    <xf numFmtId="49" fontId="13" fillId="0" borderId="39" xfId="198" applyNumberFormat="1" applyFont="1" applyBorder="1" applyAlignment="1">
      <alignment horizontal="left" vertical="center" wrapText="1"/>
      <protection/>
    </xf>
    <xf numFmtId="0" fontId="8" fillId="48" borderId="39" xfId="198" applyFont="1" applyFill="1" applyBorder="1" applyAlignment="1">
      <alignment horizontal="left" vertical="top" wrapText="1"/>
      <protection/>
    </xf>
    <xf numFmtId="0" fontId="8" fillId="0" borderId="42" xfId="182" applyFont="1" applyFill="1" applyBorder="1" applyAlignment="1">
      <alignment horizontal="center" vertical="center"/>
      <protection/>
    </xf>
    <xf numFmtId="0" fontId="8" fillId="0" borderId="35" xfId="205" applyFont="1" applyBorder="1" applyAlignment="1">
      <alignment vertical="center"/>
      <protection/>
    </xf>
    <xf numFmtId="0" fontId="9" fillId="0" borderId="42" xfId="182" applyFont="1" applyBorder="1" applyAlignment="1">
      <alignment horizontal="center" vertical="center"/>
      <protection/>
    </xf>
    <xf numFmtId="0" fontId="9" fillId="0" borderId="35" xfId="182" applyFont="1" applyBorder="1" applyAlignment="1">
      <alignment vertical="center"/>
      <protection/>
    </xf>
    <xf numFmtId="0" fontId="8" fillId="0" borderId="42" xfId="182" applyFont="1" applyBorder="1" applyAlignment="1">
      <alignment horizontal="center" vertical="center"/>
      <protection/>
    </xf>
    <xf numFmtId="0" fontId="9" fillId="48" borderId="42" xfId="182" applyFont="1" applyFill="1" applyBorder="1" applyAlignment="1">
      <alignment horizontal="center" vertical="top" wrapText="1"/>
      <protection/>
    </xf>
    <xf numFmtId="0" fontId="9" fillId="48" borderId="35" xfId="182" applyFont="1" applyFill="1" applyBorder="1" applyAlignment="1">
      <alignment vertical="top"/>
      <protection/>
    </xf>
    <xf numFmtId="0" fontId="8" fillId="48" borderId="42" xfId="182" applyFont="1" applyFill="1" applyBorder="1" applyAlignment="1">
      <alignment horizontal="center" vertical="top" wrapText="1"/>
      <protection/>
    </xf>
    <xf numFmtId="0" fontId="8" fillId="0" borderId="35" xfId="182" applyFont="1" applyFill="1" applyBorder="1" applyAlignment="1">
      <alignment vertical="top"/>
      <protection/>
    </xf>
    <xf numFmtId="0" fontId="8" fillId="48" borderId="35" xfId="175" applyFont="1" applyFill="1" applyBorder="1" applyAlignment="1">
      <alignment vertical="top" wrapText="1"/>
      <protection/>
    </xf>
    <xf numFmtId="0" fontId="8" fillId="48" borderId="35" xfId="182" applyFont="1" applyFill="1" applyBorder="1" applyAlignment="1">
      <alignment vertical="top"/>
      <protection/>
    </xf>
    <xf numFmtId="3" fontId="13" fillId="6" borderId="13" xfId="0" applyNumberFormat="1" applyFont="1" applyFill="1" applyBorder="1" applyAlignment="1">
      <alignment horizontal="center" vertical="center"/>
    </xf>
    <xf numFmtId="3" fontId="13" fillId="6" borderId="14" xfId="0" applyNumberFormat="1" applyFont="1" applyFill="1" applyBorder="1" applyAlignment="1">
      <alignment horizontal="center" vertical="center"/>
    </xf>
    <xf numFmtId="0" fontId="8" fillId="0" borderId="35" xfId="179" applyFont="1" applyFill="1" applyBorder="1" applyAlignment="1">
      <alignment vertical="top"/>
      <protection/>
    </xf>
    <xf numFmtId="0" fontId="8" fillId="0" borderId="35" xfId="177" applyFont="1" applyFill="1" applyBorder="1" applyAlignment="1">
      <alignment vertical="top" wrapText="1"/>
      <protection/>
    </xf>
    <xf numFmtId="0" fontId="8" fillId="0" borderId="35" xfId="182" applyFont="1" applyBorder="1">
      <alignment/>
      <protection/>
    </xf>
    <xf numFmtId="0" fontId="8" fillId="0" borderId="35" xfId="179" applyFont="1" applyFill="1" applyBorder="1" applyAlignment="1">
      <alignment vertical="top" wrapText="1"/>
      <protection/>
    </xf>
    <xf numFmtId="0" fontId="8" fillId="48" borderId="35" xfId="182" applyFont="1" applyFill="1" applyBorder="1" applyAlignment="1">
      <alignment horizontal="left" vertical="top" wrapText="1"/>
      <protection/>
    </xf>
    <xf numFmtId="49" fontId="8" fillId="0" borderId="35" xfId="189" applyNumberFormat="1" applyFont="1" applyFill="1" applyBorder="1" applyAlignment="1">
      <alignment horizontal="left" vertical="center"/>
      <protection/>
    </xf>
    <xf numFmtId="0" fontId="9" fillId="0" borderId="35" xfId="182" applyFont="1" applyFill="1" applyBorder="1" applyAlignment="1">
      <alignment vertical="top"/>
      <protection/>
    </xf>
    <xf numFmtId="0" fontId="8" fillId="0" borderId="35" xfId="182" applyFont="1" applyFill="1" applyBorder="1" applyAlignment="1">
      <alignment vertical="top" wrapText="1"/>
      <protection/>
    </xf>
    <xf numFmtId="0" fontId="8" fillId="0" borderId="35" xfId="170" applyFont="1" applyFill="1" applyBorder="1" applyAlignment="1">
      <alignment horizontal="left" vertical="center" wrapText="1"/>
      <protection/>
    </xf>
    <xf numFmtId="0" fontId="8" fillId="0" borderId="35" xfId="170" applyFont="1" applyFill="1" applyBorder="1" applyAlignment="1">
      <alignment horizontal="left" vertical="center" wrapText="1"/>
      <protection/>
    </xf>
    <xf numFmtId="0" fontId="8" fillId="0" borderId="35" xfId="166" applyFont="1" applyFill="1" applyBorder="1" applyAlignment="1">
      <alignment horizontal="left" vertical="center" wrapText="1"/>
      <protection/>
    </xf>
    <xf numFmtId="0" fontId="8" fillId="48" borderId="35" xfId="182" applyFont="1" applyFill="1" applyBorder="1" applyAlignment="1">
      <alignment vertical="top" wrapText="1"/>
      <protection/>
    </xf>
    <xf numFmtId="0" fontId="13" fillId="0" borderId="0" xfId="205" applyFont="1" applyFill="1" applyBorder="1" applyAlignment="1">
      <alignment vertical="center" wrapText="1"/>
      <protection/>
    </xf>
    <xf numFmtId="3" fontId="15" fillId="47" borderId="14" xfId="0" applyNumberFormat="1" applyFont="1" applyFill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13" fillId="47" borderId="0" xfId="0" applyNumberFormat="1" applyFont="1" applyFill="1" applyBorder="1" applyAlignment="1">
      <alignment vertical="center"/>
    </xf>
    <xf numFmtId="0" fontId="12" fillId="6" borderId="13" xfId="168" applyFont="1" applyFill="1" applyBorder="1" applyAlignment="1">
      <alignment horizontal="center" vertical="center"/>
      <protection/>
    </xf>
    <xf numFmtId="0" fontId="5" fillId="0" borderId="0" xfId="168" applyAlignment="1">
      <alignment vertical="center"/>
      <protection/>
    </xf>
    <xf numFmtId="0" fontId="12" fillId="6" borderId="13" xfId="168" applyFont="1" applyFill="1" applyBorder="1" applyAlignment="1">
      <alignment horizontal="center" vertical="center" wrapText="1"/>
      <protection/>
    </xf>
    <xf numFmtId="0" fontId="5" fillId="0" borderId="0" xfId="168" applyAlignment="1">
      <alignment vertical="top"/>
      <protection/>
    </xf>
    <xf numFmtId="3" fontId="13" fillId="0" borderId="13" xfId="168" applyNumberFormat="1" applyFont="1" applyBorder="1" applyAlignment="1">
      <alignment vertical="center"/>
      <protection/>
    </xf>
    <xf numFmtId="0" fontId="9" fillId="6" borderId="13" xfId="168" applyFont="1" applyFill="1" applyBorder="1" applyAlignment="1">
      <alignment vertical="center" wrapText="1"/>
      <protection/>
    </xf>
    <xf numFmtId="3" fontId="9" fillId="6" borderId="13" xfId="168" applyNumberFormat="1" applyFont="1" applyFill="1" applyBorder="1" applyAlignment="1">
      <alignment vertical="center"/>
      <protection/>
    </xf>
    <xf numFmtId="3" fontId="5" fillId="0" borderId="0" xfId="168" applyNumberFormat="1" applyAlignment="1">
      <alignment vertical="center"/>
      <protection/>
    </xf>
    <xf numFmtId="0" fontId="13" fillId="0" borderId="13" xfId="201" applyFont="1" applyFill="1" applyBorder="1" applyAlignment="1">
      <alignment vertical="center" wrapText="1"/>
      <protection/>
    </xf>
    <xf numFmtId="0" fontId="12" fillId="6" borderId="13" xfId="168" applyFont="1" applyFill="1" applyBorder="1" applyAlignment="1">
      <alignment vertical="center" wrapText="1"/>
      <protection/>
    </xf>
    <xf numFmtId="0" fontId="9" fillId="0" borderId="43" xfId="182" applyFont="1" applyFill="1" applyBorder="1" applyAlignment="1">
      <alignment horizontal="center" vertical="center"/>
      <protection/>
    </xf>
    <xf numFmtId="3" fontId="13" fillId="0" borderId="32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horizontal="left" vertical="center"/>
    </xf>
    <xf numFmtId="0" fontId="8" fillId="0" borderId="44" xfId="182" applyFont="1" applyFill="1" applyBorder="1" applyAlignment="1">
      <alignment horizontal="center" vertical="center"/>
      <protection/>
    </xf>
    <xf numFmtId="0" fontId="13" fillId="0" borderId="36" xfId="198" applyFont="1" applyBorder="1" applyAlignment="1">
      <alignment horizontal="left" vertical="top" wrapText="1"/>
      <protection/>
    </xf>
    <xf numFmtId="3" fontId="13" fillId="0" borderId="31" xfId="0" applyNumberFormat="1" applyFont="1" applyBorder="1" applyAlignment="1">
      <alignment vertical="center"/>
    </xf>
    <xf numFmtId="0" fontId="9" fillId="0" borderId="13" xfId="182" applyFont="1" applyFill="1" applyBorder="1" applyAlignment="1">
      <alignment horizontal="center" vertical="center"/>
      <protection/>
    </xf>
    <xf numFmtId="3" fontId="6" fillId="0" borderId="15" xfId="0" applyNumberFormat="1" applyFont="1" applyBorder="1" applyAlignment="1">
      <alignment vertical="center"/>
    </xf>
    <xf numFmtId="0" fontId="8" fillId="0" borderId="14" xfId="205" applyFont="1" applyBorder="1" applyAlignment="1">
      <alignment vertical="center"/>
      <protection/>
    </xf>
    <xf numFmtId="0" fontId="13" fillId="0" borderId="14" xfId="0" applyFont="1" applyFill="1" applyBorder="1" applyAlignment="1">
      <alignment horizontal="left" vertical="center"/>
    </xf>
    <xf numFmtId="3" fontId="13" fillId="47" borderId="14" xfId="207" applyNumberFormat="1" applyFont="1" applyFill="1" applyBorder="1" applyAlignment="1">
      <alignment horizontal="left" vertical="top"/>
      <protection/>
    </xf>
    <xf numFmtId="0" fontId="13" fillId="0" borderId="45" xfId="205" applyFont="1" applyFill="1" applyBorder="1" applyAlignment="1">
      <alignment vertical="center" wrapText="1"/>
      <protection/>
    </xf>
    <xf numFmtId="0" fontId="13" fillId="0" borderId="25" xfId="204" applyFont="1" applyFill="1" applyBorder="1" applyAlignment="1">
      <alignment vertical="center" wrapText="1"/>
      <protection/>
    </xf>
    <xf numFmtId="0" fontId="8" fillId="0" borderId="42" xfId="182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>
      <alignment vertical="top" wrapText="1"/>
    </xf>
    <xf numFmtId="3" fontId="8" fillId="0" borderId="14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16" fillId="7" borderId="46" xfId="195" applyNumberFormat="1" applyFont="1" applyFill="1" applyBorder="1" applyAlignment="1">
      <alignment horizontal="center" wrapText="1"/>
      <protection/>
    </xf>
    <xf numFmtId="3" fontId="70" fillId="0" borderId="0" xfId="195" applyNumberFormat="1" applyFont="1" applyAlignment="1">
      <alignment horizontal="center" vertical="center" wrapText="1"/>
      <protection/>
    </xf>
    <xf numFmtId="0" fontId="71" fillId="7" borderId="47" xfId="195" applyFont="1" applyFill="1" applyBorder="1" applyAlignment="1">
      <alignment horizontal="center" wrapText="1"/>
      <protection/>
    </xf>
    <xf numFmtId="3" fontId="12" fillId="7" borderId="48" xfId="195" applyNumberFormat="1" applyFont="1" applyFill="1" applyBorder="1" applyAlignment="1">
      <alignment horizontal="center" vertical="center" wrapText="1"/>
      <protection/>
    </xf>
    <xf numFmtId="3" fontId="12" fillId="7" borderId="49" xfId="195" applyNumberFormat="1" applyFont="1" applyFill="1" applyBorder="1" applyAlignment="1">
      <alignment horizontal="center" vertical="center" wrapText="1"/>
      <protection/>
    </xf>
    <xf numFmtId="3" fontId="12" fillId="7" borderId="50" xfId="195" applyNumberFormat="1" applyFont="1" applyFill="1" applyBorder="1" applyAlignment="1">
      <alignment horizontal="center" vertical="center" wrapText="1"/>
      <protection/>
    </xf>
    <xf numFmtId="3" fontId="8" fillId="0" borderId="42" xfId="195" applyNumberFormat="1" applyFont="1" applyBorder="1" applyAlignment="1">
      <alignment vertical="center" wrapText="1"/>
      <protection/>
    </xf>
    <xf numFmtId="3" fontId="13" fillId="0" borderId="42" xfId="195" applyNumberFormat="1" applyFont="1" applyBorder="1" applyAlignment="1">
      <alignment horizontal="center" vertical="center" wrapText="1"/>
      <protection/>
    </xf>
    <xf numFmtId="1" fontId="8" fillId="0" borderId="42" xfId="195" applyNumberFormat="1" applyFont="1" applyBorder="1" applyAlignment="1">
      <alignment horizontal="center" vertical="center" wrapText="1"/>
      <protection/>
    </xf>
    <xf numFmtId="3" fontId="8" fillId="0" borderId="42" xfId="195" applyNumberFormat="1" applyFont="1" applyBorder="1" applyAlignment="1">
      <alignment horizontal="right" vertical="center" wrapText="1"/>
      <protection/>
    </xf>
    <xf numFmtId="3" fontId="4" fillId="0" borderId="0" xfId="195" applyNumberFormat="1" applyFont="1" applyAlignment="1">
      <alignment vertical="center" wrapText="1"/>
      <protection/>
    </xf>
    <xf numFmtId="3" fontId="8" fillId="0" borderId="42" xfId="195" applyNumberFormat="1" applyFont="1" applyBorder="1" applyAlignment="1">
      <alignment horizontal="center" vertical="center" wrapText="1"/>
      <protection/>
    </xf>
    <xf numFmtId="3" fontId="9" fillId="7" borderId="42" xfId="195" applyNumberFormat="1" applyFont="1" applyFill="1" applyBorder="1" applyAlignment="1">
      <alignment vertical="center" wrapText="1"/>
      <protection/>
    </xf>
    <xf numFmtId="3" fontId="12" fillId="7" borderId="42" xfId="195" applyNumberFormat="1" applyFont="1" applyFill="1" applyBorder="1" applyAlignment="1">
      <alignment vertical="center" wrapText="1"/>
      <protection/>
    </xf>
    <xf numFmtId="3" fontId="8" fillId="0" borderId="0" xfId="195" applyNumberFormat="1" applyFont="1" applyAlignment="1">
      <alignment vertical="center" wrapText="1"/>
      <protection/>
    </xf>
    <xf numFmtId="0" fontId="19" fillId="0" borderId="0" xfId="192">
      <alignment/>
      <protection/>
    </xf>
    <xf numFmtId="0" fontId="9" fillId="6" borderId="13" xfId="192" applyFont="1" applyFill="1" applyBorder="1" applyAlignment="1">
      <alignment horizontal="center" vertical="center" wrapText="1"/>
      <protection/>
    </xf>
    <xf numFmtId="0" fontId="9" fillId="6" borderId="13" xfId="192" applyFont="1" applyFill="1" applyBorder="1" applyAlignment="1">
      <alignment horizontal="center" vertical="center"/>
      <protection/>
    </xf>
    <xf numFmtId="0" fontId="12" fillId="6" borderId="13" xfId="192" applyFont="1" applyFill="1" applyBorder="1" applyAlignment="1">
      <alignment horizontal="center" vertical="center" wrapText="1"/>
      <protection/>
    </xf>
    <xf numFmtId="0" fontId="66" fillId="0" borderId="0" xfId="192" applyFont="1" applyAlignment="1">
      <alignment horizontal="center" vertical="center"/>
      <protection/>
    </xf>
    <xf numFmtId="0" fontId="8" fillId="0" borderId="13" xfId="192" applyFont="1" applyFill="1" applyBorder="1" applyAlignment="1">
      <alignment horizontal="center" vertical="center" wrapText="1"/>
      <protection/>
    </xf>
    <xf numFmtId="0" fontId="8" fillId="0" borderId="13" xfId="192" applyFont="1" applyFill="1" applyBorder="1" applyAlignment="1">
      <alignment vertical="center" wrapText="1"/>
      <protection/>
    </xf>
    <xf numFmtId="3" fontId="8" fillId="0" borderId="13" xfId="192" applyNumberFormat="1" applyFont="1" applyFill="1" applyBorder="1" applyAlignment="1">
      <alignment horizontal="right" vertical="center" wrapText="1"/>
      <protection/>
    </xf>
    <xf numFmtId="3" fontId="9" fillId="0" borderId="13" xfId="192" applyNumberFormat="1" applyFont="1" applyFill="1" applyBorder="1" applyAlignment="1">
      <alignment horizontal="right" vertical="center" wrapText="1"/>
      <protection/>
    </xf>
    <xf numFmtId="3" fontId="8" fillId="0" borderId="21" xfId="192" applyNumberFormat="1" applyFont="1" applyFill="1" applyBorder="1" applyAlignment="1">
      <alignment horizontal="right" vertical="center" wrapText="1"/>
      <protection/>
    </xf>
    <xf numFmtId="3" fontId="8" fillId="0" borderId="21" xfId="192" applyNumberFormat="1" applyFont="1" applyBorder="1" applyAlignment="1">
      <alignment horizontal="right" vertical="center"/>
      <protection/>
    </xf>
    <xf numFmtId="3" fontId="8" fillId="0" borderId="37" xfId="192" applyNumberFormat="1" applyFont="1" applyBorder="1" applyAlignment="1">
      <alignment horizontal="right" vertical="center"/>
      <protection/>
    </xf>
    <xf numFmtId="3" fontId="8" fillId="0" borderId="13" xfId="192" applyNumberFormat="1" applyFont="1" applyBorder="1" applyAlignment="1">
      <alignment horizontal="right" vertical="center"/>
      <protection/>
    </xf>
    <xf numFmtId="3" fontId="8" fillId="0" borderId="14" xfId="192" applyNumberFormat="1" applyFont="1" applyBorder="1" applyAlignment="1">
      <alignment horizontal="right" vertical="center"/>
      <protection/>
    </xf>
    <xf numFmtId="0" fontId="8" fillId="6" borderId="13" xfId="192" applyFont="1" applyFill="1" applyBorder="1" applyAlignment="1">
      <alignment horizontal="center" vertical="center" wrapText="1"/>
      <protection/>
    </xf>
    <xf numFmtId="3" fontId="9" fillId="6" borderId="13" xfId="192" applyNumberFormat="1" applyFont="1" applyFill="1" applyBorder="1" applyAlignment="1">
      <alignment horizontal="right" vertical="center" wrapText="1"/>
      <protection/>
    </xf>
    <xf numFmtId="0" fontId="8" fillId="0" borderId="29" xfId="192" applyFont="1" applyFill="1" applyBorder="1" applyAlignment="1">
      <alignment horizontal="center" vertical="center" wrapText="1"/>
      <protection/>
    </xf>
    <xf numFmtId="0" fontId="9" fillId="0" borderId="29" xfId="192" applyFont="1" applyFill="1" applyBorder="1" applyAlignment="1">
      <alignment vertical="center"/>
      <protection/>
    </xf>
    <xf numFmtId="3" fontId="8" fillId="0" borderId="29" xfId="192" applyNumberFormat="1" applyFont="1" applyFill="1" applyBorder="1" applyAlignment="1">
      <alignment horizontal="center" vertical="center" wrapText="1"/>
      <protection/>
    </xf>
    <xf numFmtId="3" fontId="9" fillId="0" borderId="29" xfId="192" applyNumberFormat="1" applyFont="1" applyFill="1" applyBorder="1" applyAlignment="1">
      <alignment horizontal="center" vertical="center" wrapText="1"/>
      <protection/>
    </xf>
    <xf numFmtId="3" fontId="8" fillId="0" borderId="29" xfId="192" applyNumberFormat="1" applyFont="1" applyBorder="1" applyAlignment="1">
      <alignment horizontal="center" vertical="center"/>
      <protection/>
    </xf>
    <xf numFmtId="0" fontId="8" fillId="0" borderId="38" xfId="192" applyFont="1" applyFill="1" applyBorder="1" applyAlignment="1">
      <alignment horizontal="center" vertical="center" wrapText="1"/>
      <protection/>
    </xf>
    <xf numFmtId="0" fontId="9" fillId="0" borderId="38" xfId="192" applyFont="1" applyFill="1" applyBorder="1" applyAlignment="1">
      <alignment vertical="center" wrapText="1"/>
      <protection/>
    </xf>
    <xf numFmtId="3" fontId="8" fillId="0" borderId="38" xfId="192" applyNumberFormat="1" applyFont="1" applyFill="1" applyBorder="1" applyAlignment="1">
      <alignment horizontal="center" vertical="center" wrapText="1"/>
      <protection/>
    </xf>
    <xf numFmtId="3" fontId="9" fillId="0" borderId="38" xfId="192" applyNumberFormat="1" applyFont="1" applyFill="1" applyBorder="1" applyAlignment="1">
      <alignment horizontal="center" vertical="center" wrapText="1"/>
      <protection/>
    </xf>
    <xf numFmtId="3" fontId="8" fillId="0" borderId="38" xfId="192" applyNumberFormat="1" applyFont="1" applyBorder="1" applyAlignment="1">
      <alignment horizontal="center" vertical="center"/>
      <protection/>
    </xf>
    <xf numFmtId="0" fontId="24" fillId="0" borderId="13" xfId="192" applyFont="1" applyFill="1" applyBorder="1" applyAlignment="1">
      <alignment vertical="center" wrapText="1"/>
      <protection/>
    </xf>
    <xf numFmtId="3" fontId="8" fillId="6" borderId="13" xfId="192" applyNumberFormat="1" applyFont="1" applyFill="1" applyBorder="1">
      <alignment/>
      <protection/>
    </xf>
    <xf numFmtId="3" fontId="9" fillId="6" borderId="13" xfId="192" applyNumberFormat="1" applyFont="1" applyFill="1" applyBorder="1" applyAlignment="1">
      <alignment horizontal="center"/>
      <protection/>
    </xf>
    <xf numFmtId="3" fontId="9" fillId="6" borderId="13" xfId="192" applyNumberFormat="1" applyFont="1" applyFill="1" applyBorder="1" applyAlignment="1">
      <alignment horizontal="right" vertical="center"/>
      <protection/>
    </xf>
    <xf numFmtId="3" fontId="9" fillId="6" borderId="13" xfId="192" applyNumberFormat="1" applyFont="1" applyFill="1" applyBorder="1" applyAlignment="1">
      <alignment horizontal="center" vertical="center"/>
      <protection/>
    </xf>
    <xf numFmtId="3" fontId="8" fillId="0" borderId="0" xfId="192" applyNumberFormat="1" applyFont="1" applyFill="1" applyBorder="1">
      <alignment/>
      <protection/>
    </xf>
    <xf numFmtId="3" fontId="9" fillId="0" borderId="0" xfId="192" applyNumberFormat="1" applyFont="1" applyFill="1" applyBorder="1" applyAlignment="1">
      <alignment horizontal="center"/>
      <protection/>
    </xf>
    <xf numFmtId="3" fontId="9" fillId="0" borderId="0" xfId="192" applyNumberFormat="1" applyFont="1" applyFill="1" applyBorder="1" applyAlignment="1">
      <alignment horizontal="right" vertical="center"/>
      <protection/>
    </xf>
    <xf numFmtId="3" fontId="9" fillId="0" borderId="0" xfId="192" applyNumberFormat="1" applyFont="1" applyFill="1" applyBorder="1" applyAlignment="1">
      <alignment horizontal="center" vertical="center"/>
      <protection/>
    </xf>
    <xf numFmtId="0" fontId="8" fillId="0" borderId="0" xfId="192" applyFont="1" applyFill="1">
      <alignment/>
      <protection/>
    </xf>
    <xf numFmtId="0" fontId="9" fillId="0" borderId="0" xfId="192" applyFont="1" applyFill="1">
      <alignment/>
      <protection/>
    </xf>
    <xf numFmtId="0" fontId="67" fillId="0" borderId="0" xfId="192" applyFont="1" applyFill="1">
      <alignment/>
      <protection/>
    </xf>
    <xf numFmtId="0" fontId="24" fillId="0" borderId="0" xfId="192" applyFont="1" applyFill="1">
      <alignment/>
      <protection/>
    </xf>
    <xf numFmtId="0" fontId="19" fillId="0" borderId="0" xfId="192" applyFill="1">
      <alignment/>
      <protection/>
    </xf>
    <xf numFmtId="0" fontId="72" fillId="0" borderId="0" xfId="192" applyFont="1">
      <alignment/>
      <protection/>
    </xf>
    <xf numFmtId="0" fontId="73" fillId="0" borderId="0" xfId="192" applyFont="1">
      <alignment/>
      <protection/>
    </xf>
    <xf numFmtId="0" fontId="9" fillId="6" borderId="51" xfId="200" applyFont="1" applyFill="1" applyBorder="1" applyAlignment="1">
      <alignment horizontal="center" vertical="center" wrapText="1"/>
      <protection/>
    </xf>
    <xf numFmtId="0" fontId="9" fillId="6" borderId="52" xfId="200" applyFont="1" applyFill="1" applyBorder="1" applyAlignment="1">
      <alignment horizontal="center" vertical="center" wrapText="1"/>
      <protection/>
    </xf>
    <xf numFmtId="2" fontId="9" fillId="6" borderId="52" xfId="200" applyNumberFormat="1" applyFont="1" applyFill="1" applyBorder="1" applyAlignment="1">
      <alignment horizontal="center" vertical="center" wrapText="1"/>
      <protection/>
    </xf>
    <xf numFmtId="3" fontId="9" fillId="6" borderId="52" xfId="200" applyNumberFormat="1" applyFont="1" applyFill="1" applyBorder="1" applyAlignment="1">
      <alignment horizontal="center" vertical="center" wrapText="1"/>
      <protection/>
    </xf>
    <xf numFmtId="0" fontId="8" fillId="0" borderId="13" xfId="200" applyFont="1" applyFill="1" applyBorder="1" applyAlignment="1">
      <alignment horizontal="center" vertical="center" wrapText="1"/>
      <protection/>
    </xf>
    <xf numFmtId="164" fontId="19" fillId="0" borderId="13" xfId="197" applyNumberFormat="1" applyFont="1" applyBorder="1">
      <alignment/>
      <protection/>
    </xf>
    <xf numFmtId="0" fontId="19" fillId="0" borderId="13" xfId="197" applyFont="1" applyBorder="1">
      <alignment/>
      <protection/>
    </xf>
    <xf numFmtId="164" fontId="8" fillId="0" borderId="13" xfId="200" applyNumberFormat="1" applyFont="1" applyFill="1" applyBorder="1">
      <alignment/>
      <protection/>
    </xf>
    <xf numFmtId="164" fontId="8" fillId="0" borderId="13" xfId="197" applyNumberFormat="1" applyFont="1" applyBorder="1">
      <alignment/>
      <protection/>
    </xf>
    <xf numFmtId="164" fontId="8" fillId="0" borderId="13" xfId="200" applyNumberFormat="1" applyFont="1" applyBorder="1" applyAlignment="1">
      <alignment vertical="center"/>
      <protection/>
    </xf>
    <xf numFmtId="0" fontId="8" fillId="0" borderId="13" xfId="200" applyFont="1" applyBorder="1" applyAlignment="1">
      <alignment vertical="center"/>
      <protection/>
    </xf>
    <xf numFmtId="2" fontId="8" fillId="0" borderId="13" xfId="200" applyNumberFormat="1" applyFont="1" applyBorder="1" applyAlignment="1">
      <alignment vertical="center"/>
      <protection/>
    </xf>
    <xf numFmtId="3" fontId="8" fillId="0" borderId="13" xfId="200" applyNumberFormat="1" applyFont="1" applyBorder="1" applyAlignment="1">
      <alignment vertical="center"/>
      <protection/>
    </xf>
    <xf numFmtId="165" fontId="8" fillId="0" borderId="13" xfId="200" applyNumberFormat="1" applyFont="1" applyBorder="1" applyAlignment="1">
      <alignment vertical="center"/>
      <protection/>
    </xf>
    <xf numFmtId="164" fontId="8" fillId="0" borderId="13" xfId="200" applyNumberFormat="1" applyFont="1" applyBorder="1">
      <alignment/>
      <protection/>
    </xf>
    <xf numFmtId="0" fontId="8" fillId="0" borderId="13" xfId="200" applyFont="1" applyBorder="1">
      <alignment/>
      <protection/>
    </xf>
    <xf numFmtId="0" fontId="8" fillId="0" borderId="13" xfId="200" applyFont="1" applyFill="1" applyBorder="1" applyAlignment="1">
      <alignment vertical="center"/>
      <protection/>
    </xf>
    <xf numFmtId="165" fontId="8" fillId="0" borderId="13" xfId="200" applyNumberFormat="1" applyFont="1" applyBorder="1">
      <alignment/>
      <protection/>
    </xf>
    <xf numFmtId="2" fontId="8" fillId="0" borderId="13" xfId="200" applyNumberFormat="1" applyFont="1" applyBorder="1">
      <alignment/>
      <protection/>
    </xf>
    <xf numFmtId="164" fontId="62" fillId="6" borderId="13" xfId="200" applyNumberFormat="1" applyFont="1" applyFill="1" applyBorder="1">
      <alignment/>
      <protection/>
    </xf>
    <xf numFmtId="0" fontId="61" fillId="6" borderId="13" xfId="197" applyFont="1" applyFill="1" applyBorder="1">
      <alignment/>
      <protection/>
    </xf>
    <xf numFmtId="164" fontId="62" fillId="6" borderId="13" xfId="197" applyNumberFormat="1" applyFont="1" applyFill="1" applyBorder="1">
      <alignment/>
      <protection/>
    </xf>
    <xf numFmtId="0" fontId="65" fillId="0" borderId="0" xfId="186" applyFont="1" applyAlignment="1">
      <alignment horizontal="center"/>
      <protection/>
    </xf>
    <xf numFmtId="0" fontId="65" fillId="0" borderId="0" xfId="186" applyFont="1">
      <alignment/>
      <protection/>
    </xf>
    <xf numFmtId="0" fontId="65" fillId="0" borderId="0" xfId="191" applyFont="1">
      <alignment/>
      <protection/>
    </xf>
    <xf numFmtId="0" fontId="61" fillId="0" borderId="0" xfId="186" applyFont="1" applyAlignment="1">
      <alignment horizontal="center" vertical="center"/>
      <protection/>
    </xf>
    <xf numFmtId="0" fontId="61" fillId="0" borderId="0" xfId="186" applyFont="1">
      <alignment/>
      <protection/>
    </xf>
    <xf numFmtId="0" fontId="65" fillId="0" borderId="0" xfId="186" applyFont="1" applyAlignment="1">
      <alignment wrapText="1"/>
      <protection/>
    </xf>
    <xf numFmtId="0" fontId="65" fillId="0" borderId="0" xfId="186" applyFont="1" applyAlignment="1">
      <alignment vertical="center" wrapText="1"/>
      <protection/>
    </xf>
    <xf numFmtId="0" fontId="61" fillId="0" borderId="0" xfId="186" applyFont="1" applyAlignment="1">
      <alignment vertical="center" wrapText="1"/>
      <protection/>
    </xf>
    <xf numFmtId="0" fontId="61" fillId="0" borderId="0" xfId="186" applyFont="1" applyAlignment="1">
      <alignment horizontal="center"/>
      <protection/>
    </xf>
    <xf numFmtId="0" fontId="61" fillId="0" borderId="0" xfId="186" applyFont="1" applyAlignment="1">
      <alignment wrapText="1"/>
      <protection/>
    </xf>
    <xf numFmtId="0" fontId="61" fillId="0" borderId="0" xfId="186" applyFont="1" applyAlignment="1">
      <alignment horizontal="center" vertical="top"/>
      <protection/>
    </xf>
    <xf numFmtId="49" fontId="65" fillId="0" borderId="0" xfId="186" applyNumberFormat="1" applyFont="1">
      <alignment/>
      <protection/>
    </xf>
    <xf numFmtId="49" fontId="61" fillId="0" borderId="0" xfId="186" applyNumberFormat="1" applyFont="1">
      <alignment/>
      <protection/>
    </xf>
    <xf numFmtId="49" fontId="65" fillId="0" borderId="0" xfId="186" applyNumberFormat="1" applyFont="1" applyAlignment="1">
      <alignment wrapText="1"/>
      <protection/>
    </xf>
    <xf numFmtId="0" fontId="65" fillId="0" borderId="0" xfId="191" applyFont="1" applyAlignment="1">
      <alignment horizontal="center"/>
      <protection/>
    </xf>
    <xf numFmtId="3" fontId="8" fillId="0" borderId="53" xfId="195" applyNumberFormat="1" applyFont="1" applyBorder="1" applyAlignment="1">
      <alignment vertical="center" wrapText="1"/>
      <protection/>
    </xf>
    <xf numFmtId="3" fontId="9" fillId="7" borderId="53" xfId="195" applyNumberFormat="1" applyFont="1" applyFill="1" applyBorder="1" applyAlignment="1">
      <alignment vertical="center" wrapText="1"/>
      <protection/>
    </xf>
    <xf numFmtId="3" fontId="4" fillId="6" borderId="13" xfId="195" applyNumberFormat="1" applyFont="1" applyFill="1" applyBorder="1" applyAlignment="1">
      <alignment vertical="center" wrapText="1"/>
      <protection/>
    </xf>
    <xf numFmtId="3" fontId="4" fillId="0" borderId="13" xfId="195" applyNumberFormat="1" applyFont="1" applyBorder="1" applyAlignment="1">
      <alignment horizontal="center" vertical="center" wrapText="1"/>
      <protection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8" fillId="0" borderId="13" xfId="182" applyFont="1" applyFill="1" applyBorder="1" applyAlignment="1">
      <alignment horizontal="center" vertical="center"/>
      <protection/>
    </xf>
    <xf numFmtId="0" fontId="8" fillId="0" borderId="35" xfId="198" applyFont="1" applyBorder="1" applyAlignment="1">
      <alignment horizontal="left" vertical="top" wrapText="1"/>
      <protection/>
    </xf>
    <xf numFmtId="0" fontId="8" fillId="0" borderId="35" xfId="198" applyFont="1" applyBorder="1" applyAlignment="1">
      <alignment wrapText="1"/>
      <protection/>
    </xf>
    <xf numFmtId="3" fontId="13" fillId="0" borderId="54" xfId="207" applyNumberFormat="1" applyFont="1" applyFill="1" applyBorder="1" applyAlignment="1">
      <alignment horizontal="center" vertical="center" wrapText="1"/>
      <protection/>
    </xf>
    <xf numFmtId="3" fontId="12" fillId="0" borderId="13" xfId="207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3" fillId="0" borderId="13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49" fontId="13" fillId="0" borderId="35" xfId="0" applyNumberFormat="1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vertical="center" wrapText="1"/>
    </xf>
    <xf numFmtId="3" fontId="13" fillId="0" borderId="35" xfId="0" applyNumberFormat="1" applyFont="1" applyFill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3" fontId="13" fillId="0" borderId="24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3" fontId="13" fillId="0" borderId="13" xfId="207" applyNumberFormat="1" applyFont="1" applyFill="1" applyBorder="1" applyAlignment="1">
      <alignment horizontal="left" vertical="center"/>
      <protection/>
    </xf>
    <xf numFmtId="3" fontId="9" fillId="0" borderId="13" xfId="0" applyNumberFormat="1" applyFont="1" applyFill="1" applyBorder="1" applyAlignment="1">
      <alignment vertical="center"/>
    </xf>
    <xf numFmtId="0" fontId="13" fillId="0" borderId="13" xfId="168" applyFont="1" applyBorder="1" applyAlignment="1">
      <alignment vertical="center"/>
      <protection/>
    </xf>
    <xf numFmtId="0" fontId="15" fillId="0" borderId="13" xfId="168" applyFont="1" applyBorder="1" applyAlignment="1">
      <alignment vertical="center"/>
      <protection/>
    </xf>
    <xf numFmtId="3" fontId="12" fillId="0" borderId="13" xfId="168" applyNumberFormat="1" applyFont="1" applyBorder="1" applyAlignment="1">
      <alignment vertical="center"/>
      <protection/>
    </xf>
    <xf numFmtId="3" fontId="13" fillId="0" borderId="13" xfId="168" applyNumberFormat="1" applyFont="1" applyFill="1" applyBorder="1" applyAlignment="1">
      <alignment vertical="center"/>
      <protection/>
    </xf>
    <xf numFmtId="0" fontId="8" fillId="0" borderId="13" xfId="168" applyFont="1" applyFill="1" applyBorder="1" applyAlignment="1">
      <alignment vertical="center"/>
      <protection/>
    </xf>
    <xf numFmtId="0" fontId="13" fillId="0" borderId="13" xfId="168" applyFont="1" applyFill="1" applyBorder="1" applyAlignment="1">
      <alignment vertical="center"/>
      <protection/>
    </xf>
    <xf numFmtId="3" fontId="8" fillId="0" borderId="13" xfId="168" applyNumberFormat="1" applyFont="1" applyBorder="1" applyAlignment="1">
      <alignment vertical="center"/>
      <protection/>
    </xf>
    <xf numFmtId="0" fontId="13" fillId="0" borderId="13" xfId="194" applyFont="1" applyBorder="1" applyAlignment="1">
      <alignment vertical="center" wrapText="1"/>
      <protection/>
    </xf>
    <xf numFmtId="0" fontId="12" fillId="6" borderId="13" xfId="194" applyFont="1" applyFill="1" applyBorder="1" applyAlignment="1">
      <alignment vertical="center"/>
      <protection/>
    </xf>
    <xf numFmtId="3" fontId="12" fillId="6" borderId="13" xfId="168" applyNumberFormat="1" applyFont="1" applyFill="1" applyBorder="1" applyAlignment="1">
      <alignment vertical="center"/>
      <protection/>
    </xf>
    <xf numFmtId="0" fontId="9" fillId="6" borderId="13" xfId="194" applyFont="1" applyFill="1" applyBorder="1" applyAlignment="1">
      <alignment vertical="center" wrapText="1"/>
      <protection/>
    </xf>
    <xf numFmtId="3" fontId="14" fillId="6" borderId="13" xfId="168" applyNumberFormat="1" applyFont="1" applyFill="1" applyBorder="1" applyAlignment="1">
      <alignment vertical="center"/>
      <protection/>
    </xf>
    <xf numFmtId="3" fontId="13" fillId="0" borderId="14" xfId="168" applyNumberFormat="1" applyFont="1" applyBorder="1" applyAlignment="1">
      <alignment vertical="center"/>
      <protection/>
    </xf>
    <xf numFmtId="3" fontId="13" fillId="0" borderId="25" xfId="168" applyNumberFormat="1" applyFont="1" applyBorder="1" applyAlignment="1">
      <alignment vertical="center"/>
      <protection/>
    </xf>
    <xf numFmtId="3" fontId="13" fillId="0" borderId="15" xfId="168" applyNumberFormat="1" applyFont="1" applyBorder="1" applyAlignment="1">
      <alignment vertical="center"/>
      <protection/>
    </xf>
    <xf numFmtId="3" fontId="9" fillId="0" borderId="0" xfId="168" applyNumberFormat="1" applyFont="1" applyFill="1" applyBorder="1" applyAlignment="1">
      <alignment vertical="center"/>
      <protection/>
    </xf>
    <xf numFmtId="0" fontId="5" fillId="0" borderId="0" xfId="168" applyFont="1" applyAlignment="1">
      <alignment vertical="center"/>
      <protection/>
    </xf>
    <xf numFmtId="49" fontId="13" fillId="0" borderId="55" xfId="0" applyNumberFormat="1" applyFont="1" applyFill="1" applyBorder="1" applyAlignment="1">
      <alignment horizontal="left" vertical="center" wrapText="1"/>
    </xf>
    <xf numFmtId="49" fontId="13" fillId="0" borderId="36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3" fillId="0" borderId="35" xfId="198" applyFont="1" applyFill="1" applyBorder="1" applyAlignment="1">
      <alignment horizontal="left" vertical="top" wrapText="1"/>
      <protection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 quotePrefix="1">
      <alignment horizontal="center" vertical="center" wrapText="1"/>
    </xf>
    <xf numFmtId="3" fontId="0" fillId="0" borderId="56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3" fillId="6" borderId="13" xfId="0" applyFont="1" applyFill="1" applyBorder="1" applyAlignment="1">
      <alignment/>
    </xf>
    <xf numFmtId="3" fontId="3" fillId="6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9" fillId="0" borderId="13" xfId="185" applyBorder="1">
      <alignment/>
      <protection/>
    </xf>
    <xf numFmtId="0" fontId="74" fillId="0" borderId="13" xfId="185" applyFont="1" applyFill="1" applyBorder="1" applyAlignment="1">
      <alignment horizontal="center" vertical="center" wrapText="1"/>
      <protection/>
    </xf>
    <xf numFmtId="0" fontId="74" fillId="0" borderId="13" xfId="185" applyFont="1" applyBorder="1" applyAlignment="1">
      <alignment horizontal="center" vertical="center"/>
      <protection/>
    </xf>
    <xf numFmtId="0" fontId="19" fillId="0" borderId="0" xfId="185">
      <alignment/>
      <protection/>
    </xf>
    <xf numFmtId="0" fontId="74" fillId="0" borderId="13" xfId="185" applyFont="1" applyBorder="1">
      <alignment/>
      <protection/>
    </xf>
    <xf numFmtId="3" fontId="74" fillId="0" borderId="0" xfId="185" applyNumberFormat="1" applyFont="1">
      <alignment/>
      <protection/>
    </xf>
    <xf numFmtId="3" fontId="74" fillId="0" borderId="13" xfId="185" applyNumberFormat="1" applyFont="1" applyBorder="1">
      <alignment/>
      <protection/>
    </xf>
    <xf numFmtId="0" fontId="19" fillId="0" borderId="13" xfId="185" applyFont="1" applyBorder="1">
      <alignment/>
      <protection/>
    </xf>
    <xf numFmtId="3" fontId="19" fillId="0" borderId="13" xfId="185" applyNumberFormat="1" applyBorder="1">
      <alignment/>
      <protection/>
    </xf>
    <xf numFmtId="14" fontId="19" fillId="0" borderId="13" xfId="185" applyNumberFormat="1" applyFont="1" applyBorder="1" applyAlignment="1">
      <alignment horizontal="left"/>
      <protection/>
    </xf>
    <xf numFmtId="3" fontId="19" fillId="0" borderId="13" xfId="185" applyNumberFormat="1" applyFont="1" applyBorder="1">
      <alignment/>
      <protection/>
    </xf>
    <xf numFmtId="3" fontId="75" fillId="0" borderId="13" xfId="185" applyNumberFormat="1" applyFont="1" applyBorder="1">
      <alignment/>
      <protection/>
    </xf>
    <xf numFmtId="0" fontId="19" fillId="0" borderId="13" xfId="185" applyFont="1" applyBorder="1" applyAlignment="1">
      <alignment wrapText="1"/>
      <protection/>
    </xf>
    <xf numFmtId="3" fontId="19" fillId="0" borderId="13" xfId="185" applyNumberFormat="1" applyFont="1" applyBorder="1">
      <alignment/>
      <protection/>
    </xf>
    <xf numFmtId="0" fontId="19" fillId="0" borderId="13" xfId="185" applyFont="1" applyBorder="1">
      <alignment/>
      <protection/>
    </xf>
    <xf numFmtId="0" fontId="19" fillId="0" borderId="13" xfId="185" applyFont="1" applyFill="1" applyBorder="1">
      <alignment/>
      <protection/>
    </xf>
    <xf numFmtId="3" fontId="19" fillId="0" borderId="13" xfId="185" applyNumberFormat="1" applyFont="1" applyFill="1" applyBorder="1">
      <alignment/>
      <protection/>
    </xf>
    <xf numFmtId="0" fontId="74" fillId="6" borderId="13" xfId="185" applyFont="1" applyFill="1" applyBorder="1" applyAlignment="1">
      <alignment vertical="center"/>
      <protection/>
    </xf>
    <xf numFmtId="3" fontId="74" fillId="6" borderId="13" xfId="185" applyNumberFormat="1" applyFont="1" applyFill="1" applyBorder="1" applyAlignment="1">
      <alignment vertical="center"/>
      <protection/>
    </xf>
    <xf numFmtId="0" fontId="19" fillId="0" borderId="0" xfId="185" applyFont="1">
      <alignment/>
      <protection/>
    </xf>
    <xf numFmtId="3" fontId="19" fillId="0" borderId="13" xfId="185" applyNumberFormat="1" applyBorder="1" applyAlignment="1">
      <alignment vertical="center"/>
      <protection/>
    </xf>
    <xf numFmtId="0" fontId="19" fillId="0" borderId="13" xfId="185" applyFont="1" applyBorder="1" applyAlignment="1">
      <alignment vertical="center" wrapText="1"/>
      <protection/>
    </xf>
    <xf numFmtId="0" fontId="19" fillId="0" borderId="13" xfId="185" applyFont="1" applyBorder="1" applyAlignment="1">
      <alignment vertical="center"/>
      <protection/>
    </xf>
    <xf numFmtId="0" fontId="13" fillId="0" borderId="57" xfId="205" applyFont="1" applyFill="1" applyBorder="1" applyAlignment="1">
      <alignment vertical="center" wrapText="1"/>
      <protection/>
    </xf>
    <xf numFmtId="0" fontId="3" fillId="6" borderId="34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3" fillId="6" borderId="13" xfId="0" applyFont="1" applyFill="1" applyBorder="1" applyAlignment="1">
      <alignment horizontal="center" vertical="center" wrapText="1"/>
    </xf>
    <xf numFmtId="0" fontId="63" fillId="6" borderId="1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/>
    </xf>
    <xf numFmtId="3" fontId="12" fillId="6" borderId="13" xfId="207" applyNumberFormat="1" applyFont="1" applyFill="1" applyBorder="1" applyAlignment="1">
      <alignment horizontal="center" vertical="center" wrapText="1"/>
      <protection/>
    </xf>
    <xf numFmtId="3" fontId="12" fillId="6" borderId="19" xfId="207" applyNumberFormat="1" applyFont="1" applyFill="1" applyBorder="1" applyAlignment="1">
      <alignment horizontal="center" vertical="center" wrapText="1"/>
      <protection/>
    </xf>
    <xf numFmtId="3" fontId="12" fillId="6" borderId="58" xfId="207" applyNumberFormat="1" applyFont="1" applyFill="1" applyBorder="1" applyAlignment="1">
      <alignment horizontal="center" vertical="center" wrapText="1"/>
      <protection/>
    </xf>
    <xf numFmtId="3" fontId="16" fillId="6" borderId="34" xfId="207" applyNumberFormat="1" applyFont="1" applyFill="1" applyBorder="1" applyAlignment="1">
      <alignment horizontal="center" vertical="center" wrapText="1"/>
      <protection/>
    </xf>
    <xf numFmtId="3" fontId="16" fillId="6" borderId="28" xfId="207" applyNumberFormat="1" applyFont="1" applyFill="1" applyBorder="1" applyAlignment="1">
      <alignment horizontal="center" vertical="center" wrapText="1"/>
      <protection/>
    </xf>
    <xf numFmtId="3" fontId="16" fillId="6" borderId="59" xfId="207" applyNumberFormat="1" applyFont="1" applyFill="1" applyBorder="1" applyAlignment="1">
      <alignment horizontal="center" vertical="center"/>
      <protection/>
    </xf>
    <xf numFmtId="3" fontId="16" fillId="6" borderId="27" xfId="207" applyNumberFormat="1" applyFont="1" applyFill="1" applyBorder="1" applyAlignment="1">
      <alignment horizontal="center" vertical="center"/>
      <protection/>
    </xf>
    <xf numFmtId="3" fontId="70" fillId="6" borderId="13" xfId="195" applyNumberFormat="1" applyFont="1" applyFill="1" applyBorder="1" applyAlignment="1">
      <alignment horizontal="center" vertical="center" wrapText="1"/>
      <protection/>
    </xf>
    <xf numFmtId="3" fontId="12" fillId="7" borderId="60" xfId="195" applyNumberFormat="1" applyFont="1" applyFill="1" applyBorder="1" applyAlignment="1">
      <alignment horizontal="center" vertical="center" wrapText="1"/>
      <protection/>
    </xf>
    <xf numFmtId="3" fontId="12" fillId="7" borderId="61" xfId="195" applyNumberFormat="1" applyFont="1" applyFill="1" applyBorder="1" applyAlignment="1">
      <alignment horizontal="center" vertical="center" wrapText="1"/>
      <protection/>
    </xf>
    <xf numFmtId="3" fontId="12" fillId="7" borderId="62" xfId="195" applyNumberFormat="1" applyFont="1" applyFill="1" applyBorder="1" applyAlignment="1">
      <alignment horizontal="center" wrapText="1"/>
      <protection/>
    </xf>
    <xf numFmtId="3" fontId="12" fillId="7" borderId="63" xfId="195" applyNumberFormat="1" applyFont="1" applyFill="1" applyBorder="1" applyAlignment="1">
      <alignment horizontal="center" vertical="center" wrapText="1"/>
      <protection/>
    </xf>
    <xf numFmtId="3" fontId="12" fillId="7" borderId="46" xfId="195" applyNumberFormat="1" applyFont="1" applyFill="1" applyBorder="1" applyAlignment="1">
      <alignment horizontal="center" wrapText="1"/>
      <protection/>
    </xf>
    <xf numFmtId="3" fontId="12" fillId="7" borderId="64" xfId="195" applyNumberFormat="1" applyFont="1" applyFill="1" applyBorder="1" applyAlignment="1">
      <alignment horizontal="center" vertical="center" wrapText="1"/>
      <protection/>
    </xf>
    <xf numFmtId="3" fontId="9" fillId="6" borderId="65" xfId="192" applyNumberFormat="1" applyFont="1" applyFill="1" applyBorder="1" applyAlignment="1">
      <alignment horizontal="center" vertical="center" wrapText="1"/>
      <protection/>
    </xf>
    <xf numFmtId="0" fontId="9" fillId="0" borderId="66" xfId="0" applyFont="1" applyBorder="1" applyAlignment="1">
      <alignment/>
    </xf>
    <xf numFmtId="0" fontId="9" fillId="0" borderId="67" xfId="0" applyFont="1" applyBorder="1" applyAlignment="1">
      <alignment/>
    </xf>
    <xf numFmtId="0" fontId="9" fillId="6" borderId="13" xfId="192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0" fontId="9" fillId="6" borderId="13" xfId="192" applyFont="1" applyFill="1" applyBorder="1" applyAlignment="1">
      <alignment horizontal="center" vertical="center" wrapText="1"/>
      <protection/>
    </xf>
    <xf numFmtId="0" fontId="9" fillId="6" borderId="34" xfId="192" applyFont="1" applyFill="1" applyBorder="1" applyAlignment="1">
      <alignment horizontal="center" vertical="center" wrapText="1"/>
      <protection/>
    </xf>
    <xf numFmtId="0" fontId="9" fillId="6" borderId="68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65" xfId="192" applyFont="1" applyFill="1" applyBorder="1" applyAlignment="1">
      <alignment horizontal="center" vertical="center" wrapText="1"/>
      <protection/>
    </xf>
    <xf numFmtId="3" fontId="9" fillId="6" borderId="34" xfId="192" applyNumberFormat="1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/>
    </xf>
    <xf numFmtId="0" fontId="0" fillId="0" borderId="28" xfId="0" applyBorder="1" applyAlignment="1">
      <alignment/>
    </xf>
    <xf numFmtId="3" fontId="9" fillId="6" borderId="69" xfId="192" applyNumberFormat="1" applyFont="1" applyFill="1" applyBorder="1" applyAlignment="1">
      <alignment horizontal="center" vertical="center" wrapText="1"/>
      <protection/>
    </xf>
    <xf numFmtId="0" fontId="9" fillId="0" borderId="70" xfId="0" applyFont="1" applyBorder="1" applyAlignment="1">
      <alignment/>
    </xf>
    <xf numFmtId="0" fontId="9" fillId="0" borderId="71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8" fillId="0" borderId="13" xfId="202" applyNumberFormat="1" applyFont="1" applyFill="1" applyBorder="1" applyAlignment="1">
      <alignment vertical="center"/>
      <protection/>
    </xf>
    <xf numFmtId="3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9" fillId="6" borderId="13" xfId="0" applyNumberFormat="1" applyFont="1" applyFill="1" applyBorder="1" applyAlignment="1">
      <alignment/>
    </xf>
    <xf numFmtId="3" fontId="8" fillId="6" borderId="13" xfId="0" applyNumberFormat="1" applyFont="1" applyFill="1" applyBorder="1" applyAlignment="1">
      <alignment/>
    </xf>
    <xf numFmtId="0" fontId="13" fillId="7" borderId="72" xfId="184" applyFont="1" applyFill="1" applyBorder="1" applyAlignment="1">
      <alignment vertical="center"/>
      <protection/>
    </xf>
    <xf numFmtId="3" fontId="12" fillId="7" borderId="19" xfId="184" applyNumberFormat="1" applyFont="1" applyFill="1" applyBorder="1" applyAlignment="1">
      <alignment horizontal="center" vertical="center"/>
      <protection/>
    </xf>
    <xf numFmtId="3" fontId="12" fillId="7" borderId="73" xfId="184" applyNumberFormat="1" applyFont="1" applyFill="1" applyBorder="1" applyAlignment="1">
      <alignment horizontal="center" vertical="center"/>
      <protection/>
    </xf>
    <xf numFmtId="3" fontId="12" fillId="7" borderId="58" xfId="184" applyNumberFormat="1" applyFont="1" applyFill="1" applyBorder="1" applyAlignment="1">
      <alignment horizontal="center" vertical="center"/>
      <protection/>
    </xf>
    <xf numFmtId="3" fontId="6" fillId="0" borderId="0" xfId="184" applyNumberFormat="1" applyFont="1" applyAlignment="1">
      <alignment vertical="center"/>
      <protection/>
    </xf>
    <xf numFmtId="0" fontId="6" fillId="0" borderId="0" xfId="184" applyFont="1" applyAlignment="1">
      <alignment vertical="center"/>
      <protection/>
    </xf>
    <xf numFmtId="0" fontId="12" fillId="7" borderId="74" xfId="184" applyFont="1" applyFill="1" applyBorder="1" applyAlignment="1">
      <alignment horizontal="center" vertical="top"/>
      <protection/>
    </xf>
    <xf numFmtId="3" fontId="12" fillId="7" borderId="75" xfId="184" applyNumberFormat="1" applyFont="1" applyFill="1" applyBorder="1" applyAlignment="1">
      <alignment horizontal="center" vertical="center" wrapText="1"/>
      <protection/>
    </xf>
    <xf numFmtId="3" fontId="12" fillId="7" borderId="50" xfId="184" applyNumberFormat="1" applyFont="1" applyFill="1" applyBorder="1" applyAlignment="1">
      <alignment horizontal="center" vertical="center" wrapText="1"/>
      <protection/>
    </xf>
    <xf numFmtId="3" fontId="6" fillId="0" borderId="0" xfId="184" applyNumberFormat="1" applyFont="1" applyBorder="1" applyAlignment="1">
      <alignment vertical="center"/>
      <protection/>
    </xf>
    <xf numFmtId="0" fontId="6" fillId="0" borderId="0" xfId="184" applyFont="1" applyBorder="1" applyAlignment="1">
      <alignment vertical="center"/>
      <protection/>
    </xf>
    <xf numFmtId="0" fontId="15" fillId="0" borderId="42" xfId="184" applyFont="1" applyBorder="1" applyAlignment="1">
      <alignment vertical="center"/>
      <protection/>
    </xf>
    <xf numFmtId="3" fontId="8" fillId="0" borderId="42" xfId="184" applyNumberFormat="1" applyFont="1" applyFill="1" applyBorder="1" applyAlignment="1">
      <alignment vertical="center"/>
      <protection/>
    </xf>
    <xf numFmtId="0" fontId="13" fillId="0" borderId="42" xfId="184" applyFont="1" applyBorder="1" applyAlignment="1">
      <alignment vertical="center"/>
      <protection/>
    </xf>
    <xf numFmtId="4" fontId="8" fillId="0" borderId="42" xfId="184" applyNumberFormat="1" applyFont="1" applyFill="1" applyBorder="1" applyAlignment="1">
      <alignment vertical="center"/>
      <protection/>
    </xf>
    <xf numFmtId="0" fontId="13" fillId="0" borderId="42" xfId="184" applyFont="1" applyBorder="1" applyAlignment="1">
      <alignment vertical="center" wrapText="1"/>
      <protection/>
    </xf>
    <xf numFmtId="165" fontId="8" fillId="0" borderId="42" xfId="184" applyNumberFormat="1" applyFont="1" applyFill="1" applyBorder="1" applyAlignment="1">
      <alignment vertical="center"/>
      <protection/>
    </xf>
    <xf numFmtId="49" fontId="13" fillId="0" borderId="42" xfId="184" applyNumberFormat="1" applyFont="1" applyBorder="1" applyAlignment="1">
      <alignment vertical="center" wrapText="1"/>
      <protection/>
    </xf>
    <xf numFmtId="3" fontId="64" fillId="0" borderId="42" xfId="184" applyNumberFormat="1" applyFont="1" applyFill="1" applyBorder="1" applyAlignment="1">
      <alignment vertical="center"/>
      <protection/>
    </xf>
    <xf numFmtId="166" fontId="8" fillId="0" borderId="42" xfId="184" applyNumberFormat="1" applyFont="1" applyFill="1" applyBorder="1" applyAlignment="1">
      <alignment vertical="center"/>
      <protection/>
    </xf>
    <xf numFmtId="3" fontId="8" fillId="0" borderId="42" xfId="184" applyNumberFormat="1" applyFont="1" applyBorder="1" applyAlignment="1">
      <alignment vertical="center"/>
      <protection/>
    </xf>
    <xf numFmtId="3" fontId="8" fillId="0" borderId="42" xfId="184" applyNumberFormat="1" applyFont="1" applyBorder="1" applyAlignment="1">
      <alignment horizontal="right" vertical="center"/>
      <protection/>
    </xf>
    <xf numFmtId="0" fontId="6" fillId="0" borderId="42" xfId="184" applyFont="1" applyBorder="1" applyAlignment="1">
      <alignment vertical="center"/>
      <protection/>
    </xf>
    <xf numFmtId="3" fontId="13" fillId="0" borderId="42" xfId="184" applyNumberFormat="1" applyFont="1" applyBorder="1" applyAlignment="1">
      <alignment vertical="center"/>
      <protection/>
    </xf>
    <xf numFmtId="0" fontId="6" fillId="0" borderId="42" xfId="184" applyFont="1" applyFill="1" applyBorder="1" applyAlignment="1">
      <alignment vertical="center"/>
      <protection/>
    </xf>
    <xf numFmtId="3" fontId="13" fillId="0" borderId="42" xfId="184" applyNumberFormat="1" applyFont="1" applyFill="1" applyBorder="1" applyAlignment="1">
      <alignment vertical="center"/>
      <protection/>
    </xf>
    <xf numFmtId="165" fontId="8" fillId="0" borderId="42" xfId="184" applyNumberFormat="1" applyFont="1" applyBorder="1" applyAlignment="1">
      <alignment vertical="center"/>
      <protection/>
    </xf>
    <xf numFmtId="3" fontId="8" fillId="0" borderId="42" xfId="184" applyNumberFormat="1" applyFont="1" applyFill="1" applyBorder="1" applyAlignment="1">
      <alignment horizontal="right" vertical="center"/>
      <protection/>
    </xf>
    <xf numFmtId="3" fontId="6" fillId="0" borderId="0" xfId="184" applyNumberFormat="1" applyFont="1" applyFill="1" applyAlignment="1">
      <alignment vertical="center"/>
      <protection/>
    </xf>
    <xf numFmtId="0" fontId="24" fillId="0" borderId="44" xfId="184" applyFont="1" applyBorder="1" applyAlignment="1">
      <alignment vertical="center"/>
      <protection/>
    </xf>
    <xf numFmtId="3" fontId="64" fillId="0" borderId="42" xfId="184" applyNumberFormat="1" applyFont="1" applyFill="1" applyBorder="1" applyAlignment="1">
      <alignment horizontal="right" vertical="center"/>
      <protection/>
    </xf>
    <xf numFmtId="0" fontId="13" fillId="0" borderId="44" xfId="184" applyFont="1" applyBorder="1" applyAlignment="1">
      <alignment vertical="center"/>
      <protection/>
    </xf>
    <xf numFmtId="3" fontId="8" fillId="0" borderId="0" xfId="184" applyNumberFormat="1" applyFont="1" applyFill="1" applyBorder="1" applyAlignment="1">
      <alignment vertical="center"/>
      <protection/>
    </xf>
    <xf numFmtId="0" fontId="15" fillId="0" borderId="42" xfId="184" applyFont="1" applyBorder="1" applyAlignment="1">
      <alignment vertical="center" wrapText="1"/>
      <protection/>
    </xf>
    <xf numFmtId="3" fontId="6" fillId="0" borderId="0" xfId="184" applyNumberFormat="1" applyFont="1" applyFill="1" applyBorder="1" applyAlignment="1">
      <alignment vertical="center"/>
      <protection/>
    </xf>
    <xf numFmtId="0" fontId="6" fillId="0" borderId="42" xfId="184" applyFont="1" applyBorder="1" applyAlignment="1">
      <alignment vertical="center" wrapText="1"/>
      <protection/>
    </xf>
    <xf numFmtId="0" fontId="13" fillId="0" borderId="42" xfId="184" applyFont="1" applyFill="1" applyBorder="1" applyAlignment="1">
      <alignment vertical="center"/>
      <protection/>
    </xf>
    <xf numFmtId="0" fontId="15" fillId="0" borderId="42" xfId="184" applyFont="1" applyFill="1" applyBorder="1" applyAlignment="1">
      <alignment vertical="center"/>
      <protection/>
    </xf>
    <xf numFmtId="0" fontId="13" fillId="0" borderId="42" xfId="184" applyFont="1" applyFill="1" applyBorder="1" applyAlignment="1">
      <alignment vertical="center" wrapText="1"/>
      <protection/>
    </xf>
    <xf numFmtId="0" fontId="12" fillId="7" borderId="42" xfId="184" applyFont="1" applyFill="1" applyBorder="1" applyAlignment="1">
      <alignment vertical="center"/>
      <protection/>
    </xf>
    <xf numFmtId="3" fontId="12" fillId="7" borderId="42" xfId="184" applyNumberFormat="1" applyFont="1" applyFill="1" applyBorder="1" applyAlignment="1">
      <alignment vertical="center"/>
      <protection/>
    </xf>
    <xf numFmtId="0" fontId="12" fillId="0" borderId="0" xfId="184" applyFont="1" applyFill="1" applyBorder="1" applyAlignment="1">
      <alignment vertical="center"/>
      <protection/>
    </xf>
    <xf numFmtId="0" fontId="6" fillId="0" borderId="0" xfId="184" applyFont="1" applyFill="1" applyBorder="1" applyAlignment="1">
      <alignment vertical="center" wrapText="1"/>
      <protection/>
    </xf>
    <xf numFmtId="3" fontId="8" fillId="0" borderId="13" xfId="207" applyNumberFormat="1" applyFont="1" applyFill="1" applyBorder="1" applyAlignment="1">
      <alignment horizontal="right" vertical="center" wrapText="1"/>
      <protection/>
    </xf>
    <xf numFmtId="3" fontId="8" fillId="0" borderId="13" xfId="207" applyNumberFormat="1" applyFont="1" applyBorder="1" applyAlignment="1">
      <alignment horizontal="right" vertical="center" wrapText="1"/>
      <protection/>
    </xf>
    <xf numFmtId="3" fontId="8" fillId="0" borderId="13" xfId="207" applyNumberFormat="1" applyFont="1" applyBorder="1" applyAlignment="1">
      <alignment horizontal="right" vertical="center"/>
      <protection/>
    </xf>
    <xf numFmtId="0" fontId="12" fillId="6" borderId="13" xfId="169" applyFont="1" applyFill="1" applyBorder="1" applyAlignment="1">
      <alignment horizontal="center" vertical="center"/>
      <protection/>
    </xf>
    <xf numFmtId="0" fontId="12" fillId="6" borderId="14" xfId="169" applyFont="1" applyFill="1" applyBorder="1" applyAlignment="1">
      <alignment horizontal="center" vertical="center"/>
      <protection/>
    </xf>
    <xf numFmtId="0" fontId="5" fillId="0" borderId="0" xfId="169" applyAlignment="1">
      <alignment vertical="center"/>
      <protection/>
    </xf>
    <xf numFmtId="0" fontId="12" fillId="6" borderId="13" xfId="169" applyFont="1" applyFill="1" applyBorder="1" applyAlignment="1">
      <alignment horizontal="center" vertical="top" wrapText="1"/>
      <protection/>
    </xf>
    <xf numFmtId="0" fontId="12" fillId="6" borderId="13" xfId="169" applyFont="1" applyFill="1" applyBorder="1" applyAlignment="1">
      <alignment horizontal="center" vertical="center" wrapText="1"/>
      <protection/>
    </xf>
    <xf numFmtId="0" fontId="5" fillId="0" borderId="0" xfId="169" applyAlignment="1">
      <alignment vertical="top"/>
      <protection/>
    </xf>
    <xf numFmtId="0" fontId="13" fillId="0" borderId="13" xfId="169" applyFont="1" applyBorder="1" applyAlignment="1">
      <alignment vertical="center"/>
      <protection/>
    </xf>
    <xf numFmtId="0" fontId="13" fillId="0" borderId="21" xfId="169" applyFont="1" applyBorder="1" applyAlignment="1">
      <alignment vertical="center"/>
      <protection/>
    </xf>
    <xf numFmtId="0" fontId="13" fillId="0" borderId="13" xfId="169" applyFont="1" applyBorder="1" applyAlignment="1">
      <alignment horizontal="center" vertical="center"/>
      <protection/>
    </xf>
    <xf numFmtId="0" fontId="13" fillId="0" borderId="13" xfId="169" applyFont="1" applyBorder="1" applyAlignment="1">
      <alignment vertical="center" wrapText="1"/>
      <protection/>
    </xf>
    <xf numFmtId="3" fontId="13" fillId="0" borderId="13" xfId="169" applyNumberFormat="1" applyFont="1" applyBorder="1" applyAlignment="1">
      <alignment vertical="center"/>
      <protection/>
    </xf>
    <xf numFmtId="0" fontId="8" fillId="0" borderId="13" xfId="202" applyFont="1" applyFill="1" applyBorder="1" applyAlignment="1">
      <alignment vertical="center"/>
      <protection/>
    </xf>
    <xf numFmtId="0" fontId="12" fillId="6" borderId="13" xfId="169" applyFont="1" applyFill="1" applyBorder="1" applyAlignment="1">
      <alignment horizontal="center" vertical="center"/>
      <protection/>
    </xf>
    <xf numFmtId="0" fontId="12" fillId="6" borderId="13" xfId="169" applyFont="1" applyFill="1" applyBorder="1" applyAlignment="1">
      <alignment vertical="center" wrapText="1"/>
      <protection/>
    </xf>
    <xf numFmtId="3" fontId="12" fillId="6" borderId="13" xfId="169" applyNumberFormat="1" applyFont="1" applyFill="1" applyBorder="1" applyAlignment="1">
      <alignment vertical="center"/>
      <protection/>
    </xf>
    <xf numFmtId="0" fontId="8" fillId="0" borderId="13" xfId="169" applyFont="1" applyBorder="1" applyAlignment="1">
      <alignment horizontal="center" vertical="center"/>
      <protection/>
    </xf>
    <xf numFmtId="0" fontId="12" fillId="6" borderId="13" xfId="169" applyFont="1" applyFill="1" applyBorder="1" applyAlignment="1">
      <alignment vertical="center"/>
      <protection/>
    </xf>
    <xf numFmtId="0" fontId="17" fillId="0" borderId="0" xfId="169" applyFont="1" applyAlignment="1">
      <alignment vertical="center"/>
      <protection/>
    </xf>
    <xf numFmtId="3" fontId="5" fillId="0" borderId="0" xfId="169" applyNumberFormat="1" applyAlignment="1">
      <alignment vertical="center"/>
      <protection/>
    </xf>
    <xf numFmtId="0" fontId="9" fillId="6" borderId="76" xfId="169" applyFont="1" applyFill="1" applyBorder="1" applyAlignment="1">
      <alignment horizontal="center" vertical="center"/>
      <protection/>
    </xf>
    <xf numFmtId="0" fontId="9" fillId="6" borderId="73" xfId="169" applyFont="1" applyFill="1" applyBorder="1" applyAlignment="1">
      <alignment horizontal="center" vertical="center"/>
      <protection/>
    </xf>
    <xf numFmtId="0" fontId="9" fillId="6" borderId="58" xfId="169" applyFont="1" applyFill="1" applyBorder="1" applyAlignment="1">
      <alignment horizontal="center" vertical="center"/>
      <protection/>
    </xf>
    <xf numFmtId="0" fontId="9" fillId="6" borderId="19" xfId="173" applyFont="1" applyFill="1" applyBorder="1" applyAlignment="1">
      <alignment horizontal="center"/>
      <protection/>
    </xf>
    <xf numFmtId="0" fontId="9" fillId="6" borderId="73" xfId="173" applyFont="1" applyFill="1" applyBorder="1" applyAlignment="1">
      <alignment horizontal="center"/>
      <protection/>
    </xf>
    <xf numFmtId="0" fontId="5" fillId="0" borderId="0" xfId="173">
      <alignment/>
      <protection/>
    </xf>
    <xf numFmtId="3" fontId="16" fillId="6" borderId="27" xfId="207" applyNumberFormat="1" applyFont="1" applyFill="1" applyBorder="1" applyAlignment="1">
      <alignment horizontal="center" vertical="center" wrapText="1"/>
      <protection/>
    </xf>
    <xf numFmtId="0" fontId="9" fillId="6" borderId="13" xfId="169" applyFont="1" applyFill="1" applyBorder="1" applyAlignment="1">
      <alignment horizontal="center" vertical="top" wrapText="1"/>
      <protection/>
    </xf>
    <xf numFmtId="0" fontId="9" fillId="6" borderId="22" xfId="169" applyFont="1" applyFill="1" applyBorder="1" applyAlignment="1">
      <alignment horizontal="center" vertical="top" wrapText="1"/>
      <protection/>
    </xf>
    <xf numFmtId="0" fontId="9" fillId="6" borderId="22" xfId="169" applyFont="1" applyFill="1" applyBorder="1" applyAlignment="1">
      <alignment horizontal="center" vertical="center" wrapText="1"/>
      <protection/>
    </xf>
    <xf numFmtId="0" fontId="5" fillId="0" borderId="0" xfId="173" applyAlignment="1">
      <alignment vertical="center"/>
      <protection/>
    </xf>
    <xf numFmtId="0" fontId="8" fillId="0" borderId="13" xfId="202" applyFont="1" applyBorder="1" applyAlignment="1">
      <alignment horizontal="center" vertical="center"/>
      <protection/>
    </xf>
    <xf numFmtId="0" fontId="9" fillId="0" borderId="21" xfId="202" applyFont="1" applyBorder="1" applyAlignment="1">
      <alignment vertical="center"/>
      <protection/>
    </xf>
    <xf numFmtId="0" fontId="8" fillId="0" borderId="13" xfId="202" applyFont="1" applyBorder="1" applyAlignment="1">
      <alignment vertical="center"/>
      <protection/>
    </xf>
    <xf numFmtId="0" fontId="8" fillId="0" borderId="21" xfId="202" applyFont="1" applyBorder="1" applyAlignment="1">
      <alignment vertical="center"/>
      <protection/>
    </xf>
    <xf numFmtId="0" fontId="9" fillId="0" borderId="13" xfId="202" applyFont="1" applyBorder="1" applyAlignment="1">
      <alignment vertical="center"/>
      <protection/>
    </xf>
    <xf numFmtId="0" fontId="8" fillId="0" borderId="13" xfId="169" applyFont="1" applyBorder="1" applyAlignment="1">
      <alignment vertical="center"/>
      <protection/>
    </xf>
    <xf numFmtId="0" fontId="8" fillId="0" borderId="15" xfId="169" applyFont="1" applyBorder="1" applyAlignment="1">
      <alignment vertical="center"/>
      <protection/>
    </xf>
    <xf numFmtId="0" fontId="23" fillId="0" borderId="0" xfId="173" applyFont="1" applyAlignment="1">
      <alignment vertical="center"/>
      <protection/>
    </xf>
    <xf numFmtId="0" fontId="13" fillId="0" borderId="14" xfId="202" applyFont="1" applyBorder="1" applyAlignment="1">
      <alignment vertical="center" wrapText="1"/>
      <protection/>
    </xf>
    <xf numFmtId="0" fontId="8" fillId="0" borderId="13" xfId="202" applyFont="1" applyFill="1" applyBorder="1" applyAlignment="1">
      <alignment horizontal="center" vertical="center"/>
      <protection/>
    </xf>
    <xf numFmtId="0" fontId="8" fillId="0" borderId="14" xfId="202" applyFont="1" applyFill="1" applyBorder="1" applyAlignment="1">
      <alignment vertical="center"/>
      <protection/>
    </xf>
    <xf numFmtId="3" fontId="15" fillId="0" borderId="13" xfId="203" applyNumberFormat="1" applyFont="1" applyFill="1" applyBorder="1" applyAlignment="1">
      <alignment horizontal="center" vertical="center"/>
      <protection/>
    </xf>
    <xf numFmtId="3" fontId="8" fillId="0" borderId="15" xfId="202" applyNumberFormat="1" applyFont="1" applyFill="1" applyBorder="1" applyAlignment="1">
      <alignment vertical="center"/>
      <protection/>
    </xf>
    <xf numFmtId="0" fontId="9" fillId="6" borderId="13" xfId="202" applyFont="1" applyFill="1" applyBorder="1" applyAlignment="1">
      <alignment horizontal="center" vertical="center"/>
      <protection/>
    </xf>
    <xf numFmtId="3" fontId="9" fillId="6" borderId="15" xfId="202" applyNumberFormat="1" applyFont="1" applyFill="1" applyBorder="1" applyAlignment="1">
      <alignment vertical="center"/>
      <protection/>
    </xf>
    <xf numFmtId="3" fontId="9" fillId="6" borderId="13" xfId="202" applyNumberFormat="1" applyFont="1" applyFill="1" applyBorder="1" applyAlignment="1">
      <alignment vertical="center"/>
      <protection/>
    </xf>
    <xf numFmtId="0" fontId="9" fillId="0" borderId="13" xfId="202" applyFont="1" applyFill="1" applyBorder="1" applyAlignment="1">
      <alignment horizontal="center" vertical="center"/>
      <protection/>
    </xf>
    <xf numFmtId="0" fontId="8" fillId="0" borderId="14" xfId="169" applyFont="1" applyBorder="1" applyAlignment="1">
      <alignment vertical="center"/>
      <protection/>
    </xf>
    <xf numFmtId="3" fontId="15" fillId="0" borderId="13" xfId="165" applyNumberFormat="1" applyFont="1" applyBorder="1" applyAlignment="1">
      <alignment horizontal="center" vertical="center"/>
      <protection/>
    </xf>
    <xf numFmtId="0" fontId="8" fillId="0" borderId="15" xfId="0" applyFont="1" applyFill="1" applyBorder="1" applyAlignment="1">
      <alignment vertical="center"/>
    </xf>
    <xf numFmtId="3" fontId="9" fillId="0" borderId="13" xfId="202" applyNumberFormat="1" applyFont="1" applyFill="1" applyBorder="1" applyAlignment="1">
      <alignment vertical="center"/>
      <protection/>
    </xf>
    <xf numFmtId="0" fontId="8" fillId="0" borderId="14" xfId="202" applyFont="1" applyBorder="1" applyAlignment="1">
      <alignment vertical="center" wrapText="1"/>
      <protection/>
    </xf>
    <xf numFmtId="3" fontId="15" fillId="0" borderId="13" xfId="203" applyNumberFormat="1" applyFont="1" applyBorder="1" applyAlignment="1">
      <alignment horizontal="center" vertical="center" wrapText="1"/>
      <protection/>
    </xf>
    <xf numFmtId="0" fontId="8" fillId="0" borderId="14" xfId="202" applyFont="1" applyFill="1" applyBorder="1" applyAlignment="1">
      <alignment vertical="center" wrapText="1"/>
      <protection/>
    </xf>
    <xf numFmtId="3" fontId="15" fillId="0" borderId="13" xfId="203" applyNumberFormat="1" applyFont="1" applyFill="1" applyBorder="1" applyAlignment="1">
      <alignment horizontal="center" vertical="center" wrapText="1"/>
      <protection/>
    </xf>
    <xf numFmtId="0" fontId="8" fillId="0" borderId="14" xfId="204" applyFont="1" applyFill="1" applyBorder="1" applyAlignment="1">
      <alignment vertical="center" wrapText="1"/>
      <protection/>
    </xf>
    <xf numFmtId="3" fontId="15" fillId="0" borderId="13" xfId="204" applyNumberFormat="1" applyFont="1" applyFill="1" applyBorder="1" applyAlignment="1">
      <alignment horizontal="center" vertical="center" wrapText="1"/>
      <protection/>
    </xf>
    <xf numFmtId="0" fontId="20" fillId="0" borderId="13" xfId="202" applyFont="1" applyFill="1" applyBorder="1" applyAlignment="1">
      <alignment vertical="center" wrapText="1"/>
      <protection/>
    </xf>
    <xf numFmtId="3" fontId="8" fillId="0" borderId="14" xfId="181" applyNumberFormat="1" applyFont="1" applyFill="1" applyBorder="1" applyAlignment="1">
      <alignment vertical="center" wrapText="1"/>
      <protection/>
    </xf>
    <xf numFmtId="3" fontId="15" fillId="0" borderId="13" xfId="174" applyNumberFormat="1" applyFont="1" applyFill="1" applyBorder="1" applyAlignment="1">
      <alignment horizontal="center" vertical="center" wrapText="1"/>
      <protection/>
    </xf>
    <xf numFmtId="0" fontId="8" fillId="0" borderId="37" xfId="202" applyFont="1" applyBorder="1" applyAlignment="1">
      <alignment vertical="center" wrapText="1"/>
      <protection/>
    </xf>
    <xf numFmtId="0" fontId="8" fillId="0" borderId="14" xfId="181" applyFont="1" applyBorder="1" applyAlignment="1">
      <alignment vertical="center" wrapText="1"/>
      <protection/>
    </xf>
    <xf numFmtId="3" fontId="15" fillId="0" borderId="13" xfId="174" applyNumberFormat="1" applyFont="1" applyBorder="1" applyAlignment="1">
      <alignment horizontal="center" vertical="center" wrapText="1"/>
      <protection/>
    </xf>
    <xf numFmtId="0" fontId="9" fillId="0" borderId="14" xfId="202" applyFont="1" applyBorder="1" applyAlignment="1">
      <alignment vertical="center"/>
      <protection/>
    </xf>
    <xf numFmtId="3" fontId="12" fillId="0" borderId="13" xfId="202" applyNumberFormat="1" applyFont="1" applyBorder="1" applyAlignment="1">
      <alignment vertical="center"/>
      <protection/>
    </xf>
    <xf numFmtId="3" fontId="8" fillId="0" borderId="15" xfId="202" applyNumberFormat="1" applyFont="1" applyBorder="1" applyAlignment="1">
      <alignment vertical="center"/>
      <protection/>
    </xf>
    <xf numFmtId="3" fontId="8" fillId="0" borderId="13" xfId="202" applyNumberFormat="1" applyFont="1" applyBorder="1" applyAlignment="1">
      <alignment vertical="center"/>
      <protection/>
    </xf>
    <xf numFmtId="3" fontId="13" fillId="0" borderId="13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3" fontId="15" fillId="0" borderId="13" xfId="0" applyNumberFormat="1" applyFont="1" applyBorder="1" applyAlignment="1">
      <alignment horizontal="center" vertical="center" wrapText="1"/>
    </xf>
    <xf numFmtId="0" fontId="8" fillId="0" borderId="14" xfId="202" applyFont="1" applyBorder="1" applyAlignment="1">
      <alignment vertical="center"/>
      <protection/>
    </xf>
    <xf numFmtId="3" fontId="15" fillId="0" borderId="13" xfId="203" applyNumberFormat="1" applyFont="1" applyBorder="1" applyAlignment="1">
      <alignment horizontal="center" vertical="center"/>
      <protection/>
    </xf>
    <xf numFmtId="0" fontId="13" fillId="0" borderId="14" xfId="202" applyFont="1" applyFill="1" applyBorder="1" applyAlignment="1">
      <alignment vertical="center" wrapText="1"/>
      <protection/>
    </xf>
    <xf numFmtId="0" fontId="5" fillId="0" borderId="0" xfId="173" applyFont="1" applyAlignment="1">
      <alignment vertical="center"/>
      <protection/>
    </xf>
    <xf numFmtId="3" fontId="15" fillId="47" borderId="13" xfId="203" applyNumberFormat="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vertical="top"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8" fillId="0" borderId="13" xfId="202" applyNumberFormat="1" applyFont="1" applyBorder="1" applyAlignment="1">
      <alignment vertical="center" wrapText="1"/>
      <protection/>
    </xf>
    <xf numFmtId="0" fontId="9" fillId="6" borderId="14" xfId="202" applyFont="1" applyFill="1" applyBorder="1" applyAlignment="1">
      <alignment vertical="center"/>
      <protection/>
    </xf>
    <xf numFmtId="3" fontId="12" fillId="6" borderId="13" xfId="202" applyNumberFormat="1" applyFont="1" applyFill="1" applyBorder="1" applyAlignment="1">
      <alignment vertical="center"/>
      <protection/>
    </xf>
    <xf numFmtId="3" fontId="8" fillId="0" borderId="15" xfId="202" applyNumberFormat="1" applyFont="1" applyBorder="1" applyAlignment="1">
      <alignment vertical="center" wrapText="1"/>
      <protection/>
    </xf>
    <xf numFmtId="0" fontId="8" fillId="0" borderId="77" xfId="181" applyFont="1" applyFill="1" applyBorder="1" applyAlignment="1">
      <alignment vertical="top" wrapText="1"/>
      <protection/>
    </xf>
    <xf numFmtId="0" fontId="8" fillId="0" borderId="77" xfId="169" applyFont="1" applyFill="1" applyBorder="1" applyAlignment="1">
      <alignment horizontal="left" vertical="center" wrapText="1"/>
      <protection/>
    </xf>
    <xf numFmtId="3" fontId="15" fillId="0" borderId="13" xfId="165" applyNumberFormat="1" applyFont="1" applyFill="1" applyBorder="1" applyAlignment="1">
      <alignment horizontal="center" vertical="center" wrapText="1"/>
      <protection/>
    </xf>
    <xf numFmtId="0" fontId="8" fillId="0" borderId="35" xfId="167" applyFont="1" applyFill="1" applyBorder="1" applyAlignment="1">
      <alignment horizontal="left" vertical="center" wrapText="1"/>
      <protection/>
    </xf>
    <xf numFmtId="3" fontId="15" fillId="0" borderId="13" xfId="167" applyNumberFormat="1" applyFont="1" applyFill="1" applyBorder="1" applyAlignment="1">
      <alignment horizontal="center" vertical="center" wrapText="1"/>
      <protection/>
    </xf>
    <xf numFmtId="0" fontId="8" fillId="0" borderId="14" xfId="169" applyFont="1" applyFill="1" applyBorder="1" applyAlignment="1">
      <alignment horizontal="left" vertical="center" wrapText="1"/>
      <protection/>
    </xf>
    <xf numFmtId="0" fontId="8" fillId="0" borderId="14" xfId="180" applyFont="1" applyFill="1" applyBorder="1" applyAlignment="1">
      <alignment vertical="top" wrapText="1"/>
      <protection/>
    </xf>
    <xf numFmtId="3" fontId="15" fillId="0" borderId="13" xfId="180" applyNumberFormat="1" applyFont="1" applyFill="1" applyBorder="1" applyAlignment="1">
      <alignment horizontal="center" vertical="center" wrapText="1"/>
      <protection/>
    </xf>
    <xf numFmtId="0" fontId="8" fillId="0" borderId="78" xfId="181" applyFont="1" applyFill="1" applyBorder="1" applyAlignment="1">
      <alignment vertical="top" wrapText="1"/>
      <protection/>
    </xf>
    <xf numFmtId="0" fontId="8" fillId="0" borderId="14" xfId="181" applyFont="1" applyFill="1" applyBorder="1" applyAlignment="1">
      <alignment vertical="top" wrapText="1"/>
      <protection/>
    </xf>
    <xf numFmtId="0" fontId="8" fillId="0" borderId="35" xfId="178" applyFont="1" applyFill="1" applyBorder="1" applyAlignment="1">
      <alignment vertical="top" wrapText="1"/>
      <protection/>
    </xf>
    <xf numFmtId="3" fontId="15" fillId="0" borderId="13" xfId="178" applyNumberFormat="1" applyFont="1" applyFill="1" applyBorder="1" applyAlignment="1">
      <alignment horizontal="center" vertical="center" wrapText="1"/>
      <protection/>
    </xf>
    <xf numFmtId="0" fontId="8" fillId="0" borderId="14" xfId="176" applyFont="1" applyFill="1" applyBorder="1" applyAlignment="1">
      <alignment vertical="top" wrapText="1"/>
      <protection/>
    </xf>
    <xf numFmtId="3" fontId="15" fillId="0" borderId="13" xfId="176" applyNumberFormat="1" applyFont="1" applyFill="1" applyBorder="1" applyAlignment="1">
      <alignment horizontal="center" vertical="center" wrapText="1"/>
      <protection/>
    </xf>
    <xf numFmtId="0" fontId="8" fillId="0" borderId="0" xfId="202" applyFont="1" applyBorder="1" applyAlignment="1">
      <alignment vertical="center"/>
      <protection/>
    </xf>
    <xf numFmtId="0" fontId="8" fillId="0" borderId="35" xfId="196" applyFont="1" applyBorder="1" applyAlignment="1">
      <alignment wrapText="1"/>
      <protection/>
    </xf>
    <xf numFmtId="3" fontId="15" fillId="0" borderId="13" xfId="196" applyNumberFormat="1" applyFont="1" applyBorder="1" applyAlignment="1">
      <alignment horizontal="center" vertical="center" wrapText="1"/>
      <protection/>
    </xf>
    <xf numFmtId="0" fontId="8" fillId="0" borderId="14" xfId="173" applyFont="1" applyBorder="1" applyAlignment="1">
      <alignment vertical="center"/>
      <protection/>
    </xf>
    <xf numFmtId="3" fontId="15" fillId="0" borderId="13" xfId="172" applyNumberFormat="1" applyFont="1" applyBorder="1" applyAlignment="1">
      <alignment horizontal="center" vertical="center"/>
      <protection/>
    </xf>
    <xf numFmtId="0" fontId="8" fillId="0" borderId="24" xfId="202" applyFont="1" applyBorder="1" applyAlignment="1">
      <alignment horizontal="center" vertical="center"/>
      <protection/>
    </xf>
    <xf numFmtId="3" fontId="8" fillId="0" borderId="24" xfId="202" applyNumberFormat="1" applyFont="1" applyBorder="1" applyAlignment="1">
      <alignment vertical="center"/>
      <protection/>
    </xf>
    <xf numFmtId="0" fontId="8" fillId="0" borderId="21" xfId="202" applyFont="1" applyBorder="1" applyAlignment="1">
      <alignment horizontal="center" vertical="center"/>
      <protection/>
    </xf>
    <xf numFmtId="0" fontId="8" fillId="0" borderId="37" xfId="202" applyFont="1" applyBorder="1" applyAlignment="1">
      <alignment vertical="center"/>
      <protection/>
    </xf>
    <xf numFmtId="3" fontId="8" fillId="0" borderId="31" xfId="202" applyNumberFormat="1" applyFont="1" applyBorder="1" applyAlignment="1">
      <alignment vertical="center"/>
      <protection/>
    </xf>
    <xf numFmtId="3" fontId="8" fillId="0" borderId="21" xfId="202" applyNumberFormat="1" applyFont="1" applyBorder="1" applyAlignment="1">
      <alignment vertical="center"/>
      <protection/>
    </xf>
    <xf numFmtId="0" fontId="8" fillId="0" borderId="14" xfId="173" applyFont="1" applyBorder="1" applyAlignment="1">
      <alignment vertical="center" wrapText="1"/>
      <protection/>
    </xf>
    <xf numFmtId="3" fontId="15" fillId="0" borderId="13" xfId="172" applyNumberFormat="1" applyFont="1" applyBorder="1" applyAlignment="1">
      <alignment horizontal="center" vertical="center" wrapText="1"/>
      <protection/>
    </xf>
    <xf numFmtId="0" fontId="8" fillId="0" borderId="37" xfId="202" applyFont="1" applyFill="1" applyBorder="1" applyAlignment="1">
      <alignment vertical="center" wrapText="1"/>
      <protection/>
    </xf>
    <xf numFmtId="0" fontId="8" fillId="0" borderId="26" xfId="173" applyFont="1" applyBorder="1" applyAlignment="1">
      <alignment vertical="center"/>
      <protection/>
    </xf>
    <xf numFmtId="3" fontId="13" fillId="0" borderId="24" xfId="173" applyNumberFormat="1" applyFont="1" applyBorder="1" applyAlignment="1">
      <alignment vertical="center"/>
      <protection/>
    </xf>
    <xf numFmtId="3" fontId="8" fillId="0" borderId="13" xfId="202" applyNumberFormat="1" applyFont="1" applyFill="1" applyBorder="1" applyAlignment="1">
      <alignment vertical="center" wrapText="1"/>
      <protection/>
    </xf>
    <xf numFmtId="3" fontId="13" fillId="0" borderId="13" xfId="202" applyNumberFormat="1" applyFont="1" applyBorder="1" applyAlignment="1">
      <alignment vertical="center" wrapText="1"/>
      <protection/>
    </xf>
    <xf numFmtId="3" fontId="9" fillId="0" borderId="15" xfId="202" applyNumberFormat="1" applyFont="1" applyFill="1" applyBorder="1" applyAlignment="1">
      <alignment vertical="center"/>
      <protection/>
    </xf>
    <xf numFmtId="3" fontId="9" fillId="6" borderId="15" xfId="202" applyNumberFormat="1" applyFont="1" applyFill="1" applyBorder="1" applyAlignment="1">
      <alignment vertical="center" wrapText="1"/>
      <protection/>
    </xf>
    <xf numFmtId="3" fontId="9" fillId="6" borderId="13" xfId="202" applyNumberFormat="1" applyFont="1" applyFill="1" applyBorder="1" applyAlignment="1">
      <alignment vertical="center" wrapText="1"/>
      <protection/>
    </xf>
    <xf numFmtId="0" fontId="8" fillId="0" borderId="26" xfId="173" applyFont="1" applyBorder="1" applyAlignment="1">
      <alignment vertical="center" wrapText="1"/>
      <protection/>
    </xf>
    <xf numFmtId="3" fontId="13" fillId="0" borderId="24" xfId="173" applyNumberFormat="1" applyFont="1" applyBorder="1" applyAlignment="1">
      <alignment vertical="center" wrapText="1"/>
      <protection/>
    </xf>
    <xf numFmtId="0" fontId="8" fillId="0" borderId="14" xfId="203" applyFont="1" applyBorder="1" applyAlignment="1">
      <alignment vertical="center" wrapText="1"/>
      <protection/>
    </xf>
    <xf numFmtId="0" fontId="8" fillId="6" borderId="13" xfId="202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0" fontId="9" fillId="0" borderId="14" xfId="202" applyFont="1" applyFill="1" applyBorder="1" applyAlignment="1">
      <alignment vertical="center"/>
      <protection/>
    </xf>
    <xf numFmtId="3" fontId="12" fillId="0" borderId="13" xfId="202" applyNumberFormat="1" applyFont="1" applyFill="1" applyBorder="1" applyAlignment="1">
      <alignment vertical="center"/>
      <protection/>
    </xf>
    <xf numFmtId="0" fontId="8" fillId="0" borderId="15" xfId="0" applyFont="1" applyBorder="1" applyAlignment="1">
      <alignment vertical="center" wrapText="1"/>
    </xf>
    <xf numFmtId="0" fontId="9" fillId="6" borderId="14" xfId="169" applyFont="1" applyFill="1" applyBorder="1" applyAlignment="1">
      <alignment vertical="center" wrapText="1"/>
      <protection/>
    </xf>
    <xf numFmtId="3" fontId="12" fillId="6" borderId="13" xfId="169" applyNumberFormat="1" applyFont="1" applyFill="1" applyBorder="1" applyAlignment="1">
      <alignment vertical="center" wrapText="1"/>
      <protection/>
    </xf>
    <xf numFmtId="0" fontId="9" fillId="6" borderId="79" xfId="202" applyFont="1" applyFill="1" applyBorder="1" applyAlignment="1">
      <alignment vertical="center"/>
      <protection/>
    </xf>
    <xf numFmtId="0" fontId="8" fillId="0" borderId="0" xfId="173" applyFont="1" applyAlignment="1">
      <alignment vertical="center"/>
      <protection/>
    </xf>
    <xf numFmtId="0" fontId="8" fillId="0" borderId="0" xfId="173" applyFont="1">
      <alignment/>
      <protection/>
    </xf>
    <xf numFmtId="3" fontId="8" fillId="0" borderId="0" xfId="173" applyNumberFormat="1" applyFont="1">
      <alignment/>
      <protection/>
    </xf>
    <xf numFmtId="0" fontId="13" fillId="0" borderId="13" xfId="202" applyFont="1" applyFill="1" applyBorder="1" applyAlignment="1">
      <alignment vertical="center" wrapText="1"/>
      <protection/>
    </xf>
    <xf numFmtId="0" fontId="13" fillId="0" borderId="13" xfId="169" applyFont="1" applyFill="1" applyBorder="1" applyAlignment="1">
      <alignment vertical="center"/>
      <protection/>
    </xf>
    <xf numFmtId="0" fontId="12" fillId="6" borderId="73" xfId="0" applyFont="1" applyFill="1" applyBorder="1" applyAlignment="1">
      <alignment horizontal="center" vertical="center"/>
    </xf>
    <xf numFmtId="0" fontId="12" fillId="6" borderId="58" xfId="0" applyFont="1" applyFill="1" applyBorder="1" applyAlignment="1">
      <alignment horizontal="center" vertical="center"/>
    </xf>
    <xf numFmtId="0" fontId="13" fillId="0" borderId="14" xfId="169" applyFont="1" applyBorder="1" applyAlignment="1">
      <alignment vertical="center"/>
      <protection/>
    </xf>
    <xf numFmtId="3" fontId="15" fillId="0" borderId="13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vertical="center"/>
    </xf>
    <xf numFmtId="0" fontId="13" fillId="0" borderId="14" xfId="202" applyFont="1" applyBorder="1" applyAlignment="1">
      <alignment vertical="center"/>
      <protection/>
    </xf>
    <xf numFmtId="3" fontId="15" fillId="0" borderId="15" xfId="0" applyNumberFormat="1" applyFont="1" applyFill="1" applyBorder="1" applyAlignment="1">
      <alignment vertical="center"/>
    </xf>
    <xf numFmtId="0" fontId="13" fillId="0" borderId="35" xfId="183" applyFont="1" applyFill="1" applyBorder="1" applyAlignment="1">
      <alignment vertical="top" wrapText="1"/>
      <protection/>
    </xf>
    <xf numFmtId="0" fontId="15" fillId="0" borderId="14" xfId="169" applyFont="1" applyBorder="1" applyAlignment="1">
      <alignment vertical="center"/>
      <protection/>
    </xf>
    <xf numFmtId="3" fontId="92" fillId="0" borderId="13" xfId="0" applyNumberFormat="1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 wrapText="1"/>
    </xf>
    <xf numFmtId="3" fontId="92" fillId="0" borderId="13" xfId="0" applyNumberFormat="1" applyFont="1" applyFill="1" applyBorder="1" applyAlignment="1">
      <alignment vertical="center"/>
    </xf>
    <xf numFmtId="3" fontId="92" fillId="0" borderId="13" xfId="0" applyNumberFormat="1" applyFont="1" applyFill="1" applyBorder="1" applyAlignment="1">
      <alignment vertical="center" wrapText="1"/>
    </xf>
    <xf numFmtId="3" fontId="92" fillId="0" borderId="13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wrapText="1"/>
    </xf>
    <xf numFmtId="3" fontId="15" fillId="0" borderId="13" xfId="0" applyNumberFormat="1" applyFont="1" applyFill="1" applyBorder="1" applyAlignment="1">
      <alignment horizontal="center" wrapText="1"/>
    </xf>
    <xf numFmtId="49" fontId="12" fillId="0" borderId="35" xfId="190" applyNumberFormat="1" applyFont="1" applyFill="1" applyBorder="1" applyAlignment="1">
      <alignment horizontal="left" vertical="center" wrapText="1"/>
      <protection/>
    </xf>
    <xf numFmtId="49" fontId="13" fillId="0" borderId="35" xfId="190" applyNumberFormat="1" applyFont="1" applyFill="1" applyBorder="1" applyAlignment="1">
      <alignment horizontal="left" vertical="center" wrapText="1"/>
      <protection/>
    </xf>
    <xf numFmtId="49" fontId="13" fillId="0" borderId="35" xfId="190" applyNumberFormat="1" applyFont="1" applyBorder="1" applyAlignment="1">
      <alignment horizontal="left" vertical="center" wrapText="1"/>
      <protection/>
    </xf>
    <xf numFmtId="3" fontId="12" fillId="0" borderId="35" xfId="190" applyNumberFormat="1" applyFont="1" applyBorder="1" applyAlignment="1">
      <alignment vertical="top" wrapText="1"/>
      <protection/>
    </xf>
    <xf numFmtId="3" fontId="15" fillId="0" borderId="15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24" fillId="0" borderId="35" xfId="190" applyNumberFormat="1" applyFont="1" applyBorder="1" applyAlignment="1">
      <alignment vertical="top" wrapText="1"/>
      <protection/>
    </xf>
    <xf numFmtId="49" fontId="13" fillId="0" borderId="36" xfId="190" applyNumberFormat="1" applyFont="1" applyFill="1" applyBorder="1" applyAlignment="1">
      <alignment horizontal="left" vertical="center" wrapText="1"/>
      <protection/>
    </xf>
    <xf numFmtId="49" fontId="13" fillId="0" borderId="45" xfId="190" applyNumberFormat="1" applyFont="1" applyBorder="1" applyAlignment="1">
      <alignment horizontal="left" vertical="center" wrapText="1"/>
      <protection/>
    </xf>
    <xf numFmtId="49" fontId="8" fillId="0" borderId="0" xfId="190" applyNumberFormat="1" applyFont="1" applyBorder="1" applyAlignment="1">
      <alignment horizontal="left" vertical="center" wrapText="1"/>
      <protection/>
    </xf>
    <xf numFmtId="49" fontId="8" fillId="0" borderId="35" xfId="190" applyNumberFormat="1" applyFont="1" applyBorder="1" applyAlignment="1">
      <alignment horizontal="left" vertical="center" wrapText="1"/>
      <protection/>
    </xf>
    <xf numFmtId="0" fontId="8" fillId="0" borderId="55" xfId="206" applyFont="1" applyFill="1" applyBorder="1" applyAlignment="1">
      <alignment vertical="center" wrapText="1"/>
      <protection/>
    </xf>
    <xf numFmtId="3" fontId="15" fillId="0" borderId="15" xfId="0" applyNumberFormat="1" applyFont="1" applyBorder="1" applyAlignment="1">
      <alignment horizontal="center" vertical="center"/>
    </xf>
    <xf numFmtId="0" fontId="8" fillId="0" borderId="80" xfId="206" applyFont="1" applyFill="1" applyBorder="1" applyAlignment="1">
      <alignment horizontal="left" vertical="top" wrapText="1"/>
      <protection/>
    </xf>
    <xf numFmtId="49" fontId="0" fillId="0" borderId="35" xfId="190" applyNumberFormat="1" applyFont="1" applyFill="1" applyBorder="1" applyAlignment="1">
      <alignment horizontal="left" vertical="center" wrapText="1"/>
      <protection/>
    </xf>
    <xf numFmtId="0" fontId="8" fillId="0" borderId="81" xfId="183" applyFont="1" applyBorder="1" applyAlignment="1">
      <alignment horizontal="left" vertical="center" wrapText="1"/>
      <protection/>
    </xf>
    <xf numFmtId="0" fontId="8" fillId="0" borderId="35" xfId="171" applyFont="1" applyBorder="1" applyAlignment="1">
      <alignment vertical="center"/>
      <protection/>
    </xf>
    <xf numFmtId="0" fontId="8" fillId="0" borderId="82" xfId="169" applyFont="1" applyFill="1" applyBorder="1" applyAlignment="1">
      <alignment horizontal="left" vertical="center" wrapText="1"/>
      <protection/>
    </xf>
    <xf numFmtId="0" fontId="8" fillId="49" borderId="14" xfId="169" applyFont="1" applyFill="1" applyBorder="1" applyAlignment="1">
      <alignment horizontal="left" vertical="center" wrapText="1"/>
      <protection/>
    </xf>
    <xf numFmtId="3" fontId="15" fillId="6" borderId="15" xfId="0" applyNumberFormat="1" applyFont="1" applyFill="1" applyBorder="1" applyAlignment="1">
      <alignment horizontal="center" vertical="center"/>
    </xf>
    <xf numFmtId="0" fontId="13" fillId="0" borderId="14" xfId="202" applyFont="1" applyFill="1" applyBorder="1" applyAlignment="1">
      <alignment vertical="center"/>
      <protection/>
    </xf>
    <xf numFmtId="0" fontId="13" fillId="0" borderId="35" xfId="176" applyFont="1" applyFill="1" applyBorder="1" applyAlignment="1">
      <alignment vertical="top" wrapText="1"/>
      <protection/>
    </xf>
    <xf numFmtId="0" fontId="13" fillId="0" borderId="35" xfId="206" applyFont="1" applyFill="1" applyBorder="1" applyAlignment="1">
      <alignment vertical="center" wrapText="1"/>
      <protection/>
    </xf>
    <xf numFmtId="0" fontId="13" fillId="0" borderId="35" xfId="179" applyFont="1" applyFill="1" applyBorder="1" applyAlignment="1">
      <alignment vertical="top" wrapText="1"/>
      <protection/>
    </xf>
    <xf numFmtId="3" fontId="15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3" fontId="15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92" fillId="0" borderId="13" xfId="0" applyNumberFormat="1" applyFont="1" applyBorder="1" applyAlignment="1">
      <alignment horizontal="center" vertical="center" wrapText="1"/>
    </xf>
    <xf numFmtId="3" fontId="93" fillId="0" borderId="13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3" fontId="15" fillId="0" borderId="15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3" fontId="92" fillId="0" borderId="13" xfId="0" applyNumberFormat="1" applyFont="1" applyFill="1" applyBorder="1" applyAlignment="1">
      <alignment horizontal="center" vertical="center" wrapText="1"/>
    </xf>
    <xf numFmtId="3" fontId="92" fillId="0" borderId="15" xfId="0" applyNumberFormat="1" applyFont="1" applyFill="1" applyBorder="1" applyAlignment="1">
      <alignment vertical="center" wrapText="1"/>
    </xf>
    <xf numFmtId="3" fontId="15" fillId="0" borderId="57" xfId="0" applyNumberFormat="1" applyFont="1" applyBorder="1" applyAlignment="1">
      <alignment vertical="center"/>
    </xf>
    <xf numFmtId="0" fontId="9" fillId="0" borderId="35" xfId="206" applyFont="1" applyBorder="1" applyAlignment="1">
      <alignment vertical="center"/>
      <protection/>
    </xf>
    <xf numFmtId="3" fontId="15" fillId="47" borderId="13" xfId="0" applyNumberFormat="1" applyFont="1" applyFill="1" applyBorder="1" applyAlignment="1">
      <alignment horizontal="center" vertical="center"/>
    </xf>
    <xf numFmtId="49" fontId="13" fillId="0" borderId="14" xfId="198" applyNumberFormat="1" applyFont="1" applyFill="1" applyBorder="1" applyAlignment="1">
      <alignment horizontal="left" vertical="center" wrapText="1"/>
      <protection/>
    </xf>
    <xf numFmtId="0" fontId="13" fillId="48" borderId="57" xfId="198" applyFont="1" applyFill="1" applyBorder="1" applyAlignment="1">
      <alignment horizontal="left" vertical="top" wrapText="1"/>
      <protection/>
    </xf>
    <xf numFmtId="0" fontId="13" fillId="48" borderId="41" xfId="198" applyFont="1" applyFill="1" applyBorder="1" applyAlignment="1">
      <alignment horizontal="left" vertical="top" wrapText="1"/>
      <protection/>
    </xf>
    <xf numFmtId="49" fontId="13" fillId="48" borderId="55" xfId="198" applyNumberFormat="1" applyFont="1" applyFill="1" applyBorder="1" applyAlignment="1">
      <alignment horizontal="left" vertical="top" wrapText="1"/>
      <protection/>
    </xf>
    <xf numFmtId="3" fontId="12" fillId="0" borderId="14" xfId="0" applyNumberFormat="1" applyFont="1" applyBorder="1" applyAlignment="1">
      <alignment horizontal="left" vertical="center"/>
    </xf>
    <xf numFmtId="0" fontId="12" fillId="48" borderId="14" xfId="183" applyFont="1" applyFill="1" applyBorder="1" applyAlignment="1">
      <alignment horizontal="left" vertical="top" wrapText="1"/>
      <protection/>
    </xf>
    <xf numFmtId="3" fontId="13" fillId="0" borderId="41" xfId="0" applyNumberFormat="1" applyFont="1" applyFill="1" applyBorder="1" applyAlignment="1">
      <alignment vertical="center" wrapText="1"/>
    </xf>
    <xf numFmtId="3" fontId="13" fillId="0" borderId="57" xfId="0" applyNumberFormat="1" applyFont="1" applyFill="1" applyBorder="1" applyAlignment="1">
      <alignment horizontal="left" vertical="center" wrapText="1"/>
    </xf>
    <xf numFmtId="3" fontId="13" fillId="0" borderId="55" xfId="0" applyNumberFormat="1" applyFont="1" applyFill="1" applyBorder="1" applyAlignment="1">
      <alignment vertical="center" wrapText="1"/>
    </xf>
    <xf numFmtId="0" fontId="12" fillId="0" borderId="35" xfId="183" applyFont="1" applyFill="1" applyBorder="1" applyAlignment="1">
      <alignment vertical="top"/>
      <protection/>
    </xf>
    <xf numFmtId="49" fontId="13" fillId="0" borderId="35" xfId="0" applyNumberFormat="1" applyFont="1" applyBorder="1" applyAlignment="1">
      <alignment vertical="center" wrapText="1"/>
    </xf>
    <xf numFmtId="49" fontId="13" fillId="0" borderId="35" xfId="164" applyNumberFormat="1" applyFont="1" applyFill="1" applyBorder="1" applyAlignment="1">
      <alignment horizontal="left" vertical="center" wrapText="1"/>
      <protection/>
    </xf>
    <xf numFmtId="49" fontId="13" fillId="0" borderId="35" xfId="0" applyNumberFormat="1" applyFont="1" applyBorder="1" applyAlignment="1">
      <alignment horizontal="left" vertical="center" wrapText="1"/>
    </xf>
    <xf numFmtId="49" fontId="13" fillId="0" borderId="55" xfId="0" applyNumberFormat="1" applyFont="1" applyBorder="1" applyAlignment="1">
      <alignment vertical="center" wrapText="1"/>
    </xf>
    <xf numFmtId="49" fontId="13" fillId="0" borderId="55" xfId="0" applyNumberFormat="1" applyFont="1" applyBorder="1" applyAlignment="1">
      <alignment horizontal="left" vertical="center" wrapText="1"/>
    </xf>
    <xf numFmtId="49" fontId="13" fillId="0" borderId="57" xfId="198" applyNumberFormat="1" applyFont="1" applyFill="1" applyBorder="1" applyAlignment="1">
      <alignment horizontal="left" vertical="center" wrapText="1"/>
      <protection/>
    </xf>
    <xf numFmtId="49" fontId="13" fillId="0" borderId="41" xfId="0" applyNumberFormat="1" applyFont="1" applyBorder="1" applyAlignment="1">
      <alignment vertical="center" wrapText="1"/>
    </xf>
    <xf numFmtId="0" fontId="13" fillId="48" borderId="14" xfId="198" applyFont="1" applyFill="1" applyBorder="1" applyAlignment="1">
      <alignment horizontal="left" vertical="top" wrapText="1"/>
      <protection/>
    </xf>
    <xf numFmtId="0" fontId="13" fillId="0" borderId="35" xfId="175" applyFont="1" applyFill="1" applyBorder="1" applyAlignment="1">
      <alignment horizontal="left" vertical="top"/>
      <protection/>
    </xf>
    <xf numFmtId="0" fontId="13" fillId="48" borderId="35" xfId="182" applyFont="1" applyFill="1" applyBorder="1" applyAlignment="1">
      <alignment vertical="top"/>
      <protection/>
    </xf>
    <xf numFmtId="0" fontId="12" fillId="48" borderId="35" xfId="182" applyFont="1" applyFill="1" applyBorder="1" applyAlignment="1">
      <alignment vertical="top"/>
      <protection/>
    </xf>
    <xf numFmtId="49" fontId="13" fillId="48" borderId="14" xfId="198" applyNumberFormat="1" applyFont="1" applyFill="1" applyBorder="1" applyAlignment="1">
      <alignment horizontal="left" vertical="top" wrapText="1"/>
      <protection/>
    </xf>
    <xf numFmtId="49" fontId="13" fillId="0" borderId="35" xfId="198" applyNumberFormat="1" applyFont="1" applyBorder="1" applyAlignment="1">
      <alignment horizontal="left" vertical="center" wrapText="1"/>
      <protection/>
    </xf>
    <xf numFmtId="0" fontId="13" fillId="0" borderId="14" xfId="198" applyFont="1" applyFill="1" applyBorder="1" applyAlignment="1">
      <alignment horizontal="left" vertical="top" wrapText="1"/>
      <protection/>
    </xf>
    <xf numFmtId="3" fontId="15" fillId="6" borderId="15" xfId="0" applyNumberFormat="1" applyFont="1" applyFill="1" applyBorder="1" applyAlignment="1">
      <alignment vertical="center"/>
    </xf>
    <xf numFmtId="3" fontId="15" fillId="0" borderId="32" xfId="0" applyNumberFormat="1" applyFont="1" applyBorder="1" applyAlignment="1">
      <alignment vertical="center"/>
    </xf>
    <xf numFmtId="49" fontId="8" fillId="0" borderId="14" xfId="190" applyNumberFormat="1" applyFont="1" applyBorder="1" applyAlignment="1">
      <alignment horizontal="left" vertical="center" wrapText="1"/>
      <protection/>
    </xf>
    <xf numFmtId="0" fontId="8" fillId="0" borderId="35" xfId="206" applyFont="1" applyBorder="1" applyAlignment="1">
      <alignment vertical="center"/>
      <protection/>
    </xf>
    <xf numFmtId="49" fontId="22" fillId="0" borderId="35" xfId="190" applyNumberFormat="1" applyFont="1" applyFill="1" applyBorder="1" applyAlignment="1">
      <alignment horizontal="left" vertical="center" wrapText="1"/>
      <protection/>
    </xf>
    <xf numFmtId="0" fontId="8" fillId="48" borderId="42" xfId="182" applyFont="1" applyFill="1" applyBorder="1" applyAlignment="1">
      <alignment vertical="top"/>
      <protection/>
    </xf>
    <xf numFmtId="0" fontId="8" fillId="48" borderId="0" xfId="183" applyFont="1" applyFill="1" applyBorder="1" applyAlignment="1">
      <alignment vertical="top"/>
      <protection/>
    </xf>
    <xf numFmtId="0" fontId="13" fillId="0" borderId="35" xfId="198" applyFont="1" applyBorder="1" applyAlignment="1">
      <alignment horizontal="left" wrapText="1"/>
      <protection/>
    </xf>
    <xf numFmtId="49" fontId="8" fillId="0" borderId="35" xfId="190" applyNumberFormat="1" applyFont="1" applyFill="1" applyBorder="1" applyAlignment="1">
      <alignment horizontal="left" vertical="center"/>
      <protection/>
    </xf>
    <xf numFmtId="49" fontId="8" fillId="0" borderId="35" xfId="190" applyNumberFormat="1" applyFont="1" applyFill="1" applyBorder="1" applyAlignment="1">
      <alignment horizontal="left" vertical="center" wrapText="1"/>
      <protection/>
    </xf>
    <xf numFmtId="0" fontId="8" fillId="0" borderId="35" xfId="176" applyFont="1" applyFill="1" applyBorder="1" applyAlignment="1">
      <alignment vertical="top" wrapText="1"/>
      <protection/>
    </xf>
    <xf numFmtId="0" fontId="8" fillId="48" borderId="35" xfId="183" applyFont="1" applyFill="1" applyBorder="1" applyAlignment="1">
      <alignment vertical="top" wrapText="1"/>
      <protection/>
    </xf>
    <xf numFmtId="0" fontId="8" fillId="0" borderId="35" xfId="206" applyFont="1" applyFill="1" applyBorder="1" applyAlignment="1">
      <alignment vertical="center" wrapText="1"/>
      <protection/>
    </xf>
    <xf numFmtId="3" fontId="9" fillId="0" borderId="0" xfId="0" applyNumberFormat="1" applyFont="1" applyAlignment="1">
      <alignment vertical="center"/>
    </xf>
    <xf numFmtId="3" fontId="92" fillId="0" borderId="13" xfId="0" applyNumberFormat="1" applyFont="1" applyFill="1" applyBorder="1" applyAlignment="1">
      <alignment horizontal="center" vertical="center"/>
    </xf>
    <xf numFmtId="3" fontId="15" fillId="0" borderId="13" xfId="205" applyNumberFormat="1" applyFont="1" applyFill="1" applyBorder="1" applyAlignment="1">
      <alignment horizontal="center" vertical="center" wrapText="1"/>
      <protection/>
    </xf>
    <xf numFmtId="0" fontId="8" fillId="0" borderId="35" xfId="183" applyFont="1" applyFill="1" applyBorder="1" applyAlignment="1">
      <alignment vertical="center" wrapText="1"/>
      <protection/>
    </xf>
    <xf numFmtId="3" fontId="13" fillId="0" borderId="15" xfId="0" applyNumberFormat="1" applyFont="1" applyFill="1" applyBorder="1" applyAlignment="1">
      <alignment horizontal="left" vertical="center"/>
    </xf>
    <xf numFmtId="3" fontId="15" fillId="6" borderId="13" xfId="0" applyNumberFormat="1" applyFont="1" applyFill="1" applyBorder="1" applyAlignment="1">
      <alignment horizontal="center" vertical="center"/>
    </xf>
    <xf numFmtId="0" fontId="8" fillId="0" borderId="14" xfId="181" applyFont="1" applyFill="1" applyBorder="1" applyAlignment="1">
      <alignment vertical="center" wrapText="1"/>
      <protection/>
    </xf>
    <xf numFmtId="3" fontId="15" fillId="0" borderId="57" xfId="0" applyNumberFormat="1" applyFont="1" applyFill="1" applyBorder="1" applyAlignment="1">
      <alignment horizontal="left" vertical="center"/>
    </xf>
    <xf numFmtId="3" fontId="15" fillId="47" borderId="13" xfId="207" applyNumberFormat="1" applyFont="1" applyFill="1" applyBorder="1" applyAlignment="1">
      <alignment horizontal="center" vertical="top" wrapText="1"/>
      <protection/>
    </xf>
    <xf numFmtId="0" fontId="13" fillId="0" borderId="35" xfId="206" applyFont="1" applyBorder="1" applyAlignment="1">
      <alignment vertical="center"/>
      <protection/>
    </xf>
    <xf numFmtId="0" fontId="12" fillId="6" borderId="14" xfId="169" applyFont="1" applyFill="1" applyBorder="1" applyAlignment="1">
      <alignment vertical="center" wrapText="1"/>
      <protection/>
    </xf>
    <xf numFmtId="3" fontId="92" fillId="6" borderId="32" xfId="0" applyNumberFormat="1" applyFont="1" applyFill="1" applyBorder="1" applyAlignment="1">
      <alignment vertical="center"/>
    </xf>
    <xf numFmtId="0" fontId="9" fillId="6" borderId="13" xfId="194" applyFont="1" applyFill="1" applyBorder="1" applyAlignment="1">
      <alignment horizontal="center" vertical="center" wrapText="1"/>
      <protection/>
    </xf>
    <xf numFmtId="0" fontId="9" fillId="6" borderId="24" xfId="19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4" fillId="0" borderId="0" xfId="194">
      <alignment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6" borderId="13" xfId="194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3" fontId="8" fillId="0" borderId="13" xfId="194" applyNumberFormat="1" applyFont="1" applyBorder="1" applyAlignment="1">
      <alignment horizontal="right" vertical="center" wrapText="1"/>
      <protection/>
    </xf>
    <xf numFmtId="3" fontId="8" fillId="0" borderId="13" xfId="194" applyNumberFormat="1" applyFont="1" applyBorder="1" applyAlignment="1">
      <alignment horizontal="right" vertical="center"/>
      <protection/>
    </xf>
    <xf numFmtId="0" fontId="4" fillId="0" borderId="0" xfId="194" applyAlignment="1">
      <alignment vertical="center"/>
      <protection/>
    </xf>
    <xf numFmtId="3" fontId="8" fillId="0" borderId="13" xfId="194" applyNumberFormat="1" applyFont="1" applyFill="1" applyBorder="1" applyAlignment="1">
      <alignment horizontal="right" vertical="center" wrapText="1"/>
      <protection/>
    </xf>
    <xf numFmtId="0" fontId="8" fillId="0" borderId="13" xfId="203" applyFont="1" applyFill="1" applyBorder="1" applyAlignment="1">
      <alignment vertical="center" wrapText="1"/>
      <protection/>
    </xf>
    <xf numFmtId="3" fontId="8" fillId="0" borderId="13" xfId="203" applyNumberFormat="1" applyFont="1" applyFill="1" applyBorder="1" applyAlignment="1">
      <alignment horizontal="right" vertical="center"/>
      <protection/>
    </xf>
    <xf numFmtId="0" fontId="8" fillId="6" borderId="13" xfId="194" applyFont="1" applyFill="1" applyBorder="1" applyAlignment="1">
      <alignment horizontal="center" vertical="center"/>
      <protection/>
    </xf>
    <xf numFmtId="0" fontId="9" fillId="6" borderId="13" xfId="194" applyFont="1" applyFill="1" applyBorder="1" applyAlignment="1">
      <alignment vertical="center"/>
      <protection/>
    </xf>
    <xf numFmtId="3" fontId="9" fillId="6" borderId="13" xfId="194" applyNumberFormat="1" applyFont="1" applyFill="1" applyBorder="1" applyAlignment="1">
      <alignment horizontal="right" vertical="center"/>
      <protection/>
    </xf>
    <xf numFmtId="0" fontId="4" fillId="0" borderId="0" xfId="194" applyAlignment="1">
      <alignment horizontal="center" vertical="center"/>
      <protection/>
    </xf>
    <xf numFmtId="0" fontId="4" fillId="0" borderId="0" xfId="194" applyAlignment="1">
      <alignment horizontal="center"/>
      <protection/>
    </xf>
    <xf numFmtId="0" fontId="9" fillId="6" borderId="13" xfId="0" applyFont="1" applyFill="1" applyBorder="1" applyAlignment="1">
      <alignment horizontal="center" wrapText="1"/>
    </xf>
    <xf numFmtId="0" fontId="20" fillId="6" borderId="24" xfId="194" applyFont="1" applyFill="1" applyBorder="1" applyAlignment="1">
      <alignment horizontal="center" vertical="center" wrapText="1"/>
      <protection/>
    </xf>
    <xf numFmtId="0" fontId="20" fillId="6" borderId="21" xfId="194" applyFont="1" applyFill="1" applyBorder="1" applyAlignment="1">
      <alignment horizontal="center" vertical="center" wrapText="1"/>
      <protection/>
    </xf>
    <xf numFmtId="0" fontId="8" fillId="0" borderId="13" xfId="203" applyFont="1" applyFill="1" applyBorder="1" applyAlignment="1">
      <alignment vertical="center"/>
      <protection/>
    </xf>
    <xf numFmtId="0" fontId="19" fillId="0" borderId="0" xfId="188">
      <alignment/>
      <protection/>
    </xf>
    <xf numFmtId="164" fontId="8" fillId="6" borderId="13" xfId="197" applyNumberFormat="1" applyFont="1" applyFill="1" applyBorder="1">
      <alignment/>
      <protection/>
    </xf>
  </cellXfs>
  <cellStyles count="215">
    <cellStyle name="Normal" xfId="0"/>
    <cellStyle name="20% - 1. jelölőszín" xfId="15"/>
    <cellStyle name="20% - 1. jelölőszín 2" xfId="16"/>
    <cellStyle name="20% - 1. jelölőszín_Másolat eredetije2015.I.negyedévi ei. módosítás" xfId="17"/>
    <cellStyle name="20% - 2. jelölőszín" xfId="18"/>
    <cellStyle name="20% - 2. jelölőszín 2" xfId="19"/>
    <cellStyle name="20% - 2. jelölőszín_Másolat eredetije2015.I.negyedévi ei. módosítás" xfId="20"/>
    <cellStyle name="20% - 3. jelölőszín" xfId="21"/>
    <cellStyle name="20% - 3. jelölőszín 2" xfId="22"/>
    <cellStyle name="20% - 3. jelölőszín_Másolat eredetije2015.I.negyedévi ei. módosítás" xfId="23"/>
    <cellStyle name="20% - 4. jelölőszín" xfId="24"/>
    <cellStyle name="20% - 4. jelölőszín 2" xfId="25"/>
    <cellStyle name="20% - 4. jelölőszín_Másolat eredetije2015.I.negyedévi ei. módosítás" xfId="26"/>
    <cellStyle name="20% - 5. jelölőszín" xfId="27"/>
    <cellStyle name="20% - 5. jelölőszín 2" xfId="28"/>
    <cellStyle name="20% - 5. jelölőszín_Másolat eredetije2015.I.negyedévi ei. módosítás" xfId="29"/>
    <cellStyle name="20% - 6. jelölőszín" xfId="30"/>
    <cellStyle name="20% - 6. jelölőszín 2" xfId="31"/>
    <cellStyle name="20% - 6. jelölőszín_Másolat eredetije2015.I.negyedévi ei. módosítás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1. jelölőszín" xfId="39"/>
    <cellStyle name="40% - 1. jelölőszín 2" xfId="40"/>
    <cellStyle name="40% - 1. jelölőszín_Másolat eredetije2015.I.negyedévi ei. módosítás" xfId="41"/>
    <cellStyle name="40% - 2. jelölőszín" xfId="42"/>
    <cellStyle name="40% - 2. jelölőszín 2" xfId="43"/>
    <cellStyle name="40% - 2. jelölőszín_Másolat eredetije2015.I.negyedévi ei. módosítás" xfId="44"/>
    <cellStyle name="40% - 3. jelölőszín" xfId="45"/>
    <cellStyle name="40% - 3. jelölőszín 2" xfId="46"/>
    <cellStyle name="40% - 3. jelölőszín_Másolat eredetije2015.I.negyedévi ei. módosítás" xfId="47"/>
    <cellStyle name="40% - 4. jelölőszín" xfId="48"/>
    <cellStyle name="40% - 4. jelölőszín 2" xfId="49"/>
    <cellStyle name="40% - 4. jelölőszín_Másolat eredetije2015.I.negyedévi ei. módosítás" xfId="50"/>
    <cellStyle name="40% - 5. jelölőszín" xfId="51"/>
    <cellStyle name="40% - 5. jelölőszín 2" xfId="52"/>
    <cellStyle name="40% - 5. jelölőszín_Másolat eredetije2015.I.negyedévi ei. módosítás" xfId="53"/>
    <cellStyle name="40% - 6. jelölőszín" xfId="54"/>
    <cellStyle name="40% - 6. jelölőszín 2" xfId="55"/>
    <cellStyle name="40% - 6. jelölőszín_Másolat eredetije2015.I.negyedévi ei. módosítás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60% - 1. jelölőszín" xfId="63"/>
    <cellStyle name="60% - 1. jelölőszín 2" xfId="64"/>
    <cellStyle name="60% - 1. jelölőszín_Másolat eredetije2015.I.negyedévi ei. módosítás" xfId="65"/>
    <cellStyle name="60% - 2. jelölőszín" xfId="66"/>
    <cellStyle name="60% - 2. jelölőszín 2" xfId="67"/>
    <cellStyle name="60% - 2. jelölőszín_Másolat eredetije2015.I.negyedévi ei. módosítás" xfId="68"/>
    <cellStyle name="60% - 3. jelölőszín" xfId="69"/>
    <cellStyle name="60% - 3. jelölőszín 2" xfId="70"/>
    <cellStyle name="60% - 3. jelölőszín_Másolat eredetije2015.I.negyedévi ei. módosítás" xfId="71"/>
    <cellStyle name="60% - 4. jelölőszín" xfId="72"/>
    <cellStyle name="60% - 4. jelölőszín 2" xfId="73"/>
    <cellStyle name="60% - 4. jelölőszín_Másolat eredetije2015.I.negyedévi ei. módosítás" xfId="74"/>
    <cellStyle name="60% - 5. jelölőszín" xfId="75"/>
    <cellStyle name="60% - 5. jelölőszín 2" xfId="76"/>
    <cellStyle name="60% - 5. jelölőszín_Másolat eredetije2015.I.negyedévi ei. módosítás" xfId="77"/>
    <cellStyle name="60% - 6. jelölőszín" xfId="78"/>
    <cellStyle name="60% - 6. jelölőszín 2" xfId="79"/>
    <cellStyle name="60% - 6. jelölőszín_Másolat eredetije2015.I.negyedévi ei. módosítás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evitel" xfId="94"/>
    <cellStyle name="Bevitel 2" xfId="95"/>
    <cellStyle name="Bevitel_Másolat eredetije2015.I.negyedévi ei. módosítás" xfId="96"/>
    <cellStyle name="Calculation" xfId="97"/>
    <cellStyle name="Check Cell" xfId="98"/>
    <cellStyle name="Cím" xfId="99"/>
    <cellStyle name="Címsor 1" xfId="100"/>
    <cellStyle name="Címsor 1 2" xfId="101"/>
    <cellStyle name="Címsor 1_Másolat eredetije2015.I.negyedévi ei. módosítás" xfId="102"/>
    <cellStyle name="Címsor 2" xfId="103"/>
    <cellStyle name="Címsor 2 2" xfId="104"/>
    <cellStyle name="Címsor 2_Másolat eredetije2015.I.negyedévi ei. módosítás" xfId="105"/>
    <cellStyle name="Címsor 3" xfId="106"/>
    <cellStyle name="Címsor 3 2" xfId="107"/>
    <cellStyle name="Címsor 3_Másolat eredetije2015.I.negyedévi ei. módosítás" xfId="108"/>
    <cellStyle name="Címsor 4" xfId="109"/>
    <cellStyle name="Címsor 4 2" xfId="110"/>
    <cellStyle name="Címsor 4_Másolat eredetije2015.I.negyedévi ei. módosítás" xfId="111"/>
    <cellStyle name="Ellenőrzőcella" xfId="112"/>
    <cellStyle name="Ellenőrzőcella 2" xfId="113"/>
    <cellStyle name="Ellenőrzőcella_Másolat eredetije2015.I.negyedévi ei. módosítás" xfId="114"/>
    <cellStyle name="Explanatory Text" xfId="115"/>
    <cellStyle name="Comma" xfId="116"/>
    <cellStyle name="Comma [0]" xfId="117"/>
    <cellStyle name="Figyelmeztetés" xfId="118"/>
    <cellStyle name="Figyelmeztetés 2" xfId="119"/>
    <cellStyle name="Figyelmeztetés_Másolat eredetije2015.I.negyedévi ei. módosítás" xfId="120"/>
    <cellStyle name="Good" xfId="121"/>
    <cellStyle name="Heading 1" xfId="122"/>
    <cellStyle name="Heading 2" xfId="123"/>
    <cellStyle name="Heading 3" xfId="124"/>
    <cellStyle name="Heading 4" xfId="125"/>
    <cellStyle name="Hyperlink" xfId="126"/>
    <cellStyle name="Hivatkozott cella" xfId="127"/>
    <cellStyle name="Hivatkozott cella 2" xfId="128"/>
    <cellStyle name="Hivatkozott cella_Másolat eredetije2015.I.negyedévi ei. módosítás" xfId="129"/>
    <cellStyle name="Input" xfId="130"/>
    <cellStyle name="Jegyzet" xfId="131"/>
    <cellStyle name="Jegyzet 2" xfId="132"/>
    <cellStyle name="Jelölőszín (1)" xfId="133"/>
    <cellStyle name="Jelölőszín (1) 2" xfId="134"/>
    <cellStyle name="Jelölőszín (1)_Másolat eredetije2015.I.negyedévi ei. módosítás" xfId="135"/>
    <cellStyle name="Jelölőszín (2)" xfId="136"/>
    <cellStyle name="Jelölőszín (2) 2" xfId="137"/>
    <cellStyle name="Jelölőszín (2)_Másolat eredetije2015.I.negyedévi ei. módosítás" xfId="138"/>
    <cellStyle name="Jelölőszín (3)" xfId="139"/>
    <cellStyle name="Jelölőszín (3) 2" xfId="140"/>
    <cellStyle name="Jelölőszín (3)_Másolat eredetije2015.I.negyedévi ei. módosítás" xfId="141"/>
    <cellStyle name="Jelölőszín (4)" xfId="142"/>
    <cellStyle name="Jelölőszín (4) 2" xfId="143"/>
    <cellStyle name="Jelölőszín (4)_Másolat eredetije2015.I.negyedévi ei. módosítás" xfId="144"/>
    <cellStyle name="Jelölőszín (5)" xfId="145"/>
    <cellStyle name="Jelölőszín (5) 2" xfId="146"/>
    <cellStyle name="Jelölőszín (5)_Másolat eredetije2015.I.negyedévi ei. módosítás" xfId="147"/>
    <cellStyle name="Jelölőszín (6)" xfId="148"/>
    <cellStyle name="Jelölőszín (6) 2" xfId="149"/>
    <cellStyle name="Jelölőszín (6)_Másolat eredetije2015.I.negyedévi ei. módosítás" xfId="150"/>
    <cellStyle name="Jó" xfId="151"/>
    <cellStyle name="Jó 2" xfId="152"/>
    <cellStyle name="Jó_Másolat eredetije2015.I.negyedévi ei. módosítás" xfId="153"/>
    <cellStyle name="Kimenet" xfId="154"/>
    <cellStyle name="Kimenet 2" xfId="155"/>
    <cellStyle name="Kimenet_Másolat eredetije2015.I.negyedévi ei. módosítás" xfId="156"/>
    <cellStyle name="Linked Cell" xfId="157"/>
    <cellStyle name="Magyarázó szöveg" xfId="158"/>
    <cellStyle name="Magyarázó szöveg 2" xfId="159"/>
    <cellStyle name="Magyarázó szöveg_Másolat eredetije2015.I.negyedévi ei. módosítás" xfId="160"/>
    <cellStyle name="Followed Hyperlink" xfId="161"/>
    <cellStyle name="Neutral" xfId="162"/>
    <cellStyle name="Normál 2" xfId="163"/>
    <cellStyle name="Normál 3" xfId="164"/>
    <cellStyle name="Normál_   5    (2)" xfId="165"/>
    <cellStyle name="Normál_   5    (2)_7_6.a" xfId="166"/>
    <cellStyle name="Normál_   5    (2)_7_Másolat eredetije2015.I.negyedévi ei. módosítás" xfId="167"/>
    <cellStyle name="Normál_   5    (2)_KÖLTSÉGVETÉS 2015 intézmények " xfId="168"/>
    <cellStyle name="Normál_   5    (2)_KÖLTSÉGVETÉS_2015." xfId="169"/>
    <cellStyle name="Normál_   5    (2)_Másolat eredetije2014. műk-beru-felúj._6.a" xfId="170"/>
    <cellStyle name="Normál_   5    (2)_Másolat eredetije2014. műk-beru-felúj._Másolat eredetije2015.I.negyedévi ei. módosítás" xfId="171"/>
    <cellStyle name="Normál_   5-a    (2)" xfId="172"/>
    <cellStyle name="Normál_   5-a    (2)_KÖLTSÉGVETÉS_2015." xfId="173"/>
    <cellStyle name="Normál_   7   x" xfId="174"/>
    <cellStyle name="Normál_   7   x_2012. III.negyedévi ei. módosítás_6.a" xfId="175"/>
    <cellStyle name="Normál_   7   x_2012. III.negyedévi ei. módosítás_Másolat eredetije2015.I.negyedévi ei. módosítás" xfId="176"/>
    <cellStyle name="Normál_   7   x_2014_ktsv tervezet_btcs_6.a" xfId="177"/>
    <cellStyle name="Normál_   7   x_2014_ktsv tervezet_btcs_Másolat eredetije2015.I.negyedévi ei. módosítás" xfId="178"/>
    <cellStyle name="Normál_   7   x_7_6.a" xfId="179"/>
    <cellStyle name="Normál_   7   x_7_Másolat eredetije2015.I.negyedévi ei. módosítás" xfId="180"/>
    <cellStyle name="Normál_   7   x_KÖLTSÉGVETÉS_2015." xfId="181"/>
    <cellStyle name="Normál_   7   x_Másolat eredetije2014. műk-beru-felúj._6.a" xfId="182"/>
    <cellStyle name="Normál_   7   x_Másolat eredetije2014. műk-beru-felúj._Másolat eredetije2015.I.negyedévi ei. módosítás" xfId="183"/>
    <cellStyle name="Normál_  3   _2010.évi állami_Másolat eredetije2015.I.negyedévi ei. módosítás" xfId="184"/>
    <cellStyle name="Normál_16.sz. melléklet" xfId="185"/>
    <cellStyle name="Normál_18. sz. melléklet_KÖLTSÉGVETÉS_2014. KÖZBESZERZÉS" xfId="186"/>
    <cellStyle name="Normál_2012. évi beszámoló 5.a 6a" xfId="187"/>
    <cellStyle name="Normál_2015. évi költségvetés létszám  módosítása" xfId="188"/>
    <cellStyle name="Normál_213_évi_költségvetés_MCS_6.a" xfId="189"/>
    <cellStyle name="Normál_213_évi_költségvetés_MCS_Másolat eredetije2015.I.negyedévi ei. módosítás" xfId="190"/>
    <cellStyle name="Normál_Beillesztendő 17. tábla 2013.IV.név_KÖLTSÉGVETÉS_2014. KÖZBESZERZÉS" xfId="191"/>
    <cellStyle name="Normál_Európai Uniós pályázatok 2009.01.15. átdolgozott_KÖLTSÉGVETÉS 2015 intézmények " xfId="192"/>
    <cellStyle name="Normál_Intézmények 2014" xfId="193"/>
    <cellStyle name="Normál_INTKIA96" xfId="194"/>
    <cellStyle name="Normál_KÖLTSÉGVETÉS_2013 (1)" xfId="195"/>
    <cellStyle name="Normál_KTGVTERV_Másolat eredetije2015.I.negyedévi ei. módosítás" xfId="196"/>
    <cellStyle name="Normál_Létszám 2014. évi ktgvetés_2014.IV.negyedévi létszám ei. módosítás és 2015" xfId="197"/>
    <cellStyle name="Normál_Másolat eredetije2014. műk-beru-felúj." xfId="198"/>
    <cellStyle name="Normál_Munka1" xfId="199"/>
    <cellStyle name="Normál_Munka2 (2)_2014.IV.negyedévi létszám ei. módosítás és 2015" xfId="200"/>
    <cellStyle name="Normál_Munka2 (2)_KÖLTSÉGVETÉS 2015 intézmények " xfId="201"/>
    <cellStyle name="Normál_Munka2 (2)_KÖLTSÉGVETÉS_2015." xfId="202"/>
    <cellStyle name="Normál_Munka2 (2)_Másolat eredetije2015.I.negyedévi ei. módosítás" xfId="203"/>
    <cellStyle name="Normál_Munka3 (2)" xfId="204"/>
    <cellStyle name="Normál_Munka3 (2)_Másolat eredetije2014. műk-beru-felúj._6.a" xfId="205"/>
    <cellStyle name="Normál_Munka3 (2)_Másolat eredetije2014. műk-beru-felúj._Másolat eredetije2015.I.negyedévi ei. módosítás" xfId="206"/>
    <cellStyle name="Normál_ÖKIADELÖ" xfId="207"/>
    <cellStyle name="Normal_tanusitv" xfId="208"/>
    <cellStyle name="Note" xfId="209"/>
    <cellStyle name="Output" xfId="210"/>
    <cellStyle name="Összesen" xfId="211"/>
    <cellStyle name="Összesen 2" xfId="212"/>
    <cellStyle name="Összesen_Másolat eredetije2015.I.negyedévi ei. módosítás" xfId="213"/>
    <cellStyle name="Currency" xfId="214"/>
    <cellStyle name="Currency [0]" xfId="215"/>
    <cellStyle name="Rossz" xfId="216"/>
    <cellStyle name="Rossz 2" xfId="217"/>
    <cellStyle name="Rossz_Másolat eredetije2015.I.negyedévi ei. módosítás" xfId="218"/>
    <cellStyle name="Semleges" xfId="219"/>
    <cellStyle name="Semleges 2" xfId="220"/>
    <cellStyle name="Semleges_Másolat eredetije2015.I.negyedévi ei. módosítás" xfId="221"/>
    <cellStyle name="Számítás" xfId="222"/>
    <cellStyle name="Számítás 2" xfId="223"/>
    <cellStyle name="Számítás_Másolat eredetije2015.I.negyedévi ei. módosítás" xfId="224"/>
    <cellStyle name="Percent" xfId="225"/>
    <cellStyle name="Title" xfId="226"/>
    <cellStyle name="Total" xfId="227"/>
    <cellStyle name="Warning Text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5\0313\M&#225;solat%20eredetije2015.I.negyed&#233;vi%20ei.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táj.1."/>
      <sheetName val="táj.2."/>
      <sheetName val="táj.3."/>
      <sheetName val="táj.4."/>
    </sheetNames>
    <sheetDataSet>
      <sheetData sheetId="5">
        <row r="8">
          <cell r="E8">
            <v>0</v>
          </cell>
          <cell r="F8">
            <v>0</v>
          </cell>
          <cell r="G8">
            <v>0</v>
          </cell>
          <cell r="H8">
            <v>9906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9">
          <cell r="E19">
            <v>37376</v>
          </cell>
          <cell r="F19">
            <v>0</v>
          </cell>
          <cell r="G19">
            <v>0</v>
          </cell>
          <cell r="H19">
            <v>5461</v>
          </cell>
          <cell r="I19">
            <v>0</v>
          </cell>
          <cell r="J19">
            <v>2000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36">
          <cell r="E36">
            <v>0</v>
          </cell>
          <cell r="F36">
            <v>545188</v>
          </cell>
          <cell r="G36">
            <v>0</v>
          </cell>
          <cell r="H36">
            <v>677207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57">
          <cell r="E57">
            <v>644909</v>
          </cell>
          <cell r="F57">
            <v>2946279</v>
          </cell>
          <cell r="G57">
            <v>0</v>
          </cell>
          <cell r="H57">
            <v>65475</v>
          </cell>
          <cell r="I57">
            <v>0</v>
          </cell>
          <cell r="J57">
            <v>0</v>
          </cell>
          <cell r="K57">
            <v>290000</v>
          </cell>
          <cell r="N5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358019</v>
          </cell>
          <cell r="I78">
            <v>144480</v>
          </cell>
          <cell r="J78">
            <v>0</v>
          </cell>
          <cell r="K78">
            <v>30000</v>
          </cell>
          <cell r="L78">
            <v>0</v>
          </cell>
          <cell r="M78">
            <v>80000</v>
          </cell>
          <cell r="N78">
            <v>113924</v>
          </cell>
        </row>
        <row r="86">
          <cell r="E86">
            <v>0</v>
          </cell>
          <cell r="F86">
            <v>0</v>
          </cell>
          <cell r="G86">
            <v>7000</v>
          </cell>
          <cell r="H86">
            <v>67315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112">
          <cell r="E112">
            <v>2273791</v>
          </cell>
          <cell r="F112">
            <v>0</v>
          </cell>
          <cell r="G112">
            <v>4545000</v>
          </cell>
          <cell r="H112">
            <v>210831</v>
          </cell>
          <cell r="I112">
            <v>0</v>
          </cell>
          <cell r="J112">
            <v>0</v>
          </cell>
          <cell r="K112">
            <v>0</v>
          </cell>
          <cell r="L112">
            <v>378018</v>
          </cell>
          <cell r="M112">
            <v>1986107</v>
          </cell>
          <cell r="N112">
            <v>0</v>
          </cell>
        </row>
        <row r="118">
          <cell r="E118">
            <v>8000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N118">
            <v>0</v>
          </cell>
        </row>
        <row r="120">
          <cell r="E120">
            <v>294113</v>
          </cell>
          <cell r="H120">
            <v>1108071</v>
          </cell>
          <cell r="J120">
            <v>65000</v>
          </cell>
          <cell r="M120">
            <v>387881</v>
          </cell>
        </row>
      </sheetData>
      <sheetData sheetId="7">
        <row r="42">
          <cell r="G42">
            <v>0</v>
          </cell>
          <cell r="H42">
            <v>2700</v>
          </cell>
          <cell r="I42">
            <v>21992</v>
          </cell>
          <cell r="J42">
            <v>192280</v>
          </cell>
          <cell r="K42">
            <v>2300</v>
          </cell>
          <cell r="L42">
            <v>30000</v>
          </cell>
          <cell r="M42">
            <v>0</v>
          </cell>
          <cell r="N42">
            <v>42519</v>
          </cell>
          <cell r="P42">
            <v>0</v>
          </cell>
        </row>
        <row r="196">
          <cell r="G196">
            <v>1470</v>
          </cell>
          <cell r="H196">
            <v>405</v>
          </cell>
          <cell r="I196">
            <v>89022</v>
          </cell>
          <cell r="J196">
            <v>19674</v>
          </cell>
          <cell r="K196">
            <v>506192</v>
          </cell>
          <cell r="L196">
            <v>70705</v>
          </cell>
          <cell r="M196">
            <v>63414</v>
          </cell>
          <cell r="N196">
            <v>34965</v>
          </cell>
          <cell r="O196">
            <v>0</v>
          </cell>
          <cell r="P196">
            <v>0</v>
          </cell>
        </row>
        <row r="212">
          <cell r="G212">
            <v>0</v>
          </cell>
          <cell r="H212">
            <v>0</v>
          </cell>
          <cell r="I212">
            <v>16003</v>
          </cell>
          <cell r="J212">
            <v>0</v>
          </cell>
          <cell r="K212">
            <v>0</v>
          </cell>
          <cell r="L212">
            <v>1038780</v>
          </cell>
          <cell r="M212">
            <v>0</v>
          </cell>
          <cell r="N212">
            <v>574</v>
          </cell>
          <cell r="O212">
            <v>0</v>
          </cell>
          <cell r="P212">
            <v>0</v>
          </cell>
        </row>
        <row r="430">
          <cell r="G430">
            <v>1500</v>
          </cell>
          <cell r="H430">
            <v>400</v>
          </cell>
          <cell r="I430">
            <v>1334163</v>
          </cell>
          <cell r="J430">
            <v>0</v>
          </cell>
          <cell r="K430">
            <v>39093</v>
          </cell>
          <cell r="L430">
            <v>217722</v>
          </cell>
          <cell r="M430">
            <v>475254</v>
          </cell>
          <cell r="N430">
            <v>644383</v>
          </cell>
          <cell r="O430">
            <v>0</v>
          </cell>
          <cell r="P430">
            <v>0</v>
          </cell>
        </row>
        <row r="524">
          <cell r="G524">
            <v>0</v>
          </cell>
          <cell r="H524">
            <v>0</v>
          </cell>
          <cell r="I524">
            <v>674246</v>
          </cell>
          <cell r="J524">
            <v>0</v>
          </cell>
          <cell r="K524">
            <v>0</v>
          </cell>
          <cell r="L524">
            <v>3409190</v>
          </cell>
          <cell r="M524">
            <v>98879</v>
          </cell>
          <cell r="N524">
            <v>105124</v>
          </cell>
          <cell r="O524">
            <v>0</v>
          </cell>
          <cell r="P524">
            <v>0</v>
          </cell>
        </row>
        <row r="551">
          <cell r="G551">
            <v>0</v>
          </cell>
          <cell r="H551">
            <v>0</v>
          </cell>
          <cell r="I551">
            <v>34600</v>
          </cell>
          <cell r="J551">
            <v>0</v>
          </cell>
          <cell r="K551">
            <v>400</v>
          </cell>
          <cell r="L551">
            <v>153061</v>
          </cell>
          <cell r="M551">
            <v>373</v>
          </cell>
          <cell r="N551">
            <v>22520</v>
          </cell>
          <cell r="O551">
            <v>0</v>
          </cell>
          <cell r="P551">
            <v>0</v>
          </cell>
        </row>
        <row r="569">
          <cell r="G569">
            <v>0</v>
          </cell>
          <cell r="H569">
            <v>0</v>
          </cell>
          <cell r="I569">
            <v>42676</v>
          </cell>
          <cell r="J569">
            <v>0</v>
          </cell>
          <cell r="K569">
            <v>0</v>
          </cell>
          <cell r="L569">
            <v>1200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603">
          <cell r="G603">
            <v>0</v>
          </cell>
          <cell r="H603">
            <v>0</v>
          </cell>
          <cell r="I603">
            <v>312112</v>
          </cell>
          <cell r="J603">
            <v>0</v>
          </cell>
          <cell r="K603">
            <v>615036</v>
          </cell>
          <cell r="L603">
            <v>0</v>
          </cell>
          <cell r="M603">
            <v>0</v>
          </cell>
          <cell r="N603">
            <v>4600</v>
          </cell>
          <cell r="O603">
            <v>0</v>
          </cell>
          <cell r="P603">
            <v>0</v>
          </cell>
        </row>
        <row r="638">
          <cell r="G638">
            <v>99895</v>
          </cell>
          <cell r="H638">
            <v>28540</v>
          </cell>
          <cell r="I638">
            <v>124734</v>
          </cell>
          <cell r="J638">
            <v>0</v>
          </cell>
          <cell r="K638">
            <v>128033</v>
          </cell>
          <cell r="L638">
            <v>0</v>
          </cell>
          <cell r="M638">
            <v>0</v>
          </cell>
          <cell r="N638">
            <v>10000</v>
          </cell>
          <cell r="P638">
            <v>0</v>
          </cell>
        </row>
        <row r="664"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291907</v>
          </cell>
          <cell r="L664">
            <v>51490</v>
          </cell>
          <cell r="M664">
            <v>10000</v>
          </cell>
          <cell r="N664">
            <v>0</v>
          </cell>
          <cell r="O664">
            <v>0</v>
          </cell>
          <cell r="P664">
            <v>0</v>
          </cell>
        </row>
        <row r="666">
          <cell r="G666">
            <v>2936372</v>
          </cell>
          <cell r="H666">
            <v>822287</v>
          </cell>
          <cell r="I666">
            <v>2337985</v>
          </cell>
          <cell r="J666">
            <v>0</v>
          </cell>
          <cell r="K666">
            <v>32414</v>
          </cell>
          <cell r="L666">
            <v>54246</v>
          </cell>
          <cell r="M666">
            <v>33921</v>
          </cell>
          <cell r="N666">
            <v>0</v>
          </cell>
          <cell r="P666">
            <v>0</v>
          </cell>
        </row>
      </sheetData>
      <sheetData sheetId="11">
        <row r="31">
          <cell r="F31">
            <v>-87959</v>
          </cell>
        </row>
        <row r="32">
          <cell r="F32">
            <v>87959</v>
          </cell>
        </row>
        <row r="45">
          <cell r="F45">
            <v>-49380</v>
          </cell>
        </row>
        <row r="78">
          <cell r="N78">
            <v>40000</v>
          </cell>
        </row>
        <row r="94">
          <cell r="M94">
            <v>-13929</v>
          </cell>
        </row>
        <row r="98">
          <cell r="E98">
            <v>6969</v>
          </cell>
        </row>
        <row r="108">
          <cell r="E108">
            <v>363</v>
          </cell>
        </row>
        <row r="121">
          <cell r="E121">
            <v>3658</v>
          </cell>
          <cell r="H121">
            <v>12193</v>
          </cell>
          <cell r="J121">
            <v>0</v>
          </cell>
        </row>
      </sheetData>
      <sheetData sheetId="12">
        <row r="32">
          <cell r="I32">
            <v>-1798</v>
          </cell>
        </row>
        <row r="67">
          <cell r="I67">
            <v>-770</v>
          </cell>
          <cell r="K67">
            <v>770</v>
          </cell>
        </row>
        <row r="154">
          <cell r="M154">
            <v>-500</v>
          </cell>
          <cell r="N154">
            <v>500</v>
          </cell>
        </row>
        <row r="157">
          <cell r="N157">
            <v>500</v>
          </cell>
        </row>
        <row r="165">
          <cell r="N165">
            <v>500</v>
          </cell>
        </row>
        <row r="166">
          <cell r="N166">
            <v>500</v>
          </cell>
        </row>
        <row r="167">
          <cell r="N167">
            <v>600</v>
          </cell>
        </row>
        <row r="173">
          <cell r="L173">
            <v>2205</v>
          </cell>
        </row>
        <row r="177">
          <cell r="N177">
            <v>10000</v>
          </cell>
        </row>
        <row r="178">
          <cell r="N178">
            <v>500</v>
          </cell>
        </row>
        <row r="252">
          <cell r="I252">
            <v>-305</v>
          </cell>
          <cell r="L252">
            <v>305</v>
          </cell>
        </row>
        <row r="272">
          <cell r="K272">
            <v>-1000</v>
          </cell>
        </row>
        <row r="389">
          <cell r="N389">
            <v>1000</v>
          </cell>
        </row>
        <row r="400">
          <cell r="M400">
            <v>-500</v>
          </cell>
        </row>
        <row r="409">
          <cell r="K409">
            <v>1000</v>
          </cell>
        </row>
        <row r="416">
          <cell r="N416">
            <v>1000</v>
          </cell>
        </row>
        <row r="434">
          <cell r="I434">
            <v>-7500</v>
          </cell>
        </row>
        <row r="503">
          <cell r="L503">
            <v>-49380</v>
          </cell>
        </row>
        <row r="510">
          <cell r="L510">
            <v>40000</v>
          </cell>
        </row>
        <row r="521">
          <cell r="I521">
            <v>450</v>
          </cell>
          <cell r="L521">
            <v>-450</v>
          </cell>
        </row>
        <row r="585">
          <cell r="K585">
            <v>750</v>
          </cell>
        </row>
        <row r="586">
          <cell r="K586">
            <v>4167</v>
          </cell>
        </row>
        <row r="616">
          <cell r="I616">
            <v>-2205</v>
          </cell>
        </row>
        <row r="630">
          <cell r="K630">
            <v>-13929</v>
          </cell>
        </row>
        <row r="631">
          <cell r="I631">
            <v>7500</v>
          </cell>
        </row>
        <row r="644">
          <cell r="K644">
            <v>-229</v>
          </cell>
        </row>
        <row r="666">
          <cell r="G666">
            <v>11680</v>
          </cell>
          <cell r="H666">
            <v>-318</v>
          </cell>
          <cell r="I666">
            <v>273</v>
          </cell>
          <cell r="J666">
            <v>0</v>
          </cell>
          <cell r="K666">
            <v>3658</v>
          </cell>
          <cell r="L666">
            <v>0</v>
          </cell>
          <cell r="M666">
            <v>0</v>
          </cell>
          <cell r="N666">
            <v>0</v>
          </cell>
          <cell r="P666">
            <v>0</v>
          </cell>
        </row>
      </sheetData>
      <sheetData sheetId="13">
        <row r="3">
          <cell r="K3">
            <v>128</v>
          </cell>
          <cell r="M3">
            <v>128</v>
          </cell>
        </row>
        <row r="4">
          <cell r="K4">
            <v>-481</v>
          </cell>
          <cell r="M4">
            <v>-481</v>
          </cell>
        </row>
        <row r="5">
          <cell r="K5">
            <v>375</v>
          </cell>
          <cell r="M5">
            <v>375</v>
          </cell>
        </row>
        <row r="6">
          <cell r="K6">
            <v>427</v>
          </cell>
          <cell r="M6">
            <v>427</v>
          </cell>
        </row>
        <row r="7">
          <cell r="K7">
            <v>20</v>
          </cell>
          <cell r="M7">
            <v>20</v>
          </cell>
        </row>
        <row r="8">
          <cell r="K8">
            <v>-65</v>
          </cell>
          <cell r="M8">
            <v>-65</v>
          </cell>
        </row>
        <row r="9">
          <cell r="K9">
            <v>46</v>
          </cell>
          <cell r="M9">
            <v>46</v>
          </cell>
        </row>
        <row r="10">
          <cell r="K10">
            <v>47</v>
          </cell>
          <cell r="M10">
            <v>47</v>
          </cell>
        </row>
        <row r="11">
          <cell r="K11">
            <v>-6569</v>
          </cell>
          <cell r="M11">
            <v>-6569</v>
          </cell>
        </row>
        <row r="12">
          <cell r="F12">
            <v>12193</v>
          </cell>
          <cell r="K12">
            <v>-10789</v>
          </cell>
          <cell r="M12">
            <v>-3596</v>
          </cell>
        </row>
        <row r="13">
          <cell r="K13">
            <v>-1</v>
          </cell>
          <cell r="M13">
            <v>-1</v>
          </cell>
        </row>
        <row r="14">
          <cell r="K14">
            <v>378</v>
          </cell>
          <cell r="M14">
            <v>378</v>
          </cell>
        </row>
        <row r="15">
          <cell r="K15">
            <v>-3808</v>
          </cell>
          <cell r="M15">
            <v>-3808</v>
          </cell>
        </row>
        <row r="16">
          <cell r="K16">
            <v>2638</v>
          </cell>
          <cell r="M16">
            <v>2638</v>
          </cell>
        </row>
        <row r="17">
          <cell r="K17">
            <v>207</v>
          </cell>
          <cell r="M17">
            <v>207</v>
          </cell>
        </row>
        <row r="18">
          <cell r="K18">
            <v>-18</v>
          </cell>
          <cell r="M18">
            <v>-18</v>
          </cell>
        </row>
        <row r="19">
          <cell r="K19">
            <v>28</v>
          </cell>
          <cell r="M19">
            <v>28</v>
          </cell>
        </row>
        <row r="20">
          <cell r="C20">
            <v>3658</v>
          </cell>
          <cell r="K20">
            <v>21879</v>
          </cell>
          <cell r="M20">
            <v>25537</v>
          </cell>
        </row>
      </sheetData>
      <sheetData sheetId="14">
        <row r="3">
          <cell r="C3">
            <v>306</v>
          </cell>
          <cell r="D3">
            <v>-178</v>
          </cell>
          <cell r="L3">
            <v>128</v>
          </cell>
        </row>
        <row r="4">
          <cell r="C4">
            <v>892</v>
          </cell>
          <cell r="D4">
            <v>-1373</v>
          </cell>
          <cell r="L4">
            <v>-481</v>
          </cell>
        </row>
        <row r="5">
          <cell r="C5">
            <v>773</v>
          </cell>
          <cell r="D5">
            <v>-398</v>
          </cell>
          <cell r="L5">
            <v>375</v>
          </cell>
        </row>
        <row r="6">
          <cell r="C6">
            <v>409</v>
          </cell>
          <cell r="D6">
            <v>18</v>
          </cell>
          <cell r="L6">
            <v>427</v>
          </cell>
        </row>
        <row r="7">
          <cell r="C7">
            <v>73</v>
          </cell>
          <cell r="D7">
            <v>-53</v>
          </cell>
          <cell r="L7">
            <v>20</v>
          </cell>
        </row>
        <row r="8">
          <cell r="C8">
            <v>72</v>
          </cell>
          <cell r="D8">
            <v>-137</v>
          </cell>
          <cell r="L8">
            <v>-65</v>
          </cell>
        </row>
        <row r="9">
          <cell r="C9">
            <v>150</v>
          </cell>
          <cell r="D9">
            <v>-104</v>
          </cell>
          <cell r="L9">
            <v>46</v>
          </cell>
        </row>
        <row r="10">
          <cell r="C10">
            <v>83</v>
          </cell>
          <cell r="D10">
            <v>-36</v>
          </cell>
          <cell r="L10">
            <v>47</v>
          </cell>
        </row>
        <row r="11">
          <cell r="C11">
            <v>-4472</v>
          </cell>
          <cell r="D11">
            <v>-1297</v>
          </cell>
          <cell r="E11">
            <v>-1150</v>
          </cell>
          <cell r="G11">
            <v>350</v>
          </cell>
          <cell r="L11">
            <v>-6569</v>
          </cell>
        </row>
        <row r="12">
          <cell r="C12">
            <v>-777</v>
          </cell>
          <cell r="D12">
            <v>-358</v>
          </cell>
          <cell r="E12">
            <v>-2461</v>
          </cell>
          <cell r="L12">
            <v>-3596</v>
          </cell>
        </row>
        <row r="13">
          <cell r="C13">
            <v>10</v>
          </cell>
          <cell r="D13">
            <v>-11</v>
          </cell>
          <cell r="L13">
            <v>-1</v>
          </cell>
        </row>
        <row r="14">
          <cell r="C14">
            <v>349</v>
          </cell>
          <cell r="D14">
            <v>29</v>
          </cell>
          <cell r="L14">
            <v>378</v>
          </cell>
        </row>
        <row r="15">
          <cell r="C15">
            <v>-5081</v>
          </cell>
          <cell r="D15">
            <v>-1383</v>
          </cell>
          <cell r="E15">
            <v>-652</v>
          </cell>
          <cell r="G15">
            <v>3308</v>
          </cell>
          <cell r="L15">
            <v>-3808</v>
          </cell>
        </row>
        <row r="16">
          <cell r="C16">
            <v>661</v>
          </cell>
          <cell r="D16">
            <v>179</v>
          </cell>
          <cell r="E16">
            <v>1798</v>
          </cell>
          <cell r="L16">
            <v>2638</v>
          </cell>
        </row>
        <row r="17">
          <cell r="C17">
            <v>163</v>
          </cell>
          <cell r="D17">
            <v>44</v>
          </cell>
          <cell r="L17">
            <v>207</v>
          </cell>
        </row>
        <row r="18">
          <cell r="C18">
            <v>83</v>
          </cell>
          <cell r="D18">
            <v>-101</v>
          </cell>
          <cell r="L18">
            <v>-18</v>
          </cell>
        </row>
        <row r="19">
          <cell r="C19">
            <v>22</v>
          </cell>
          <cell r="D19">
            <v>6</v>
          </cell>
          <cell r="L19">
            <v>28</v>
          </cell>
        </row>
        <row r="20">
          <cell r="C20">
            <v>17964</v>
          </cell>
          <cell r="D20">
            <v>4835</v>
          </cell>
          <cell r="E20">
            <v>2738</v>
          </cell>
          <cell r="L20">
            <v>25537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1">
      <selection activeCell="I13" sqref="I13"/>
    </sheetView>
  </sheetViews>
  <sheetFormatPr defaultColWidth="9.00390625" defaultRowHeight="12.75"/>
  <cols>
    <col min="1" max="1" width="45.125" style="26" customWidth="1"/>
    <col min="2" max="2" width="13.00390625" style="26" customWidth="1"/>
    <col min="3" max="3" width="13.625" style="26" customWidth="1"/>
    <col min="4" max="4" width="12.625" style="1" customWidth="1"/>
    <col min="5" max="5" width="2.00390625" style="23" customWidth="1"/>
    <col min="6" max="6" width="44.875" style="26" customWidth="1"/>
    <col min="7" max="7" width="14.125" style="26" customWidth="1"/>
    <col min="8" max="8" width="13.875" style="26" customWidth="1"/>
    <col min="9" max="9" width="12.50390625" style="1" customWidth="1"/>
    <col min="10" max="16384" width="9.375" style="24" customWidth="1"/>
  </cols>
  <sheetData>
    <row r="1" spans="1:9" s="21" customFormat="1" ht="39.75" customHeight="1" thickBot="1">
      <c r="A1" s="33"/>
      <c r="B1" s="35" t="s">
        <v>116</v>
      </c>
      <c r="C1" s="34" t="s">
        <v>575</v>
      </c>
      <c r="D1" s="35" t="s">
        <v>576</v>
      </c>
      <c r="E1" s="36"/>
      <c r="F1" s="33" t="s">
        <v>381</v>
      </c>
      <c r="G1" s="35" t="s">
        <v>116</v>
      </c>
      <c r="H1" s="34" t="s">
        <v>575</v>
      </c>
      <c r="I1" s="35" t="s">
        <v>576</v>
      </c>
    </row>
    <row r="2" spans="1:9" s="22" customFormat="1" ht="12.75" customHeight="1">
      <c r="A2" s="37" t="s">
        <v>666</v>
      </c>
      <c r="B2" s="17"/>
      <c r="C2" s="38"/>
      <c r="D2" s="17"/>
      <c r="E2" s="39"/>
      <c r="F2" s="37" t="s">
        <v>667</v>
      </c>
      <c r="G2" s="37"/>
      <c r="H2" s="37"/>
      <c r="I2" s="16"/>
    </row>
    <row r="3" spans="1:9" ht="24.75" customHeight="1">
      <c r="A3" s="40" t="s">
        <v>989</v>
      </c>
      <c r="B3" s="15">
        <v>3247199</v>
      </c>
      <c r="C3" s="40">
        <v>10990</v>
      </c>
      <c r="D3" s="15">
        <f>SUM(B3:C3)</f>
        <v>3258189</v>
      </c>
      <c r="E3" s="41"/>
      <c r="F3" s="40" t="s">
        <v>634</v>
      </c>
      <c r="G3" s="15">
        <v>6113765</v>
      </c>
      <c r="H3" s="40">
        <v>15293</v>
      </c>
      <c r="I3" s="15">
        <f>SUM(G3:H3)</f>
        <v>6129058</v>
      </c>
    </row>
    <row r="4" spans="1:9" ht="15" customHeight="1">
      <c r="A4" s="40" t="s">
        <v>991</v>
      </c>
      <c r="B4" s="12">
        <v>3952000</v>
      </c>
      <c r="C4" s="40"/>
      <c r="D4" s="15">
        <f>SUM(B4:C4)</f>
        <v>3952000</v>
      </c>
      <c r="E4" s="41"/>
      <c r="F4" s="42" t="s">
        <v>32</v>
      </c>
      <c r="G4" s="15">
        <v>2978990</v>
      </c>
      <c r="H4" s="40">
        <v>-4628</v>
      </c>
      <c r="I4" s="15">
        <f>SUM(G4:H4)</f>
        <v>2974362</v>
      </c>
    </row>
    <row r="5" spans="1:9" ht="22.5" customHeight="1">
      <c r="A5" s="40" t="s">
        <v>992</v>
      </c>
      <c r="B5" s="12">
        <v>2069746</v>
      </c>
      <c r="C5" s="40">
        <v>12193</v>
      </c>
      <c r="D5" s="15">
        <f>SUM(B5:C5)</f>
        <v>2081939</v>
      </c>
      <c r="E5" s="41"/>
      <c r="F5" s="40" t="s">
        <v>298</v>
      </c>
      <c r="G5" s="15">
        <v>1299296</v>
      </c>
      <c r="H5" s="40">
        <v>-8242</v>
      </c>
      <c r="I5" s="15">
        <f>SUM(G5:H5)</f>
        <v>1291054</v>
      </c>
    </row>
    <row r="6" spans="1:9" ht="19.5" customHeight="1">
      <c r="A6" s="40" t="s">
        <v>995</v>
      </c>
      <c r="B6" s="15">
        <v>67000</v>
      </c>
      <c r="C6" s="40"/>
      <c r="D6" s="15">
        <f>SUM(B6:C6)</f>
        <v>67000</v>
      </c>
      <c r="E6" s="41"/>
      <c r="F6" s="40" t="s">
        <v>671</v>
      </c>
      <c r="G6" s="12">
        <v>287136</v>
      </c>
      <c r="H6" s="40">
        <v>-229</v>
      </c>
      <c r="I6" s="15">
        <f>SUM(G6:H6)</f>
        <v>286907</v>
      </c>
    </row>
    <row r="7" spans="1:9" ht="13.5" customHeight="1">
      <c r="A7" s="78" t="s">
        <v>247</v>
      </c>
      <c r="B7" s="78">
        <f>SUM(B3+B4+B5+B6)</f>
        <v>9335945</v>
      </c>
      <c r="C7" s="78">
        <f>SUM(C3+C4+C5+C6)</f>
        <v>23183</v>
      </c>
      <c r="D7" s="78">
        <f>SUM(D3+D4+D5+D6)</f>
        <v>9359128</v>
      </c>
      <c r="E7" s="41"/>
      <c r="F7" s="40" t="s">
        <v>1284</v>
      </c>
      <c r="G7" s="15">
        <v>5000</v>
      </c>
      <c r="H7" s="40"/>
      <c r="I7" s="15">
        <f>SUM(G7:H7)</f>
        <v>5000</v>
      </c>
    </row>
    <row r="8" spans="1:9" ht="13.5" customHeight="1">
      <c r="A8" s="42" t="s">
        <v>988</v>
      </c>
      <c r="B8" s="78"/>
      <c r="C8" s="78"/>
      <c r="D8" s="78"/>
      <c r="E8" s="41"/>
      <c r="F8" s="78" t="s">
        <v>251</v>
      </c>
      <c r="G8" s="37">
        <f>SUM(G2:G7)</f>
        <v>10684187</v>
      </c>
      <c r="H8" s="37">
        <f>SUM(H2:H7)</f>
        <v>2194</v>
      </c>
      <c r="I8" s="37">
        <f>SUM(I2:I7)</f>
        <v>10686381</v>
      </c>
    </row>
    <row r="9" spans="1:9" ht="24.75" customHeight="1">
      <c r="A9" s="42" t="s">
        <v>996</v>
      </c>
      <c r="B9" s="137">
        <v>1348242</v>
      </c>
      <c r="C9" s="42">
        <v>-13929</v>
      </c>
      <c r="D9" s="137">
        <f>SUM(B9:C9)</f>
        <v>1334313</v>
      </c>
      <c r="E9" s="41"/>
      <c r="F9" s="42" t="s">
        <v>915</v>
      </c>
      <c r="G9" s="37"/>
      <c r="H9" s="40"/>
      <c r="I9" s="37"/>
    </row>
    <row r="10" spans="1:9" s="22" customFormat="1" ht="24.75" customHeight="1">
      <c r="A10" s="42" t="s">
        <v>997</v>
      </c>
      <c r="B10" s="19"/>
      <c r="C10" s="42"/>
      <c r="D10" s="19"/>
      <c r="E10" s="41"/>
      <c r="F10" s="42"/>
      <c r="G10" s="15"/>
      <c r="H10" s="40"/>
      <c r="I10" s="15"/>
    </row>
    <row r="11" spans="1:9" s="22" customFormat="1" ht="12" customHeight="1">
      <c r="A11" s="49" t="s">
        <v>356</v>
      </c>
      <c r="B11" s="48">
        <f>SUM(B7:B10)</f>
        <v>10684187</v>
      </c>
      <c r="C11" s="48">
        <f>SUM(C7:C10)</f>
        <v>9254</v>
      </c>
      <c r="D11" s="48">
        <f>SUM(D7:D10)</f>
        <v>10693441</v>
      </c>
      <c r="E11" s="41"/>
      <c r="F11" s="43" t="s">
        <v>672</v>
      </c>
      <c r="G11" s="43">
        <f>SUM(G8:G10)</f>
        <v>10684187</v>
      </c>
      <c r="H11" s="43">
        <f>SUM(H8:H10)</f>
        <v>2194</v>
      </c>
      <c r="I11" s="43">
        <f>SUM(I8:I10)</f>
        <v>10686381</v>
      </c>
    </row>
    <row r="12" spans="1:9" ht="13.5" customHeight="1">
      <c r="A12" s="37" t="s">
        <v>228</v>
      </c>
      <c r="B12" s="15"/>
      <c r="C12" s="37"/>
      <c r="D12" s="15"/>
      <c r="E12" s="41"/>
      <c r="F12" s="37" t="s">
        <v>227</v>
      </c>
      <c r="G12" s="78"/>
      <c r="H12" s="37"/>
      <c r="I12" s="78"/>
    </row>
    <row r="13" spans="1:9" ht="24" customHeight="1">
      <c r="A13" s="40" t="s">
        <v>990</v>
      </c>
      <c r="B13" s="15">
        <v>3540847</v>
      </c>
      <c r="C13" s="40">
        <v>-49380</v>
      </c>
      <c r="D13" s="15">
        <f>SUM(B13:C13)</f>
        <v>3491467</v>
      </c>
      <c r="E13" s="41"/>
      <c r="F13" s="40" t="s">
        <v>998</v>
      </c>
      <c r="G13" s="40">
        <v>850585</v>
      </c>
      <c r="H13" s="40">
        <v>14100</v>
      </c>
      <c r="I13" s="40">
        <f aca="true" t="shared" si="0" ref="I13:I19">SUM(G13:H13)</f>
        <v>864685</v>
      </c>
    </row>
    <row r="14" spans="1:9" ht="19.5" customHeight="1">
      <c r="A14" s="40" t="s">
        <v>991</v>
      </c>
      <c r="B14" s="15">
        <v>600000</v>
      </c>
      <c r="C14" s="40"/>
      <c r="D14" s="15">
        <f>SUM(B14:C14)</f>
        <v>600000</v>
      </c>
      <c r="E14" s="41"/>
      <c r="F14" s="40" t="s">
        <v>229</v>
      </c>
      <c r="G14" s="15">
        <v>4983224</v>
      </c>
      <c r="H14" s="40">
        <v>-8320</v>
      </c>
      <c r="I14" s="40">
        <f t="shared" si="0"/>
        <v>4974904</v>
      </c>
    </row>
    <row r="15" spans="1:9" ht="15" customHeight="1">
      <c r="A15" s="40" t="s">
        <v>993</v>
      </c>
      <c r="B15" s="19">
        <v>149480</v>
      </c>
      <c r="C15" s="40">
        <v>-5000</v>
      </c>
      <c r="D15" s="15">
        <f>SUM(B15:C15)</f>
        <v>144480</v>
      </c>
      <c r="E15" s="41"/>
      <c r="F15" s="40" t="s">
        <v>1315</v>
      </c>
      <c r="G15" s="19">
        <v>54246</v>
      </c>
      <c r="H15" s="40"/>
      <c r="I15" s="40">
        <f t="shared" si="0"/>
        <v>54246</v>
      </c>
    </row>
    <row r="16" spans="1:9" ht="24.75" customHeight="1">
      <c r="A16" s="40" t="s">
        <v>994</v>
      </c>
      <c r="B16" s="19">
        <v>320000</v>
      </c>
      <c r="C16" s="40"/>
      <c r="D16" s="15">
        <f>SUM(B16:C16)</f>
        <v>320000</v>
      </c>
      <c r="E16" s="41"/>
      <c r="F16" s="40" t="s">
        <v>230</v>
      </c>
      <c r="G16" s="15">
        <v>684941</v>
      </c>
      <c r="H16" s="40">
        <v>-13100</v>
      </c>
      <c r="I16" s="40">
        <f t="shared" si="0"/>
        <v>671841</v>
      </c>
    </row>
    <row r="17" spans="1:9" ht="15" customHeight="1">
      <c r="A17" s="40" t="s">
        <v>297</v>
      </c>
      <c r="B17" s="19">
        <v>420346</v>
      </c>
      <c r="C17" s="40"/>
      <c r="D17" s="15">
        <f>SUM(B17:C17)</f>
        <v>420346</v>
      </c>
      <c r="E17" s="39"/>
      <c r="F17" s="40" t="s">
        <v>1315</v>
      </c>
      <c r="G17" s="15">
        <v>33921</v>
      </c>
      <c r="H17" s="40"/>
      <c r="I17" s="40">
        <f t="shared" si="0"/>
        <v>33921</v>
      </c>
    </row>
    <row r="18" spans="1:9" ht="12.75" customHeight="1">
      <c r="A18" s="78" t="s">
        <v>248</v>
      </c>
      <c r="B18" s="37">
        <f>SUM(B12:B17)</f>
        <v>5030673</v>
      </c>
      <c r="C18" s="37">
        <f>SUM(C12:C17)</f>
        <v>-54380</v>
      </c>
      <c r="D18" s="37">
        <f>SUM(D12:D17)</f>
        <v>4976293</v>
      </c>
      <c r="E18" s="39"/>
      <c r="F18" s="40" t="s">
        <v>231</v>
      </c>
      <c r="G18" s="15">
        <v>61490</v>
      </c>
      <c r="H18" s="40"/>
      <c r="I18" s="40">
        <f t="shared" si="0"/>
        <v>61490</v>
      </c>
    </row>
    <row r="19" spans="1:9" ht="24" customHeight="1">
      <c r="A19" s="42" t="s">
        <v>988</v>
      </c>
      <c r="B19" s="37"/>
      <c r="C19" s="37"/>
      <c r="D19" s="37"/>
      <c r="E19" s="41"/>
      <c r="F19" s="40" t="s">
        <v>1000</v>
      </c>
      <c r="G19" s="15">
        <v>22050</v>
      </c>
      <c r="H19" s="40"/>
      <c r="I19" s="40">
        <f t="shared" si="0"/>
        <v>22050</v>
      </c>
    </row>
    <row r="20" spans="1:9" ht="12.75" customHeight="1">
      <c r="A20" s="42" t="s">
        <v>299</v>
      </c>
      <c r="B20" s="40">
        <v>378018</v>
      </c>
      <c r="C20" s="40"/>
      <c r="D20" s="40">
        <f>SUM(B20:C20)</f>
        <v>378018</v>
      </c>
      <c r="E20" s="41"/>
      <c r="F20" s="78" t="s">
        <v>249</v>
      </c>
      <c r="G20" s="37">
        <f>SUM(G13+G14+G16+G18+G19)</f>
        <v>6602290</v>
      </c>
      <c r="H20" s="37">
        <f>SUM(H13+H14+H16+H18+H19)</f>
        <v>-7320</v>
      </c>
      <c r="I20" s="37">
        <f>SUM(I13+I14+I16+I18+I19)</f>
        <v>6594970</v>
      </c>
    </row>
    <row r="21" spans="1:9" ht="24.75" customHeight="1">
      <c r="A21" s="42" t="s">
        <v>300</v>
      </c>
      <c r="B21" s="137">
        <v>1119675</v>
      </c>
      <c r="C21" s="40"/>
      <c r="D21" s="40">
        <f>SUM(B21:C21)</f>
        <v>1119675</v>
      </c>
      <c r="E21" s="41"/>
      <c r="F21" s="42" t="s">
        <v>999</v>
      </c>
      <c r="G21" s="15"/>
      <c r="H21" s="37"/>
      <c r="I21" s="15"/>
    </row>
    <row r="22" spans="1:9" ht="12.75" customHeight="1">
      <c r="A22" s="83" t="s">
        <v>914</v>
      </c>
      <c r="B22" s="40">
        <v>73924</v>
      </c>
      <c r="C22" s="40">
        <v>40000</v>
      </c>
      <c r="D22" s="40">
        <f>SUM(B22:C22)</f>
        <v>113924</v>
      </c>
      <c r="E22" s="41"/>
      <c r="F22" s="42" t="s">
        <v>296</v>
      </c>
      <c r="G22" s="15"/>
      <c r="H22" s="42"/>
      <c r="I22" s="15"/>
    </row>
    <row r="23" spans="1:9" ht="24.75" customHeight="1">
      <c r="A23" s="42"/>
      <c r="B23" s="137"/>
      <c r="C23" s="40"/>
      <c r="D23" s="137"/>
      <c r="E23" s="41"/>
      <c r="F23" s="78"/>
      <c r="G23" s="37"/>
      <c r="H23" s="37"/>
      <c r="I23" s="37"/>
    </row>
    <row r="24" spans="1:9" ht="12.75" customHeight="1">
      <c r="A24" s="40"/>
      <c r="B24" s="137"/>
      <c r="C24" s="40"/>
      <c r="D24" s="137"/>
      <c r="E24" s="41"/>
      <c r="F24" s="42"/>
      <c r="G24" s="37"/>
      <c r="H24" s="37"/>
      <c r="I24" s="37"/>
    </row>
    <row r="25" spans="1:9" ht="12.75" customHeight="1">
      <c r="A25" s="42"/>
      <c r="B25" s="40"/>
      <c r="C25" s="40"/>
      <c r="D25" s="40"/>
      <c r="E25" s="41"/>
      <c r="F25" s="42"/>
      <c r="G25" s="12"/>
      <c r="H25" s="42"/>
      <c r="I25" s="12"/>
    </row>
    <row r="26" spans="1:9" s="21" customFormat="1" ht="22.5" customHeight="1" thickBot="1">
      <c r="A26" s="134" t="s">
        <v>233</v>
      </c>
      <c r="B26" s="135">
        <f>SUM(B18:B25)</f>
        <v>6602290</v>
      </c>
      <c r="C26" s="135">
        <f>SUM(C18:C25)</f>
        <v>-14380</v>
      </c>
      <c r="D26" s="135">
        <f>SUM(D18:D25)</f>
        <v>6587910</v>
      </c>
      <c r="E26" s="39"/>
      <c r="F26" s="136" t="s">
        <v>234</v>
      </c>
      <c r="G26" s="135">
        <f>SUM(G20:G25)</f>
        <v>6602290</v>
      </c>
      <c r="H26" s="135">
        <f>SUM(H20:H25)</f>
        <v>-7320</v>
      </c>
      <c r="I26" s="135">
        <f>SUM(I20:I25)</f>
        <v>6594970</v>
      </c>
    </row>
    <row r="27" spans="1:9" s="21" customFormat="1" ht="19.5" customHeight="1" thickBot="1">
      <c r="A27" s="45" t="s">
        <v>633</v>
      </c>
      <c r="B27" s="47">
        <f>SUM(B11+B26)</f>
        <v>17286477</v>
      </c>
      <c r="C27" s="47">
        <f>SUM(C11+C26)</f>
        <v>-5126</v>
      </c>
      <c r="D27" s="47">
        <f>SUM(D11+D26)</f>
        <v>17281351</v>
      </c>
      <c r="E27" s="41"/>
      <c r="F27" s="45" t="s">
        <v>633</v>
      </c>
      <c r="G27" s="46">
        <f>SUM(G11+G26)</f>
        <v>17286477</v>
      </c>
      <c r="H27" s="46">
        <f>SUM(H11+H26)</f>
        <v>-5126</v>
      </c>
      <c r="I27" s="46">
        <f>SUM(I11+I26)</f>
        <v>17281351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2015.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I11" sqref="I11"/>
    </sheetView>
  </sheetViews>
  <sheetFormatPr defaultColWidth="9.00390625" defaultRowHeight="12.75"/>
  <cols>
    <col min="1" max="1" width="4.00390625" style="833" customWidth="1"/>
    <col min="2" max="2" width="37.00390625" style="817" customWidth="1"/>
    <col min="3" max="3" width="12.00390625" style="817" customWidth="1"/>
    <col min="4" max="4" width="12.50390625" style="817" customWidth="1"/>
    <col min="5" max="5" width="12.625" style="817" customWidth="1"/>
    <col min="6" max="6" width="13.125" style="817" customWidth="1"/>
    <col min="7" max="7" width="11.875" style="817" customWidth="1"/>
    <col min="8" max="8" width="9.625" style="817" customWidth="1"/>
    <col min="9" max="9" width="11.50390625" style="817" customWidth="1"/>
    <col min="10" max="10" width="13.125" style="817" customWidth="1"/>
    <col min="11" max="12" width="12.50390625" style="817" customWidth="1"/>
    <col min="13" max="13" width="11.125" style="817" customWidth="1"/>
    <col min="14" max="14" width="12.875" style="817" customWidth="1"/>
    <col min="15" max="16384" width="9.375" style="817" customWidth="1"/>
  </cols>
  <sheetData>
    <row r="1" spans="1:14" ht="14.25" customHeight="1">
      <c r="A1" s="813" t="s">
        <v>599</v>
      </c>
      <c r="B1" s="813" t="s">
        <v>600</v>
      </c>
      <c r="C1" s="814" t="s">
        <v>601</v>
      </c>
      <c r="D1" s="814" t="s">
        <v>602</v>
      </c>
      <c r="E1" s="813" t="s">
        <v>440</v>
      </c>
      <c r="F1" s="834"/>
      <c r="G1" s="834"/>
      <c r="H1" s="834"/>
      <c r="I1" s="834"/>
      <c r="J1" s="834"/>
      <c r="K1" s="834"/>
      <c r="L1" s="834"/>
      <c r="M1" s="835" t="s">
        <v>439</v>
      </c>
      <c r="N1" s="835" t="s">
        <v>676</v>
      </c>
    </row>
    <row r="2" spans="1:14" ht="82.5" customHeight="1">
      <c r="A2" s="818"/>
      <c r="B2" s="818"/>
      <c r="C2" s="819"/>
      <c r="D2" s="819"/>
      <c r="E2" s="820" t="s">
        <v>241</v>
      </c>
      <c r="F2" s="820" t="s">
        <v>605</v>
      </c>
      <c r="G2" s="820" t="s">
        <v>775</v>
      </c>
      <c r="H2" s="820" t="s">
        <v>166</v>
      </c>
      <c r="I2" s="820" t="s">
        <v>905</v>
      </c>
      <c r="J2" s="820" t="s">
        <v>891</v>
      </c>
      <c r="K2" s="820" t="s">
        <v>890</v>
      </c>
      <c r="L2" s="820" t="s">
        <v>1001</v>
      </c>
      <c r="M2" s="836"/>
      <c r="N2" s="836"/>
    </row>
    <row r="3" spans="1:14" ht="15" customHeight="1">
      <c r="A3" s="821">
        <v>2</v>
      </c>
      <c r="B3" s="822" t="s">
        <v>384</v>
      </c>
      <c r="C3" s="167">
        <v>1181625</v>
      </c>
      <c r="D3" s="167">
        <f>0+'[1]táj.4.'!L3</f>
        <v>128</v>
      </c>
      <c r="E3" s="823">
        <f>741793+'[1]táj.4.'!C3</f>
        <v>742099</v>
      </c>
      <c r="F3" s="823">
        <f>211145+'[1]táj.4.'!D3</f>
        <v>210967</v>
      </c>
      <c r="G3" s="823">
        <f>190405+'[1]táj.4.'!E3</f>
        <v>190405</v>
      </c>
      <c r="H3" s="824"/>
      <c r="I3" s="824"/>
      <c r="J3" s="824">
        <f>18994+'[1]táj.4.'!H3</f>
        <v>18994</v>
      </c>
      <c r="K3" s="824">
        <f>19288+'[1]táj.4.'!I3</f>
        <v>19288</v>
      </c>
      <c r="L3" s="824"/>
      <c r="M3" s="824"/>
      <c r="N3" s="824">
        <f aca="true" t="shared" si="0" ref="N3:N20">SUM(E3:M3)</f>
        <v>1181753</v>
      </c>
    </row>
    <row r="4" spans="1:14" s="825" customFormat="1" ht="22.5" customHeight="1">
      <c r="A4" s="821">
        <v>3</v>
      </c>
      <c r="B4" s="822" t="s">
        <v>323</v>
      </c>
      <c r="C4" s="167">
        <v>1337500</v>
      </c>
      <c r="D4" s="167">
        <f>0+'[1]táj.4.'!L4</f>
        <v>-481</v>
      </c>
      <c r="E4" s="823">
        <f>305841+'[1]táj.4.'!C4</f>
        <v>306733</v>
      </c>
      <c r="F4" s="823">
        <f>85549+'[1]táj.4.'!D4</f>
        <v>84176</v>
      </c>
      <c r="G4" s="823">
        <f>929710+'[1]táj.4.'!E4</f>
        <v>929710</v>
      </c>
      <c r="H4" s="824"/>
      <c r="I4" s="824">
        <f>500+'[1]táj.4.'!G4</f>
        <v>500</v>
      </c>
      <c r="J4" s="824">
        <f>4500+'[1]táj.4.'!H4</f>
        <v>4500</v>
      </c>
      <c r="K4" s="824">
        <f>11400+'[1]táj.4.'!I4</f>
        <v>11400</v>
      </c>
      <c r="L4" s="824"/>
      <c r="M4" s="824"/>
      <c r="N4" s="824">
        <f t="shared" si="0"/>
        <v>1337019</v>
      </c>
    </row>
    <row r="5" spans="1:14" s="825" customFormat="1" ht="19.5" customHeight="1">
      <c r="A5" s="821">
        <v>4</v>
      </c>
      <c r="B5" s="822" t="s">
        <v>13</v>
      </c>
      <c r="C5" s="167">
        <v>377182</v>
      </c>
      <c r="D5" s="167">
        <f>0+'[1]táj.4.'!L5</f>
        <v>375</v>
      </c>
      <c r="E5" s="823">
        <f>204397+'[1]táj.4.'!C5</f>
        <v>205170</v>
      </c>
      <c r="F5" s="823">
        <f>58950+'[1]táj.4.'!D5</f>
        <v>58552</v>
      </c>
      <c r="G5" s="823">
        <f>113435+'[1]táj.4.'!E5</f>
        <v>113435</v>
      </c>
      <c r="H5" s="824"/>
      <c r="I5" s="824">
        <f>200+'[1]táj.4.'!G5</f>
        <v>200</v>
      </c>
      <c r="J5" s="824">
        <f>200+'[1]táj.4.'!H5</f>
        <v>200</v>
      </c>
      <c r="K5" s="824"/>
      <c r="L5" s="824"/>
      <c r="M5" s="824"/>
      <c r="N5" s="824">
        <f t="shared" si="0"/>
        <v>377557</v>
      </c>
    </row>
    <row r="6" spans="1:14" s="825" customFormat="1" ht="15" customHeight="1">
      <c r="A6" s="821">
        <v>5</v>
      </c>
      <c r="B6" s="149" t="s">
        <v>14</v>
      </c>
      <c r="C6" s="77">
        <v>317551</v>
      </c>
      <c r="D6" s="167">
        <f>0+'[1]táj.4.'!L6</f>
        <v>427</v>
      </c>
      <c r="E6" s="823">
        <f>151944+'[1]táj.4.'!C6</f>
        <v>152353</v>
      </c>
      <c r="F6" s="823">
        <f>40668+'[1]táj.4.'!D6</f>
        <v>40686</v>
      </c>
      <c r="G6" s="823">
        <f>115934+'[1]táj.4.'!E6</f>
        <v>115934</v>
      </c>
      <c r="H6" s="824"/>
      <c r="I6" s="824"/>
      <c r="J6" s="824">
        <f>5772+'[1]táj.4.'!H6</f>
        <v>5772</v>
      </c>
      <c r="K6" s="824">
        <f>3233+'[1]táj.4.'!I6</f>
        <v>3233</v>
      </c>
      <c r="L6" s="824"/>
      <c r="M6" s="824"/>
      <c r="N6" s="824">
        <f t="shared" si="0"/>
        <v>317978</v>
      </c>
    </row>
    <row r="7" spans="1:14" s="825" customFormat="1" ht="15.75" customHeight="1">
      <c r="A7" s="821">
        <v>6</v>
      </c>
      <c r="B7" s="149" t="s">
        <v>15</v>
      </c>
      <c r="C7" s="77">
        <v>317172</v>
      </c>
      <c r="D7" s="167">
        <f>0+'[1]táj.4.'!L7</f>
        <v>20</v>
      </c>
      <c r="E7" s="823">
        <f>188181+'[1]táj.4.'!C7</f>
        <v>188254</v>
      </c>
      <c r="F7" s="823">
        <f>53894+'[1]táj.4.'!D7</f>
        <v>53841</v>
      </c>
      <c r="G7" s="823">
        <f>74847+'[1]táj.4.'!E7</f>
        <v>74847</v>
      </c>
      <c r="H7" s="824"/>
      <c r="I7" s="824">
        <f>50+'[1]táj.4.'!G7</f>
        <v>50</v>
      </c>
      <c r="J7" s="824">
        <f>200+'[1]táj.4.'!H7</f>
        <v>200</v>
      </c>
      <c r="K7" s="824"/>
      <c r="L7" s="824"/>
      <c r="M7" s="824"/>
      <c r="N7" s="824">
        <f t="shared" si="0"/>
        <v>317192</v>
      </c>
    </row>
    <row r="8" spans="1:14" s="825" customFormat="1" ht="17.25" customHeight="1">
      <c r="A8" s="821">
        <v>7</v>
      </c>
      <c r="B8" s="149" t="s">
        <v>16</v>
      </c>
      <c r="C8" s="77">
        <v>278344</v>
      </c>
      <c r="D8" s="167">
        <f>0+'[1]táj.4.'!L8</f>
        <v>-65</v>
      </c>
      <c r="E8" s="823">
        <f>164770+'[1]táj.4.'!C8</f>
        <v>164842</v>
      </c>
      <c r="F8" s="823">
        <f>47192+'[1]táj.4.'!D8</f>
        <v>47055</v>
      </c>
      <c r="G8" s="823">
        <f>66132+'[1]táj.4.'!E8</f>
        <v>66132</v>
      </c>
      <c r="H8" s="824"/>
      <c r="I8" s="824">
        <f>50+'[1]táj.4.'!G8</f>
        <v>50</v>
      </c>
      <c r="J8" s="824">
        <f>200+'[1]táj.4.'!H8</f>
        <v>200</v>
      </c>
      <c r="K8" s="824"/>
      <c r="L8" s="824"/>
      <c r="M8" s="824"/>
      <c r="N8" s="824">
        <f t="shared" si="0"/>
        <v>278279</v>
      </c>
    </row>
    <row r="9" spans="1:14" s="825" customFormat="1" ht="15" customHeight="1">
      <c r="A9" s="821">
        <v>8</v>
      </c>
      <c r="B9" s="149" t="s">
        <v>17</v>
      </c>
      <c r="C9" s="77">
        <v>298081</v>
      </c>
      <c r="D9" s="167">
        <f>0+'[1]táj.4.'!L9</f>
        <v>46</v>
      </c>
      <c r="E9" s="823">
        <f>183045+'[1]táj.4.'!C9</f>
        <v>183195</v>
      </c>
      <c r="F9" s="823">
        <f>52591+'[1]táj.4.'!D9</f>
        <v>52487</v>
      </c>
      <c r="G9" s="823">
        <f>62195+'[1]táj.4.'!E9</f>
        <v>62195</v>
      </c>
      <c r="H9" s="824"/>
      <c r="I9" s="824">
        <f>50+'[1]táj.4.'!G9</f>
        <v>50</v>
      </c>
      <c r="J9" s="824">
        <f>200+'[1]táj.4.'!H9</f>
        <v>200</v>
      </c>
      <c r="K9" s="824"/>
      <c r="L9" s="824"/>
      <c r="M9" s="824"/>
      <c r="N9" s="824">
        <f t="shared" si="0"/>
        <v>298127</v>
      </c>
    </row>
    <row r="10" spans="1:14" s="825" customFormat="1" ht="19.5" customHeight="1">
      <c r="A10" s="821">
        <v>9</v>
      </c>
      <c r="B10" s="149" t="s">
        <v>18</v>
      </c>
      <c r="C10" s="77">
        <v>283023</v>
      </c>
      <c r="D10" s="167">
        <f>0+'[1]táj.4.'!L10</f>
        <v>47</v>
      </c>
      <c r="E10" s="823">
        <f>170741+'[1]táj.4.'!C10</f>
        <v>170824</v>
      </c>
      <c r="F10" s="823">
        <f>49159+'[1]táj.4.'!D10</f>
        <v>49123</v>
      </c>
      <c r="G10" s="823">
        <f>62873+'[1]táj.4.'!E10</f>
        <v>62873</v>
      </c>
      <c r="H10" s="824"/>
      <c r="I10" s="824">
        <f>50+'[1]táj.4.'!G10</f>
        <v>50</v>
      </c>
      <c r="J10" s="824">
        <f>200+'[1]táj.4.'!H10</f>
        <v>200</v>
      </c>
      <c r="K10" s="824"/>
      <c r="L10" s="824"/>
      <c r="M10" s="824"/>
      <c r="N10" s="824">
        <f t="shared" si="0"/>
        <v>283070</v>
      </c>
    </row>
    <row r="11" spans="1:14" s="825" customFormat="1" ht="27" customHeight="1">
      <c r="A11" s="821">
        <v>10</v>
      </c>
      <c r="B11" s="161" t="s">
        <v>19</v>
      </c>
      <c r="C11" s="826">
        <v>96034</v>
      </c>
      <c r="D11" s="167">
        <f>0+'[1]táj.4.'!L11</f>
        <v>-6569</v>
      </c>
      <c r="E11" s="823">
        <f>56400+'[1]táj.4.'!C11</f>
        <v>51928</v>
      </c>
      <c r="F11" s="823">
        <f>14960+'[1]táj.4.'!D11</f>
        <v>13663</v>
      </c>
      <c r="G11" s="823">
        <f>24524+'[1]táj.4.'!E11</f>
        <v>23374</v>
      </c>
      <c r="H11" s="824"/>
      <c r="I11" s="824">
        <f>'[1]táj.4.'!G11</f>
        <v>350</v>
      </c>
      <c r="J11" s="824">
        <f>150+'[1]táj.4.'!H11</f>
        <v>150</v>
      </c>
      <c r="K11" s="824"/>
      <c r="L11" s="824"/>
      <c r="M11" s="824"/>
      <c r="N11" s="824">
        <f t="shared" si="0"/>
        <v>89465</v>
      </c>
    </row>
    <row r="12" spans="1:14" s="825" customFormat="1" ht="20.25" customHeight="1">
      <c r="A12" s="821">
        <v>11</v>
      </c>
      <c r="B12" s="149" t="s">
        <v>1340</v>
      </c>
      <c r="C12" s="77">
        <v>208226</v>
      </c>
      <c r="D12" s="167">
        <f>0+'[1]táj.4.'!L12</f>
        <v>-3596</v>
      </c>
      <c r="E12" s="823">
        <f>84893+'[1]táj.4.'!C12</f>
        <v>84116</v>
      </c>
      <c r="F12" s="823">
        <f>22807+'[1]táj.4.'!D12</f>
        <v>22449</v>
      </c>
      <c r="G12" s="823">
        <f>89302+'[1]táj.4.'!E12</f>
        <v>86841</v>
      </c>
      <c r="H12" s="824"/>
      <c r="I12" s="824">
        <f>11224+'[1]táj.4.'!G12</f>
        <v>11224</v>
      </c>
      <c r="J12" s="824"/>
      <c r="K12" s="824"/>
      <c r="L12" s="824"/>
      <c r="M12" s="824"/>
      <c r="N12" s="824">
        <f t="shared" si="0"/>
        <v>204630</v>
      </c>
    </row>
    <row r="13" spans="1:14" s="825" customFormat="1" ht="30" customHeight="1">
      <c r="A13" s="821">
        <v>12</v>
      </c>
      <c r="B13" s="161" t="s">
        <v>20</v>
      </c>
      <c r="C13" s="826">
        <v>15059</v>
      </c>
      <c r="D13" s="167">
        <f>0+'[1]táj.4.'!L13</f>
        <v>-1</v>
      </c>
      <c r="E13" s="823">
        <f>9441+'[1]táj.4.'!C13</f>
        <v>9451</v>
      </c>
      <c r="F13" s="823">
        <f>2511+'[1]táj.4.'!D13</f>
        <v>2500</v>
      </c>
      <c r="G13" s="823">
        <f>3107+'[1]táj.4.'!E13</f>
        <v>3107</v>
      </c>
      <c r="H13" s="824"/>
      <c r="I13" s="824"/>
      <c r="J13" s="824"/>
      <c r="K13" s="824"/>
      <c r="L13" s="824"/>
      <c r="M13" s="824"/>
      <c r="N13" s="824">
        <f t="shared" si="0"/>
        <v>15058</v>
      </c>
    </row>
    <row r="14" spans="1:14" s="825" customFormat="1" ht="16.5" customHeight="1">
      <c r="A14" s="821">
        <v>13</v>
      </c>
      <c r="B14" s="149" t="s">
        <v>11</v>
      </c>
      <c r="C14" s="77">
        <v>350342</v>
      </c>
      <c r="D14" s="167">
        <f>0+'[1]táj.4.'!L14</f>
        <v>378</v>
      </c>
      <c r="E14" s="823">
        <f>134128+'[1]táj.4.'!C14</f>
        <v>134477</v>
      </c>
      <c r="F14" s="823">
        <f>35758+'[1]táj.4.'!D14</f>
        <v>35787</v>
      </c>
      <c r="G14" s="823">
        <f>154456+'[1]táj.4.'!E14</f>
        <v>154456</v>
      </c>
      <c r="H14" s="824"/>
      <c r="I14" s="824">
        <f>16000+'[1]táj.4.'!G14</f>
        <v>16000</v>
      </c>
      <c r="J14" s="824">
        <f>10000+'[1]táj.4.'!H14</f>
        <v>10000</v>
      </c>
      <c r="K14" s="824"/>
      <c r="L14" s="824"/>
      <c r="M14" s="824"/>
      <c r="N14" s="824">
        <f t="shared" si="0"/>
        <v>350720</v>
      </c>
    </row>
    <row r="15" spans="1:14" s="825" customFormat="1" ht="16.5" customHeight="1">
      <c r="A15" s="821">
        <v>14</v>
      </c>
      <c r="B15" s="149" t="s">
        <v>12</v>
      </c>
      <c r="C15" s="77">
        <v>237762</v>
      </c>
      <c r="D15" s="167">
        <f>0+'[1]táj.4.'!L15</f>
        <v>-3808</v>
      </c>
      <c r="E15" s="823">
        <f>115831+'[1]táj.4.'!C15</f>
        <v>110750</v>
      </c>
      <c r="F15" s="823">
        <f>33570+'[1]táj.4.'!D15</f>
        <v>32187</v>
      </c>
      <c r="G15" s="823">
        <f>81801+'[1]táj.4.'!E15</f>
        <v>81149</v>
      </c>
      <c r="H15" s="824"/>
      <c r="I15" s="824">
        <f>210+'[1]táj.4.'!G15</f>
        <v>3518</v>
      </c>
      <c r="J15" s="824">
        <f>6350+'[1]táj.4.'!H15</f>
        <v>6350</v>
      </c>
      <c r="K15" s="824"/>
      <c r="L15" s="824"/>
      <c r="M15" s="824"/>
      <c r="N15" s="824">
        <f t="shared" si="0"/>
        <v>233954</v>
      </c>
    </row>
    <row r="16" spans="1:14" s="825" customFormat="1" ht="18" customHeight="1">
      <c r="A16" s="821">
        <v>15</v>
      </c>
      <c r="B16" s="149" t="s">
        <v>21</v>
      </c>
      <c r="C16" s="77">
        <v>585550</v>
      </c>
      <c r="D16" s="167">
        <f>0+'[1]táj.4.'!L16</f>
        <v>2638</v>
      </c>
      <c r="E16" s="823">
        <f>288959+'[1]táj.4.'!C16</f>
        <v>289620</v>
      </c>
      <c r="F16" s="823">
        <f>79520+'[1]táj.4.'!D16</f>
        <v>79699</v>
      </c>
      <c r="G16" s="823">
        <f>216571+'[1]táj.4.'!E16</f>
        <v>218369</v>
      </c>
      <c r="H16" s="824"/>
      <c r="I16" s="824">
        <f>200+'[1]táj.4.'!G16</f>
        <v>200</v>
      </c>
      <c r="J16" s="824">
        <f>300+'[1]táj.4.'!H16</f>
        <v>300</v>
      </c>
      <c r="K16" s="824"/>
      <c r="L16" s="824"/>
      <c r="M16" s="824"/>
      <c r="N16" s="824">
        <f t="shared" si="0"/>
        <v>588188</v>
      </c>
    </row>
    <row r="17" spans="1:14" s="825" customFormat="1" ht="18.75" customHeight="1">
      <c r="A17" s="821">
        <v>16</v>
      </c>
      <c r="B17" s="149" t="s">
        <v>22</v>
      </c>
      <c r="C17" s="77">
        <v>115376</v>
      </c>
      <c r="D17" s="167">
        <f>0+'[1]táj.4.'!L17</f>
        <v>207</v>
      </c>
      <c r="E17" s="823">
        <f>53779+'[1]táj.4.'!C17</f>
        <v>53942</v>
      </c>
      <c r="F17" s="823">
        <f>15213+'[1]táj.4.'!D17</f>
        <v>15257</v>
      </c>
      <c r="G17" s="823">
        <f>46184+'[1]táj.4.'!E17</f>
        <v>46184</v>
      </c>
      <c r="H17" s="824"/>
      <c r="I17" s="824">
        <f>0+'[1]táj.4.'!G17</f>
        <v>0</v>
      </c>
      <c r="J17" s="824">
        <f>200+'[1]táj.4.'!H17</f>
        <v>200</v>
      </c>
      <c r="K17" s="824"/>
      <c r="L17" s="824"/>
      <c r="M17" s="824"/>
      <c r="N17" s="824">
        <f t="shared" si="0"/>
        <v>115583</v>
      </c>
    </row>
    <row r="18" spans="1:14" s="825" customFormat="1" ht="18" customHeight="1">
      <c r="A18" s="821">
        <v>17</v>
      </c>
      <c r="B18" s="149" t="s">
        <v>23</v>
      </c>
      <c r="C18" s="77">
        <v>103145</v>
      </c>
      <c r="D18" s="167">
        <f>0+'[1]táj.4.'!L18</f>
        <v>-18</v>
      </c>
      <c r="E18" s="823">
        <f>40351+'[1]táj.4.'!C18</f>
        <v>40434</v>
      </c>
      <c r="F18" s="823">
        <f>10918+'[1]táj.4.'!D18</f>
        <v>10817</v>
      </c>
      <c r="G18" s="823">
        <f>45196+'[1]táj.4.'!E18</f>
        <v>45196</v>
      </c>
      <c r="H18" s="824"/>
      <c r="I18" s="824">
        <f>0+'[1]táj.4.'!G18</f>
        <v>0</v>
      </c>
      <c r="J18" s="824">
        <f>6680+'[1]táj.4.'!H18</f>
        <v>6680</v>
      </c>
      <c r="K18" s="824"/>
      <c r="L18" s="824"/>
      <c r="M18" s="824"/>
      <c r="N18" s="824">
        <f t="shared" si="0"/>
        <v>103127</v>
      </c>
    </row>
    <row r="19" spans="1:14" s="825" customFormat="1" ht="18.75" customHeight="1">
      <c r="A19" s="821">
        <v>18</v>
      </c>
      <c r="B19" s="837" t="s">
        <v>774</v>
      </c>
      <c r="C19" s="828">
        <v>99960</v>
      </c>
      <c r="D19" s="167">
        <f>0+'[1]táj.4.'!L19</f>
        <v>28</v>
      </c>
      <c r="E19" s="823">
        <f>30198+'[1]táj.4.'!C19</f>
        <v>30220</v>
      </c>
      <c r="F19" s="823">
        <f>8200+'[1]táj.4.'!D19</f>
        <v>8206</v>
      </c>
      <c r="G19" s="823">
        <f>61040+'[1]táj.4.'!E19</f>
        <v>61040</v>
      </c>
      <c r="H19" s="824"/>
      <c r="I19" s="824">
        <f>222+'[1]táj.4.'!G19</f>
        <v>222</v>
      </c>
      <c r="J19" s="824">
        <f>300+'[1]táj.4.'!H19</f>
        <v>300</v>
      </c>
      <c r="K19" s="824"/>
      <c r="L19" s="824"/>
      <c r="M19" s="824"/>
      <c r="N19" s="824">
        <f t="shared" si="0"/>
        <v>99988</v>
      </c>
    </row>
    <row r="20" spans="1:14" s="825" customFormat="1" ht="18.75" customHeight="1">
      <c r="A20" s="821">
        <v>19</v>
      </c>
      <c r="B20" s="837" t="s">
        <v>603</v>
      </c>
      <c r="C20" s="828"/>
      <c r="D20" s="167">
        <f>0+'[1]táj.4.'!L20</f>
        <v>25537</v>
      </c>
      <c r="E20" s="823">
        <f>0+'[1]táj.4.'!C20</f>
        <v>17964</v>
      </c>
      <c r="F20" s="823">
        <f>0+'[1]táj.4.'!D20</f>
        <v>4835</v>
      </c>
      <c r="G20" s="823">
        <f>0+'[1]táj.4.'!E20</f>
        <v>2738</v>
      </c>
      <c r="H20" s="824"/>
      <c r="I20" s="824"/>
      <c r="J20" s="824"/>
      <c r="K20" s="824"/>
      <c r="L20" s="824"/>
      <c r="M20" s="824"/>
      <c r="N20" s="824">
        <f t="shared" si="0"/>
        <v>25537</v>
      </c>
    </row>
    <row r="21" spans="1:14" s="825" customFormat="1" ht="18" customHeight="1">
      <c r="A21" s="829"/>
      <c r="B21" s="830" t="s">
        <v>604</v>
      </c>
      <c r="C21" s="831">
        <f aca="true" t="shared" si="1" ref="C21:N21">SUM(C3:C20)</f>
        <v>6201932</v>
      </c>
      <c r="D21" s="831">
        <f t="shared" si="1"/>
        <v>15293</v>
      </c>
      <c r="E21" s="831">
        <f t="shared" si="1"/>
        <v>2936372</v>
      </c>
      <c r="F21" s="831">
        <f t="shared" si="1"/>
        <v>822287</v>
      </c>
      <c r="G21" s="831">
        <f t="shared" si="1"/>
        <v>2337985</v>
      </c>
      <c r="H21" s="831">
        <f t="shared" si="1"/>
        <v>0</v>
      </c>
      <c r="I21" s="831">
        <f t="shared" si="1"/>
        <v>32414</v>
      </c>
      <c r="J21" s="831">
        <f t="shared" si="1"/>
        <v>54246</v>
      </c>
      <c r="K21" s="831">
        <f t="shared" si="1"/>
        <v>33921</v>
      </c>
      <c r="L21" s="831">
        <f t="shared" si="1"/>
        <v>0</v>
      </c>
      <c r="M21" s="831">
        <f t="shared" si="1"/>
        <v>0</v>
      </c>
      <c r="N21" s="831">
        <f t="shared" si="1"/>
        <v>6217225</v>
      </c>
    </row>
    <row r="22" s="825" customFormat="1" ht="12.75">
      <c r="A22" s="832"/>
    </row>
    <row r="23" s="825" customFormat="1" ht="12.75">
      <c r="A23" s="832"/>
    </row>
    <row r="24" s="825" customFormat="1" ht="12.75">
      <c r="A24" s="832"/>
    </row>
    <row r="25" s="825" customFormat="1" ht="12.75">
      <c r="A25" s="832"/>
    </row>
    <row r="26" s="825" customFormat="1" ht="12.75">
      <c r="A26" s="832"/>
    </row>
    <row r="27" s="825" customFormat="1" ht="12.75">
      <c r="A27" s="832"/>
    </row>
    <row r="28" s="825" customFormat="1" ht="12.75">
      <c r="A28" s="832"/>
    </row>
    <row r="29" s="825" customFormat="1" ht="12.75">
      <c r="A29" s="832"/>
    </row>
    <row r="30" s="825" customFormat="1" ht="12.75">
      <c r="A30" s="832"/>
    </row>
    <row r="31" s="825" customFormat="1" ht="12.75">
      <c r="A31" s="832"/>
    </row>
    <row r="32" s="825" customFormat="1" ht="12.75">
      <c r="A32" s="832"/>
    </row>
    <row r="33" s="825" customFormat="1" ht="12.75">
      <c r="A33" s="832"/>
    </row>
    <row r="34" s="825" customFormat="1" ht="12.75">
      <c r="A34" s="832"/>
    </row>
    <row r="35" s="825" customFormat="1" ht="12.75">
      <c r="A35" s="832"/>
    </row>
    <row r="36" s="825" customFormat="1" ht="12.75">
      <c r="A36" s="832"/>
    </row>
    <row r="37" s="825" customFormat="1" ht="12.75">
      <c r="A37" s="832"/>
    </row>
    <row r="38" s="825" customFormat="1" ht="12.75">
      <c r="A38" s="832"/>
    </row>
    <row r="39" s="825" customFormat="1" ht="12.75">
      <c r="A39" s="832"/>
    </row>
    <row r="40" s="825" customFormat="1" ht="12.75">
      <c r="A40" s="832"/>
    </row>
    <row r="41" s="825" customFormat="1" ht="12.75">
      <c r="A41" s="832"/>
    </row>
    <row r="42" s="825" customFormat="1" ht="12.75">
      <c r="A42" s="832"/>
    </row>
    <row r="43" s="825" customFormat="1" ht="12.75">
      <c r="A43" s="832"/>
    </row>
    <row r="44" s="825" customFormat="1" ht="12.75">
      <c r="A44" s="832"/>
    </row>
    <row r="45" s="825" customFormat="1" ht="12.75">
      <c r="A45" s="832"/>
    </row>
    <row r="46" s="825" customFormat="1" ht="12.75">
      <c r="A46" s="832"/>
    </row>
    <row r="47" s="825" customFormat="1" ht="12.75">
      <c r="A47" s="832"/>
    </row>
    <row r="48" s="825" customFormat="1" ht="12.75">
      <c r="A48" s="832"/>
    </row>
    <row r="49" s="825" customFormat="1" ht="12.75">
      <c r="A49" s="832"/>
    </row>
    <row r="50" s="825" customFormat="1" ht="12.75">
      <c r="A50" s="832"/>
    </row>
    <row r="51" s="825" customFormat="1" ht="12.75">
      <c r="A51" s="832"/>
    </row>
    <row r="52" s="825" customFormat="1" ht="12.75">
      <c r="A52" s="832"/>
    </row>
    <row r="53" s="825" customFormat="1" ht="12.75">
      <c r="A53" s="832"/>
    </row>
    <row r="54" s="825" customFormat="1" ht="12.75">
      <c r="A54" s="832"/>
    </row>
    <row r="55" s="825" customFormat="1" ht="12.75">
      <c r="A55" s="832"/>
    </row>
    <row r="56" s="825" customFormat="1" ht="12.75">
      <c r="A56" s="832"/>
    </row>
    <row r="57" s="825" customFormat="1" ht="12.75">
      <c r="A57" s="832"/>
    </row>
    <row r="58" s="825" customFormat="1" ht="12.75">
      <c r="A58" s="832"/>
    </row>
    <row r="59" s="825" customFormat="1" ht="12.75">
      <c r="A59" s="832"/>
    </row>
    <row r="60" s="825" customFormat="1" ht="12.75">
      <c r="A60" s="832"/>
    </row>
    <row r="61" s="825" customFormat="1" ht="12.75">
      <c r="A61" s="832"/>
    </row>
    <row r="62" s="825" customFormat="1" ht="12.75">
      <c r="A62" s="832"/>
    </row>
    <row r="63" s="825" customFormat="1" ht="12.75">
      <c r="A63" s="832"/>
    </row>
    <row r="64" s="825" customFormat="1" ht="12.75">
      <c r="A64" s="832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KIADÁSI ELŐIRÁNYZATAI&amp;R&amp;"Times New Roman,Dőlt"&amp;9
 8. melléklet
Adatok eFt-ban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5:O14"/>
  <sheetViews>
    <sheetView zoomScalePageLayoutView="0" workbookViewId="0" topLeftCell="A1">
      <selection activeCell="A9" sqref="A9:A10"/>
    </sheetView>
  </sheetViews>
  <sheetFormatPr defaultColWidth="10.625" defaultRowHeight="12.75"/>
  <cols>
    <col min="1" max="1" width="7.375" style="311" customWidth="1"/>
    <col min="2" max="2" width="36.625" style="311" customWidth="1"/>
    <col min="3" max="3" width="12.50390625" style="311" customWidth="1"/>
    <col min="4" max="4" width="7.625" style="311" customWidth="1"/>
    <col min="5" max="5" width="10.00390625" style="311" customWidth="1"/>
    <col min="6" max="6" width="11.50390625" style="311" customWidth="1"/>
    <col min="7" max="7" width="12.625" style="311" customWidth="1"/>
    <col min="8" max="8" width="11.50390625" style="311" customWidth="1"/>
    <col min="9" max="9" width="10.50390625" style="311" customWidth="1"/>
    <col min="10" max="10" width="11.00390625" style="311" customWidth="1"/>
    <col min="11" max="11" width="11.625" style="311" customWidth="1"/>
    <col min="12" max="12" width="11.00390625" style="311" customWidth="1"/>
    <col min="13" max="13" width="11.875" style="311" customWidth="1"/>
    <col min="14" max="14" width="10.625" style="311" customWidth="1"/>
    <col min="15" max="15" width="12.375" style="311" customWidth="1"/>
    <col min="16" max="16384" width="10.625" style="311" customWidth="1"/>
  </cols>
  <sheetData>
    <row r="4" ht="13.5" thickBot="1"/>
    <row r="5" spans="1:15" s="302" customFormat="1" ht="13.5" customHeight="1" thickBot="1">
      <c r="A5" s="498"/>
      <c r="B5" s="499" t="s">
        <v>381</v>
      </c>
      <c r="C5" s="502" t="s">
        <v>225</v>
      </c>
      <c r="D5" s="502" t="s">
        <v>226</v>
      </c>
      <c r="E5" s="502" t="s">
        <v>355</v>
      </c>
      <c r="F5" s="503" t="s">
        <v>259</v>
      </c>
      <c r="G5" s="503"/>
      <c r="H5" s="503"/>
      <c r="I5" s="504" t="s">
        <v>904</v>
      </c>
      <c r="J5" s="504"/>
      <c r="K5" s="504" t="s">
        <v>471</v>
      </c>
      <c r="L5" s="504"/>
      <c r="M5" s="504" t="s">
        <v>546</v>
      </c>
      <c r="N5" s="504"/>
      <c r="O5" s="501" t="s">
        <v>547</v>
      </c>
    </row>
    <row r="6" spans="1:15" s="302" customFormat="1" ht="60.75" customHeight="1" thickBot="1">
      <c r="A6" s="498"/>
      <c r="B6" s="500"/>
      <c r="C6" s="502"/>
      <c r="D6" s="502"/>
      <c r="E6" s="502"/>
      <c r="F6" s="301" t="s">
        <v>548</v>
      </c>
      <c r="G6" s="303" t="s">
        <v>549</v>
      </c>
      <c r="H6" s="304" t="s">
        <v>550</v>
      </c>
      <c r="I6" s="305" t="s">
        <v>551</v>
      </c>
      <c r="J6" s="306" t="s">
        <v>664</v>
      </c>
      <c r="K6" s="305" t="s">
        <v>552</v>
      </c>
      <c r="L6" s="306" t="s">
        <v>664</v>
      </c>
      <c r="M6" s="305" t="s">
        <v>552</v>
      </c>
      <c r="N6" s="306" t="s">
        <v>664</v>
      </c>
      <c r="O6" s="501"/>
    </row>
    <row r="7" spans="1:15" ht="24.75" customHeight="1">
      <c r="A7" s="398" t="s">
        <v>1055</v>
      </c>
      <c r="B7" s="395" t="s">
        <v>474</v>
      </c>
      <c r="C7" s="308" t="s">
        <v>662</v>
      </c>
      <c r="D7" s="309" t="s">
        <v>553</v>
      </c>
      <c r="E7" s="310">
        <v>300000</v>
      </c>
      <c r="F7" s="307">
        <v>95874</v>
      </c>
      <c r="G7" s="307">
        <v>204126</v>
      </c>
      <c r="H7" s="307"/>
      <c r="I7" s="307">
        <v>0</v>
      </c>
      <c r="J7" s="307">
        <v>12650</v>
      </c>
      <c r="K7" s="307">
        <v>0</v>
      </c>
      <c r="L7" s="307">
        <v>9600</v>
      </c>
      <c r="M7" s="307">
        <v>0</v>
      </c>
      <c r="N7" s="307">
        <v>9600</v>
      </c>
      <c r="O7" s="307">
        <v>300000</v>
      </c>
    </row>
    <row r="8" spans="1:15" ht="24.75" customHeight="1">
      <c r="A8" s="398" t="s">
        <v>1054</v>
      </c>
      <c r="B8" s="395" t="s">
        <v>554</v>
      </c>
      <c r="C8" s="312" t="s">
        <v>662</v>
      </c>
      <c r="D8" s="312" t="s">
        <v>663</v>
      </c>
      <c r="E8" s="310">
        <v>173892</v>
      </c>
      <c r="F8" s="307">
        <v>0</v>
      </c>
      <c r="G8" s="307">
        <v>173892</v>
      </c>
      <c r="H8" s="307"/>
      <c r="I8" s="307">
        <v>0</v>
      </c>
      <c r="J8" s="307">
        <v>9400</v>
      </c>
      <c r="K8" s="307">
        <v>28982</v>
      </c>
      <c r="L8" s="307">
        <v>4654</v>
      </c>
      <c r="M8" s="307">
        <v>28982</v>
      </c>
      <c r="N8" s="307">
        <v>3972</v>
      </c>
      <c r="O8" s="307">
        <v>115928</v>
      </c>
    </row>
    <row r="9" spans="1:15" ht="19.5" customHeight="1">
      <c r="A9" s="397"/>
      <c r="B9" s="396" t="s">
        <v>380</v>
      </c>
      <c r="C9" s="313"/>
      <c r="D9" s="313"/>
      <c r="E9" s="314">
        <f aca="true" t="shared" si="0" ref="E9:O9">SUM(E7:E8)</f>
        <v>473892</v>
      </c>
      <c r="F9" s="313">
        <f t="shared" si="0"/>
        <v>95874</v>
      </c>
      <c r="G9" s="313">
        <f t="shared" si="0"/>
        <v>378018</v>
      </c>
      <c r="H9" s="313">
        <f t="shared" si="0"/>
        <v>0</v>
      </c>
      <c r="I9" s="313">
        <f t="shared" si="0"/>
        <v>0</v>
      </c>
      <c r="J9" s="313">
        <f t="shared" si="0"/>
        <v>22050</v>
      </c>
      <c r="K9" s="313">
        <f t="shared" si="0"/>
        <v>28982</v>
      </c>
      <c r="L9" s="313">
        <f t="shared" si="0"/>
        <v>14254</v>
      </c>
      <c r="M9" s="313">
        <f t="shared" si="0"/>
        <v>28982</v>
      </c>
      <c r="N9" s="313">
        <f t="shared" si="0"/>
        <v>13572</v>
      </c>
      <c r="O9" s="313">
        <f t="shared" si="0"/>
        <v>415928</v>
      </c>
    </row>
    <row r="10" spans="2:11" ht="10.5" customHeight="1"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2:11" ht="19.5" customHeight="1"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2:11" ht="19.5" customHeight="1"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ht="19.5" customHeight="1"/>
    <row r="14" ht="19.5" customHeight="1">
      <c r="N14" s="311" t="s">
        <v>1050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0">
    <mergeCell ref="A5:A6"/>
    <mergeCell ref="B5:B6"/>
    <mergeCell ref="O5:O6"/>
    <mergeCell ref="C5:C6"/>
    <mergeCell ref="D5:D6"/>
    <mergeCell ref="E5:E6"/>
    <mergeCell ref="F5:H5"/>
    <mergeCell ref="I5:J5"/>
    <mergeCell ref="K5:L5"/>
    <mergeCell ref="M5:N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&amp;C&amp;"Times New Roman CE,Félkövér dőlt"A HITELÁLLOMÁNY ÁS ADÓSSÁGSZOLGÁLAT ALAKULÁSA 2015-2017 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23" sqref="A23:IV72"/>
    </sheetView>
  </sheetViews>
  <sheetFormatPr defaultColWidth="10.625" defaultRowHeight="12.75"/>
  <cols>
    <col min="1" max="1" width="7.625" style="838" customWidth="1"/>
    <col min="2" max="2" width="37.375" style="838" customWidth="1"/>
    <col min="3" max="3" width="11.875" style="838" customWidth="1"/>
    <col min="4" max="4" width="9.875" style="838" customWidth="1"/>
    <col min="5" max="5" width="9.375" style="838" customWidth="1"/>
    <col min="6" max="6" width="9.50390625" style="838" customWidth="1"/>
    <col min="7" max="11" width="10.625" style="838" customWidth="1"/>
    <col min="12" max="12" width="8.625" style="838" customWidth="1"/>
    <col min="13" max="16384" width="10.625" style="838" customWidth="1"/>
  </cols>
  <sheetData>
    <row r="1" spans="1:12" ht="54">
      <c r="A1" s="358" t="s">
        <v>772</v>
      </c>
      <c r="B1" s="359" t="s">
        <v>381</v>
      </c>
      <c r="C1" s="360" t="s">
        <v>606</v>
      </c>
      <c r="D1" s="359" t="s">
        <v>1256</v>
      </c>
      <c r="E1" s="359" t="s">
        <v>773</v>
      </c>
      <c r="F1" s="359" t="s">
        <v>1257</v>
      </c>
      <c r="G1" s="360" t="s">
        <v>1258</v>
      </c>
      <c r="H1" s="361" t="s">
        <v>1259</v>
      </c>
      <c r="I1" s="361" t="s">
        <v>607</v>
      </c>
      <c r="J1" s="361" t="s">
        <v>250</v>
      </c>
      <c r="K1" s="360" t="s">
        <v>608</v>
      </c>
      <c r="L1" s="361" t="s">
        <v>900</v>
      </c>
    </row>
    <row r="2" spans="1:12" ht="13.5" customHeight="1">
      <c r="A2" s="362" t="s">
        <v>1055</v>
      </c>
      <c r="B2" s="149" t="s">
        <v>678</v>
      </c>
      <c r="C2" s="363">
        <v>4</v>
      </c>
      <c r="D2" s="364">
        <v>3</v>
      </c>
      <c r="E2" s="364"/>
      <c r="F2" s="364"/>
      <c r="G2" s="364"/>
      <c r="H2" s="364"/>
      <c r="I2" s="364"/>
      <c r="J2" s="365">
        <v>1</v>
      </c>
      <c r="K2" s="366">
        <v>4</v>
      </c>
      <c r="L2" s="366">
        <f aca="true" t="shared" si="0" ref="L2:L22">K2-C2</f>
        <v>0</v>
      </c>
    </row>
    <row r="3" spans="1:12" ht="14.25" customHeight="1">
      <c r="A3" s="362" t="s">
        <v>1054</v>
      </c>
      <c r="B3" s="175" t="s">
        <v>384</v>
      </c>
      <c r="C3" s="367">
        <v>177</v>
      </c>
      <c r="D3" s="367">
        <v>149</v>
      </c>
      <c r="E3" s="368"/>
      <c r="F3" s="368"/>
      <c r="G3" s="369"/>
      <c r="H3" s="370"/>
      <c r="I3" s="370">
        <v>19</v>
      </c>
      <c r="J3" s="370">
        <v>9</v>
      </c>
      <c r="K3" s="367">
        <v>177</v>
      </c>
      <c r="L3" s="366">
        <f t="shared" si="0"/>
        <v>0</v>
      </c>
    </row>
    <row r="4" spans="1:12" ht="16.5" customHeight="1">
      <c r="A4" s="362" t="s">
        <v>1056</v>
      </c>
      <c r="B4" s="175" t="s">
        <v>9</v>
      </c>
      <c r="C4" s="367">
        <v>178</v>
      </c>
      <c r="D4" s="367"/>
      <c r="E4" s="368"/>
      <c r="F4" s="368"/>
      <c r="G4" s="367"/>
      <c r="H4" s="371"/>
      <c r="I4" s="367">
        <v>47.5</v>
      </c>
      <c r="J4" s="367">
        <v>130.5</v>
      </c>
      <c r="K4" s="367">
        <v>178</v>
      </c>
      <c r="L4" s="366">
        <f t="shared" si="0"/>
        <v>0</v>
      </c>
    </row>
    <row r="5" spans="1:12" ht="12.75">
      <c r="A5" s="362" t="s">
        <v>1057</v>
      </c>
      <c r="B5" s="149" t="s">
        <v>13</v>
      </c>
      <c r="C5" s="367">
        <v>122.5</v>
      </c>
      <c r="D5" s="367"/>
      <c r="E5" s="368">
        <v>0.5</v>
      </c>
      <c r="F5" s="371"/>
      <c r="G5" s="367"/>
      <c r="H5" s="371">
        <v>77</v>
      </c>
      <c r="I5" s="367">
        <v>4</v>
      </c>
      <c r="J5" s="367">
        <v>41</v>
      </c>
      <c r="K5" s="367">
        <v>122.5</v>
      </c>
      <c r="L5" s="366">
        <f t="shared" si="0"/>
        <v>0</v>
      </c>
    </row>
    <row r="6" spans="1:12" ht="12.75">
      <c r="A6" s="362" t="s">
        <v>1010</v>
      </c>
      <c r="B6" s="149" t="s">
        <v>1260</v>
      </c>
      <c r="C6" s="367">
        <v>56.5</v>
      </c>
      <c r="D6" s="367"/>
      <c r="E6" s="368">
        <v>4</v>
      </c>
      <c r="F6" s="368"/>
      <c r="G6" s="367"/>
      <c r="H6" s="371">
        <v>45.5</v>
      </c>
      <c r="I6" s="367"/>
      <c r="J6" s="367">
        <v>7</v>
      </c>
      <c r="K6" s="367">
        <v>56.5</v>
      </c>
      <c r="L6" s="366">
        <f t="shared" si="0"/>
        <v>0</v>
      </c>
    </row>
    <row r="7" spans="1:12" ht="12.75">
      <c r="A7" s="362" t="s">
        <v>1008</v>
      </c>
      <c r="B7" s="149" t="s">
        <v>1261</v>
      </c>
      <c r="C7" s="367">
        <v>72.5</v>
      </c>
      <c r="D7" s="367"/>
      <c r="E7" s="368"/>
      <c r="F7" s="368">
        <v>40.5</v>
      </c>
      <c r="G7" s="367"/>
      <c r="H7" s="371">
        <v>24</v>
      </c>
      <c r="I7" s="367"/>
      <c r="J7" s="367">
        <v>8</v>
      </c>
      <c r="K7" s="367">
        <v>72.5</v>
      </c>
      <c r="L7" s="366">
        <f t="shared" si="0"/>
        <v>0</v>
      </c>
    </row>
    <row r="8" spans="1:12" ht="12.75">
      <c r="A8" s="362" t="s">
        <v>1013</v>
      </c>
      <c r="B8" s="149" t="s">
        <v>1262</v>
      </c>
      <c r="C8" s="367">
        <v>67</v>
      </c>
      <c r="D8" s="367"/>
      <c r="E8" s="368"/>
      <c r="F8" s="368">
        <v>37</v>
      </c>
      <c r="G8" s="367"/>
      <c r="H8" s="371">
        <v>22</v>
      </c>
      <c r="I8" s="367"/>
      <c r="J8" s="367">
        <v>8</v>
      </c>
      <c r="K8" s="367">
        <v>67</v>
      </c>
      <c r="L8" s="366">
        <f t="shared" si="0"/>
        <v>0</v>
      </c>
    </row>
    <row r="9" spans="1:12" ht="12.75">
      <c r="A9" s="362" t="s">
        <v>1015</v>
      </c>
      <c r="B9" s="149" t="s">
        <v>17</v>
      </c>
      <c r="C9" s="367">
        <v>69</v>
      </c>
      <c r="D9" s="367"/>
      <c r="E9" s="368"/>
      <c r="F9" s="368">
        <v>39</v>
      </c>
      <c r="G9" s="367"/>
      <c r="H9" s="371">
        <v>23</v>
      </c>
      <c r="I9" s="367"/>
      <c r="J9" s="367">
        <v>7</v>
      </c>
      <c r="K9" s="367">
        <v>69</v>
      </c>
      <c r="L9" s="366">
        <f t="shared" si="0"/>
        <v>0</v>
      </c>
    </row>
    <row r="10" spans="1:12" ht="12.75">
      <c r="A10" s="362" t="s">
        <v>1017</v>
      </c>
      <c r="B10" s="149" t="s">
        <v>18</v>
      </c>
      <c r="C10" s="367">
        <v>67.5</v>
      </c>
      <c r="D10" s="367"/>
      <c r="E10" s="368"/>
      <c r="F10" s="368">
        <v>37</v>
      </c>
      <c r="G10" s="367"/>
      <c r="H10" s="371">
        <v>21</v>
      </c>
      <c r="I10" s="367">
        <v>0.5</v>
      </c>
      <c r="J10" s="367">
        <v>9</v>
      </c>
      <c r="K10" s="367">
        <v>67.5</v>
      </c>
      <c r="L10" s="366">
        <f t="shared" si="0"/>
        <v>0</v>
      </c>
    </row>
    <row r="11" spans="1:12" ht="23.25" customHeight="1">
      <c r="A11" s="362" t="s">
        <v>892</v>
      </c>
      <c r="B11" s="161" t="s">
        <v>1263</v>
      </c>
      <c r="C11" s="367">
        <v>29</v>
      </c>
      <c r="D11" s="372"/>
      <c r="E11" s="373"/>
      <c r="F11" s="373"/>
      <c r="G11" s="372">
        <v>12</v>
      </c>
      <c r="H11" s="375">
        <v>2</v>
      </c>
      <c r="I11" s="372">
        <v>1</v>
      </c>
      <c r="J11" s="372">
        <v>11</v>
      </c>
      <c r="K11" s="367">
        <f>SUM(D11:J11)</f>
        <v>26</v>
      </c>
      <c r="L11" s="366">
        <f t="shared" si="0"/>
        <v>-3</v>
      </c>
    </row>
    <row r="12" spans="1:12" ht="12.75">
      <c r="A12" s="362" t="s">
        <v>893</v>
      </c>
      <c r="B12" s="374" t="s">
        <v>10</v>
      </c>
      <c r="C12" s="367">
        <v>48</v>
      </c>
      <c r="D12" s="372"/>
      <c r="E12" s="373"/>
      <c r="F12" s="373"/>
      <c r="G12" s="372">
        <v>9.5</v>
      </c>
      <c r="H12" s="375">
        <v>4</v>
      </c>
      <c r="I12" s="372">
        <v>3.5</v>
      </c>
      <c r="J12" s="372">
        <v>25</v>
      </c>
      <c r="K12" s="367">
        <f>SUM(D12:J12)</f>
        <v>42</v>
      </c>
      <c r="L12" s="366">
        <f t="shared" si="0"/>
        <v>-6</v>
      </c>
    </row>
    <row r="13" spans="1:12" ht="24" customHeight="1">
      <c r="A13" s="362" t="s">
        <v>894</v>
      </c>
      <c r="B13" s="161" t="s">
        <v>20</v>
      </c>
      <c r="C13" s="367">
        <v>3</v>
      </c>
      <c r="D13" s="372"/>
      <c r="E13" s="373"/>
      <c r="F13" s="373"/>
      <c r="G13" s="372"/>
      <c r="H13" s="375">
        <v>3</v>
      </c>
      <c r="I13" s="372"/>
      <c r="J13" s="372"/>
      <c r="K13" s="367">
        <v>3</v>
      </c>
      <c r="L13" s="366">
        <f t="shared" si="0"/>
        <v>0</v>
      </c>
    </row>
    <row r="14" spans="1:12" ht="12.75">
      <c r="A14" s="362" t="s">
        <v>895</v>
      </c>
      <c r="B14" s="62" t="s">
        <v>11</v>
      </c>
      <c r="C14" s="367">
        <v>50</v>
      </c>
      <c r="D14" s="372"/>
      <c r="E14" s="373"/>
      <c r="F14" s="373"/>
      <c r="G14" s="372">
        <v>38</v>
      </c>
      <c r="H14" s="375">
        <v>5.5</v>
      </c>
      <c r="I14" s="372">
        <v>1</v>
      </c>
      <c r="J14" s="372">
        <v>5.5</v>
      </c>
      <c r="K14" s="367">
        <v>50</v>
      </c>
      <c r="L14" s="366">
        <f t="shared" si="0"/>
        <v>0</v>
      </c>
    </row>
    <row r="15" spans="1:12" ht="12.75">
      <c r="A15" s="362" t="s">
        <v>896</v>
      </c>
      <c r="B15" s="62" t="s">
        <v>12</v>
      </c>
      <c r="C15" s="367">
        <v>62</v>
      </c>
      <c r="D15" s="372"/>
      <c r="E15" s="373"/>
      <c r="F15" s="373"/>
      <c r="G15" s="376"/>
      <c r="H15" s="375">
        <v>45</v>
      </c>
      <c r="I15" s="372">
        <v>3</v>
      </c>
      <c r="J15" s="372">
        <v>10</v>
      </c>
      <c r="K15" s="367">
        <f>SUM(D15:J15)</f>
        <v>58</v>
      </c>
      <c r="L15" s="366">
        <f t="shared" si="0"/>
        <v>-4</v>
      </c>
    </row>
    <row r="16" spans="1:12" ht="12.75">
      <c r="A16" s="362" t="s">
        <v>897</v>
      </c>
      <c r="B16" s="62" t="s">
        <v>1264</v>
      </c>
      <c r="C16" s="367">
        <v>127</v>
      </c>
      <c r="D16" s="372"/>
      <c r="E16" s="373"/>
      <c r="F16" s="373"/>
      <c r="G16" s="376"/>
      <c r="H16" s="375">
        <v>39</v>
      </c>
      <c r="I16" s="372">
        <v>16</v>
      </c>
      <c r="J16" s="372">
        <v>72</v>
      </c>
      <c r="K16" s="367">
        <v>127</v>
      </c>
      <c r="L16" s="366">
        <f t="shared" si="0"/>
        <v>0</v>
      </c>
    </row>
    <row r="17" spans="1:12" ht="12.75">
      <c r="A17" s="362" t="s">
        <v>1036</v>
      </c>
      <c r="B17" s="62" t="s">
        <v>22</v>
      </c>
      <c r="C17" s="367">
        <v>18</v>
      </c>
      <c r="D17" s="372"/>
      <c r="E17" s="373"/>
      <c r="F17" s="373"/>
      <c r="G17" s="376"/>
      <c r="H17" s="375">
        <v>11</v>
      </c>
      <c r="I17" s="372">
        <v>1</v>
      </c>
      <c r="J17" s="372">
        <v>6</v>
      </c>
      <c r="K17" s="367">
        <v>18</v>
      </c>
      <c r="L17" s="366">
        <f t="shared" si="0"/>
        <v>0</v>
      </c>
    </row>
    <row r="18" spans="1:12" ht="12.75">
      <c r="A18" s="362" t="s">
        <v>898</v>
      </c>
      <c r="B18" s="62" t="s">
        <v>23</v>
      </c>
      <c r="C18" s="367">
        <v>21</v>
      </c>
      <c r="D18" s="372"/>
      <c r="E18" s="373"/>
      <c r="F18" s="373"/>
      <c r="G18" s="376"/>
      <c r="H18" s="375"/>
      <c r="I18" s="372">
        <v>5</v>
      </c>
      <c r="J18" s="372">
        <v>16</v>
      </c>
      <c r="K18" s="367">
        <v>21</v>
      </c>
      <c r="L18" s="366">
        <f t="shared" si="0"/>
        <v>0</v>
      </c>
    </row>
    <row r="19" spans="1:12" ht="12.75">
      <c r="A19" s="362" t="s">
        <v>899</v>
      </c>
      <c r="B19" s="62" t="s">
        <v>774</v>
      </c>
      <c r="C19" s="367">
        <v>11</v>
      </c>
      <c r="D19" s="372"/>
      <c r="E19" s="373"/>
      <c r="F19" s="373"/>
      <c r="G19" s="376"/>
      <c r="H19" s="375"/>
      <c r="I19" s="372">
        <v>3</v>
      </c>
      <c r="J19" s="372">
        <v>8</v>
      </c>
      <c r="K19" s="367">
        <v>11</v>
      </c>
      <c r="L19" s="366">
        <f t="shared" si="0"/>
        <v>0</v>
      </c>
    </row>
    <row r="20" spans="1:12" ht="12.75">
      <c r="A20" s="362" t="s">
        <v>609</v>
      </c>
      <c r="B20" s="62" t="s">
        <v>603</v>
      </c>
      <c r="C20" s="367">
        <v>0</v>
      </c>
      <c r="D20" s="372"/>
      <c r="E20" s="373"/>
      <c r="F20" s="373"/>
      <c r="G20" s="376"/>
      <c r="H20" s="375"/>
      <c r="I20" s="372">
        <v>13</v>
      </c>
      <c r="J20" s="372"/>
      <c r="K20" s="367">
        <f>SUM(C20:J20)</f>
        <v>13</v>
      </c>
      <c r="L20" s="366">
        <f t="shared" si="0"/>
        <v>13</v>
      </c>
    </row>
    <row r="21" spans="1:12" ht="15">
      <c r="A21" s="150"/>
      <c r="B21" s="151" t="s">
        <v>1265</v>
      </c>
      <c r="C21" s="377">
        <f>SUM(C3:C19)</f>
        <v>1179</v>
      </c>
      <c r="D21" s="377">
        <v>149</v>
      </c>
      <c r="E21" s="377">
        <v>4.5</v>
      </c>
      <c r="F21" s="377">
        <v>153.5</v>
      </c>
      <c r="G21" s="377">
        <v>59.5</v>
      </c>
      <c r="H21" s="377">
        <v>322</v>
      </c>
      <c r="I21" s="377">
        <f>SUM(I3:I20)</f>
        <v>117.5</v>
      </c>
      <c r="J21" s="377">
        <v>373</v>
      </c>
      <c r="K21" s="377">
        <f>SUM(D21:J21)</f>
        <v>1179</v>
      </c>
      <c r="L21" s="839">
        <f t="shared" si="0"/>
        <v>0</v>
      </c>
    </row>
    <row r="22" spans="1:12" ht="15">
      <c r="A22" s="378"/>
      <c r="B22" s="176" t="s">
        <v>380</v>
      </c>
      <c r="C22" s="379">
        <f>C2+C21</f>
        <v>1183</v>
      </c>
      <c r="D22" s="379">
        <v>152</v>
      </c>
      <c r="E22" s="379">
        <v>4.5</v>
      </c>
      <c r="F22" s="379">
        <v>153.5</v>
      </c>
      <c r="G22" s="379">
        <v>59.5</v>
      </c>
      <c r="H22" s="379">
        <v>322</v>
      </c>
      <c r="I22" s="379">
        <v>117.5</v>
      </c>
      <c r="J22" s="379">
        <v>374</v>
      </c>
      <c r="K22" s="379">
        <f>SUM(D22:J22)</f>
        <v>1183</v>
      </c>
      <c r="L22" s="839">
        <f t="shared" si="0"/>
        <v>0</v>
      </c>
    </row>
  </sheetData>
  <sheetProtection/>
  <printOptions/>
  <pageMargins left="0.3937007874015748" right="0.3937007874015748" top="1.5748031496062993" bottom="0.984251968503937" header="0.9055118110236221" footer="0.5118110236220472"/>
  <pageSetup horizontalDpi="600" verticalDpi="600" orientation="landscape" paperSize="9" r:id="rId1"/>
  <headerFooter alignWithMargins="0">
    <oddHeader>&amp;C                ZALAEGERSZEG MEGYEI JOGÚ VÁROS ÖNKORMÁNYZATA ÉS AZ ÁLTALA IRÁNYÍTOTT KÖLTSÉGVETÉSI SZERVEK
                                                 2015. ÉVI LÉTSZÁM-ELŐIRÁNYZATAI &amp;R  10. melléklet
Adatok: főben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ySplit="3" topLeftCell="BM22" activePane="bottomLeft" state="frozen"/>
      <selection pane="topLeft" activeCell="A1" sqref="A1"/>
      <selection pane="bottomLeft" activeCell="K14" sqref="K14"/>
    </sheetView>
  </sheetViews>
  <sheetFormatPr defaultColWidth="10.625" defaultRowHeight="12.75"/>
  <cols>
    <col min="1" max="1" width="4.375" style="316" customWidth="1"/>
    <col min="2" max="2" width="56.875" style="316" customWidth="1"/>
    <col min="3" max="3" width="11.625" style="356" customWidth="1"/>
    <col min="4" max="4" width="9.875" style="316" customWidth="1"/>
    <col min="5" max="5" width="10.125" style="316" customWidth="1"/>
    <col min="6" max="6" width="11.125" style="316" customWidth="1"/>
    <col min="7" max="7" width="13.375" style="357" customWidth="1"/>
    <col min="8" max="8" width="15.00390625" style="316" customWidth="1"/>
    <col min="9" max="9" width="11.125" style="357" customWidth="1"/>
    <col min="10" max="10" width="12.875" style="316" customWidth="1"/>
    <col min="11" max="11" width="13.625" style="316" customWidth="1"/>
    <col min="12" max="12" width="11.625" style="316" customWidth="1"/>
    <col min="13" max="16384" width="10.625" style="316" customWidth="1"/>
  </cols>
  <sheetData>
    <row r="1" spans="1:12" ht="29.25" customHeight="1">
      <c r="A1" s="511" t="s">
        <v>170</v>
      </c>
      <c r="B1" s="514" t="s">
        <v>171</v>
      </c>
      <c r="C1" s="505" t="s">
        <v>172</v>
      </c>
      <c r="D1" s="505" t="s">
        <v>173</v>
      </c>
      <c r="E1" s="515" t="s">
        <v>555</v>
      </c>
      <c r="F1" s="505" t="s">
        <v>174</v>
      </c>
      <c r="G1" s="505" t="s">
        <v>800</v>
      </c>
      <c r="H1" s="518" t="s">
        <v>801</v>
      </c>
      <c r="I1" s="508" t="s">
        <v>619</v>
      </c>
      <c r="J1" s="509"/>
      <c r="K1" s="509"/>
      <c r="L1" s="509"/>
    </row>
    <row r="2" spans="1:12" ht="12.75" customHeight="1">
      <c r="A2" s="512"/>
      <c r="B2" s="506"/>
      <c r="C2" s="506"/>
      <c r="D2" s="506"/>
      <c r="E2" s="516"/>
      <c r="F2" s="506"/>
      <c r="G2" s="506"/>
      <c r="H2" s="519"/>
      <c r="I2" s="510" t="s">
        <v>803</v>
      </c>
      <c r="J2" s="510" t="s">
        <v>804</v>
      </c>
      <c r="K2" s="509"/>
      <c r="L2" s="509"/>
    </row>
    <row r="3" spans="1:12" s="320" customFormat="1" ht="55.5" customHeight="1" thickBot="1">
      <c r="A3" s="513"/>
      <c r="B3" s="507"/>
      <c r="C3" s="507"/>
      <c r="D3" s="507"/>
      <c r="E3" s="517"/>
      <c r="F3" s="507"/>
      <c r="G3" s="507"/>
      <c r="H3" s="520"/>
      <c r="I3" s="521"/>
      <c r="J3" s="318" t="s">
        <v>805</v>
      </c>
      <c r="K3" s="317" t="s">
        <v>207</v>
      </c>
      <c r="L3" s="319" t="s">
        <v>195</v>
      </c>
    </row>
    <row r="4" spans="1:12" ht="38.25" customHeight="1">
      <c r="A4" s="321" t="s">
        <v>1055</v>
      </c>
      <c r="B4" s="322" t="s">
        <v>807</v>
      </c>
      <c r="C4" s="323">
        <v>758465</v>
      </c>
      <c r="D4" s="323">
        <v>0</v>
      </c>
      <c r="E4" s="323"/>
      <c r="F4" s="324">
        <f aca="true" t="shared" si="0" ref="F4:F13">SUM(C4:D4)</f>
        <v>758465</v>
      </c>
      <c r="G4" s="199">
        <f aca="true" t="shared" si="1" ref="G4:G13">C4/F4</f>
        <v>1</v>
      </c>
      <c r="H4" s="200" t="s">
        <v>808</v>
      </c>
      <c r="I4" s="325">
        <v>258332</v>
      </c>
      <c r="J4" s="326">
        <v>258332</v>
      </c>
      <c r="K4" s="327"/>
      <c r="L4" s="326"/>
    </row>
    <row r="5" spans="1:12" ht="30" customHeight="1">
      <c r="A5" s="321" t="s">
        <v>1054</v>
      </c>
      <c r="B5" s="322" t="s">
        <v>809</v>
      </c>
      <c r="C5" s="323">
        <v>491005</v>
      </c>
      <c r="D5" s="323">
        <v>86648</v>
      </c>
      <c r="E5" s="323"/>
      <c r="F5" s="324">
        <f t="shared" si="0"/>
        <v>577653</v>
      </c>
      <c r="G5" s="199">
        <f t="shared" si="1"/>
        <v>0.8499999134428454</v>
      </c>
      <c r="H5" s="200" t="s">
        <v>808</v>
      </c>
      <c r="I5" s="325">
        <v>567747</v>
      </c>
      <c r="J5" s="326">
        <v>491005</v>
      </c>
      <c r="K5" s="327">
        <v>76742</v>
      </c>
      <c r="L5" s="326"/>
    </row>
    <row r="6" spans="1:12" ht="26.25" customHeight="1">
      <c r="A6" s="321" t="s">
        <v>1056</v>
      </c>
      <c r="B6" s="322" t="s">
        <v>180</v>
      </c>
      <c r="C6" s="323">
        <v>494387</v>
      </c>
      <c r="D6" s="323">
        <v>87244</v>
      </c>
      <c r="E6" s="323"/>
      <c r="F6" s="324">
        <f t="shared" si="0"/>
        <v>581631</v>
      </c>
      <c r="G6" s="199">
        <f t="shared" si="1"/>
        <v>0.8500011175470359</v>
      </c>
      <c r="H6" s="200" t="s">
        <v>808</v>
      </c>
      <c r="I6" s="325">
        <v>571725</v>
      </c>
      <c r="J6" s="326">
        <v>494387</v>
      </c>
      <c r="K6" s="327">
        <v>77338</v>
      </c>
      <c r="L6" s="326"/>
    </row>
    <row r="7" spans="1:12" ht="24" customHeight="1">
      <c r="A7" s="321" t="s">
        <v>1057</v>
      </c>
      <c r="B7" s="322" t="s">
        <v>181</v>
      </c>
      <c r="C7" s="323">
        <v>261239</v>
      </c>
      <c r="D7" s="323">
        <v>0</v>
      </c>
      <c r="E7" s="323"/>
      <c r="F7" s="324">
        <f t="shared" si="0"/>
        <v>261239</v>
      </c>
      <c r="G7" s="199">
        <f t="shared" si="1"/>
        <v>1</v>
      </c>
      <c r="H7" s="200" t="s">
        <v>808</v>
      </c>
      <c r="I7" s="325">
        <v>261239</v>
      </c>
      <c r="J7" s="326">
        <v>261239</v>
      </c>
      <c r="K7" s="327"/>
      <c r="L7" s="326"/>
    </row>
    <row r="8" spans="1:12" ht="28.5" customHeight="1">
      <c r="A8" s="321" t="s">
        <v>1010</v>
      </c>
      <c r="B8" s="322" t="s">
        <v>182</v>
      </c>
      <c r="C8" s="323">
        <v>342265</v>
      </c>
      <c r="D8" s="323">
        <v>0</v>
      </c>
      <c r="E8" s="323"/>
      <c r="F8" s="324">
        <f t="shared" si="0"/>
        <v>342265</v>
      </c>
      <c r="G8" s="199">
        <f t="shared" si="1"/>
        <v>1</v>
      </c>
      <c r="H8" s="200" t="s">
        <v>808</v>
      </c>
      <c r="I8" s="325">
        <v>293117</v>
      </c>
      <c r="J8" s="326">
        <v>293117</v>
      </c>
      <c r="K8" s="327"/>
      <c r="L8" s="326"/>
    </row>
    <row r="9" spans="1:12" ht="27" customHeight="1">
      <c r="A9" s="321" t="s">
        <v>1008</v>
      </c>
      <c r="B9" s="322" t="s">
        <v>811</v>
      </c>
      <c r="C9" s="323">
        <v>599168</v>
      </c>
      <c r="D9" s="323">
        <v>0</v>
      </c>
      <c r="E9" s="323"/>
      <c r="F9" s="324">
        <f t="shared" si="0"/>
        <v>599168</v>
      </c>
      <c r="G9" s="199">
        <f t="shared" si="1"/>
        <v>1</v>
      </c>
      <c r="H9" s="200" t="s">
        <v>808</v>
      </c>
      <c r="I9" s="325">
        <v>196777</v>
      </c>
      <c r="J9" s="326">
        <v>196777</v>
      </c>
      <c r="K9" s="327"/>
      <c r="L9" s="326"/>
    </row>
    <row r="10" spans="1:12" ht="38.25" customHeight="1">
      <c r="A10" s="321" t="s">
        <v>1013</v>
      </c>
      <c r="B10" s="322" t="s">
        <v>812</v>
      </c>
      <c r="C10" s="323">
        <v>900843</v>
      </c>
      <c r="D10" s="323">
        <v>597021</v>
      </c>
      <c r="E10" s="323"/>
      <c r="F10" s="324">
        <f t="shared" si="0"/>
        <v>1497864</v>
      </c>
      <c r="G10" s="199">
        <f t="shared" si="1"/>
        <v>0.6014184198298377</v>
      </c>
      <c r="H10" s="200" t="s">
        <v>813</v>
      </c>
      <c r="I10" s="325">
        <v>35593</v>
      </c>
      <c r="J10" s="326">
        <v>10209</v>
      </c>
      <c r="K10" s="327">
        <v>32728</v>
      </c>
      <c r="L10" s="326"/>
    </row>
    <row r="11" spans="1:12" ht="29.25" customHeight="1">
      <c r="A11" s="321" t="s">
        <v>1015</v>
      </c>
      <c r="B11" s="322" t="s">
        <v>817</v>
      </c>
      <c r="C11" s="323">
        <v>725000</v>
      </c>
      <c r="D11" s="323">
        <v>0</v>
      </c>
      <c r="E11" s="323"/>
      <c r="F11" s="324">
        <f t="shared" si="0"/>
        <v>725000</v>
      </c>
      <c r="G11" s="199">
        <f t="shared" si="1"/>
        <v>1</v>
      </c>
      <c r="H11" s="200" t="s">
        <v>808</v>
      </c>
      <c r="I11" s="325">
        <v>444808</v>
      </c>
      <c r="J11" s="326">
        <v>310281</v>
      </c>
      <c r="K11" s="327"/>
      <c r="L11" s="326">
        <v>134527</v>
      </c>
    </row>
    <row r="12" spans="1:12" ht="29.25" customHeight="1">
      <c r="A12" s="321" t="s">
        <v>1017</v>
      </c>
      <c r="B12" s="322" t="s">
        <v>185</v>
      </c>
      <c r="C12" s="323">
        <v>410499</v>
      </c>
      <c r="D12" s="323">
        <v>0</v>
      </c>
      <c r="E12" s="323"/>
      <c r="F12" s="324">
        <f t="shared" si="0"/>
        <v>410499</v>
      </c>
      <c r="G12" s="199">
        <f t="shared" si="1"/>
        <v>1</v>
      </c>
      <c r="H12" s="200" t="s">
        <v>808</v>
      </c>
      <c r="I12" s="325">
        <v>219860</v>
      </c>
      <c r="J12" s="326">
        <v>125151</v>
      </c>
      <c r="K12" s="327"/>
      <c r="L12" s="326">
        <v>94709</v>
      </c>
    </row>
    <row r="13" spans="1:12" ht="41.25" customHeight="1">
      <c r="A13" s="321" t="s">
        <v>892</v>
      </c>
      <c r="B13" s="322" t="s">
        <v>186</v>
      </c>
      <c r="C13" s="323">
        <v>305063</v>
      </c>
      <c r="D13" s="323">
        <v>0</v>
      </c>
      <c r="E13" s="323"/>
      <c r="F13" s="324">
        <f t="shared" si="0"/>
        <v>305063</v>
      </c>
      <c r="G13" s="199">
        <f t="shared" si="1"/>
        <v>1</v>
      </c>
      <c r="H13" s="200" t="s">
        <v>187</v>
      </c>
      <c r="I13" s="323">
        <v>33941</v>
      </c>
      <c r="J13" s="328">
        <v>14053</v>
      </c>
      <c r="K13" s="329"/>
      <c r="L13" s="328">
        <v>19888</v>
      </c>
    </row>
    <row r="14" spans="1:12" ht="43.5" customHeight="1">
      <c r="A14" s="321" t="s">
        <v>893</v>
      </c>
      <c r="B14" s="322" t="s">
        <v>620</v>
      </c>
      <c r="C14" s="323">
        <v>246905</v>
      </c>
      <c r="D14" s="323">
        <v>12995</v>
      </c>
      <c r="E14" s="323">
        <v>65475</v>
      </c>
      <c r="F14" s="324">
        <f>SUM(C14:E14)</f>
        <v>325375</v>
      </c>
      <c r="G14" s="199">
        <v>0.95</v>
      </c>
      <c r="H14" s="200" t="s">
        <v>621</v>
      </c>
      <c r="I14" s="323">
        <v>323744</v>
      </c>
      <c r="J14" s="328">
        <v>242202</v>
      </c>
      <c r="K14" s="328">
        <v>81542</v>
      </c>
      <c r="L14" s="328"/>
    </row>
    <row r="15" spans="1:12" ht="18.75" customHeight="1">
      <c r="A15" s="330"/>
      <c r="B15" s="317" t="s">
        <v>152</v>
      </c>
      <c r="C15" s="331">
        <f>SUM(C4:C14)</f>
        <v>5534839</v>
      </c>
      <c r="D15" s="331">
        <f>SUM(D4:D14)</f>
        <v>783908</v>
      </c>
      <c r="E15" s="331">
        <f>SUM(E4:E14)</f>
        <v>65475</v>
      </c>
      <c r="F15" s="331">
        <f>SUM(F4:F14)</f>
        <v>6384222</v>
      </c>
      <c r="G15" s="331"/>
      <c r="H15" s="331"/>
      <c r="I15" s="331">
        <f>SUM(I4:I14)</f>
        <v>3206883</v>
      </c>
      <c r="J15" s="331">
        <f>SUM(J4:J14)</f>
        <v>2696753</v>
      </c>
      <c r="K15" s="331">
        <f>SUM(K4:K14)</f>
        <v>268350</v>
      </c>
      <c r="L15" s="331">
        <f>SUM(L4:L14)</f>
        <v>249124</v>
      </c>
    </row>
    <row r="16" spans="1:12" ht="14.25" customHeight="1">
      <c r="A16" s="332"/>
      <c r="B16" s="333"/>
      <c r="C16" s="334"/>
      <c r="D16" s="334"/>
      <c r="E16" s="334"/>
      <c r="F16" s="335"/>
      <c r="G16" s="201"/>
      <c r="H16" s="202"/>
      <c r="I16" s="334"/>
      <c r="J16" s="336"/>
      <c r="K16" s="336"/>
      <c r="L16" s="336"/>
    </row>
    <row r="17" spans="1:12" ht="15.75" customHeight="1">
      <c r="A17" s="337"/>
      <c r="B17" s="338" t="s">
        <v>188</v>
      </c>
      <c r="C17" s="339"/>
      <c r="D17" s="339"/>
      <c r="E17" s="339"/>
      <c r="F17" s="340"/>
      <c r="G17" s="203"/>
      <c r="H17" s="204"/>
      <c r="I17" s="339"/>
      <c r="J17" s="341"/>
      <c r="K17" s="341"/>
      <c r="L17" s="341"/>
    </row>
    <row r="18" spans="1:12" ht="42" customHeight="1">
      <c r="A18" s="321" t="s">
        <v>894</v>
      </c>
      <c r="B18" s="342" t="s">
        <v>204</v>
      </c>
      <c r="C18" s="323">
        <v>79369</v>
      </c>
      <c r="D18" s="323">
        <v>0</v>
      </c>
      <c r="E18" s="323"/>
      <c r="F18" s="324">
        <f>SUM(C18:D18)</f>
        <v>79369</v>
      </c>
      <c r="G18" s="199">
        <f>C18/F18</f>
        <v>1</v>
      </c>
      <c r="H18" s="200" t="s">
        <v>189</v>
      </c>
      <c r="I18" s="323">
        <v>1118</v>
      </c>
      <c r="J18" s="328">
        <v>1118</v>
      </c>
      <c r="K18" s="328">
        <v>0</v>
      </c>
      <c r="L18" s="328"/>
    </row>
    <row r="19" spans="1:12" ht="51" customHeight="1">
      <c r="A19" s="321" t="s">
        <v>895</v>
      </c>
      <c r="B19" s="342" t="s">
        <v>622</v>
      </c>
      <c r="C19" s="323">
        <v>765</v>
      </c>
      <c r="D19" s="323">
        <v>0</v>
      </c>
      <c r="E19" s="323"/>
      <c r="F19" s="324">
        <f>SUM(C19:D19)</f>
        <v>765</v>
      </c>
      <c r="G19" s="199">
        <f>C19/F19</f>
        <v>1</v>
      </c>
      <c r="H19" s="200" t="s">
        <v>808</v>
      </c>
      <c r="I19" s="323">
        <v>0</v>
      </c>
      <c r="J19" s="328">
        <v>534</v>
      </c>
      <c r="K19" s="328">
        <v>-534</v>
      </c>
      <c r="L19" s="328"/>
    </row>
    <row r="20" spans="1:12" ht="44.25" customHeight="1">
      <c r="A20" s="321" t="s">
        <v>896</v>
      </c>
      <c r="B20" s="342" t="s">
        <v>623</v>
      </c>
      <c r="C20" s="323">
        <v>11838</v>
      </c>
      <c r="D20" s="323">
        <v>0</v>
      </c>
      <c r="E20" s="323"/>
      <c r="F20" s="324">
        <f>SUM(C20:D20)</f>
        <v>11838</v>
      </c>
      <c r="G20" s="199">
        <f>C20/F20</f>
        <v>1</v>
      </c>
      <c r="H20" s="200" t="s">
        <v>621</v>
      </c>
      <c r="I20" s="323">
        <v>4931</v>
      </c>
      <c r="J20" s="328">
        <v>4931</v>
      </c>
      <c r="K20" s="328"/>
      <c r="L20" s="328"/>
    </row>
    <row r="21" spans="1:12" ht="39" customHeight="1">
      <c r="A21" s="321" t="s">
        <v>897</v>
      </c>
      <c r="B21" s="342" t="s">
        <v>205</v>
      </c>
      <c r="C21" s="323">
        <v>27869</v>
      </c>
      <c r="D21" s="323">
        <v>0</v>
      </c>
      <c r="E21" s="323"/>
      <c r="F21" s="324">
        <f>SUM(C21:D21)</f>
        <v>27869</v>
      </c>
      <c r="G21" s="199">
        <f>C21/F21</f>
        <v>1</v>
      </c>
      <c r="H21" s="200" t="s">
        <v>187</v>
      </c>
      <c r="I21" s="323">
        <v>344</v>
      </c>
      <c r="J21" s="328">
        <v>344</v>
      </c>
      <c r="K21" s="328">
        <v>0</v>
      </c>
      <c r="L21" s="328"/>
    </row>
    <row r="22" spans="1:12" ht="39.75" customHeight="1">
      <c r="A22" s="321" t="s">
        <v>1036</v>
      </c>
      <c r="B22" s="342" t="s">
        <v>206</v>
      </c>
      <c r="C22" s="323">
        <v>15135</v>
      </c>
      <c r="D22" s="323">
        <v>0</v>
      </c>
      <c r="E22" s="323"/>
      <c r="F22" s="324">
        <f>SUM(C22:D22)</f>
        <v>15135</v>
      </c>
      <c r="G22" s="199">
        <f>C22/F22</f>
        <v>1</v>
      </c>
      <c r="H22" s="200" t="s">
        <v>187</v>
      </c>
      <c r="I22" s="323">
        <v>1496</v>
      </c>
      <c r="J22" s="328">
        <v>1496</v>
      </c>
      <c r="K22" s="328">
        <v>0</v>
      </c>
      <c r="L22" s="328"/>
    </row>
    <row r="23" spans="1:12" ht="13.5">
      <c r="A23" s="343"/>
      <c r="B23" s="344" t="s">
        <v>190</v>
      </c>
      <c r="C23" s="345">
        <f>SUM(C18:C22)</f>
        <v>134976</v>
      </c>
      <c r="D23" s="345">
        <f>SUM(D18:D22)</f>
        <v>0</v>
      </c>
      <c r="E23" s="345"/>
      <c r="F23" s="345">
        <f>SUM(F18:F22)</f>
        <v>134976</v>
      </c>
      <c r="G23" s="346"/>
      <c r="H23" s="346"/>
      <c r="I23" s="345">
        <f>SUM(I18:I22)</f>
        <v>7889</v>
      </c>
      <c r="J23" s="345">
        <f>SUM(J18:J22)</f>
        <v>8423</v>
      </c>
      <c r="K23" s="345">
        <f>SUM(K18:K22)</f>
        <v>-534</v>
      </c>
      <c r="L23" s="345"/>
    </row>
    <row r="24" spans="1:12" ht="13.5">
      <c r="A24" s="347"/>
      <c r="B24" s="348"/>
      <c r="C24" s="349"/>
      <c r="D24" s="349"/>
      <c r="E24" s="349"/>
      <c r="F24" s="349"/>
      <c r="G24" s="350"/>
      <c r="H24" s="350"/>
      <c r="I24" s="349"/>
      <c r="J24" s="349"/>
      <c r="K24" s="349"/>
      <c r="L24" s="349"/>
    </row>
    <row r="25" spans="1:12" ht="18.75" customHeight="1" thickBot="1">
      <c r="A25" s="351"/>
      <c r="B25" s="352" t="s">
        <v>818</v>
      </c>
      <c r="C25" s="353"/>
      <c r="D25" s="351"/>
      <c r="E25" s="351"/>
      <c r="F25" s="351"/>
      <c r="G25" s="354"/>
      <c r="H25" s="351"/>
      <c r="I25" s="354"/>
      <c r="J25" s="351"/>
      <c r="K25" s="351"/>
      <c r="L25" s="355"/>
    </row>
    <row r="26" spans="1:12" ht="27" customHeight="1">
      <c r="A26" s="511" t="s">
        <v>170</v>
      </c>
      <c r="B26" s="514" t="s">
        <v>171</v>
      </c>
      <c r="C26" s="505" t="s">
        <v>172</v>
      </c>
      <c r="D26" s="505" t="s">
        <v>173</v>
      </c>
      <c r="E26" s="515"/>
      <c r="F26" s="505" t="s">
        <v>174</v>
      </c>
      <c r="G26" s="505" t="s">
        <v>800</v>
      </c>
      <c r="H26" s="518" t="s">
        <v>801</v>
      </c>
      <c r="I26" s="508" t="s">
        <v>802</v>
      </c>
      <c r="J26" s="509"/>
      <c r="K26" s="509"/>
      <c r="L26" s="509"/>
    </row>
    <row r="27" spans="1:12" ht="18.75" customHeight="1">
      <c r="A27" s="512"/>
      <c r="B27" s="506"/>
      <c r="C27" s="506"/>
      <c r="D27" s="506"/>
      <c r="E27" s="516"/>
      <c r="F27" s="506"/>
      <c r="G27" s="506"/>
      <c r="H27" s="519"/>
      <c r="I27" s="510" t="s">
        <v>803</v>
      </c>
      <c r="J27" s="510" t="s">
        <v>804</v>
      </c>
      <c r="K27" s="509"/>
      <c r="L27" s="509"/>
    </row>
    <row r="28" spans="1:12" ht="36" customHeight="1" thickBot="1">
      <c r="A28" s="513"/>
      <c r="B28" s="507"/>
      <c r="C28" s="507"/>
      <c r="D28" s="507"/>
      <c r="E28" s="517"/>
      <c r="F28" s="507"/>
      <c r="G28" s="507"/>
      <c r="H28" s="520"/>
      <c r="I28" s="521"/>
      <c r="J28" s="318" t="s">
        <v>805</v>
      </c>
      <c r="K28" s="317" t="s">
        <v>207</v>
      </c>
      <c r="L28" s="319" t="s">
        <v>806</v>
      </c>
    </row>
    <row r="29" spans="1:12" ht="63.75">
      <c r="A29" s="321" t="s">
        <v>898</v>
      </c>
      <c r="B29" s="342" t="s">
        <v>820</v>
      </c>
      <c r="C29" s="323">
        <v>3780364</v>
      </c>
      <c r="D29" s="323">
        <v>459001</v>
      </c>
      <c r="E29" s="323"/>
      <c r="F29" s="324">
        <f>SUM(C29:D29)</f>
        <v>4239365</v>
      </c>
      <c r="G29" s="199">
        <f>C29/F29</f>
        <v>0.8917288320302686</v>
      </c>
      <c r="H29" s="200" t="s">
        <v>808</v>
      </c>
      <c r="I29" s="323">
        <v>341840</v>
      </c>
      <c r="J29" s="328">
        <v>0</v>
      </c>
      <c r="K29" s="328">
        <v>341840</v>
      </c>
      <c r="L29" s="328">
        <v>341840</v>
      </c>
    </row>
  </sheetData>
  <sheetProtection/>
  <mergeCells count="22">
    <mergeCell ref="I26:L26"/>
    <mergeCell ref="I27:I28"/>
    <mergeCell ref="J27:L27"/>
    <mergeCell ref="G26:G28"/>
    <mergeCell ref="D26:D28"/>
    <mergeCell ref="B1:B3"/>
    <mergeCell ref="E1:E3"/>
    <mergeCell ref="H26:H28"/>
    <mergeCell ref="E26:E28"/>
    <mergeCell ref="F26:F28"/>
    <mergeCell ref="H1:H3"/>
    <mergeCell ref="A1:A3"/>
    <mergeCell ref="A26:A28"/>
    <mergeCell ref="B26:B28"/>
    <mergeCell ref="C26:C28"/>
    <mergeCell ref="C1:C3"/>
    <mergeCell ref="D1:D3"/>
    <mergeCell ref="I1:L1"/>
    <mergeCell ref="F1:F3"/>
    <mergeCell ref="G1:G3"/>
    <mergeCell ref="J2:L2"/>
    <mergeCell ref="I2:I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 dőlt"&amp;12Európai Uniós támogatással megvalósuló projektek tervezett költségei      
és finanszírozási forrásai  2015. évben&amp;R&amp;"Times New Roman CE,Dőlt"&amp;11 11. melléklet
adatok eFt-ban
&amp;"Times New Roman CE,Normál"
</oddHeader>
    <oddFooter>&amp;C&amp;P</oddFooter>
  </headerFooter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1.50390625" style="0" customWidth="1"/>
    <col min="2" max="2" width="17.50390625" style="0" customWidth="1"/>
    <col min="3" max="3" width="13.00390625" style="0" customWidth="1"/>
    <col min="4" max="4" width="13.375" style="0" customWidth="1"/>
  </cols>
  <sheetData>
    <row r="1" spans="1:2" ht="67.5">
      <c r="A1" s="450" t="s">
        <v>410</v>
      </c>
      <c r="B1" s="451" t="s">
        <v>411</v>
      </c>
    </row>
    <row r="2" spans="1:4" ht="24.75" customHeight="1">
      <c r="A2" s="417" t="s">
        <v>412</v>
      </c>
      <c r="B2" s="452" t="s">
        <v>413</v>
      </c>
      <c r="C2" s="453"/>
      <c r="D2" s="454"/>
    </row>
    <row r="3" spans="1:4" ht="24.75" customHeight="1">
      <c r="A3" s="417" t="s">
        <v>414</v>
      </c>
      <c r="B3" s="455">
        <v>1400</v>
      </c>
      <c r="C3" s="453"/>
      <c r="D3" s="454"/>
    </row>
    <row r="4" spans="1:4" ht="24.75" customHeight="1">
      <c r="A4" s="456" t="s">
        <v>415</v>
      </c>
      <c r="B4" s="455">
        <v>37368</v>
      </c>
      <c r="C4" s="453"/>
      <c r="D4" s="454"/>
    </row>
    <row r="5" spans="1:4" ht="24.75" customHeight="1">
      <c r="A5" s="456" t="s">
        <v>416</v>
      </c>
      <c r="B5" s="455">
        <v>50910</v>
      </c>
      <c r="C5" s="453"/>
      <c r="D5" s="454"/>
    </row>
    <row r="6" spans="1:4" ht="24.75" customHeight="1">
      <c r="A6" s="417" t="s">
        <v>417</v>
      </c>
      <c r="B6" s="452" t="s">
        <v>413</v>
      </c>
      <c r="C6" s="453"/>
      <c r="D6" s="454"/>
    </row>
    <row r="7" spans="1:2" ht="13.5" customHeight="1">
      <c r="A7" s="457" t="s">
        <v>152</v>
      </c>
      <c r="B7" s="458">
        <f>SUM(B2:B6)</f>
        <v>89678</v>
      </c>
    </row>
    <row r="8" ht="13.5" customHeight="1">
      <c r="B8" s="459"/>
    </row>
    <row r="10" ht="12.75">
      <c r="A10" t="s">
        <v>418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&amp;C&amp;"Times New Roman CE,Félkövér dőlt"KÖZVETETT TÁMOGATÁSOK JOGCÍMEI ÉS ÖSSZEGEI&amp;R&amp;"Times New Roman CE,Félkövér dőlt"
12.  melléklet
Adatok :ezerFt-ban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28" sqref="G28"/>
    </sheetView>
  </sheetViews>
  <sheetFormatPr defaultColWidth="9.00390625" defaultRowHeight="12.75"/>
  <cols>
    <col min="1" max="1" width="30.625" style="274" customWidth="1"/>
    <col min="2" max="2" width="10.50390625" style="274" customWidth="1"/>
    <col min="3" max="3" width="10.375" style="274" customWidth="1"/>
    <col min="4" max="11" width="11.00390625" style="274" bestFit="1" customWidth="1"/>
    <col min="12" max="12" width="10.375" style="274" customWidth="1"/>
    <col min="13" max="13" width="11.00390625" style="274" bestFit="1" customWidth="1"/>
    <col min="14" max="14" width="11.875" style="274" customWidth="1"/>
    <col min="15" max="16384" width="9.375" style="274" customWidth="1"/>
  </cols>
  <sheetData>
    <row r="1" spans="1:14" s="276" customFormat="1" ht="42" customHeight="1">
      <c r="A1" s="273" t="s">
        <v>381</v>
      </c>
      <c r="B1" s="275" t="s">
        <v>1318</v>
      </c>
      <c r="C1" s="275" t="s">
        <v>1319</v>
      </c>
      <c r="D1" s="275" t="s">
        <v>1320</v>
      </c>
      <c r="E1" s="275" t="s">
        <v>1321</v>
      </c>
      <c r="F1" s="275" t="s">
        <v>1322</v>
      </c>
      <c r="G1" s="275" t="s">
        <v>1323</v>
      </c>
      <c r="H1" s="275" t="s">
        <v>1324</v>
      </c>
      <c r="I1" s="275" t="s">
        <v>1325</v>
      </c>
      <c r="J1" s="275" t="s">
        <v>1326</v>
      </c>
      <c r="K1" s="275" t="s">
        <v>1327</v>
      </c>
      <c r="L1" s="275" t="s">
        <v>1328</v>
      </c>
      <c r="M1" s="275" t="s">
        <v>1329</v>
      </c>
      <c r="N1" s="273" t="s">
        <v>383</v>
      </c>
    </row>
    <row r="2" spans="1:14" ht="18.75" customHeight="1">
      <c r="A2" s="429" t="s">
        <v>1330</v>
      </c>
      <c r="B2" s="277">
        <v>828334</v>
      </c>
      <c r="C2" s="277">
        <v>1003416</v>
      </c>
      <c r="D2" s="277">
        <v>1193983</v>
      </c>
      <c r="E2" s="277">
        <v>1279984</v>
      </c>
      <c r="F2" s="277">
        <v>1624852</v>
      </c>
      <c r="G2" s="277">
        <v>1884230</v>
      </c>
      <c r="H2" s="277">
        <v>1134322</v>
      </c>
      <c r="I2" s="277">
        <v>1425819</v>
      </c>
      <c r="J2" s="277">
        <v>1396761</v>
      </c>
      <c r="K2" s="277">
        <v>1292476</v>
      </c>
      <c r="L2" s="277">
        <v>1080273</v>
      </c>
      <c r="M2" s="277">
        <v>1297813</v>
      </c>
      <c r="N2" s="277">
        <f>SUM(B2:M2)</f>
        <v>15442263</v>
      </c>
    </row>
    <row r="3" spans="1:14" ht="18" customHeight="1">
      <c r="A3" s="430" t="s">
        <v>1331</v>
      </c>
      <c r="B3" s="277"/>
      <c r="C3" s="277"/>
      <c r="D3" s="277"/>
      <c r="E3" s="431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16.5" customHeight="1">
      <c r="A4" s="177" t="s">
        <v>384</v>
      </c>
      <c r="B4" s="277">
        <v>16200</v>
      </c>
      <c r="C4" s="277">
        <v>11200</v>
      </c>
      <c r="D4" s="277">
        <v>14482</v>
      </c>
      <c r="E4" s="277">
        <v>11300</v>
      </c>
      <c r="F4" s="277">
        <v>11200</v>
      </c>
      <c r="G4" s="277">
        <v>11200</v>
      </c>
      <c r="H4" s="277">
        <v>11200</v>
      </c>
      <c r="I4" s="277">
        <v>11200</v>
      </c>
      <c r="J4" s="277">
        <v>11200</v>
      </c>
      <c r="K4" s="277">
        <v>11200</v>
      </c>
      <c r="L4" s="277">
        <v>11200</v>
      </c>
      <c r="M4" s="277">
        <v>11200</v>
      </c>
      <c r="N4" s="277">
        <f aca="true" t="shared" si="0" ref="N4:N20">SUM(B4:M4)</f>
        <v>142782</v>
      </c>
    </row>
    <row r="5" spans="1:14" ht="24.75" customHeight="1">
      <c r="A5" s="177" t="s">
        <v>323</v>
      </c>
      <c r="B5" s="432">
        <v>44330</v>
      </c>
      <c r="C5" s="432">
        <v>44330</v>
      </c>
      <c r="D5" s="432">
        <v>44330</v>
      </c>
      <c r="E5" s="432">
        <v>44330</v>
      </c>
      <c r="F5" s="432">
        <v>44330</v>
      </c>
      <c r="G5" s="432">
        <v>44330</v>
      </c>
      <c r="H5" s="432">
        <v>44330</v>
      </c>
      <c r="I5" s="432">
        <v>44330</v>
      </c>
      <c r="J5" s="432">
        <v>44330</v>
      </c>
      <c r="K5" s="432">
        <v>44330</v>
      </c>
      <c r="L5" s="432">
        <v>44330</v>
      </c>
      <c r="M5" s="432">
        <v>44327</v>
      </c>
      <c r="N5" s="277">
        <f t="shared" si="0"/>
        <v>531957</v>
      </c>
    </row>
    <row r="6" spans="1:14" ht="20.25" customHeight="1">
      <c r="A6" s="177" t="s">
        <v>13</v>
      </c>
      <c r="B6" s="432">
        <v>9012</v>
      </c>
      <c r="C6" s="432">
        <v>9012</v>
      </c>
      <c r="D6" s="432">
        <v>9012</v>
      </c>
      <c r="E6" s="432">
        <v>9012</v>
      </c>
      <c r="F6" s="432">
        <v>9012</v>
      </c>
      <c r="G6" s="432">
        <v>9012</v>
      </c>
      <c r="H6" s="432">
        <v>9012</v>
      </c>
      <c r="I6" s="432">
        <v>9012</v>
      </c>
      <c r="J6" s="432">
        <v>9012</v>
      </c>
      <c r="K6" s="432">
        <v>9017</v>
      </c>
      <c r="L6" s="432">
        <v>9012</v>
      </c>
      <c r="M6" s="432">
        <v>9012</v>
      </c>
      <c r="N6" s="277">
        <f t="shared" si="0"/>
        <v>108149</v>
      </c>
    </row>
    <row r="7" spans="1:14" ht="18.75" customHeight="1">
      <c r="A7" s="178" t="s">
        <v>14</v>
      </c>
      <c r="B7" s="432">
        <v>21566</v>
      </c>
      <c r="C7" s="432">
        <v>21566</v>
      </c>
      <c r="D7" s="432">
        <v>21566</v>
      </c>
      <c r="E7" s="432">
        <v>21566</v>
      </c>
      <c r="F7" s="432">
        <v>21566</v>
      </c>
      <c r="G7" s="432">
        <v>21566</v>
      </c>
      <c r="H7" s="432">
        <v>21566</v>
      </c>
      <c r="I7" s="432">
        <v>21566</v>
      </c>
      <c r="J7" s="432">
        <v>21566</v>
      </c>
      <c r="K7" s="432">
        <v>21566</v>
      </c>
      <c r="L7" s="432">
        <v>21574</v>
      </c>
      <c r="M7" s="432">
        <v>21566</v>
      </c>
      <c r="N7" s="277">
        <f t="shared" si="0"/>
        <v>258800</v>
      </c>
    </row>
    <row r="8" spans="1:14" ht="21" customHeight="1">
      <c r="A8" s="178" t="s">
        <v>15</v>
      </c>
      <c r="B8" s="432">
        <v>3207</v>
      </c>
      <c r="C8" s="432">
        <v>4201</v>
      </c>
      <c r="D8" s="432">
        <v>3209</v>
      </c>
      <c r="E8" s="432">
        <v>1658</v>
      </c>
      <c r="F8" s="432">
        <v>4118</v>
      </c>
      <c r="G8" s="432">
        <v>3404</v>
      </c>
      <c r="H8" s="432">
        <v>1490</v>
      </c>
      <c r="I8" s="432">
        <v>997</v>
      </c>
      <c r="J8" s="432">
        <v>4165</v>
      </c>
      <c r="K8" s="432">
        <v>3138</v>
      </c>
      <c r="L8" s="432">
        <v>3577</v>
      </c>
      <c r="M8" s="432">
        <v>2282</v>
      </c>
      <c r="N8" s="277">
        <f t="shared" si="0"/>
        <v>35446</v>
      </c>
    </row>
    <row r="9" spans="1:14" ht="24" customHeight="1">
      <c r="A9" s="178" t="s">
        <v>16</v>
      </c>
      <c r="B9" s="432">
        <v>2822</v>
      </c>
      <c r="C9" s="432">
        <v>2822</v>
      </c>
      <c r="D9" s="432">
        <v>3670</v>
      </c>
      <c r="E9" s="432">
        <v>1994</v>
      </c>
      <c r="F9" s="432">
        <v>3221</v>
      </c>
      <c r="G9" s="432">
        <v>2941</v>
      </c>
      <c r="H9" s="432">
        <v>1248</v>
      </c>
      <c r="I9" s="432">
        <v>1983</v>
      </c>
      <c r="J9" s="432">
        <v>2804</v>
      </c>
      <c r="K9" s="432">
        <v>2525</v>
      </c>
      <c r="L9" s="432">
        <v>3271</v>
      </c>
      <c r="M9" s="432">
        <v>2291</v>
      </c>
      <c r="N9" s="277">
        <f t="shared" si="0"/>
        <v>31592</v>
      </c>
    </row>
    <row r="10" spans="1:14" ht="16.5" customHeight="1">
      <c r="A10" s="178" t="s">
        <v>17</v>
      </c>
      <c r="B10" s="432">
        <v>2919</v>
      </c>
      <c r="C10" s="432">
        <v>2919</v>
      </c>
      <c r="D10" s="432">
        <v>3765</v>
      </c>
      <c r="E10" s="432">
        <v>2123</v>
      </c>
      <c r="F10" s="432">
        <v>3226</v>
      </c>
      <c r="G10" s="432">
        <v>3135</v>
      </c>
      <c r="H10" s="432">
        <v>1357</v>
      </c>
      <c r="I10" s="432">
        <v>1220</v>
      </c>
      <c r="J10" s="432">
        <v>3828</v>
      </c>
      <c r="K10" s="432">
        <v>2848</v>
      </c>
      <c r="L10" s="432">
        <v>3413</v>
      </c>
      <c r="M10" s="432">
        <v>3077</v>
      </c>
      <c r="N10" s="277">
        <f t="shared" si="0"/>
        <v>33830</v>
      </c>
    </row>
    <row r="11" spans="1:14" ht="16.5" customHeight="1">
      <c r="A11" s="178" t="s">
        <v>18</v>
      </c>
      <c r="B11" s="432">
        <v>1721</v>
      </c>
      <c r="C11" s="432">
        <v>1721</v>
      </c>
      <c r="D11" s="432">
        <v>2488</v>
      </c>
      <c r="E11" s="432">
        <v>1172</v>
      </c>
      <c r="F11" s="432">
        <v>1976</v>
      </c>
      <c r="G11" s="432">
        <v>2340</v>
      </c>
      <c r="H11" s="432">
        <v>579</v>
      </c>
      <c r="I11" s="432">
        <v>1017</v>
      </c>
      <c r="J11" s="432">
        <v>1910</v>
      </c>
      <c r="K11" s="432">
        <v>1801</v>
      </c>
      <c r="L11" s="432">
        <v>3544</v>
      </c>
      <c r="M11" s="432">
        <v>698</v>
      </c>
      <c r="N11" s="277">
        <f t="shared" si="0"/>
        <v>20967</v>
      </c>
    </row>
    <row r="12" spans="1:14" ht="35.25" customHeight="1">
      <c r="A12" s="178" t="s">
        <v>19</v>
      </c>
      <c r="B12" s="432">
        <v>3400</v>
      </c>
      <c r="C12" s="432">
        <v>2800</v>
      </c>
      <c r="D12" s="432">
        <v>800</v>
      </c>
      <c r="E12" s="432">
        <v>700</v>
      </c>
      <c r="F12" s="432">
        <v>700</v>
      </c>
      <c r="G12" s="432">
        <v>700</v>
      </c>
      <c r="H12" s="432">
        <v>1000</v>
      </c>
      <c r="I12" s="432">
        <v>1000</v>
      </c>
      <c r="J12" s="433">
        <v>1700</v>
      </c>
      <c r="K12" s="432">
        <v>1498</v>
      </c>
      <c r="L12" s="432">
        <v>1000</v>
      </c>
      <c r="M12" s="432">
        <v>735</v>
      </c>
      <c r="N12" s="277">
        <f t="shared" si="0"/>
        <v>16033</v>
      </c>
    </row>
    <row r="13" spans="1:14" ht="23.25" customHeight="1">
      <c r="A13" s="281" t="s">
        <v>10</v>
      </c>
      <c r="B13" s="432">
        <v>11221</v>
      </c>
      <c r="C13" s="432">
        <v>11500</v>
      </c>
      <c r="D13" s="432">
        <v>7000</v>
      </c>
      <c r="E13" s="434">
        <v>6500</v>
      </c>
      <c r="F13" s="432">
        <v>13589</v>
      </c>
      <c r="G13" s="432">
        <v>2000</v>
      </c>
      <c r="H13" s="432">
        <v>2000</v>
      </c>
      <c r="I13" s="432">
        <v>500</v>
      </c>
      <c r="J13" s="432">
        <v>6500</v>
      </c>
      <c r="K13" s="432">
        <v>6500</v>
      </c>
      <c r="L13" s="432">
        <v>7000</v>
      </c>
      <c r="M13" s="432">
        <v>5343</v>
      </c>
      <c r="N13" s="277">
        <f t="shared" si="0"/>
        <v>79653</v>
      </c>
    </row>
    <row r="14" spans="1:14" ht="27.75" customHeight="1">
      <c r="A14" s="178" t="s">
        <v>20</v>
      </c>
      <c r="B14" s="435">
        <v>1241</v>
      </c>
      <c r="C14" s="435">
        <v>170</v>
      </c>
      <c r="D14" s="435">
        <v>170</v>
      </c>
      <c r="E14" s="435">
        <v>170</v>
      </c>
      <c r="F14" s="435">
        <v>150</v>
      </c>
      <c r="G14" s="435">
        <v>100</v>
      </c>
      <c r="H14" s="435">
        <v>90</v>
      </c>
      <c r="I14" s="435">
        <v>30</v>
      </c>
      <c r="J14" s="435">
        <v>125</v>
      </c>
      <c r="K14" s="435">
        <v>125</v>
      </c>
      <c r="L14" s="435">
        <v>354</v>
      </c>
      <c r="M14" s="435">
        <v>126</v>
      </c>
      <c r="N14" s="277">
        <f t="shared" si="0"/>
        <v>2851</v>
      </c>
    </row>
    <row r="15" spans="1:14" ht="25.5" customHeight="1">
      <c r="A15" s="436" t="s">
        <v>11</v>
      </c>
      <c r="B15" s="432">
        <v>5840</v>
      </c>
      <c r="C15" s="432">
        <v>3450</v>
      </c>
      <c r="D15" s="432">
        <v>2850</v>
      </c>
      <c r="E15" s="432">
        <v>2850</v>
      </c>
      <c r="F15" s="432">
        <v>2850</v>
      </c>
      <c r="G15" s="432">
        <v>2850</v>
      </c>
      <c r="H15" s="432">
        <v>2850</v>
      </c>
      <c r="I15" s="432">
        <v>2850</v>
      </c>
      <c r="J15" s="432">
        <v>2850</v>
      </c>
      <c r="K15" s="432">
        <v>5550</v>
      </c>
      <c r="L15" s="432">
        <v>2850</v>
      </c>
      <c r="M15" s="432">
        <v>3246</v>
      </c>
      <c r="N15" s="277">
        <f t="shared" si="0"/>
        <v>40886</v>
      </c>
    </row>
    <row r="16" spans="1:14" ht="13.5" customHeight="1">
      <c r="A16" s="436" t="s">
        <v>12</v>
      </c>
      <c r="B16" s="432">
        <v>6850</v>
      </c>
      <c r="C16" s="432">
        <v>11615</v>
      </c>
      <c r="D16" s="432">
        <v>6360</v>
      </c>
      <c r="E16" s="432">
        <v>14010</v>
      </c>
      <c r="F16" s="432">
        <v>12814</v>
      </c>
      <c r="G16" s="432">
        <v>4880</v>
      </c>
      <c r="H16" s="432">
        <v>9880</v>
      </c>
      <c r="I16" s="432">
        <v>8554</v>
      </c>
      <c r="J16" s="432">
        <v>13560</v>
      </c>
      <c r="K16" s="432">
        <v>11530</v>
      </c>
      <c r="L16" s="432">
        <v>13505</v>
      </c>
      <c r="M16" s="432">
        <v>16612</v>
      </c>
      <c r="N16" s="277">
        <f t="shared" si="0"/>
        <v>130170</v>
      </c>
    </row>
    <row r="17" spans="1:14" ht="16.5" customHeight="1">
      <c r="A17" s="436" t="s">
        <v>21</v>
      </c>
      <c r="B17" s="277">
        <v>29000</v>
      </c>
      <c r="C17" s="277">
        <v>5000</v>
      </c>
      <c r="D17" s="277">
        <v>6500</v>
      </c>
      <c r="E17" s="277">
        <v>6500</v>
      </c>
      <c r="F17" s="277">
        <v>5000</v>
      </c>
      <c r="G17" s="277">
        <v>3000</v>
      </c>
      <c r="H17" s="277">
        <v>3000</v>
      </c>
      <c r="I17" s="277">
        <v>4426</v>
      </c>
      <c r="J17" s="277">
        <v>22000</v>
      </c>
      <c r="K17" s="277">
        <v>40000</v>
      </c>
      <c r="L17" s="277">
        <v>52000</v>
      </c>
      <c r="M17" s="277">
        <v>65000</v>
      </c>
      <c r="N17" s="277">
        <f t="shared" si="0"/>
        <v>241426</v>
      </c>
    </row>
    <row r="18" spans="1:14" ht="16.5" customHeight="1">
      <c r="A18" s="436" t="s">
        <v>22</v>
      </c>
      <c r="B18" s="277">
        <v>4000</v>
      </c>
      <c r="C18" s="277">
        <v>5000</v>
      </c>
      <c r="D18" s="277">
        <v>5000</v>
      </c>
      <c r="E18" s="277">
        <v>5000</v>
      </c>
      <c r="F18" s="277">
        <v>2000</v>
      </c>
      <c r="G18" s="277">
        <v>0</v>
      </c>
      <c r="H18" s="277">
        <v>0</v>
      </c>
      <c r="I18" s="277">
        <v>0</v>
      </c>
      <c r="J18" s="277">
        <v>2000</v>
      </c>
      <c r="K18" s="277">
        <v>4000</v>
      </c>
      <c r="L18" s="277">
        <v>6000</v>
      </c>
      <c r="M18" s="277">
        <v>10214</v>
      </c>
      <c r="N18" s="277">
        <f t="shared" si="0"/>
        <v>43214</v>
      </c>
    </row>
    <row r="19" spans="1:14" ht="24" customHeight="1">
      <c r="A19" s="436" t="s">
        <v>23</v>
      </c>
      <c r="B19" s="277">
        <v>8577</v>
      </c>
      <c r="C19" s="277">
        <v>8595</v>
      </c>
      <c r="D19" s="277">
        <v>1497</v>
      </c>
      <c r="E19" s="277">
        <v>536</v>
      </c>
      <c r="F19" s="277">
        <v>283</v>
      </c>
      <c r="G19" s="277">
        <v>2690</v>
      </c>
      <c r="H19" s="277">
        <v>283</v>
      </c>
      <c r="I19" s="277">
        <v>283</v>
      </c>
      <c r="J19" s="277">
        <v>398</v>
      </c>
      <c r="K19" s="277">
        <v>283</v>
      </c>
      <c r="L19" s="277">
        <v>383</v>
      </c>
      <c r="M19" s="277">
        <v>2690</v>
      </c>
      <c r="N19" s="277">
        <f t="shared" si="0"/>
        <v>26498</v>
      </c>
    </row>
    <row r="20" spans="1:14" ht="16.5" customHeight="1">
      <c r="A20" s="436" t="s">
        <v>774</v>
      </c>
      <c r="B20" s="277">
        <v>8330</v>
      </c>
      <c r="C20" s="277">
        <v>8330</v>
      </c>
      <c r="D20" s="277">
        <v>8330</v>
      </c>
      <c r="E20" s="277">
        <v>8330</v>
      </c>
      <c r="F20" s="277">
        <v>8330</v>
      </c>
      <c r="G20" s="277">
        <v>8330</v>
      </c>
      <c r="H20" s="277">
        <v>8330</v>
      </c>
      <c r="I20" s="277">
        <v>8330</v>
      </c>
      <c r="J20" s="277">
        <v>8330</v>
      </c>
      <c r="K20" s="277">
        <v>8330</v>
      </c>
      <c r="L20" s="277">
        <v>8330</v>
      </c>
      <c r="M20" s="277">
        <v>8330</v>
      </c>
      <c r="N20" s="277">
        <f t="shared" si="0"/>
        <v>99960</v>
      </c>
    </row>
    <row r="21" spans="1:14" ht="20.25" customHeight="1">
      <c r="A21" s="437" t="s">
        <v>1265</v>
      </c>
      <c r="B21" s="438">
        <f aca="true" t="shared" si="1" ref="B21:N21">SUM(B4:B20)</f>
        <v>180236</v>
      </c>
      <c r="C21" s="438">
        <f t="shared" si="1"/>
        <v>154231</v>
      </c>
      <c r="D21" s="438">
        <f t="shared" si="1"/>
        <v>141029</v>
      </c>
      <c r="E21" s="438">
        <f t="shared" si="1"/>
        <v>137751</v>
      </c>
      <c r="F21" s="438">
        <f t="shared" si="1"/>
        <v>144365</v>
      </c>
      <c r="G21" s="438">
        <f t="shared" si="1"/>
        <v>122478</v>
      </c>
      <c r="H21" s="438">
        <f t="shared" si="1"/>
        <v>118215</v>
      </c>
      <c r="I21" s="438">
        <f t="shared" si="1"/>
        <v>117298</v>
      </c>
      <c r="J21" s="438">
        <f t="shared" si="1"/>
        <v>156278</v>
      </c>
      <c r="K21" s="438">
        <f t="shared" si="1"/>
        <v>174241</v>
      </c>
      <c r="L21" s="438">
        <f t="shared" si="1"/>
        <v>191343</v>
      </c>
      <c r="M21" s="438">
        <f t="shared" si="1"/>
        <v>206749</v>
      </c>
      <c r="N21" s="438">
        <f t="shared" si="1"/>
        <v>1844214</v>
      </c>
    </row>
    <row r="22" spans="1:14" ht="24" customHeight="1">
      <c r="A22" s="439" t="s">
        <v>1332</v>
      </c>
      <c r="B22" s="438">
        <f aca="true" t="shared" si="2" ref="B22:N22">SUM(B2+B21)</f>
        <v>1008570</v>
      </c>
      <c r="C22" s="438">
        <f t="shared" si="2"/>
        <v>1157647</v>
      </c>
      <c r="D22" s="438">
        <f t="shared" si="2"/>
        <v>1335012</v>
      </c>
      <c r="E22" s="438">
        <f t="shared" si="2"/>
        <v>1417735</v>
      </c>
      <c r="F22" s="438">
        <f t="shared" si="2"/>
        <v>1769217</v>
      </c>
      <c r="G22" s="438">
        <f t="shared" si="2"/>
        <v>2006708</v>
      </c>
      <c r="H22" s="438">
        <f t="shared" si="2"/>
        <v>1252537</v>
      </c>
      <c r="I22" s="438">
        <f t="shared" si="2"/>
        <v>1543117</v>
      </c>
      <c r="J22" s="438">
        <f t="shared" si="2"/>
        <v>1553039</v>
      </c>
      <c r="K22" s="438">
        <f t="shared" si="2"/>
        <v>1466717</v>
      </c>
      <c r="L22" s="438">
        <f t="shared" si="2"/>
        <v>1271616</v>
      </c>
      <c r="M22" s="438">
        <f t="shared" si="2"/>
        <v>1504562</v>
      </c>
      <c r="N22" s="438">
        <f t="shared" si="2"/>
        <v>17286477</v>
      </c>
    </row>
    <row r="23" spans="2:7" ht="13.5" customHeight="1">
      <c r="B23" s="280"/>
      <c r="C23" s="280"/>
      <c r="D23" s="280"/>
      <c r="E23" s="280"/>
      <c r="F23" s="280"/>
      <c r="G23" s="280"/>
    </row>
    <row r="24" spans="2:7" ht="13.5" customHeight="1">
      <c r="B24" s="280"/>
      <c r="C24" s="280"/>
      <c r="D24" s="280"/>
      <c r="E24" s="280"/>
      <c r="F24" s="280"/>
      <c r="G24" s="280"/>
    </row>
    <row r="25" spans="2:7" ht="13.5" customHeight="1">
      <c r="B25" s="280"/>
      <c r="C25" s="280"/>
      <c r="D25" s="280"/>
      <c r="E25" s="280"/>
      <c r="F25" s="280"/>
      <c r="G25" s="280"/>
    </row>
    <row r="26" spans="2:7" ht="13.5" customHeight="1">
      <c r="B26" s="280"/>
      <c r="C26" s="280"/>
      <c r="D26" s="280"/>
      <c r="E26" s="280"/>
      <c r="F26" s="280"/>
      <c r="G26" s="280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80" r:id="rId1"/>
  <headerFooter alignWithMargins="0">
    <oddHeader>&amp;C&amp;"Times New Roman,Félkövér dőlt"ZALAEGERSZEG MEGYEI JOGÚ VÁROS
2015. ÉVI BEVÉTELI ELŐIRÁNYZATAI NAK FELHASZNÁLÁSI ÜTEMTERVE&amp;R&amp;"Times New Roman,Félkövér dőlt"13.a melléklet
Adatok: ezer Ft-ban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I31" sqref="I31"/>
    </sheetView>
  </sheetViews>
  <sheetFormatPr defaultColWidth="9.00390625" defaultRowHeight="12.75"/>
  <cols>
    <col min="1" max="1" width="30.625" style="274" customWidth="1"/>
    <col min="2" max="2" width="10.50390625" style="274" customWidth="1"/>
    <col min="3" max="6" width="10.375" style="274" customWidth="1"/>
    <col min="7" max="8" width="10.50390625" style="274" customWidth="1"/>
    <col min="9" max="9" width="10.875" style="274" customWidth="1"/>
    <col min="10" max="10" width="11.125" style="274" customWidth="1"/>
    <col min="11" max="11" width="10.625" style="274" customWidth="1"/>
    <col min="12" max="12" width="10.50390625" style="274" customWidth="1"/>
    <col min="13" max="13" width="11.625" style="274" customWidth="1"/>
    <col min="14" max="14" width="12.875" style="274" customWidth="1"/>
    <col min="15" max="16384" width="9.375" style="274" customWidth="1"/>
  </cols>
  <sheetData>
    <row r="1" spans="1:14" s="276" customFormat="1" ht="42" customHeight="1">
      <c r="A1" s="273" t="s">
        <v>381</v>
      </c>
      <c r="B1" s="275" t="s">
        <v>1318</v>
      </c>
      <c r="C1" s="275" t="s">
        <v>1319</v>
      </c>
      <c r="D1" s="275" t="s">
        <v>1320</v>
      </c>
      <c r="E1" s="275" t="s">
        <v>1321</v>
      </c>
      <c r="F1" s="275" t="s">
        <v>1322</v>
      </c>
      <c r="G1" s="275" t="s">
        <v>1323</v>
      </c>
      <c r="H1" s="275" t="s">
        <v>1324</v>
      </c>
      <c r="I1" s="275" t="s">
        <v>1325</v>
      </c>
      <c r="J1" s="275" t="s">
        <v>1326</v>
      </c>
      <c r="K1" s="275" t="s">
        <v>1327</v>
      </c>
      <c r="L1" s="275" t="s">
        <v>1328</v>
      </c>
      <c r="M1" s="275" t="s">
        <v>1329</v>
      </c>
      <c r="N1" s="273" t="s">
        <v>383</v>
      </c>
    </row>
    <row r="2" spans="1:14" ht="15" customHeight="1">
      <c r="A2" s="429" t="s">
        <v>1333</v>
      </c>
      <c r="B2" s="277">
        <v>305168</v>
      </c>
      <c r="C2" s="277">
        <v>305168</v>
      </c>
      <c r="D2" s="277">
        <v>345168</v>
      </c>
      <c r="E2" s="277">
        <v>305168</v>
      </c>
      <c r="F2" s="277">
        <v>305168</v>
      </c>
      <c r="G2" s="277">
        <v>345168</v>
      </c>
      <c r="H2" s="277">
        <v>305168</v>
      </c>
      <c r="I2" s="277">
        <v>335168</v>
      </c>
      <c r="J2" s="277">
        <v>345168</v>
      </c>
      <c r="K2" s="277">
        <v>355168</v>
      </c>
      <c r="L2" s="277">
        <v>345169</v>
      </c>
      <c r="M2" s="277">
        <v>359372</v>
      </c>
      <c r="N2" s="277">
        <f>SUM(B2:M2)</f>
        <v>3956221</v>
      </c>
    </row>
    <row r="3" spans="1:14" ht="15" customHeight="1">
      <c r="A3" s="429" t="s">
        <v>1334</v>
      </c>
      <c r="B3" s="435">
        <v>171600</v>
      </c>
      <c r="C3" s="435">
        <v>327200</v>
      </c>
      <c r="D3" s="435">
        <v>445160</v>
      </c>
      <c r="E3" s="435">
        <v>571141</v>
      </c>
      <c r="F3" s="435">
        <v>853055</v>
      </c>
      <c r="G3" s="277">
        <v>1174090</v>
      </c>
      <c r="H3" s="277">
        <v>508627</v>
      </c>
      <c r="I3" s="277">
        <v>803472</v>
      </c>
      <c r="J3" s="277">
        <v>738544</v>
      </c>
      <c r="K3" s="277">
        <v>586519</v>
      </c>
      <c r="L3" s="277">
        <v>381733</v>
      </c>
      <c r="M3" s="277">
        <v>567183</v>
      </c>
      <c r="N3" s="277">
        <f>SUM(B3:M3)</f>
        <v>7128324</v>
      </c>
    </row>
    <row r="4" spans="1:14" ht="28.5" customHeight="1">
      <c r="A4" s="282" t="s">
        <v>1335</v>
      </c>
      <c r="B4" s="440">
        <f aca="true" t="shared" si="0" ref="B4:N4">SUM(B2:B3)</f>
        <v>476768</v>
      </c>
      <c r="C4" s="440">
        <f t="shared" si="0"/>
        <v>632368</v>
      </c>
      <c r="D4" s="440">
        <f t="shared" si="0"/>
        <v>790328</v>
      </c>
      <c r="E4" s="440">
        <f t="shared" si="0"/>
        <v>876309</v>
      </c>
      <c r="F4" s="440">
        <f t="shared" si="0"/>
        <v>1158223</v>
      </c>
      <c r="G4" s="440">
        <f t="shared" si="0"/>
        <v>1519258</v>
      </c>
      <c r="H4" s="440">
        <f t="shared" si="0"/>
        <v>813795</v>
      </c>
      <c r="I4" s="440">
        <f t="shared" si="0"/>
        <v>1138640</v>
      </c>
      <c r="J4" s="440">
        <f t="shared" si="0"/>
        <v>1083712</v>
      </c>
      <c r="K4" s="440">
        <f t="shared" si="0"/>
        <v>941687</v>
      </c>
      <c r="L4" s="440">
        <f t="shared" si="0"/>
        <v>726902</v>
      </c>
      <c r="M4" s="440">
        <f t="shared" si="0"/>
        <v>926555</v>
      </c>
      <c r="N4" s="440">
        <f t="shared" si="0"/>
        <v>11084545</v>
      </c>
    </row>
    <row r="5" spans="1:14" ht="17.25" customHeight="1">
      <c r="A5" s="430" t="s">
        <v>1331</v>
      </c>
      <c r="B5" s="441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3"/>
    </row>
    <row r="6" spans="1:14" ht="15" customHeight="1">
      <c r="A6" s="177" t="s">
        <v>384</v>
      </c>
      <c r="B6" s="277">
        <v>108000</v>
      </c>
      <c r="C6" s="277">
        <v>104000</v>
      </c>
      <c r="D6" s="277">
        <v>102000</v>
      </c>
      <c r="E6" s="277">
        <v>97000</v>
      </c>
      <c r="F6" s="277">
        <v>97000</v>
      </c>
      <c r="G6" s="277">
        <v>92282</v>
      </c>
      <c r="H6" s="277">
        <v>93000</v>
      </c>
      <c r="I6" s="277">
        <v>93000</v>
      </c>
      <c r="J6" s="277">
        <v>93000</v>
      </c>
      <c r="K6" s="277">
        <v>95343</v>
      </c>
      <c r="L6" s="277">
        <v>102000</v>
      </c>
      <c r="M6" s="277">
        <v>105000</v>
      </c>
      <c r="N6" s="432">
        <v>1181625</v>
      </c>
    </row>
    <row r="7" spans="1:14" ht="14.25" customHeight="1">
      <c r="A7" s="177" t="s">
        <v>9</v>
      </c>
      <c r="B7" s="432">
        <v>119982</v>
      </c>
      <c r="C7" s="432">
        <v>119882</v>
      </c>
      <c r="D7" s="432">
        <v>120132</v>
      </c>
      <c r="E7" s="432">
        <v>122632</v>
      </c>
      <c r="F7" s="432">
        <v>119937</v>
      </c>
      <c r="G7" s="432">
        <v>120137</v>
      </c>
      <c r="H7" s="432">
        <v>125137</v>
      </c>
      <c r="I7" s="432">
        <v>46895</v>
      </c>
      <c r="J7" s="432">
        <v>85937</v>
      </c>
      <c r="K7" s="432">
        <v>120037</v>
      </c>
      <c r="L7" s="432">
        <v>120855</v>
      </c>
      <c r="M7" s="432">
        <v>115937</v>
      </c>
      <c r="N7" s="432">
        <f aca="true" t="shared" si="1" ref="N7:N22">SUM(B7:M7)</f>
        <v>1337500</v>
      </c>
    </row>
    <row r="8" spans="1:14" ht="15" customHeight="1">
      <c r="A8" s="177" t="s">
        <v>13</v>
      </c>
      <c r="B8" s="432">
        <v>31416</v>
      </c>
      <c r="C8" s="432">
        <v>31465</v>
      </c>
      <c r="D8" s="432">
        <v>31365</v>
      </c>
      <c r="E8" s="432">
        <v>31465</v>
      </c>
      <c r="F8" s="432">
        <v>31467</v>
      </c>
      <c r="G8" s="432">
        <v>31415</v>
      </c>
      <c r="H8" s="432">
        <v>31463</v>
      </c>
      <c r="I8" s="432">
        <v>31415</v>
      </c>
      <c r="J8" s="432">
        <v>31465</v>
      </c>
      <c r="K8" s="432">
        <v>31415</v>
      </c>
      <c r="L8" s="432">
        <v>31515</v>
      </c>
      <c r="M8" s="432">
        <v>31316</v>
      </c>
      <c r="N8" s="432">
        <f t="shared" si="1"/>
        <v>377182</v>
      </c>
    </row>
    <row r="9" spans="1:14" ht="15.75" customHeight="1">
      <c r="A9" s="178" t="s">
        <v>1336</v>
      </c>
      <c r="B9" s="432">
        <v>26463</v>
      </c>
      <c r="C9" s="432">
        <v>26463</v>
      </c>
      <c r="D9" s="432">
        <v>26463</v>
      </c>
      <c r="E9" s="432">
        <v>26463</v>
      </c>
      <c r="F9" s="432">
        <v>26463</v>
      </c>
      <c r="G9" s="432">
        <v>26463</v>
      </c>
      <c r="H9" s="432">
        <v>26458</v>
      </c>
      <c r="I9" s="432">
        <v>26462</v>
      </c>
      <c r="J9" s="432">
        <v>26462</v>
      </c>
      <c r="K9" s="432">
        <v>26462</v>
      </c>
      <c r="L9" s="432">
        <v>26462</v>
      </c>
      <c r="M9" s="432">
        <v>26467</v>
      </c>
      <c r="N9" s="432">
        <f t="shared" si="1"/>
        <v>317551</v>
      </c>
    </row>
    <row r="10" spans="1:14" ht="16.5" customHeight="1">
      <c r="A10" s="178" t="s">
        <v>1337</v>
      </c>
      <c r="B10" s="432">
        <v>25910</v>
      </c>
      <c r="C10" s="432">
        <v>29723</v>
      </c>
      <c r="D10" s="432">
        <v>25794</v>
      </c>
      <c r="E10" s="432">
        <v>26949</v>
      </c>
      <c r="F10" s="432">
        <v>42101</v>
      </c>
      <c r="G10" s="432">
        <v>8011</v>
      </c>
      <c r="H10" s="432">
        <v>21748</v>
      </c>
      <c r="I10" s="432">
        <v>25028</v>
      </c>
      <c r="J10" s="432">
        <v>22835</v>
      </c>
      <c r="K10" s="432">
        <v>24375</v>
      </c>
      <c r="L10" s="432">
        <v>27145</v>
      </c>
      <c r="M10" s="432">
        <v>37553</v>
      </c>
      <c r="N10" s="432">
        <f t="shared" si="1"/>
        <v>317172</v>
      </c>
    </row>
    <row r="11" spans="1:14" ht="13.5" customHeight="1">
      <c r="A11" s="178" t="s">
        <v>1338</v>
      </c>
      <c r="B11" s="432">
        <v>21777</v>
      </c>
      <c r="C11" s="432">
        <v>21206</v>
      </c>
      <c r="D11" s="432">
        <v>26432</v>
      </c>
      <c r="E11" s="432">
        <v>25034</v>
      </c>
      <c r="F11" s="432">
        <v>36386</v>
      </c>
      <c r="G11" s="432">
        <v>24253</v>
      </c>
      <c r="H11" s="432">
        <v>5849</v>
      </c>
      <c r="I11" s="432">
        <v>21566</v>
      </c>
      <c r="J11" s="432">
        <v>19512</v>
      </c>
      <c r="K11" s="432">
        <v>21999</v>
      </c>
      <c r="L11" s="432">
        <v>26237</v>
      </c>
      <c r="M11" s="432">
        <v>28093</v>
      </c>
      <c r="N11" s="432">
        <f t="shared" si="1"/>
        <v>278344</v>
      </c>
    </row>
    <row r="12" spans="1:14" ht="15" customHeight="1">
      <c r="A12" s="178" t="s">
        <v>17</v>
      </c>
      <c r="B12" s="432">
        <v>22739</v>
      </c>
      <c r="C12" s="432">
        <v>22250</v>
      </c>
      <c r="D12" s="432">
        <v>31876</v>
      </c>
      <c r="E12" s="432">
        <v>24784</v>
      </c>
      <c r="F12" s="432">
        <v>39409</v>
      </c>
      <c r="G12" s="432">
        <v>25159</v>
      </c>
      <c r="H12" s="432">
        <v>4940</v>
      </c>
      <c r="I12" s="432">
        <v>20207</v>
      </c>
      <c r="J12" s="432">
        <v>20757</v>
      </c>
      <c r="K12" s="432">
        <v>22287</v>
      </c>
      <c r="L12" s="432">
        <v>26488</v>
      </c>
      <c r="M12" s="432">
        <v>37185</v>
      </c>
      <c r="N12" s="432">
        <f t="shared" si="1"/>
        <v>298081</v>
      </c>
    </row>
    <row r="13" spans="1:14" ht="15" customHeight="1">
      <c r="A13" s="178" t="s">
        <v>18</v>
      </c>
      <c r="B13" s="432">
        <v>19851</v>
      </c>
      <c r="C13" s="432">
        <v>22734</v>
      </c>
      <c r="D13" s="432">
        <v>26010</v>
      </c>
      <c r="E13" s="432">
        <v>25356</v>
      </c>
      <c r="F13" s="432">
        <v>42614</v>
      </c>
      <c r="G13" s="432">
        <v>24124</v>
      </c>
      <c r="H13" s="432">
        <v>4365</v>
      </c>
      <c r="I13" s="432">
        <v>21253</v>
      </c>
      <c r="J13" s="432">
        <v>21532</v>
      </c>
      <c r="K13" s="432">
        <v>22212</v>
      </c>
      <c r="L13" s="432">
        <v>27688</v>
      </c>
      <c r="M13" s="432">
        <v>25284</v>
      </c>
      <c r="N13" s="432">
        <f t="shared" si="1"/>
        <v>283023</v>
      </c>
    </row>
    <row r="14" spans="1:14" ht="14.25" customHeight="1">
      <c r="A14" s="178" t="s">
        <v>1339</v>
      </c>
      <c r="B14" s="432">
        <v>8000</v>
      </c>
      <c r="C14" s="432">
        <v>8000</v>
      </c>
      <c r="D14" s="432">
        <v>8000</v>
      </c>
      <c r="E14" s="432">
        <v>8000</v>
      </c>
      <c r="F14" s="432">
        <v>8000</v>
      </c>
      <c r="G14" s="432">
        <v>8000</v>
      </c>
      <c r="H14" s="432">
        <v>8000</v>
      </c>
      <c r="I14" s="432">
        <v>8000</v>
      </c>
      <c r="J14" s="432">
        <v>8000</v>
      </c>
      <c r="K14" s="432">
        <v>8000</v>
      </c>
      <c r="L14" s="432">
        <v>8000</v>
      </c>
      <c r="M14" s="432">
        <v>8034</v>
      </c>
      <c r="N14" s="432">
        <f t="shared" si="1"/>
        <v>96034</v>
      </c>
    </row>
    <row r="15" spans="1:14" ht="11.25" customHeight="1">
      <c r="A15" s="281" t="s">
        <v>1340</v>
      </c>
      <c r="B15" s="432">
        <v>18760</v>
      </c>
      <c r="C15" s="432">
        <v>17890</v>
      </c>
      <c r="D15" s="432">
        <v>16890</v>
      </c>
      <c r="E15" s="432">
        <v>16190</v>
      </c>
      <c r="F15" s="432">
        <v>27414</v>
      </c>
      <c r="G15" s="432">
        <v>16317</v>
      </c>
      <c r="H15" s="432">
        <v>16390</v>
      </c>
      <c r="I15" s="432">
        <v>10890</v>
      </c>
      <c r="J15" s="432">
        <v>16290</v>
      </c>
      <c r="K15" s="432">
        <v>16890</v>
      </c>
      <c r="L15" s="432">
        <v>16890</v>
      </c>
      <c r="M15" s="432">
        <v>17415</v>
      </c>
      <c r="N15" s="432">
        <f t="shared" si="1"/>
        <v>208226</v>
      </c>
    </row>
    <row r="16" spans="1:14" ht="23.25" customHeight="1">
      <c r="A16" s="178" t="s">
        <v>20</v>
      </c>
      <c r="B16" s="432">
        <v>2288</v>
      </c>
      <c r="C16" s="432">
        <v>1094</v>
      </c>
      <c r="D16" s="432">
        <v>1094</v>
      </c>
      <c r="E16" s="432">
        <v>1094</v>
      </c>
      <c r="F16" s="432">
        <v>1094</v>
      </c>
      <c r="G16" s="432">
        <v>1064</v>
      </c>
      <c r="H16" s="432">
        <v>1064</v>
      </c>
      <c r="I16" s="432">
        <v>1014</v>
      </c>
      <c r="J16" s="432">
        <v>1099</v>
      </c>
      <c r="K16" s="432">
        <v>1111</v>
      </c>
      <c r="L16" s="432">
        <v>1788</v>
      </c>
      <c r="M16" s="432">
        <v>1255</v>
      </c>
      <c r="N16" s="432">
        <f t="shared" si="1"/>
        <v>15059</v>
      </c>
    </row>
    <row r="17" spans="1:14" ht="23.25" customHeight="1">
      <c r="A17" s="436" t="s">
        <v>11</v>
      </c>
      <c r="B17" s="432">
        <v>29031</v>
      </c>
      <c r="C17" s="432">
        <v>27432</v>
      </c>
      <c r="D17" s="432">
        <v>28932</v>
      </c>
      <c r="E17" s="432">
        <v>32764</v>
      </c>
      <c r="F17" s="432">
        <v>42764</v>
      </c>
      <c r="G17" s="432">
        <v>26764</v>
      </c>
      <c r="H17" s="432">
        <v>24932</v>
      </c>
      <c r="I17" s="432">
        <v>21932</v>
      </c>
      <c r="J17" s="432">
        <v>28034</v>
      </c>
      <c r="K17" s="432">
        <v>29432</v>
      </c>
      <c r="L17" s="432">
        <v>27987</v>
      </c>
      <c r="M17" s="432">
        <v>30338</v>
      </c>
      <c r="N17" s="432">
        <f t="shared" si="1"/>
        <v>350342</v>
      </c>
    </row>
    <row r="18" spans="1:14" ht="12.75" customHeight="1">
      <c r="A18" s="436" t="s">
        <v>12</v>
      </c>
      <c r="B18" s="432">
        <v>19178</v>
      </c>
      <c r="C18" s="432">
        <v>16715</v>
      </c>
      <c r="D18" s="432">
        <v>20271</v>
      </c>
      <c r="E18" s="432">
        <v>25770</v>
      </c>
      <c r="F18" s="432">
        <v>19418</v>
      </c>
      <c r="G18" s="432">
        <v>18034</v>
      </c>
      <c r="H18" s="432">
        <v>16469</v>
      </c>
      <c r="I18" s="432">
        <v>20838</v>
      </c>
      <c r="J18" s="432">
        <v>19975</v>
      </c>
      <c r="K18" s="432">
        <v>22376</v>
      </c>
      <c r="L18" s="432">
        <v>21730</v>
      </c>
      <c r="M18" s="432">
        <v>16988</v>
      </c>
      <c r="N18" s="432">
        <f t="shared" si="1"/>
        <v>237762</v>
      </c>
    </row>
    <row r="19" spans="1:14" ht="12.75" customHeight="1">
      <c r="A19" s="436" t="s">
        <v>21</v>
      </c>
      <c r="B19" s="432">
        <v>53000</v>
      </c>
      <c r="C19" s="432">
        <v>50500</v>
      </c>
      <c r="D19" s="432">
        <v>52500</v>
      </c>
      <c r="E19" s="432">
        <v>51500</v>
      </c>
      <c r="F19" s="432">
        <v>50000</v>
      </c>
      <c r="G19" s="432">
        <v>40000</v>
      </c>
      <c r="H19" s="432">
        <v>36000</v>
      </c>
      <c r="I19" s="432">
        <v>33050</v>
      </c>
      <c r="J19" s="432">
        <v>47000</v>
      </c>
      <c r="K19" s="432">
        <v>55000</v>
      </c>
      <c r="L19" s="432">
        <v>52000</v>
      </c>
      <c r="M19" s="432">
        <v>65000</v>
      </c>
      <c r="N19" s="432">
        <f t="shared" si="1"/>
        <v>585550</v>
      </c>
    </row>
    <row r="20" spans="1:14" ht="15" customHeight="1">
      <c r="A20" s="436" t="s">
        <v>22</v>
      </c>
      <c r="B20" s="432">
        <v>8500</v>
      </c>
      <c r="C20" s="432">
        <v>9000</v>
      </c>
      <c r="D20" s="432">
        <v>10000</v>
      </c>
      <c r="E20" s="432">
        <v>9500</v>
      </c>
      <c r="F20" s="432">
        <v>10000</v>
      </c>
      <c r="G20" s="432">
        <v>8500</v>
      </c>
      <c r="H20" s="432">
        <v>6000</v>
      </c>
      <c r="I20" s="432">
        <v>6000</v>
      </c>
      <c r="J20" s="432">
        <v>10500</v>
      </c>
      <c r="K20" s="432">
        <v>11162</v>
      </c>
      <c r="L20" s="432">
        <v>11000</v>
      </c>
      <c r="M20" s="432">
        <v>15214</v>
      </c>
      <c r="N20" s="432">
        <f t="shared" si="1"/>
        <v>115376</v>
      </c>
    </row>
    <row r="21" spans="1:14" ht="21" customHeight="1">
      <c r="A21" s="436" t="s">
        <v>23</v>
      </c>
      <c r="B21" s="432">
        <v>8577</v>
      </c>
      <c r="C21" s="432">
        <v>8595</v>
      </c>
      <c r="D21" s="432">
        <v>8595</v>
      </c>
      <c r="E21" s="432">
        <v>8595</v>
      </c>
      <c r="F21" s="432">
        <v>8597</v>
      </c>
      <c r="G21" s="432">
        <v>8597</v>
      </c>
      <c r="H21" s="432">
        <v>8597</v>
      </c>
      <c r="I21" s="432">
        <v>8597</v>
      </c>
      <c r="J21" s="432">
        <v>8599</v>
      </c>
      <c r="K21" s="432">
        <v>8599</v>
      </c>
      <c r="L21" s="432">
        <v>8599</v>
      </c>
      <c r="M21" s="432">
        <v>8598</v>
      </c>
      <c r="N21" s="432">
        <f t="shared" si="1"/>
        <v>103145</v>
      </c>
    </row>
    <row r="22" spans="1:14" ht="14.25" customHeight="1">
      <c r="A22" s="436" t="s">
        <v>774</v>
      </c>
      <c r="B22" s="432">
        <v>8330</v>
      </c>
      <c r="C22" s="432">
        <v>8330</v>
      </c>
      <c r="D22" s="432">
        <v>8330</v>
      </c>
      <c r="E22" s="432">
        <v>8330</v>
      </c>
      <c r="F22" s="432">
        <v>8330</v>
      </c>
      <c r="G22" s="432">
        <v>8330</v>
      </c>
      <c r="H22" s="432">
        <v>8330</v>
      </c>
      <c r="I22" s="432">
        <v>8330</v>
      </c>
      <c r="J22" s="432">
        <v>8330</v>
      </c>
      <c r="K22" s="432">
        <v>8330</v>
      </c>
      <c r="L22" s="432">
        <v>8330</v>
      </c>
      <c r="M22" s="432">
        <v>8330</v>
      </c>
      <c r="N22" s="432">
        <f t="shared" si="1"/>
        <v>99960</v>
      </c>
    </row>
    <row r="23" spans="1:15" ht="15" customHeight="1">
      <c r="A23" s="437" t="s">
        <v>1265</v>
      </c>
      <c r="B23" s="279">
        <f aca="true" t="shared" si="2" ref="B23:N23">SUM(B6:B22)</f>
        <v>531802</v>
      </c>
      <c r="C23" s="279">
        <f t="shared" si="2"/>
        <v>525279</v>
      </c>
      <c r="D23" s="279">
        <f t="shared" si="2"/>
        <v>544684</v>
      </c>
      <c r="E23" s="279">
        <f t="shared" si="2"/>
        <v>541426</v>
      </c>
      <c r="F23" s="279">
        <f t="shared" si="2"/>
        <v>610994</v>
      </c>
      <c r="G23" s="279">
        <f t="shared" si="2"/>
        <v>487450</v>
      </c>
      <c r="H23" s="279">
        <f t="shared" si="2"/>
        <v>438742</v>
      </c>
      <c r="I23" s="279">
        <f t="shared" si="2"/>
        <v>404477</v>
      </c>
      <c r="J23" s="279">
        <f t="shared" si="2"/>
        <v>469327</v>
      </c>
      <c r="K23" s="279">
        <f t="shared" si="2"/>
        <v>525030</v>
      </c>
      <c r="L23" s="279">
        <f t="shared" si="2"/>
        <v>544714</v>
      </c>
      <c r="M23" s="279">
        <f t="shared" si="2"/>
        <v>578007</v>
      </c>
      <c r="N23" s="279">
        <f t="shared" si="2"/>
        <v>6201932</v>
      </c>
      <c r="O23" s="444"/>
    </row>
    <row r="24" spans="1:14" ht="27.75" customHeight="1">
      <c r="A24" s="278" t="s">
        <v>1341</v>
      </c>
      <c r="B24" s="279">
        <f aca="true" t="shared" si="3" ref="B24:N24">SUM(B4+B23)</f>
        <v>1008570</v>
      </c>
      <c r="C24" s="279">
        <f t="shared" si="3"/>
        <v>1157647</v>
      </c>
      <c r="D24" s="279">
        <f t="shared" si="3"/>
        <v>1335012</v>
      </c>
      <c r="E24" s="279">
        <f t="shared" si="3"/>
        <v>1417735</v>
      </c>
      <c r="F24" s="279">
        <f t="shared" si="3"/>
        <v>1769217</v>
      </c>
      <c r="G24" s="279">
        <f t="shared" si="3"/>
        <v>2006708</v>
      </c>
      <c r="H24" s="279">
        <f t="shared" si="3"/>
        <v>1252537</v>
      </c>
      <c r="I24" s="279">
        <f t="shared" si="3"/>
        <v>1543117</v>
      </c>
      <c r="J24" s="279">
        <f t="shared" si="3"/>
        <v>1553039</v>
      </c>
      <c r="K24" s="279">
        <f t="shared" si="3"/>
        <v>1466717</v>
      </c>
      <c r="L24" s="279">
        <f t="shared" si="3"/>
        <v>1271616</v>
      </c>
      <c r="M24" s="279">
        <f t="shared" si="3"/>
        <v>1504562</v>
      </c>
      <c r="N24" s="279">
        <f t="shared" si="3"/>
        <v>17286477</v>
      </c>
    </row>
    <row r="25" spans="1:7" ht="13.5" customHeight="1">
      <c r="A25" s="445"/>
      <c r="B25" s="280"/>
      <c r="C25" s="280"/>
      <c r="D25" s="280"/>
      <c r="E25" s="280"/>
      <c r="F25" s="280"/>
      <c r="G25" s="280"/>
    </row>
    <row r="26" spans="2:7" ht="13.5" customHeight="1">
      <c r="B26" s="280"/>
      <c r="C26" s="280"/>
      <c r="D26" s="280"/>
      <c r="E26" s="280"/>
      <c r="F26" s="280"/>
      <c r="G26" s="280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90" r:id="rId1"/>
  <headerFooter alignWithMargins="0">
    <oddHeader>&amp;C&amp;"Times New Roman,Félkövér dőlt"ZALAEGERSZEG MEGYEI JOGÚ VÁROS
2015. ÉVI KIADÁSI ELŐIRÁNYZATAINAK FELHASZNÁLÁSI ÜTEMTERVE&amp;R&amp;"Times New Roman,Félkövér dőlt"13.b melléklet
Adatok: ezer Ft-ban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5:E30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51.375" style="463" customWidth="1"/>
    <col min="2" max="2" width="15.50390625" style="463" customWidth="1"/>
    <col min="3" max="3" width="14.625" style="463" customWidth="1"/>
    <col min="4" max="4" width="15.125" style="463" customWidth="1"/>
    <col min="5" max="5" width="57.50390625" style="463" customWidth="1"/>
    <col min="6" max="16384" width="9.375" style="463" customWidth="1"/>
  </cols>
  <sheetData>
    <row r="5" spans="1:5" ht="34.5" customHeight="1">
      <c r="A5" s="460"/>
      <c r="B5" s="461" t="s">
        <v>419</v>
      </c>
      <c r="C5" s="461" t="s">
        <v>420</v>
      </c>
      <c r="D5" s="461" t="s">
        <v>421</v>
      </c>
      <c r="E5" s="462" t="s">
        <v>422</v>
      </c>
    </row>
    <row r="6" spans="1:5" ht="12.75">
      <c r="A6" s="464" t="s">
        <v>564</v>
      </c>
      <c r="B6" s="465">
        <v>22050</v>
      </c>
      <c r="C6" s="466">
        <v>34810</v>
      </c>
      <c r="D6" s="466">
        <v>43236</v>
      </c>
      <c r="E6" s="467" t="s">
        <v>566</v>
      </c>
    </row>
    <row r="7" spans="1:5" ht="12.75">
      <c r="A7" s="460"/>
      <c r="B7" s="468"/>
      <c r="C7" s="468"/>
      <c r="D7" s="468"/>
      <c r="E7" s="460"/>
    </row>
    <row r="8" spans="1:5" ht="12.75">
      <c r="A8" s="464" t="s">
        <v>423</v>
      </c>
      <c r="B8" s="468"/>
      <c r="C8" s="468"/>
      <c r="D8" s="468"/>
      <c r="E8" s="460"/>
    </row>
    <row r="9" spans="1:5" ht="12.75">
      <c r="A9" s="467" t="s">
        <v>565</v>
      </c>
      <c r="B9" s="468">
        <v>150000</v>
      </c>
      <c r="C9" s="468">
        <v>150000</v>
      </c>
      <c r="D9" s="468">
        <v>150000</v>
      </c>
      <c r="E9" s="469" t="s">
        <v>571</v>
      </c>
    </row>
    <row r="10" spans="1:5" ht="12.75">
      <c r="A10" s="467" t="s">
        <v>424</v>
      </c>
      <c r="B10" s="470">
        <v>57029</v>
      </c>
      <c r="C10" s="470">
        <v>57029</v>
      </c>
      <c r="D10" s="471"/>
      <c r="E10" s="469" t="s">
        <v>572</v>
      </c>
    </row>
    <row r="11" spans="1:5" ht="25.5" customHeight="1">
      <c r="A11" s="472" t="s">
        <v>425</v>
      </c>
      <c r="B11" s="468">
        <v>25000</v>
      </c>
      <c r="C11" s="468">
        <v>25000</v>
      </c>
      <c r="D11" s="468">
        <v>25000</v>
      </c>
      <c r="E11" s="467" t="s">
        <v>573</v>
      </c>
    </row>
    <row r="12" spans="1:5" ht="25.5">
      <c r="A12" s="482" t="s">
        <v>426</v>
      </c>
      <c r="B12" s="480"/>
      <c r="C12" s="480">
        <v>31750</v>
      </c>
      <c r="D12" s="480">
        <v>31750</v>
      </c>
      <c r="E12" s="472" t="s">
        <v>618</v>
      </c>
    </row>
    <row r="13" spans="1:5" ht="39.75" customHeight="1">
      <c r="A13" s="472" t="s">
        <v>570</v>
      </c>
      <c r="B13" s="468"/>
      <c r="C13" s="480">
        <v>50000</v>
      </c>
      <c r="D13" s="480">
        <v>100000</v>
      </c>
      <c r="E13" s="481" t="s">
        <v>617</v>
      </c>
    </row>
    <row r="14" spans="1:5" ht="25.5">
      <c r="A14" s="472" t="s">
        <v>427</v>
      </c>
      <c r="B14" s="468">
        <v>10000</v>
      </c>
      <c r="C14" s="468">
        <v>10000</v>
      </c>
      <c r="D14" s="468">
        <v>10000</v>
      </c>
      <c r="E14" s="467" t="s">
        <v>610</v>
      </c>
    </row>
    <row r="15" spans="1:5" ht="12.75">
      <c r="A15" s="464" t="s">
        <v>428</v>
      </c>
      <c r="B15" s="466">
        <f>SUM(B9:B14)</f>
        <v>242029</v>
      </c>
      <c r="C15" s="466">
        <f>SUM(C9:C14)</f>
        <v>323779</v>
      </c>
      <c r="D15" s="466">
        <f>SUM(D9:D14)</f>
        <v>316750</v>
      </c>
      <c r="E15" s="460"/>
    </row>
    <row r="16" spans="1:5" ht="12.75">
      <c r="A16" s="464"/>
      <c r="B16" s="466"/>
      <c r="C16" s="466"/>
      <c r="D16" s="466"/>
      <c r="E16" s="460"/>
    </row>
    <row r="17" spans="1:5" ht="12.75">
      <c r="A17" s="464" t="s">
        <v>429</v>
      </c>
      <c r="B17" s="468"/>
      <c r="C17" s="468"/>
      <c r="D17" s="468"/>
      <c r="E17" s="460"/>
    </row>
    <row r="18" spans="1:5" ht="12.75">
      <c r="A18" s="467" t="s">
        <v>430</v>
      </c>
      <c r="B18" s="473">
        <v>40000</v>
      </c>
      <c r="C18" s="473"/>
      <c r="D18" s="473"/>
      <c r="E18" s="474" t="s">
        <v>574</v>
      </c>
    </row>
    <row r="19" spans="1:5" ht="12.75">
      <c r="A19" s="474" t="s">
        <v>567</v>
      </c>
      <c r="B19" s="473">
        <v>5928</v>
      </c>
      <c r="C19" s="473">
        <v>5928</v>
      </c>
      <c r="D19" s="473">
        <v>5928</v>
      </c>
      <c r="E19" s="474" t="s">
        <v>611</v>
      </c>
    </row>
    <row r="20" spans="1:5" ht="12.75">
      <c r="A20" s="475" t="s">
        <v>432</v>
      </c>
      <c r="B20" s="476">
        <v>8904</v>
      </c>
      <c r="C20" s="476">
        <v>8904</v>
      </c>
      <c r="D20" s="476">
        <v>8904</v>
      </c>
      <c r="E20" s="474" t="s">
        <v>612</v>
      </c>
    </row>
    <row r="21" spans="1:5" ht="12.75">
      <c r="A21" s="474" t="s">
        <v>431</v>
      </c>
      <c r="B21" s="473">
        <v>36842</v>
      </c>
      <c r="C21" s="473">
        <v>36842</v>
      </c>
      <c r="D21" s="473">
        <v>36842</v>
      </c>
      <c r="E21" s="474" t="s">
        <v>613</v>
      </c>
    </row>
    <row r="22" spans="1:5" ht="12.75">
      <c r="A22" s="474" t="s">
        <v>431</v>
      </c>
      <c r="B22" s="473">
        <v>60000</v>
      </c>
      <c r="C22" s="473"/>
      <c r="D22" s="473"/>
      <c r="E22" s="474" t="s">
        <v>614</v>
      </c>
    </row>
    <row r="23" spans="1:5" ht="12.75">
      <c r="A23" s="475" t="s">
        <v>431</v>
      </c>
      <c r="B23" s="476">
        <v>39000</v>
      </c>
      <c r="C23" s="476"/>
      <c r="D23" s="476"/>
      <c r="E23" s="474" t="s">
        <v>614</v>
      </c>
    </row>
    <row r="24" spans="1:5" ht="12.75">
      <c r="A24" s="475" t="s">
        <v>569</v>
      </c>
      <c r="B24" s="476"/>
      <c r="C24" s="476"/>
      <c r="D24" s="476">
        <v>93750</v>
      </c>
      <c r="E24" s="474" t="s">
        <v>615</v>
      </c>
    </row>
    <row r="25" spans="1:5" ht="12.75">
      <c r="A25" s="475" t="s">
        <v>568</v>
      </c>
      <c r="B25" s="476"/>
      <c r="C25" s="476">
        <v>27000</v>
      </c>
      <c r="D25" s="476">
        <v>27000</v>
      </c>
      <c r="E25" s="474" t="s">
        <v>616</v>
      </c>
    </row>
    <row r="26" spans="1:5" ht="12.75">
      <c r="A26" s="464" t="s">
        <v>433</v>
      </c>
      <c r="B26" s="466">
        <f>SUM(B18:B25)</f>
        <v>190674</v>
      </c>
      <c r="C26" s="466">
        <f>SUM(C18:C25)</f>
        <v>78674</v>
      </c>
      <c r="D26" s="466">
        <f>SUM(D18:D25)</f>
        <v>172424</v>
      </c>
      <c r="E26" s="460"/>
    </row>
    <row r="27" spans="1:5" ht="19.5" customHeight="1">
      <c r="A27" s="477" t="s">
        <v>434</v>
      </c>
      <c r="B27" s="478">
        <f>SUM(B6+B15+B26)</f>
        <v>454753</v>
      </c>
      <c r="C27" s="478">
        <f>SUM(C6+C15+C26)</f>
        <v>437263</v>
      </c>
      <c r="D27" s="478">
        <f>SUM(D6+D15+D26)</f>
        <v>532410</v>
      </c>
      <c r="E27" s="477"/>
    </row>
    <row r="30" ht="12.75">
      <c r="A30" s="479" t="s">
        <v>1050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 dőlt"TÖBB ÉVES KIHATÁSSAL JÁRÓ DÖNTÉSEK SZÁMSZERŰSÍTÉSE ÉVENKÉNTI BONTÁSBAN&amp;R&amp;"Times New Roman,Félkövér dőlt"14. melléklet
Adatok:  eFt-ban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9">
      <selection activeCell="B19" sqref="B19"/>
    </sheetView>
  </sheetViews>
  <sheetFormatPr defaultColWidth="10.625" defaultRowHeight="12.75"/>
  <cols>
    <col min="1" max="1" width="4.50390625" style="394" customWidth="1"/>
    <col min="2" max="2" width="88.125" style="382" customWidth="1"/>
    <col min="3" max="16384" width="10.625" style="382" customWidth="1"/>
  </cols>
  <sheetData>
    <row r="1" spans="1:2" ht="15">
      <c r="A1" s="380"/>
      <c r="B1" s="381"/>
    </row>
    <row r="2" spans="1:2" ht="15">
      <c r="A2" s="197"/>
      <c r="B2" s="198"/>
    </row>
    <row r="3" spans="1:2" ht="15">
      <c r="A3" s="383" t="s">
        <v>53</v>
      </c>
      <c r="B3" s="384" t="s">
        <v>54</v>
      </c>
    </row>
    <row r="4" spans="1:2" ht="15">
      <c r="A4" s="383" t="s">
        <v>835</v>
      </c>
      <c r="B4" s="384" t="s">
        <v>323</v>
      </c>
    </row>
    <row r="5" spans="1:2" ht="15">
      <c r="A5" s="383"/>
      <c r="B5" s="381" t="s">
        <v>55</v>
      </c>
    </row>
    <row r="6" spans="1:2" ht="30">
      <c r="A6" s="383"/>
      <c r="B6" s="385" t="s">
        <v>56</v>
      </c>
    </row>
    <row r="7" spans="1:2" ht="30">
      <c r="A7" s="383"/>
      <c r="B7" s="385" t="s">
        <v>57</v>
      </c>
    </row>
    <row r="8" spans="1:2" ht="30">
      <c r="A8" s="383"/>
      <c r="B8" s="385" t="s">
        <v>58</v>
      </c>
    </row>
    <row r="9" spans="1:2" ht="15">
      <c r="A9" s="383"/>
      <c r="B9" s="386" t="s">
        <v>59</v>
      </c>
    </row>
    <row r="10" spans="1:2" ht="15">
      <c r="A10" s="383"/>
      <c r="B10" s="386" t="s">
        <v>60</v>
      </c>
    </row>
    <row r="11" spans="1:2" ht="15">
      <c r="A11" s="383"/>
      <c r="B11" s="386" t="s">
        <v>61</v>
      </c>
    </row>
    <row r="12" spans="1:2" ht="15" hidden="1">
      <c r="A12" s="383"/>
      <c r="B12" s="386"/>
    </row>
    <row r="13" spans="1:2" ht="15" hidden="1">
      <c r="A13" s="383"/>
      <c r="B13" s="386"/>
    </row>
    <row r="14" spans="1:2" ht="15">
      <c r="A14" s="383"/>
      <c r="B14" s="386" t="s">
        <v>624</v>
      </c>
    </row>
    <row r="15" spans="1:2" ht="30">
      <c r="A15" s="383"/>
      <c r="B15" s="386" t="s">
        <v>62</v>
      </c>
    </row>
    <row r="16" spans="1:2" ht="15">
      <c r="A16" s="383"/>
      <c r="B16" s="386" t="s">
        <v>625</v>
      </c>
    </row>
    <row r="17" spans="1:2" ht="15">
      <c r="A17" s="383"/>
      <c r="B17" s="386" t="s">
        <v>626</v>
      </c>
    </row>
    <row r="18" spans="1:2" ht="27" customHeight="1">
      <c r="A18" s="383"/>
      <c r="B18" s="386" t="s">
        <v>513</v>
      </c>
    </row>
    <row r="19" spans="1:2" ht="15">
      <c r="A19" s="383"/>
      <c r="B19" s="386" t="s">
        <v>514</v>
      </c>
    </row>
    <row r="20" spans="1:2" ht="15">
      <c r="A20" s="383"/>
      <c r="B20" s="386" t="s">
        <v>515</v>
      </c>
    </row>
    <row r="21" spans="1:2" ht="15">
      <c r="A21" s="383"/>
      <c r="B21" s="381" t="s">
        <v>516</v>
      </c>
    </row>
    <row r="22" spans="1:2" ht="28.5" customHeight="1">
      <c r="A22" s="383"/>
      <c r="B22" s="385" t="s">
        <v>517</v>
      </c>
    </row>
    <row r="23" spans="1:2" ht="29.25" customHeight="1">
      <c r="A23" s="383"/>
      <c r="B23" s="385" t="s">
        <v>518</v>
      </c>
    </row>
    <row r="24" spans="1:2" ht="15" hidden="1">
      <c r="A24" s="383"/>
      <c r="B24" s="381"/>
    </row>
    <row r="25" spans="1:2" ht="15">
      <c r="A25" s="383" t="s">
        <v>1056</v>
      </c>
      <c r="B25" s="387" t="s">
        <v>19</v>
      </c>
    </row>
    <row r="26" spans="1:2" ht="15">
      <c r="A26" s="383"/>
      <c r="B26" s="386" t="s">
        <v>55</v>
      </c>
    </row>
    <row r="27" spans="1:2" ht="15">
      <c r="A27" s="383"/>
      <c r="B27" s="386" t="s">
        <v>519</v>
      </c>
    </row>
    <row r="28" spans="1:2" ht="15">
      <c r="A28" s="383"/>
      <c r="B28" s="386" t="s">
        <v>627</v>
      </c>
    </row>
    <row r="29" spans="1:2" ht="15">
      <c r="A29" s="383"/>
      <c r="B29" s="386" t="s">
        <v>520</v>
      </c>
    </row>
    <row r="30" spans="1:2" ht="15">
      <c r="A30" s="383" t="s">
        <v>1057</v>
      </c>
      <c r="B30" s="384" t="s">
        <v>13</v>
      </c>
    </row>
    <row r="31" spans="1:2" ht="15">
      <c r="A31" s="383"/>
      <c r="B31" s="381" t="s">
        <v>521</v>
      </c>
    </row>
    <row r="32" spans="1:2" ht="15">
      <c r="A32" s="383"/>
      <c r="B32" s="381" t="s">
        <v>1382</v>
      </c>
    </row>
    <row r="33" spans="1:2" ht="15">
      <c r="A33" s="383"/>
      <c r="B33" s="381" t="s">
        <v>522</v>
      </c>
    </row>
    <row r="34" spans="1:2" ht="15">
      <c r="A34" s="383"/>
      <c r="B34" s="381" t="s">
        <v>523</v>
      </c>
    </row>
    <row r="35" spans="1:2" ht="26.25" customHeight="1">
      <c r="A35" s="388" t="s">
        <v>1010</v>
      </c>
      <c r="B35" s="389" t="s">
        <v>777</v>
      </c>
    </row>
    <row r="36" spans="1:2" ht="15">
      <c r="A36" s="383" t="s">
        <v>1008</v>
      </c>
      <c r="B36" s="384" t="s">
        <v>778</v>
      </c>
    </row>
    <row r="37" spans="1:2" ht="27" customHeight="1">
      <c r="A37" s="390" t="s">
        <v>1013</v>
      </c>
      <c r="B37" s="389" t="s">
        <v>779</v>
      </c>
    </row>
    <row r="38" spans="1:2" ht="15">
      <c r="A38" s="383"/>
      <c r="B38" s="381" t="s">
        <v>524</v>
      </c>
    </row>
    <row r="39" spans="1:2" ht="15">
      <c r="A39" s="383"/>
      <c r="B39" s="381" t="s">
        <v>525</v>
      </c>
    </row>
    <row r="40" spans="1:2" ht="15">
      <c r="A40" s="383"/>
      <c r="B40" s="381" t="s">
        <v>526</v>
      </c>
    </row>
    <row r="41" spans="1:2" ht="15">
      <c r="A41" s="383"/>
      <c r="B41" s="381" t="s">
        <v>527</v>
      </c>
    </row>
    <row r="42" spans="1:2" ht="15">
      <c r="A42" s="383"/>
      <c r="B42" s="381" t="s">
        <v>528</v>
      </c>
    </row>
    <row r="43" spans="1:2" ht="15">
      <c r="A43" s="383"/>
      <c r="B43" s="381" t="s">
        <v>529</v>
      </c>
    </row>
    <row r="44" spans="1:2" ht="15">
      <c r="A44" s="383" t="s">
        <v>1015</v>
      </c>
      <c r="B44" s="384" t="s">
        <v>530</v>
      </c>
    </row>
    <row r="45" spans="1:2" ht="15">
      <c r="A45" s="383"/>
      <c r="B45" s="381" t="s">
        <v>531</v>
      </c>
    </row>
    <row r="46" spans="1:2" ht="15">
      <c r="A46" s="383"/>
      <c r="B46" s="381" t="s">
        <v>532</v>
      </c>
    </row>
    <row r="47" spans="1:2" ht="15">
      <c r="A47" s="383"/>
      <c r="B47" s="381" t="s">
        <v>533</v>
      </c>
    </row>
    <row r="48" spans="1:2" ht="15">
      <c r="A48" s="383"/>
      <c r="B48" s="381" t="s">
        <v>534</v>
      </c>
    </row>
    <row r="49" spans="1:2" ht="15">
      <c r="A49" s="383" t="s">
        <v>1017</v>
      </c>
      <c r="B49" s="384" t="s">
        <v>535</v>
      </c>
    </row>
    <row r="50" spans="1:2" ht="30">
      <c r="A50" s="383"/>
      <c r="B50" s="385" t="s">
        <v>537</v>
      </c>
    </row>
    <row r="51" spans="1:2" ht="15">
      <c r="A51" s="383"/>
      <c r="B51" s="381" t="s">
        <v>538</v>
      </c>
    </row>
    <row r="52" spans="1:2" ht="30">
      <c r="A52" s="383"/>
      <c r="B52" s="385" t="s">
        <v>628</v>
      </c>
    </row>
    <row r="53" spans="1:2" ht="30">
      <c r="A53" s="383"/>
      <c r="B53" s="385" t="s">
        <v>629</v>
      </c>
    </row>
    <row r="54" spans="1:2" ht="15">
      <c r="A54" s="383" t="s">
        <v>892</v>
      </c>
      <c r="B54" s="384" t="s">
        <v>630</v>
      </c>
    </row>
    <row r="55" spans="1:2" ht="15">
      <c r="A55" s="383"/>
      <c r="B55" s="381" t="s">
        <v>681</v>
      </c>
    </row>
    <row r="56" spans="1:2" ht="15">
      <c r="A56" s="383"/>
      <c r="B56" s="381" t="s">
        <v>1383</v>
      </c>
    </row>
    <row r="57" spans="1:2" ht="15">
      <c r="A57" s="383"/>
      <c r="B57" s="381" t="s">
        <v>682</v>
      </c>
    </row>
    <row r="58" spans="1:2" ht="15">
      <c r="A58" s="383" t="s">
        <v>893</v>
      </c>
      <c r="B58" s="384" t="s">
        <v>18</v>
      </c>
    </row>
    <row r="59" spans="1:2" ht="15">
      <c r="A59" s="383"/>
      <c r="B59" s="381" t="s">
        <v>147</v>
      </c>
    </row>
    <row r="60" spans="1:2" ht="30">
      <c r="A60" s="383"/>
      <c r="B60" s="385" t="s">
        <v>768</v>
      </c>
    </row>
    <row r="61" spans="1:2" ht="15">
      <c r="A61" s="383"/>
      <c r="B61" s="381" t="s">
        <v>769</v>
      </c>
    </row>
    <row r="62" spans="1:2" ht="15">
      <c r="A62" s="383"/>
      <c r="B62" s="381" t="s">
        <v>770</v>
      </c>
    </row>
    <row r="63" spans="1:2" ht="15">
      <c r="A63" s="383" t="s">
        <v>894</v>
      </c>
      <c r="B63" s="384" t="s">
        <v>780</v>
      </c>
    </row>
    <row r="64" spans="1:2" ht="15">
      <c r="A64" s="383"/>
      <c r="B64" s="381" t="s">
        <v>156</v>
      </c>
    </row>
    <row r="65" spans="1:2" ht="15">
      <c r="A65" s="383"/>
      <c r="B65" s="381" t="s">
        <v>157</v>
      </c>
    </row>
    <row r="66" spans="1:2" ht="15">
      <c r="A66" s="383"/>
      <c r="B66" s="381" t="s">
        <v>158</v>
      </c>
    </row>
    <row r="67" spans="1:2" ht="15">
      <c r="A67" s="383"/>
      <c r="B67" s="381" t="s">
        <v>159</v>
      </c>
    </row>
    <row r="68" spans="1:2" ht="15">
      <c r="A68" s="383" t="s">
        <v>895</v>
      </c>
      <c r="B68" s="384" t="s">
        <v>781</v>
      </c>
    </row>
    <row r="69" spans="1:2" ht="15">
      <c r="A69" s="383" t="s">
        <v>896</v>
      </c>
      <c r="B69" s="384" t="s">
        <v>782</v>
      </c>
    </row>
    <row r="70" spans="1:2" ht="15">
      <c r="A70" s="383" t="s">
        <v>897</v>
      </c>
      <c r="B70" s="384" t="s">
        <v>160</v>
      </c>
    </row>
    <row r="71" spans="1:2" ht="15">
      <c r="A71" s="388" t="s">
        <v>1036</v>
      </c>
      <c r="B71" s="384" t="s">
        <v>11</v>
      </c>
    </row>
    <row r="72" spans="1:2" ht="15">
      <c r="A72" s="380"/>
      <c r="B72" s="381" t="s">
        <v>55</v>
      </c>
    </row>
    <row r="73" spans="1:2" ht="15">
      <c r="A73" s="380"/>
      <c r="B73" s="391" t="s">
        <v>161</v>
      </c>
    </row>
    <row r="74" spans="1:2" ht="15">
      <c r="A74" s="380"/>
      <c r="B74" s="391" t="s">
        <v>162</v>
      </c>
    </row>
    <row r="75" spans="1:2" ht="15">
      <c r="A75" s="388" t="s">
        <v>898</v>
      </c>
      <c r="B75" s="392" t="s">
        <v>12</v>
      </c>
    </row>
    <row r="76" spans="1:2" ht="15">
      <c r="A76" s="380"/>
      <c r="B76" s="391" t="s">
        <v>55</v>
      </c>
    </row>
    <row r="77" spans="1:2" ht="15">
      <c r="A77" s="380"/>
      <c r="B77" s="391" t="s">
        <v>163</v>
      </c>
    </row>
    <row r="78" spans="1:2" ht="15">
      <c r="A78" s="380"/>
      <c r="B78" s="391" t="s">
        <v>164</v>
      </c>
    </row>
    <row r="79" spans="1:2" ht="30.75" customHeight="1">
      <c r="A79" s="380"/>
      <c r="B79" s="393" t="s">
        <v>165</v>
      </c>
    </row>
    <row r="80" spans="1:2" ht="15">
      <c r="A80" s="380"/>
      <c r="B80" s="391"/>
    </row>
    <row r="81" spans="1:2" ht="15">
      <c r="A81" s="197"/>
      <c r="B81" s="391"/>
    </row>
  </sheetData>
  <sheetProtection/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93" r:id="rId1"/>
  <headerFooter alignWithMargins="0">
    <oddHeader>&amp;CA közbeszerzés hatálya alá tartozó költségvetési szervek köre
(villamosenergia és gáz beszerzés)&amp;R15. melléklet</oddHead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38" sqref="E38"/>
    </sheetView>
  </sheetViews>
  <sheetFormatPr defaultColWidth="9.00390625" defaultRowHeight="12.75"/>
  <cols>
    <col min="1" max="1" width="8.375" style="28" customWidth="1"/>
    <col min="2" max="2" width="58.375" style="26" customWidth="1"/>
    <col min="3" max="3" width="11.875" style="26" customWidth="1"/>
    <col min="4" max="5" width="11.875" style="24" customWidth="1"/>
    <col min="6" max="16384" width="9.375" style="24" customWidth="1"/>
  </cols>
  <sheetData>
    <row r="1" spans="1:5" s="21" customFormat="1" ht="69.75" customHeight="1" thickBot="1">
      <c r="A1" s="53" t="s">
        <v>482</v>
      </c>
      <c r="B1" s="54" t="s">
        <v>381</v>
      </c>
      <c r="C1" s="58" t="s">
        <v>577</v>
      </c>
      <c r="D1" s="522" t="s">
        <v>575</v>
      </c>
      <c r="E1" s="522" t="s">
        <v>578</v>
      </c>
    </row>
    <row r="2" spans="1:5" s="27" customFormat="1" ht="14.25" customHeight="1">
      <c r="A2" s="44" t="s">
        <v>933</v>
      </c>
      <c r="B2" s="55" t="s">
        <v>235</v>
      </c>
      <c r="C2" s="55"/>
      <c r="D2" s="523"/>
      <c r="E2" s="523"/>
    </row>
    <row r="3" spans="1:5" s="21" customFormat="1" ht="14.25" customHeight="1">
      <c r="A3" s="44" t="s">
        <v>934</v>
      </c>
      <c r="B3" s="55" t="s">
        <v>935</v>
      </c>
      <c r="C3" s="57"/>
      <c r="D3" s="524"/>
      <c r="E3" s="524"/>
    </row>
    <row r="4" spans="1:5" s="21" customFormat="1" ht="14.25" customHeight="1">
      <c r="A4" s="166" t="s">
        <v>936</v>
      </c>
      <c r="B4" s="57" t="s">
        <v>937</v>
      </c>
      <c r="C4" s="57"/>
      <c r="D4" s="524"/>
      <c r="E4" s="524"/>
    </row>
    <row r="5" spans="1:5" s="21" customFormat="1" ht="14.25" customHeight="1">
      <c r="A5" s="167" t="s">
        <v>938</v>
      </c>
      <c r="B5" s="57" t="s">
        <v>939</v>
      </c>
      <c r="C5" s="525">
        <v>100</v>
      </c>
      <c r="D5" s="526">
        <v>6969</v>
      </c>
      <c r="E5" s="526">
        <f aca="true" t="shared" si="0" ref="E5:E10">SUM(C5:D5)</f>
        <v>7069</v>
      </c>
    </row>
    <row r="6" spans="1:5" s="21" customFormat="1" ht="14.25" customHeight="1">
      <c r="A6" s="167" t="s">
        <v>940</v>
      </c>
      <c r="B6" s="57" t="s">
        <v>954</v>
      </c>
      <c r="C6" s="525">
        <v>886883</v>
      </c>
      <c r="D6" s="526"/>
      <c r="E6" s="526">
        <f t="shared" si="0"/>
        <v>886883</v>
      </c>
    </row>
    <row r="7" spans="1:5" s="21" customFormat="1" ht="24.75" customHeight="1">
      <c r="A7" s="167" t="s">
        <v>941</v>
      </c>
      <c r="B7" s="57" t="s">
        <v>942</v>
      </c>
      <c r="C7" s="525">
        <v>695886</v>
      </c>
      <c r="D7" s="526"/>
      <c r="E7" s="526">
        <f t="shared" si="0"/>
        <v>695886</v>
      </c>
    </row>
    <row r="8" spans="1:5" s="21" customFormat="1" ht="15" customHeight="1">
      <c r="A8" s="167" t="s">
        <v>943</v>
      </c>
      <c r="B8" s="57" t="s">
        <v>945</v>
      </c>
      <c r="C8" s="525">
        <v>656366</v>
      </c>
      <c r="D8" s="526"/>
      <c r="E8" s="526">
        <f t="shared" si="0"/>
        <v>656366</v>
      </c>
    </row>
    <row r="9" spans="1:5" s="21" customFormat="1" ht="15" customHeight="1">
      <c r="A9" s="167" t="s">
        <v>944</v>
      </c>
      <c r="B9" s="57" t="s">
        <v>946</v>
      </c>
      <c r="C9" s="57"/>
      <c r="D9" s="526"/>
      <c r="E9" s="526">
        <f t="shared" si="0"/>
        <v>0</v>
      </c>
    </row>
    <row r="10" spans="1:5" s="21" customFormat="1" ht="24.75" customHeight="1">
      <c r="A10" s="166" t="s">
        <v>294</v>
      </c>
      <c r="B10" s="57" t="s">
        <v>295</v>
      </c>
      <c r="C10" s="57">
        <v>1007964</v>
      </c>
      <c r="D10" s="128">
        <v>4021</v>
      </c>
      <c r="E10" s="128">
        <f t="shared" si="0"/>
        <v>1011985</v>
      </c>
    </row>
    <row r="11" spans="1:5" s="22" customFormat="1" ht="22.5" customHeight="1">
      <c r="A11" s="58"/>
      <c r="B11" s="52" t="s">
        <v>947</v>
      </c>
      <c r="C11" s="52">
        <f>SUM(C4:C10)</f>
        <v>3247199</v>
      </c>
      <c r="D11" s="52">
        <f>SUM(D4:D10)</f>
        <v>10990</v>
      </c>
      <c r="E11" s="52">
        <f>SUM(E4:E10)</f>
        <v>3258189</v>
      </c>
    </row>
    <row r="12" spans="1:5" s="21" customFormat="1" ht="14.25" customHeight="1">
      <c r="A12" s="44" t="s">
        <v>948</v>
      </c>
      <c r="B12" s="55" t="s">
        <v>949</v>
      </c>
      <c r="C12" s="57"/>
      <c r="D12" s="526"/>
      <c r="E12" s="527"/>
    </row>
    <row r="13" spans="1:5" s="21" customFormat="1" ht="14.25" customHeight="1">
      <c r="A13" s="166" t="s">
        <v>950</v>
      </c>
      <c r="B13" s="57" t="s">
        <v>951</v>
      </c>
      <c r="C13" s="57"/>
      <c r="D13" s="526">
        <v>87959</v>
      </c>
      <c r="E13" s="526">
        <f>SUM(C13:D13)</f>
        <v>87959</v>
      </c>
    </row>
    <row r="14" spans="1:5" s="21" customFormat="1" ht="23.25" customHeight="1">
      <c r="A14" s="166" t="s">
        <v>952</v>
      </c>
      <c r="B14" s="57" t="s">
        <v>953</v>
      </c>
      <c r="C14" s="57">
        <v>3540847</v>
      </c>
      <c r="D14" s="128">
        <v>-137339</v>
      </c>
      <c r="E14" s="128">
        <f>SUM(C14:D14)</f>
        <v>3403508</v>
      </c>
    </row>
    <row r="15" spans="1:5" s="22" customFormat="1" ht="23.25" customHeight="1">
      <c r="A15" s="58"/>
      <c r="B15" s="52" t="s">
        <v>955</v>
      </c>
      <c r="C15" s="52">
        <f>SUM(C13:C14)</f>
        <v>3540847</v>
      </c>
      <c r="D15" s="52">
        <f>SUM(D13:D14)</f>
        <v>-49380</v>
      </c>
      <c r="E15" s="52">
        <f>SUM(E13:E14)</f>
        <v>3491467</v>
      </c>
    </row>
    <row r="16" spans="1:5" s="21" customFormat="1" ht="14.25" customHeight="1">
      <c r="A16" s="44" t="s">
        <v>956</v>
      </c>
      <c r="B16" s="55" t="s">
        <v>155</v>
      </c>
      <c r="C16" s="57"/>
      <c r="D16" s="526"/>
      <c r="E16" s="527"/>
    </row>
    <row r="17" spans="1:5" s="21" customFormat="1" ht="14.25" customHeight="1">
      <c r="A17" s="166" t="s">
        <v>957</v>
      </c>
      <c r="B17" s="57" t="s">
        <v>959</v>
      </c>
      <c r="C17" s="57"/>
      <c r="D17" s="526"/>
      <c r="E17" s="527"/>
    </row>
    <row r="18" spans="1:5" s="21" customFormat="1" ht="14.25" customHeight="1">
      <c r="A18" s="167" t="s">
        <v>958</v>
      </c>
      <c r="B18" s="57" t="s">
        <v>579</v>
      </c>
      <c r="C18" s="57">
        <v>4312000</v>
      </c>
      <c r="D18" s="526"/>
      <c r="E18" s="526">
        <f>SUM(C18:D18)</f>
        <v>4312000</v>
      </c>
    </row>
    <row r="19" spans="1:5" s="21" customFormat="1" ht="14.25" customHeight="1">
      <c r="A19" s="167" t="s">
        <v>960</v>
      </c>
      <c r="B19" s="57" t="s">
        <v>961</v>
      </c>
      <c r="C19" s="57">
        <v>228000</v>
      </c>
      <c r="D19" s="526"/>
      <c r="E19" s="526">
        <f>SUM(C19:D19)</f>
        <v>228000</v>
      </c>
    </row>
    <row r="20" spans="1:5" s="21" customFormat="1" ht="14.25" customHeight="1">
      <c r="A20" s="167" t="s">
        <v>962</v>
      </c>
      <c r="B20" s="57" t="s">
        <v>963</v>
      </c>
      <c r="C20" s="57">
        <v>5000</v>
      </c>
      <c r="D20" s="526"/>
      <c r="E20" s="526">
        <f>SUM(C20:D20)</f>
        <v>5000</v>
      </c>
    </row>
    <row r="21" spans="1:5" s="21" customFormat="1" ht="14.25" customHeight="1">
      <c r="A21" s="166" t="s">
        <v>964</v>
      </c>
      <c r="B21" s="57" t="s">
        <v>966</v>
      </c>
      <c r="C21" s="57">
        <v>7000</v>
      </c>
      <c r="D21" s="526"/>
      <c r="E21" s="526">
        <f>SUM(C21:D21)</f>
        <v>7000</v>
      </c>
    </row>
    <row r="22" spans="1:5" ht="15" customHeight="1">
      <c r="A22" s="58"/>
      <c r="B22" s="52" t="s">
        <v>965</v>
      </c>
      <c r="C22" s="52">
        <f>SUM(C16:C21)</f>
        <v>4552000</v>
      </c>
      <c r="D22" s="52">
        <f>SUM(D16:D21)</f>
        <v>0</v>
      </c>
      <c r="E22" s="52">
        <f>SUM(E16:E21)</f>
        <v>4552000</v>
      </c>
    </row>
    <row r="23" spans="1:5" s="21" customFormat="1" ht="15" customHeight="1">
      <c r="A23" s="58" t="s">
        <v>967</v>
      </c>
      <c r="B23" s="52" t="s">
        <v>785</v>
      </c>
      <c r="C23" s="52">
        <v>2490092</v>
      </c>
      <c r="D23" s="528">
        <v>12193</v>
      </c>
      <c r="E23" s="528">
        <f>SUM(C23:D23)</f>
        <v>2502285</v>
      </c>
    </row>
    <row r="24" spans="1:5" s="21" customFormat="1" ht="15" customHeight="1">
      <c r="A24" s="44" t="s">
        <v>968</v>
      </c>
      <c r="B24" s="55" t="s">
        <v>786</v>
      </c>
      <c r="C24" s="57"/>
      <c r="D24" s="526"/>
      <c r="E24" s="527"/>
    </row>
    <row r="25" spans="1:5" s="21" customFormat="1" ht="15" customHeight="1">
      <c r="A25" s="56" t="s">
        <v>969</v>
      </c>
      <c r="B25" s="57" t="s">
        <v>970</v>
      </c>
      <c r="C25" s="57">
        <v>144480</v>
      </c>
      <c r="D25" s="526"/>
      <c r="E25" s="526">
        <f>SUM(C25:D25)</f>
        <v>144480</v>
      </c>
    </row>
    <row r="26" spans="1:5" s="21" customFormat="1" ht="15" customHeight="1">
      <c r="A26" s="56" t="s">
        <v>910</v>
      </c>
      <c r="B26" s="57" t="s">
        <v>911</v>
      </c>
      <c r="C26" s="57">
        <v>5000</v>
      </c>
      <c r="D26" s="526">
        <v>-5000</v>
      </c>
      <c r="E26" s="526">
        <f>SUM(C26:D26)</f>
        <v>0</v>
      </c>
    </row>
    <row r="27" spans="1:5" s="21" customFormat="1" ht="15" customHeight="1">
      <c r="A27" s="82"/>
      <c r="B27" s="52" t="s">
        <v>971</v>
      </c>
      <c r="C27" s="52">
        <f>SUM(C25:C26)</f>
        <v>149480</v>
      </c>
      <c r="D27" s="52">
        <f>SUM(D25:D26)</f>
        <v>-5000</v>
      </c>
      <c r="E27" s="52">
        <f>SUM(E25:E26)</f>
        <v>144480</v>
      </c>
    </row>
    <row r="28" spans="1:5" s="21" customFormat="1" ht="15" customHeight="1">
      <c r="A28" s="58" t="s">
        <v>972</v>
      </c>
      <c r="B28" s="52" t="s">
        <v>787</v>
      </c>
      <c r="C28" s="52">
        <v>67000</v>
      </c>
      <c r="D28" s="529"/>
      <c r="E28" s="528">
        <f>SUM(C28:D28)</f>
        <v>67000</v>
      </c>
    </row>
    <row r="29" spans="1:5" s="21" customFormat="1" ht="15" customHeight="1">
      <c r="A29" s="44" t="s">
        <v>973</v>
      </c>
      <c r="B29" s="55" t="s">
        <v>788</v>
      </c>
      <c r="C29" s="55"/>
      <c r="D29" s="526"/>
      <c r="E29" s="527"/>
    </row>
    <row r="30" spans="1:5" s="21" customFormat="1" ht="24.75" customHeight="1">
      <c r="A30" s="56" t="s">
        <v>974</v>
      </c>
      <c r="B30" s="57" t="s">
        <v>975</v>
      </c>
      <c r="C30" s="57">
        <v>30000</v>
      </c>
      <c r="D30" s="57"/>
      <c r="E30" s="57">
        <f>SUM(C30:D30)</f>
        <v>30000</v>
      </c>
    </row>
    <row r="31" spans="1:5" s="21" customFormat="1" ht="15" customHeight="1">
      <c r="A31" s="56" t="s">
        <v>976</v>
      </c>
      <c r="B31" s="57" t="s">
        <v>977</v>
      </c>
      <c r="C31" s="57">
        <v>290000</v>
      </c>
      <c r="D31" s="57"/>
      <c r="E31" s="57">
        <f>SUM(C31:D31)</f>
        <v>290000</v>
      </c>
    </row>
    <row r="32" spans="1:5" s="21" customFormat="1" ht="15" customHeight="1">
      <c r="A32" s="82"/>
      <c r="B32" s="52" t="s">
        <v>978</v>
      </c>
      <c r="C32" s="52">
        <f>SUM(C30:C31)</f>
        <v>320000</v>
      </c>
      <c r="D32" s="52">
        <f>SUM(D30:D31)</f>
        <v>0</v>
      </c>
      <c r="E32" s="52">
        <f>SUM(E30:E31)</f>
        <v>320000</v>
      </c>
    </row>
    <row r="33" spans="1:5" s="21" customFormat="1" ht="15" customHeight="1">
      <c r="A33" s="58" t="s">
        <v>979</v>
      </c>
      <c r="B33" s="52" t="s">
        <v>441</v>
      </c>
      <c r="C33" s="52">
        <f>SUM(C11+C15+C22+C23+C27+C28+C32)</f>
        <v>14366618</v>
      </c>
      <c r="D33" s="52">
        <f>SUM(D11+D15+D22+D23+D27+D28+D32)</f>
        <v>-31197</v>
      </c>
      <c r="E33" s="52">
        <f>SUM(E11+E15+E22+E23+E27+E28+E32)</f>
        <v>14335421</v>
      </c>
    </row>
    <row r="34" spans="1:5" s="21" customFormat="1" ht="15.75" customHeight="1">
      <c r="A34" s="44" t="s">
        <v>980</v>
      </c>
      <c r="B34" s="55" t="s">
        <v>789</v>
      </c>
      <c r="C34" s="55"/>
      <c r="D34" s="526"/>
      <c r="E34" s="527"/>
    </row>
    <row r="35" spans="1:5" s="21" customFormat="1" ht="14.25" customHeight="1">
      <c r="A35" s="166" t="s">
        <v>981</v>
      </c>
      <c r="B35" s="57" t="s">
        <v>982</v>
      </c>
      <c r="C35" s="57"/>
      <c r="D35" s="526"/>
      <c r="E35" s="527"/>
    </row>
    <row r="36" spans="1:5" s="21" customFormat="1" ht="14.25" customHeight="1">
      <c r="A36" s="168" t="s">
        <v>983</v>
      </c>
      <c r="B36" s="83" t="s">
        <v>984</v>
      </c>
      <c r="C36" s="57">
        <v>378018</v>
      </c>
      <c r="D36" s="526"/>
      <c r="E36" s="526">
        <f>SUM(C36:D36)</f>
        <v>378018</v>
      </c>
    </row>
    <row r="37" spans="1:5" s="21" customFormat="1" ht="14.25" customHeight="1">
      <c r="A37" s="168" t="s">
        <v>985</v>
      </c>
      <c r="B37" s="83" t="s">
        <v>443</v>
      </c>
      <c r="C37" s="57">
        <v>2467917</v>
      </c>
      <c r="D37" s="526">
        <v>-13929</v>
      </c>
      <c r="E37" s="526">
        <f>SUM(C37:D37)</f>
        <v>2453988</v>
      </c>
    </row>
    <row r="38" spans="1:5" s="21" customFormat="1" ht="14.25" customHeight="1">
      <c r="A38" s="168" t="s">
        <v>912</v>
      </c>
      <c r="B38" s="83" t="s">
        <v>913</v>
      </c>
      <c r="C38" s="57">
        <v>73924</v>
      </c>
      <c r="D38" s="526">
        <v>40000</v>
      </c>
      <c r="E38" s="526">
        <f>SUM(C38:D38)</f>
        <v>113924</v>
      </c>
    </row>
    <row r="39" spans="1:5" s="21" customFormat="1" ht="14.25" customHeight="1">
      <c r="A39" s="169"/>
      <c r="B39" s="52" t="s">
        <v>986</v>
      </c>
      <c r="C39" s="52">
        <f>SUM(C36:C38)</f>
        <v>2919859</v>
      </c>
      <c r="D39" s="52">
        <f>SUM(D36:D38)</f>
        <v>26071</v>
      </c>
      <c r="E39" s="52">
        <f>SUM(E36:E38)</f>
        <v>2945930</v>
      </c>
    </row>
    <row r="40" spans="1:5" ht="15.75" customHeight="1">
      <c r="A40" s="58"/>
      <c r="B40" s="52" t="s">
        <v>987</v>
      </c>
      <c r="C40" s="52">
        <f>SUM(C33+C39)</f>
        <v>17286477</v>
      </c>
      <c r="D40" s="52">
        <f>SUM(D33+D39)</f>
        <v>-5126</v>
      </c>
      <c r="E40" s="52">
        <f>SUM(E33+E39)</f>
        <v>17281351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ROVATONKÉNT
2015. ÉVBEN&amp;R&amp;"Times New Roman CE,Félkövér dőlt"2.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zoomScale="90" zoomScaleNormal="90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B1" sqref="B1:F1"/>
    </sheetView>
  </sheetViews>
  <sheetFormatPr defaultColWidth="9.00390625" defaultRowHeight="12.75"/>
  <cols>
    <col min="1" max="1" width="75.375" style="535" customWidth="1"/>
    <col min="2" max="2" width="11.50390625" style="535" customWidth="1"/>
    <col min="3" max="3" width="11.125" style="535" customWidth="1"/>
    <col min="4" max="4" width="10.50390625" style="535" customWidth="1"/>
    <col min="5" max="5" width="11.00390625" style="535" customWidth="1"/>
    <col min="6" max="6" width="11.875" style="535" customWidth="1"/>
    <col min="7" max="7" width="11.125" style="534" customWidth="1"/>
    <col min="8" max="8" width="11.00390625" style="534" customWidth="1"/>
    <col min="9" max="9" width="13.125" style="534" customWidth="1"/>
    <col min="10" max="10" width="11.375" style="534" customWidth="1"/>
    <col min="11" max="11" width="11.125" style="534" customWidth="1"/>
    <col min="12" max="12" width="18.125" style="534" customWidth="1"/>
    <col min="13" max="14" width="9.375" style="534" customWidth="1"/>
    <col min="15" max="16384" width="9.375" style="535" customWidth="1"/>
  </cols>
  <sheetData>
    <row r="1" spans="1:14" ht="23.25" customHeight="1" thickBot="1">
      <c r="A1" s="530"/>
      <c r="B1" s="531" t="s">
        <v>580</v>
      </c>
      <c r="C1" s="532"/>
      <c r="D1" s="532"/>
      <c r="E1" s="532"/>
      <c r="F1" s="533"/>
      <c r="G1" s="531" t="s">
        <v>581</v>
      </c>
      <c r="H1" s="532"/>
      <c r="I1" s="532"/>
      <c r="J1" s="532"/>
      <c r="K1" s="533"/>
      <c r="N1" s="535"/>
    </row>
    <row r="2" spans="1:13" s="540" customFormat="1" ht="55.5" customHeight="1" thickBot="1">
      <c r="A2" s="536" t="s">
        <v>46</v>
      </c>
      <c r="B2" s="537" t="s">
        <v>47</v>
      </c>
      <c r="C2" s="538" t="s">
        <v>48</v>
      </c>
      <c r="D2" s="538" t="s">
        <v>49</v>
      </c>
      <c r="E2" s="538" t="s">
        <v>450</v>
      </c>
      <c r="F2" s="538" t="s">
        <v>50</v>
      </c>
      <c r="G2" s="537" t="s">
        <v>47</v>
      </c>
      <c r="H2" s="538" t="s">
        <v>48</v>
      </c>
      <c r="I2" s="538" t="s">
        <v>49</v>
      </c>
      <c r="J2" s="538" t="s">
        <v>450</v>
      </c>
      <c r="K2" s="538" t="s">
        <v>50</v>
      </c>
      <c r="L2" s="539"/>
      <c r="M2" s="539"/>
    </row>
    <row r="3" spans="1:14" ht="13.5" customHeight="1">
      <c r="A3" s="541" t="s">
        <v>51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M3" s="535"/>
      <c r="N3" s="535"/>
    </row>
    <row r="4" spans="1:14" ht="13.5" customHeight="1">
      <c r="A4" s="543" t="s">
        <v>451</v>
      </c>
      <c r="B4" s="544"/>
      <c r="C4" s="544">
        <v>134.68</v>
      </c>
      <c r="D4" s="542">
        <v>4580000</v>
      </c>
      <c r="E4" s="542">
        <v>616834</v>
      </c>
      <c r="F4" s="542"/>
      <c r="G4" s="544"/>
      <c r="H4" s="544">
        <v>134.68</v>
      </c>
      <c r="I4" s="542">
        <v>4580000</v>
      </c>
      <c r="J4" s="542">
        <v>616834</v>
      </c>
      <c r="K4" s="542"/>
      <c r="M4" s="535"/>
      <c r="N4" s="535"/>
    </row>
    <row r="5" spans="1:14" ht="13.5" customHeight="1">
      <c r="A5" s="543" t="s">
        <v>452</v>
      </c>
      <c r="B5" s="544"/>
      <c r="C5" s="544"/>
      <c r="D5" s="542"/>
      <c r="E5" s="542"/>
      <c r="F5" s="542">
        <v>0</v>
      </c>
      <c r="G5" s="544"/>
      <c r="H5" s="544"/>
      <c r="I5" s="542"/>
      <c r="J5" s="542"/>
      <c r="K5" s="542">
        <v>0</v>
      </c>
      <c r="M5" s="535"/>
      <c r="N5" s="535"/>
    </row>
    <row r="6" spans="1:14" ht="13.5" customHeight="1">
      <c r="A6" s="543" t="s">
        <v>453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M6" s="535"/>
      <c r="N6" s="535"/>
    </row>
    <row r="7" spans="1:14" ht="13.5" customHeight="1">
      <c r="A7" s="543" t="s">
        <v>696</v>
      </c>
      <c r="B7" s="542"/>
      <c r="C7" s="542">
        <v>2299</v>
      </c>
      <c r="D7" s="542">
        <v>22300</v>
      </c>
      <c r="E7" s="542">
        <v>51262</v>
      </c>
      <c r="F7" s="542"/>
      <c r="G7" s="542"/>
      <c r="H7" s="542">
        <v>2299</v>
      </c>
      <c r="I7" s="542">
        <v>22300</v>
      </c>
      <c r="J7" s="542">
        <v>51262</v>
      </c>
      <c r="K7" s="542"/>
      <c r="M7" s="535"/>
      <c r="N7" s="535"/>
    </row>
    <row r="8" spans="1:14" ht="13.5" customHeight="1">
      <c r="A8" s="543" t="s">
        <v>699</v>
      </c>
      <c r="B8" s="542"/>
      <c r="C8" s="542">
        <v>393</v>
      </c>
      <c r="D8" s="542">
        <v>415000</v>
      </c>
      <c r="E8" s="542">
        <v>162805</v>
      </c>
      <c r="F8" s="542"/>
      <c r="G8" s="542"/>
      <c r="H8" s="542">
        <v>393</v>
      </c>
      <c r="I8" s="542">
        <v>415000</v>
      </c>
      <c r="J8" s="542">
        <v>162805</v>
      </c>
      <c r="K8" s="542"/>
      <c r="M8" s="535"/>
      <c r="N8" s="535"/>
    </row>
    <row r="9" spans="1:14" ht="13.5" customHeight="1">
      <c r="A9" s="543" t="s">
        <v>703</v>
      </c>
      <c r="B9" s="542"/>
      <c r="C9" s="542">
        <v>323446</v>
      </c>
      <c r="D9" s="542">
        <v>70</v>
      </c>
      <c r="E9" s="542">
        <v>22641</v>
      </c>
      <c r="F9" s="542"/>
      <c r="G9" s="542"/>
      <c r="H9" s="542">
        <v>323446</v>
      </c>
      <c r="I9" s="542">
        <v>70</v>
      </c>
      <c r="J9" s="542">
        <v>22641</v>
      </c>
      <c r="K9" s="542"/>
      <c r="M9" s="535"/>
      <c r="N9" s="535"/>
    </row>
    <row r="10" spans="1:14" ht="13.5" customHeight="1">
      <c r="A10" s="543" t="s">
        <v>115</v>
      </c>
      <c r="B10" s="542"/>
      <c r="C10" s="542">
        <v>219</v>
      </c>
      <c r="D10" s="542">
        <v>470000</v>
      </c>
      <c r="E10" s="542">
        <v>102775</v>
      </c>
      <c r="F10" s="542"/>
      <c r="G10" s="542"/>
      <c r="H10" s="542">
        <v>219</v>
      </c>
      <c r="I10" s="542">
        <v>470000</v>
      </c>
      <c r="J10" s="542">
        <v>102775</v>
      </c>
      <c r="K10" s="542"/>
      <c r="M10" s="535"/>
      <c r="N10" s="535"/>
    </row>
    <row r="11" spans="1:14" ht="13.5" customHeight="1">
      <c r="A11" s="543" t="s">
        <v>454</v>
      </c>
      <c r="B11" s="542"/>
      <c r="C11" s="542"/>
      <c r="D11" s="542"/>
      <c r="E11" s="542"/>
      <c r="F11" s="542">
        <v>0</v>
      </c>
      <c r="G11" s="542"/>
      <c r="H11" s="542"/>
      <c r="I11" s="542"/>
      <c r="J11" s="542"/>
      <c r="K11" s="542">
        <v>0</v>
      </c>
      <c r="M11" s="535"/>
      <c r="N11" s="535"/>
    </row>
    <row r="12" spans="1:14" ht="13.5" customHeight="1">
      <c r="A12" s="543" t="s">
        <v>455</v>
      </c>
      <c r="B12" s="542">
        <v>58978</v>
      </c>
      <c r="C12" s="542"/>
      <c r="D12" s="542">
        <v>2700</v>
      </c>
      <c r="E12" s="542">
        <v>159241</v>
      </c>
      <c r="F12" s="542"/>
      <c r="G12" s="542">
        <v>58978</v>
      </c>
      <c r="H12" s="542"/>
      <c r="I12" s="542">
        <v>2700</v>
      </c>
      <c r="J12" s="542">
        <v>159241</v>
      </c>
      <c r="K12" s="542"/>
      <c r="M12" s="535"/>
      <c r="N12" s="535"/>
    </row>
    <row r="13" spans="1:14" ht="13.5" customHeight="1">
      <c r="A13" s="543" t="s">
        <v>456</v>
      </c>
      <c r="B13" s="542"/>
      <c r="C13" s="542"/>
      <c r="D13" s="542"/>
      <c r="E13" s="542"/>
      <c r="F13" s="542">
        <v>0</v>
      </c>
      <c r="G13" s="542"/>
      <c r="H13" s="542"/>
      <c r="I13" s="542"/>
      <c r="J13" s="542"/>
      <c r="K13" s="542">
        <v>0</v>
      </c>
      <c r="M13" s="535"/>
      <c r="N13" s="535"/>
    </row>
    <row r="14" spans="1:14" ht="13.5" customHeight="1">
      <c r="A14" s="543" t="s">
        <v>704</v>
      </c>
      <c r="B14" s="542">
        <v>3546</v>
      </c>
      <c r="C14" s="542"/>
      <c r="D14" s="542">
        <v>2550</v>
      </c>
      <c r="E14" s="542">
        <v>9042</v>
      </c>
      <c r="F14" s="542"/>
      <c r="G14" s="542">
        <v>3546</v>
      </c>
      <c r="H14" s="542"/>
      <c r="I14" s="542">
        <v>2550</v>
      </c>
      <c r="J14" s="542">
        <v>9042</v>
      </c>
      <c r="K14" s="542"/>
      <c r="M14" s="535"/>
      <c r="N14" s="535"/>
    </row>
    <row r="15" spans="1:14" ht="13.5" customHeight="1">
      <c r="A15" s="543" t="s">
        <v>636</v>
      </c>
      <c r="B15" s="542"/>
      <c r="C15" s="542"/>
      <c r="D15" s="542"/>
      <c r="E15" s="542"/>
      <c r="F15" s="542">
        <v>0</v>
      </c>
      <c r="G15" s="542"/>
      <c r="H15" s="542"/>
      <c r="I15" s="542"/>
      <c r="J15" s="542"/>
      <c r="K15" s="542">
        <v>0</v>
      </c>
      <c r="M15" s="535"/>
      <c r="N15" s="535"/>
    </row>
    <row r="16" spans="1:14" ht="13.5" customHeight="1">
      <c r="A16" s="543" t="s">
        <v>637</v>
      </c>
      <c r="B16" s="542">
        <v>7906000</v>
      </c>
      <c r="C16" s="542"/>
      <c r="D16" s="544">
        <v>1.55</v>
      </c>
      <c r="E16" s="542">
        <v>12254</v>
      </c>
      <c r="F16" s="542"/>
      <c r="G16" s="542">
        <v>7906000</v>
      </c>
      <c r="H16" s="542"/>
      <c r="I16" s="544">
        <v>1.55</v>
      </c>
      <c r="J16" s="542">
        <v>12254</v>
      </c>
      <c r="K16" s="542"/>
      <c r="M16" s="535"/>
      <c r="N16" s="535"/>
    </row>
    <row r="17" spans="1:14" ht="13.5" customHeight="1">
      <c r="A17" s="543" t="s">
        <v>638</v>
      </c>
      <c r="B17" s="542"/>
      <c r="C17" s="542"/>
      <c r="D17" s="544"/>
      <c r="E17" s="542"/>
      <c r="F17" s="542">
        <v>0</v>
      </c>
      <c r="G17" s="542"/>
      <c r="H17" s="542"/>
      <c r="I17" s="544"/>
      <c r="J17" s="542"/>
      <c r="K17" s="542">
        <v>0</v>
      </c>
      <c r="M17" s="535"/>
      <c r="N17" s="535"/>
    </row>
    <row r="18" spans="1:14" ht="13.5" customHeight="1">
      <c r="A18" s="543" t="s">
        <v>639</v>
      </c>
      <c r="B18" s="542"/>
      <c r="C18" s="542"/>
      <c r="D18" s="542"/>
      <c r="E18" s="542">
        <v>-1149881</v>
      </c>
      <c r="F18" s="542"/>
      <c r="G18" s="542"/>
      <c r="H18" s="542"/>
      <c r="I18" s="542"/>
      <c r="J18" s="542">
        <v>-1149881</v>
      </c>
      <c r="K18" s="542"/>
      <c r="M18" s="535"/>
      <c r="N18" s="535"/>
    </row>
    <row r="19" spans="1:14" ht="13.5" customHeight="1">
      <c r="A19" s="543" t="s">
        <v>640</v>
      </c>
      <c r="B19" s="542"/>
      <c r="C19" s="542">
        <v>1000</v>
      </c>
      <c r="D19" s="542">
        <v>100</v>
      </c>
      <c r="E19" s="542"/>
      <c r="F19" s="542">
        <f>SUM(C19*D19)/1000</f>
        <v>100</v>
      </c>
      <c r="G19" s="542"/>
      <c r="H19" s="542">
        <v>1000</v>
      </c>
      <c r="I19" s="542">
        <v>100</v>
      </c>
      <c r="J19" s="542"/>
      <c r="K19" s="542">
        <f>SUM(H19*I19)/1000</f>
        <v>100</v>
      </c>
      <c r="M19" s="535"/>
      <c r="N19" s="535"/>
    </row>
    <row r="20" spans="1:14" ht="13.5" customHeight="1">
      <c r="A20" s="543" t="s">
        <v>582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>
        <v>6969</v>
      </c>
      <c r="M20" s="535"/>
      <c r="N20" s="535"/>
    </row>
    <row r="21" spans="1:14" ht="13.5" customHeight="1">
      <c r="A21" s="541" t="s">
        <v>52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M21" s="535"/>
      <c r="N21" s="535"/>
    </row>
    <row r="22" spans="1:14" ht="24.75" customHeight="1">
      <c r="A22" s="545" t="s">
        <v>783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M22" s="535"/>
      <c r="N22" s="535"/>
    </row>
    <row r="23" spans="1:14" ht="15" customHeight="1">
      <c r="A23" s="545" t="s">
        <v>457</v>
      </c>
      <c r="B23" s="542"/>
      <c r="C23" s="546">
        <v>141.4</v>
      </c>
      <c r="D23" s="542">
        <v>2768000</v>
      </c>
      <c r="E23" s="544"/>
      <c r="F23" s="542">
        <f>SUM(C23*D23)/1000</f>
        <v>391395.2</v>
      </c>
      <c r="G23" s="542"/>
      <c r="H23" s="546">
        <v>141.4</v>
      </c>
      <c r="I23" s="542">
        <v>2768000</v>
      </c>
      <c r="J23" s="544"/>
      <c r="K23" s="542">
        <f>SUM(H23*I23)/1000</f>
        <v>391395.2</v>
      </c>
      <c r="M23" s="535"/>
      <c r="N23" s="535"/>
    </row>
    <row r="24" spans="1:14" ht="15" customHeight="1">
      <c r="A24" s="545" t="s">
        <v>458</v>
      </c>
      <c r="B24" s="542"/>
      <c r="C24" s="546">
        <v>147.6</v>
      </c>
      <c r="D24" s="542">
        <v>1384000</v>
      </c>
      <c r="E24" s="544"/>
      <c r="F24" s="542">
        <v>204279</v>
      </c>
      <c r="G24" s="542"/>
      <c r="H24" s="546">
        <v>147.6</v>
      </c>
      <c r="I24" s="542">
        <v>1384000</v>
      </c>
      <c r="J24" s="544"/>
      <c r="K24" s="542">
        <v>204279</v>
      </c>
      <c r="M24" s="535"/>
      <c r="N24" s="535"/>
    </row>
    <row r="25" spans="1:14" ht="15" customHeight="1">
      <c r="A25" s="547" t="s">
        <v>459</v>
      </c>
      <c r="B25" s="542"/>
      <c r="C25" s="546">
        <v>147.6</v>
      </c>
      <c r="D25" s="542">
        <v>35000</v>
      </c>
      <c r="E25" s="542"/>
      <c r="F25" s="542">
        <f>SUM(C25*D25)/1000</f>
        <v>5166</v>
      </c>
      <c r="G25" s="542"/>
      <c r="H25" s="546">
        <v>147.6</v>
      </c>
      <c r="I25" s="542">
        <v>35000</v>
      </c>
      <c r="J25" s="542"/>
      <c r="K25" s="542">
        <f>SUM(H25*I25)/1000</f>
        <v>5166</v>
      </c>
      <c r="M25" s="535"/>
      <c r="N25" s="535"/>
    </row>
    <row r="26" spans="1:14" ht="24.75" customHeight="1">
      <c r="A26" s="545" t="s">
        <v>460</v>
      </c>
      <c r="B26" s="542"/>
      <c r="C26" s="542">
        <v>90</v>
      </c>
      <c r="D26" s="542">
        <v>1200000</v>
      </c>
      <c r="E26" s="548"/>
      <c r="F26" s="542">
        <f>SUM(C26*D26)/1000</f>
        <v>108000</v>
      </c>
      <c r="G26" s="542"/>
      <c r="H26" s="542">
        <v>90</v>
      </c>
      <c r="I26" s="542">
        <v>1200000</v>
      </c>
      <c r="J26" s="548"/>
      <c r="K26" s="542">
        <f>SUM(H26*I26)/1000</f>
        <v>108000</v>
      </c>
      <c r="M26" s="535"/>
      <c r="N26" s="535"/>
    </row>
    <row r="27" spans="1:14" ht="24.75" customHeight="1">
      <c r="A27" s="545" t="s">
        <v>461</v>
      </c>
      <c r="B27" s="542"/>
      <c r="C27" s="542">
        <v>90</v>
      </c>
      <c r="D27" s="542">
        <v>600000</v>
      </c>
      <c r="E27" s="548"/>
      <c r="F27" s="542">
        <f>SUM(C27*D27)/1000</f>
        <v>54000</v>
      </c>
      <c r="G27" s="542"/>
      <c r="H27" s="542">
        <v>90</v>
      </c>
      <c r="I27" s="542">
        <v>600000</v>
      </c>
      <c r="J27" s="548"/>
      <c r="K27" s="542">
        <f>SUM(H27*I27)/1000</f>
        <v>54000</v>
      </c>
      <c r="M27" s="535"/>
      <c r="N27" s="535"/>
    </row>
    <row r="28" spans="1:14" ht="24.75" customHeight="1">
      <c r="A28" s="543" t="s">
        <v>641</v>
      </c>
      <c r="B28" s="542">
        <v>1584</v>
      </c>
      <c r="C28" s="542"/>
      <c r="D28" s="542">
        <v>46667</v>
      </c>
      <c r="E28" s="548"/>
      <c r="F28" s="542">
        <v>73920</v>
      </c>
      <c r="G28" s="542">
        <v>1584</v>
      </c>
      <c r="H28" s="542"/>
      <c r="I28" s="542">
        <v>46667</v>
      </c>
      <c r="J28" s="548"/>
      <c r="K28" s="542">
        <v>73920</v>
      </c>
      <c r="M28" s="535"/>
      <c r="N28" s="535"/>
    </row>
    <row r="29" spans="1:14" ht="13.5" customHeight="1">
      <c r="A29" s="543" t="s">
        <v>110</v>
      </c>
      <c r="B29" s="542">
        <v>1666</v>
      </c>
      <c r="C29" s="542"/>
      <c r="D29" s="542">
        <v>23333</v>
      </c>
      <c r="E29" s="548"/>
      <c r="F29" s="542">
        <v>38873</v>
      </c>
      <c r="G29" s="542">
        <v>1666</v>
      </c>
      <c r="H29" s="542"/>
      <c r="I29" s="542">
        <v>23333</v>
      </c>
      <c r="J29" s="548"/>
      <c r="K29" s="542">
        <v>38873</v>
      </c>
      <c r="M29" s="535"/>
      <c r="N29" s="535"/>
    </row>
    <row r="30" spans="1:14" ht="13.5" customHeight="1">
      <c r="A30" s="543" t="s">
        <v>111</v>
      </c>
      <c r="B30" s="542"/>
      <c r="C30" s="542"/>
      <c r="D30" s="542"/>
      <c r="E30" s="548"/>
      <c r="F30" s="542"/>
      <c r="G30" s="542"/>
      <c r="H30" s="542"/>
      <c r="I30" s="542"/>
      <c r="J30" s="548"/>
      <c r="K30" s="542"/>
      <c r="M30" s="535"/>
      <c r="N30" s="535"/>
    </row>
    <row r="31" spans="1:14" ht="13.5" customHeight="1">
      <c r="A31" s="543" t="s">
        <v>112</v>
      </c>
      <c r="B31" s="542">
        <v>21</v>
      </c>
      <c r="C31" s="542"/>
      <c r="D31" s="542">
        <v>352000</v>
      </c>
      <c r="E31" s="548"/>
      <c r="F31" s="542">
        <v>7392</v>
      </c>
      <c r="G31" s="542">
        <v>21</v>
      </c>
      <c r="H31" s="542"/>
      <c r="I31" s="542">
        <v>352000</v>
      </c>
      <c r="J31" s="548"/>
      <c r="K31" s="542">
        <v>7392</v>
      </c>
      <c r="M31" s="535"/>
      <c r="N31" s="535"/>
    </row>
    <row r="32" spans="1:14" ht="13.5" customHeight="1">
      <c r="A32" s="543" t="s">
        <v>114</v>
      </c>
      <c r="B32" s="542">
        <v>3</v>
      </c>
      <c r="C32" s="542"/>
      <c r="D32" s="542">
        <v>1286000</v>
      </c>
      <c r="E32" s="548"/>
      <c r="F32" s="542">
        <v>3858</v>
      </c>
      <c r="G32" s="542">
        <v>3</v>
      </c>
      <c r="H32" s="542"/>
      <c r="I32" s="542">
        <v>1286000</v>
      </c>
      <c r="J32" s="548"/>
      <c r="K32" s="542">
        <v>3858</v>
      </c>
      <c r="M32" s="535"/>
      <c r="N32" s="535"/>
    </row>
    <row r="33" spans="1:14" ht="13.5" customHeight="1">
      <c r="A33" s="541" t="s">
        <v>175</v>
      </c>
      <c r="B33" s="542"/>
      <c r="C33" s="542"/>
      <c r="D33" s="548"/>
      <c r="E33" s="548"/>
      <c r="F33" s="542"/>
      <c r="G33" s="542"/>
      <c r="H33" s="542"/>
      <c r="I33" s="548"/>
      <c r="J33" s="548"/>
      <c r="K33" s="542"/>
      <c r="M33" s="535"/>
      <c r="N33" s="535"/>
    </row>
    <row r="34" spans="1:14" ht="13.5" customHeight="1">
      <c r="A34" s="543" t="s">
        <v>540</v>
      </c>
      <c r="B34" s="542"/>
      <c r="C34" s="542"/>
      <c r="D34" s="548"/>
      <c r="E34" s="548"/>
      <c r="F34" s="542">
        <v>76780</v>
      </c>
      <c r="G34" s="542"/>
      <c r="H34" s="542"/>
      <c r="I34" s="548"/>
      <c r="J34" s="548"/>
      <c r="K34" s="542">
        <v>76780</v>
      </c>
      <c r="M34" s="535"/>
      <c r="N34" s="535"/>
    </row>
    <row r="35" spans="1:14" ht="13.5" customHeight="1">
      <c r="A35" s="543" t="s">
        <v>176</v>
      </c>
      <c r="B35" s="542">
        <v>59743</v>
      </c>
      <c r="C35" s="549">
        <v>11.9486</v>
      </c>
      <c r="D35" s="542">
        <v>3950000</v>
      </c>
      <c r="E35" s="542"/>
      <c r="F35" s="542">
        <f>SUM(C35*D35)/1000</f>
        <v>47196.97</v>
      </c>
      <c r="G35" s="542">
        <v>59743</v>
      </c>
      <c r="H35" s="549">
        <v>11.9486</v>
      </c>
      <c r="I35" s="542">
        <v>3950000</v>
      </c>
      <c r="J35" s="542"/>
      <c r="K35" s="542">
        <f>SUM(H35*I35)/1000</f>
        <v>47196.97</v>
      </c>
      <c r="M35" s="535"/>
      <c r="N35" s="535"/>
    </row>
    <row r="36" spans="1:14" ht="13.5" customHeight="1">
      <c r="A36" s="543" t="s">
        <v>177</v>
      </c>
      <c r="B36" s="542">
        <v>59743</v>
      </c>
      <c r="C36" s="542"/>
      <c r="D36" s="542">
        <v>300</v>
      </c>
      <c r="E36" s="542"/>
      <c r="F36" s="542">
        <f>SUM(B36*D36)/1000</f>
        <v>17922.9</v>
      </c>
      <c r="G36" s="542">
        <v>59743</v>
      </c>
      <c r="H36" s="542"/>
      <c r="I36" s="542">
        <v>300</v>
      </c>
      <c r="J36" s="542"/>
      <c r="K36" s="542">
        <f>SUM(G36*I36)/1000</f>
        <v>17922.9</v>
      </c>
      <c r="M36" s="535"/>
      <c r="N36" s="535"/>
    </row>
    <row r="37" spans="1:14" ht="24.75" customHeight="1">
      <c r="A37" s="545" t="s">
        <v>178</v>
      </c>
      <c r="B37" s="542">
        <v>8955</v>
      </c>
      <c r="C37" s="542"/>
      <c r="D37" s="542">
        <v>1200</v>
      </c>
      <c r="E37" s="542"/>
      <c r="F37" s="542">
        <f>SUM(B37*D37)/1000</f>
        <v>10746</v>
      </c>
      <c r="G37" s="542">
        <v>8955</v>
      </c>
      <c r="H37" s="542"/>
      <c r="I37" s="542">
        <v>1200</v>
      </c>
      <c r="J37" s="542"/>
      <c r="K37" s="542">
        <f>SUM(G37*I37)/1000</f>
        <v>10746</v>
      </c>
      <c r="M37" s="535"/>
      <c r="N37" s="535"/>
    </row>
    <row r="38" spans="1:14" ht="13.5" customHeight="1">
      <c r="A38" s="543" t="s">
        <v>179</v>
      </c>
      <c r="B38" s="542"/>
      <c r="C38" s="542"/>
      <c r="D38" s="542"/>
      <c r="E38" s="542"/>
      <c r="F38" s="542"/>
      <c r="G38" s="542"/>
      <c r="H38" s="542"/>
      <c r="I38" s="542"/>
      <c r="J38" s="542"/>
      <c r="K38" s="542"/>
      <c r="M38" s="535"/>
      <c r="N38" s="535"/>
    </row>
    <row r="39" spans="1:14" ht="13.5" customHeight="1">
      <c r="A39" s="543" t="s">
        <v>791</v>
      </c>
      <c r="B39" s="542"/>
      <c r="C39" s="542">
        <v>1</v>
      </c>
      <c r="D39" s="542">
        <v>2099400</v>
      </c>
      <c r="E39" s="542"/>
      <c r="F39" s="542">
        <f aca="true" t="shared" si="0" ref="F39:F44">SUM(C39*D39)/1000</f>
        <v>2099.4</v>
      </c>
      <c r="G39" s="542"/>
      <c r="H39" s="542">
        <v>1</v>
      </c>
      <c r="I39" s="542">
        <v>2099400</v>
      </c>
      <c r="J39" s="542"/>
      <c r="K39" s="542">
        <f aca="true" t="shared" si="1" ref="K39:K44">SUM(H39*I39)/1000</f>
        <v>2099.4</v>
      </c>
      <c r="M39" s="535"/>
      <c r="N39" s="535"/>
    </row>
    <row r="40" spans="1:14" ht="13.5" customHeight="1">
      <c r="A40" s="543" t="s">
        <v>792</v>
      </c>
      <c r="B40" s="550"/>
      <c r="C40" s="542">
        <v>420</v>
      </c>
      <c r="D40" s="542">
        <v>60896</v>
      </c>
      <c r="E40" s="542"/>
      <c r="F40" s="542">
        <f t="shared" si="0"/>
        <v>25576.32</v>
      </c>
      <c r="G40" s="550"/>
      <c r="H40" s="542">
        <v>420</v>
      </c>
      <c r="I40" s="542">
        <v>60896</v>
      </c>
      <c r="J40" s="542"/>
      <c r="K40" s="542">
        <f t="shared" si="1"/>
        <v>25576.32</v>
      </c>
      <c r="M40" s="535"/>
      <c r="N40" s="535"/>
    </row>
    <row r="41" spans="1:14" ht="13.5" customHeight="1">
      <c r="A41" s="543" t="s">
        <v>793</v>
      </c>
      <c r="B41" s="550"/>
      <c r="C41" s="542">
        <v>65</v>
      </c>
      <c r="D41" s="542">
        <v>188500</v>
      </c>
      <c r="E41" s="542"/>
      <c r="F41" s="542">
        <f t="shared" si="0"/>
        <v>12252.5</v>
      </c>
      <c r="G41" s="550"/>
      <c r="H41" s="542">
        <v>65</v>
      </c>
      <c r="I41" s="542">
        <v>188500</v>
      </c>
      <c r="J41" s="542"/>
      <c r="K41" s="542">
        <f t="shared" si="1"/>
        <v>12252.5</v>
      </c>
      <c r="M41" s="535"/>
      <c r="N41" s="535"/>
    </row>
    <row r="42" spans="1:14" ht="13.5" customHeight="1">
      <c r="A42" s="545" t="s">
        <v>794</v>
      </c>
      <c r="B42" s="551"/>
      <c r="C42" s="542">
        <v>80</v>
      </c>
      <c r="D42" s="542">
        <v>163500</v>
      </c>
      <c r="E42" s="542"/>
      <c r="F42" s="542">
        <f t="shared" si="0"/>
        <v>13080</v>
      </c>
      <c r="G42" s="551"/>
      <c r="H42" s="542">
        <v>80</v>
      </c>
      <c r="I42" s="542">
        <v>163500</v>
      </c>
      <c r="J42" s="542"/>
      <c r="K42" s="542">
        <f t="shared" si="1"/>
        <v>13080</v>
      </c>
      <c r="M42" s="535"/>
      <c r="N42" s="535"/>
    </row>
    <row r="43" spans="1:14" ht="13.5" customHeight="1">
      <c r="A43" s="545" t="s">
        <v>795</v>
      </c>
      <c r="B43" s="551"/>
      <c r="C43" s="542">
        <v>5</v>
      </c>
      <c r="D43" s="542">
        <v>550000</v>
      </c>
      <c r="E43" s="542"/>
      <c r="F43" s="542">
        <f t="shared" si="0"/>
        <v>2750</v>
      </c>
      <c r="G43" s="551"/>
      <c r="H43" s="542">
        <v>5</v>
      </c>
      <c r="I43" s="542">
        <v>550000</v>
      </c>
      <c r="J43" s="542"/>
      <c r="K43" s="542">
        <f t="shared" si="1"/>
        <v>2750</v>
      </c>
      <c r="M43" s="535"/>
      <c r="N43" s="535"/>
    </row>
    <row r="44" spans="1:14" ht="13.5" customHeight="1">
      <c r="A44" s="545" t="s">
        <v>796</v>
      </c>
      <c r="B44" s="551"/>
      <c r="C44" s="542">
        <v>21</v>
      </c>
      <c r="D44" s="542">
        <v>372000</v>
      </c>
      <c r="E44" s="542"/>
      <c r="F44" s="542">
        <f t="shared" si="0"/>
        <v>7812</v>
      </c>
      <c r="G44" s="551"/>
      <c r="H44" s="542">
        <v>21</v>
      </c>
      <c r="I44" s="542">
        <v>372000</v>
      </c>
      <c r="J44" s="542"/>
      <c r="K44" s="542">
        <f t="shared" si="1"/>
        <v>7812</v>
      </c>
      <c r="M44" s="535"/>
      <c r="N44" s="535"/>
    </row>
    <row r="45" spans="1:14" ht="15" customHeight="1">
      <c r="A45" s="545" t="s">
        <v>797</v>
      </c>
      <c r="B45" s="551"/>
      <c r="C45" s="542"/>
      <c r="D45" s="542"/>
      <c r="E45" s="542"/>
      <c r="F45" s="542"/>
      <c r="G45" s="551"/>
      <c r="H45" s="542"/>
      <c r="I45" s="542"/>
      <c r="J45" s="542"/>
      <c r="K45" s="542"/>
      <c r="M45" s="535"/>
      <c r="N45" s="535"/>
    </row>
    <row r="46" spans="1:14" ht="13.5" customHeight="1">
      <c r="A46" s="543" t="s">
        <v>798</v>
      </c>
      <c r="B46" s="552"/>
      <c r="C46" s="552">
        <v>275</v>
      </c>
      <c r="D46" s="553">
        <v>494100</v>
      </c>
      <c r="E46" s="553"/>
      <c r="F46" s="542">
        <f>SUM(C46*D46)/1000</f>
        <v>135877.5</v>
      </c>
      <c r="G46" s="552"/>
      <c r="H46" s="552">
        <v>275</v>
      </c>
      <c r="I46" s="553">
        <v>494100</v>
      </c>
      <c r="J46" s="553"/>
      <c r="K46" s="542">
        <f>SUM(H46*I46)/1000</f>
        <v>135877.5</v>
      </c>
      <c r="M46" s="535"/>
      <c r="N46" s="535"/>
    </row>
    <row r="47" spans="1:14" ht="13.5" customHeight="1">
      <c r="A47" s="543" t="s">
        <v>184</v>
      </c>
      <c r="B47" s="552"/>
      <c r="C47" s="554">
        <v>6</v>
      </c>
      <c r="D47" s="555">
        <v>741150</v>
      </c>
      <c r="E47" s="555"/>
      <c r="F47" s="542">
        <f>SUM(C47*D47)/1000</f>
        <v>4446.9</v>
      </c>
      <c r="G47" s="552"/>
      <c r="H47" s="554">
        <v>6</v>
      </c>
      <c r="I47" s="555">
        <v>741150</v>
      </c>
      <c r="J47" s="555"/>
      <c r="K47" s="542">
        <f>SUM(H47*I47)/1000</f>
        <v>4446.9</v>
      </c>
      <c r="M47" s="535"/>
      <c r="N47" s="535"/>
    </row>
    <row r="48" spans="1:11" ht="13.5" customHeight="1">
      <c r="A48" s="543" t="s">
        <v>462</v>
      </c>
      <c r="B48" s="556"/>
      <c r="C48" s="542"/>
      <c r="D48" s="542"/>
      <c r="E48" s="542"/>
      <c r="F48" s="542">
        <f>SUM(C48*D48)/1000</f>
        <v>0</v>
      </c>
      <c r="G48" s="556"/>
      <c r="H48" s="542"/>
      <c r="I48" s="542"/>
      <c r="J48" s="542"/>
      <c r="K48" s="542">
        <f>SUM(H48*I48)/1000</f>
        <v>0</v>
      </c>
    </row>
    <row r="49" spans="1:11" ht="13.5" customHeight="1">
      <c r="A49" s="543" t="s">
        <v>810</v>
      </c>
      <c r="B49" s="556"/>
      <c r="C49" s="542"/>
      <c r="D49" s="542"/>
      <c r="E49" s="542"/>
      <c r="F49" s="542">
        <f>SUM(C49*D49)/1000</f>
        <v>0</v>
      </c>
      <c r="G49" s="556"/>
      <c r="H49" s="542"/>
      <c r="I49" s="542"/>
      <c r="J49" s="542"/>
      <c r="K49" s="542">
        <f>SUM(H49*I49)/1000</f>
        <v>0</v>
      </c>
    </row>
    <row r="50" spans="1:11" ht="24.75" customHeight="1">
      <c r="A50" s="545" t="s">
        <v>191</v>
      </c>
      <c r="B50" s="550"/>
      <c r="C50" s="542"/>
      <c r="D50" s="542"/>
      <c r="E50" s="542"/>
      <c r="F50" s="542"/>
      <c r="G50" s="550"/>
      <c r="H50" s="542"/>
      <c r="I50" s="542"/>
      <c r="J50" s="542"/>
      <c r="K50" s="542"/>
    </row>
    <row r="51" spans="1:11" ht="15" customHeight="1">
      <c r="A51" s="545" t="s">
        <v>192</v>
      </c>
      <c r="B51" s="550"/>
      <c r="C51" s="544">
        <v>37.25</v>
      </c>
      <c r="D51" s="542">
        <v>2606040</v>
      </c>
      <c r="E51" s="542"/>
      <c r="F51" s="542">
        <f>SUM(C51*D51)/1000</f>
        <v>97074.99</v>
      </c>
      <c r="G51" s="550"/>
      <c r="H51" s="544">
        <v>37.25</v>
      </c>
      <c r="I51" s="542">
        <v>2606040</v>
      </c>
      <c r="J51" s="542"/>
      <c r="K51" s="542">
        <f>SUM(H51*I51)/1000</f>
        <v>97074.99</v>
      </c>
    </row>
    <row r="52" spans="1:13" ht="13.5" customHeight="1">
      <c r="A52" s="543" t="s">
        <v>193</v>
      </c>
      <c r="B52" s="550"/>
      <c r="C52" s="542"/>
      <c r="D52" s="542"/>
      <c r="E52" s="557"/>
      <c r="F52" s="542">
        <v>12064</v>
      </c>
      <c r="G52" s="550"/>
      <c r="H52" s="542"/>
      <c r="I52" s="542"/>
      <c r="J52" s="557"/>
      <c r="K52" s="542">
        <v>12064</v>
      </c>
      <c r="M52" s="558"/>
    </row>
    <row r="53" spans="1:13" ht="13.5" customHeight="1">
      <c r="A53" s="559" t="s">
        <v>463</v>
      </c>
      <c r="B53" s="542"/>
      <c r="C53" s="542"/>
      <c r="D53" s="548"/>
      <c r="E53" s="560"/>
      <c r="F53" s="542"/>
      <c r="G53" s="542"/>
      <c r="H53" s="542"/>
      <c r="I53" s="548"/>
      <c r="J53" s="560"/>
      <c r="K53" s="542"/>
      <c r="M53" s="558"/>
    </row>
    <row r="54" spans="1:13" ht="13.5" customHeight="1">
      <c r="A54" s="561" t="s">
        <v>511</v>
      </c>
      <c r="B54" s="544">
        <v>96.92</v>
      </c>
      <c r="C54" s="542"/>
      <c r="D54" s="542">
        <v>1632000</v>
      </c>
      <c r="E54" s="560"/>
      <c r="F54" s="542">
        <v>158173</v>
      </c>
      <c r="G54" s="544">
        <v>96.92</v>
      </c>
      <c r="H54" s="542"/>
      <c r="I54" s="542">
        <v>1632000</v>
      </c>
      <c r="J54" s="560"/>
      <c r="K54" s="542">
        <v>158173</v>
      </c>
      <c r="M54" s="562"/>
    </row>
    <row r="55" spans="1:13" ht="13.5" customHeight="1">
      <c r="A55" s="561" t="s">
        <v>512</v>
      </c>
      <c r="B55" s="542"/>
      <c r="C55" s="542"/>
      <c r="D55" s="548"/>
      <c r="E55" s="560"/>
      <c r="F55" s="542">
        <v>72033</v>
      </c>
      <c r="G55" s="542"/>
      <c r="H55" s="542"/>
      <c r="I55" s="548"/>
      <c r="J55" s="560"/>
      <c r="K55" s="542">
        <v>72033</v>
      </c>
      <c r="M55" s="562"/>
    </row>
    <row r="56" spans="1:13" ht="13.5" customHeight="1">
      <c r="A56" s="563" t="s">
        <v>194</v>
      </c>
      <c r="B56" s="550"/>
      <c r="C56" s="542"/>
      <c r="D56" s="557"/>
      <c r="E56" s="557"/>
      <c r="F56" s="542"/>
      <c r="G56" s="550"/>
      <c r="H56" s="542"/>
      <c r="I56" s="557"/>
      <c r="J56" s="557"/>
      <c r="K56" s="542"/>
      <c r="M56" s="564"/>
    </row>
    <row r="57" spans="1:13" ht="13.5" customHeight="1">
      <c r="A57" s="545" t="s">
        <v>198</v>
      </c>
      <c r="B57" s="550"/>
      <c r="C57" s="542"/>
      <c r="D57" s="557"/>
      <c r="E57" s="557"/>
      <c r="F57" s="542">
        <v>102200</v>
      </c>
      <c r="G57" s="550"/>
      <c r="H57" s="542"/>
      <c r="I57" s="557"/>
      <c r="J57" s="557"/>
      <c r="K57" s="542">
        <v>102200</v>
      </c>
      <c r="M57" s="564"/>
    </row>
    <row r="58" spans="1:13" ht="24.75" customHeight="1">
      <c r="A58" s="545" t="s">
        <v>208</v>
      </c>
      <c r="B58" s="550"/>
      <c r="C58" s="542"/>
      <c r="D58" s="557"/>
      <c r="E58" s="557"/>
      <c r="F58" s="542">
        <v>112600</v>
      </c>
      <c r="G58" s="550"/>
      <c r="H58" s="542"/>
      <c r="I58" s="557"/>
      <c r="J58" s="557"/>
      <c r="K58" s="542">
        <v>112600</v>
      </c>
      <c r="M58" s="564"/>
    </row>
    <row r="59" spans="1:13" ht="13.5" customHeight="1">
      <c r="A59" s="545" t="s">
        <v>199</v>
      </c>
      <c r="B59" s="550">
        <v>58978</v>
      </c>
      <c r="C59" s="542"/>
      <c r="D59" s="557">
        <v>400</v>
      </c>
      <c r="E59" s="557"/>
      <c r="F59" s="542">
        <f>SUM(B59*D59)/1000</f>
        <v>23591.2</v>
      </c>
      <c r="G59" s="550">
        <v>58978</v>
      </c>
      <c r="H59" s="542"/>
      <c r="I59" s="557">
        <v>400</v>
      </c>
      <c r="J59" s="557"/>
      <c r="K59" s="542">
        <f>SUM(G59*I59)/1000</f>
        <v>23591.2</v>
      </c>
      <c r="M59" s="564"/>
    </row>
    <row r="60" spans="1:13" ht="24.75" customHeight="1">
      <c r="A60" s="565" t="s">
        <v>209</v>
      </c>
      <c r="B60" s="550"/>
      <c r="C60" s="542"/>
      <c r="D60" s="542"/>
      <c r="E60" s="557"/>
      <c r="F60" s="542">
        <v>171975</v>
      </c>
      <c r="G60" s="550"/>
      <c r="H60" s="542"/>
      <c r="I60" s="542"/>
      <c r="J60" s="557"/>
      <c r="K60" s="542">
        <v>171975</v>
      </c>
      <c r="M60" s="562"/>
    </row>
    <row r="61" spans="1:11" ht="15" customHeight="1">
      <c r="A61" s="565" t="s">
        <v>200</v>
      </c>
      <c r="B61" s="550"/>
      <c r="C61" s="542"/>
      <c r="D61" s="542"/>
      <c r="E61" s="542"/>
      <c r="F61" s="542"/>
      <c r="G61" s="550"/>
      <c r="H61" s="542"/>
      <c r="I61" s="542"/>
      <c r="J61" s="542"/>
      <c r="K61" s="542"/>
    </row>
    <row r="62" spans="1:11" ht="15" customHeight="1">
      <c r="A62" s="565" t="s">
        <v>201</v>
      </c>
      <c r="B62" s="550"/>
      <c r="C62" s="542"/>
      <c r="D62" s="542"/>
      <c r="E62" s="542"/>
      <c r="F62" s="542"/>
      <c r="G62" s="550"/>
      <c r="H62" s="542"/>
      <c r="I62" s="542"/>
      <c r="J62" s="542"/>
      <c r="K62" s="542"/>
    </row>
    <row r="63" spans="1:11" ht="15" customHeight="1">
      <c r="A63" s="566" t="s">
        <v>202</v>
      </c>
      <c r="B63" s="550"/>
      <c r="C63" s="542"/>
      <c r="D63" s="542"/>
      <c r="E63" s="542"/>
      <c r="F63" s="542">
        <v>246000</v>
      </c>
      <c r="G63" s="550"/>
      <c r="H63" s="542"/>
      <c r="I63" s="542"/>
      <c r="J63" s="542"/>
      <c r="K63" s="542">
        <v>246000</v>
      </c>
    </row>
    <row r="64" spans="1:11" ht="15" customHeight="1">
      <c r="A64" s="567" t="s">
        <v>583</v>
      </c>
      <c r="B64" s="550"/>
      <c r="C64" s="542"/>
      <c r="D64" s="542"/>
      <c r="E64" s="542"/>
      <c r="F64" s="542"/>
      <c r="G64" s="550"/>
      <c r="H64" s="542"/>
      <c r="I64" s="542"/>
      <c r="J64" s="542"/>
      <c r="K64" s="542"/>
    </row>
    <row r="65" spans="1:11" ht="24" customHeight="1">
      <c r="A65" s="568" t="s">
        <v>584</v>
      </c>
      <c r="B65" s="550"/>
      <c r="C65" s="542"/>
      <c r="D65" s="542"/>
      <c r="E65" s="542"/>
      <c r="F65" s="542"/>
      <c r="G65" s="550"/>
      <c r="H65" s="542"/>
      <c r="I65" s="542"/>
      <c r="J65" s="542"/>
      <c r="K65" s="542">
        <v>87959</v>
      </c>
    </row>
    <row r="66" spans="1:14" s="540" customFormat="1" ht="13.5" customHeight="1">
      <c r="A66" s="569" t="s">
        <v>210</v>
      </c>
      <c r="B66" s="570"/>
      <c r="C66" s="570"/>
      <c r="D66" s="570"/>
      <c r="E66" s="570"/>
      <c r="F66" s="570">
        <f>SUM(F4:F63)</f>
        <v>2239234.88</v>
      </c>
      <c r="G66" s="570"/>
      <c r="H66" s="570"/>
      <c r="I66" s="570"/>
      <c r="J66" s="570"/>
      <c r="K66" s="570">
        <f>SUM(K4:K65)</f>
        <v>2334162.88</v>
      </c>
      <c r="L66" s="539"/>
      <c r="M66" s="539"/>
      <c r="N66" s="539"/>
    </row>
    <row r="67" spans="1:6" ht="12.75" customHeight="1">
      <c r="A67" s="571"/>
      <c r="B67" s="571"/>
      <c r="C67" s="571"/>
      <c r="D67" s="571"/>
      <c r="E67" s="571"/>
      <c r="F67" s="571"/>
    </row>
    <row r="68" spans="1:6" ht="18" customHeight="1">
      <c r="A68" s="572"/>
      <c r="B68" s="572"/>
      <c r="C68" s="572"/>
      <c r="D68" s="572"/>
      <c r="E68" s="572"/>
      <c r="F68" s="572"/>
    </row>
    <row r="69" ht="12" hidden="1"/>
    <row r="70" ht="12" hidden="1"/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4330708661417323" header="0.3937007874015748" footer="0.3937007874015748"/>
  <pageSetup horizontalDpi="300" verticalDpi="300" orientation="landscape" paperSize="9" scale="70" r:id="rId1"/>
  <headerFooter alignWithMargins="0">
    <oddHeader>&amp;C&amp;"Times New Roman,Félkövér dőlt"ÁLLAMI HOZZÁJÁRULÁSOK  ÉS SZJA BEVÉTEL 2015. ÉVBEN&amp;R&amp;"Times New Roman,Dőlt"3. melléklet
Adatok: ezer Ft-ba&amp;"Times New Roman,Normál"n</oddHeader>
    <oddFooter>&amp;C&amp;P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E34"/>
  <sheetViews>
    <sheetView workbookViewId="0" topLeftCell="A1">
      <selection activeCell="E13" sqref="E13"/>
    </sheetView>
  </sheetViews>
  <sheetFormatPr defaultColWidth="9.00390625" defaultRowHeight="12.75"/>
  <cols>
    <col min="1" max="1" width="9.375" style="24" customWidth="1"/>
    <col min="2" max="2" width="50.50390625" style="24" customWidth="1"/>
    <col min="3" max="3" width="15.625" style="24" customWidth="1"/>
    <col min="4" max="5" width="16.375" style="24" customWidth="1"/>
    <col min="6" max="16384" width="9.375" style="24" customWidth="1"/>
  </cols>
  <sheetData>
    <row r="2" ht="12.75" thickBot="1"/>
    <row r="3" spans="1:5" s="50" customFormat="1" ht="49.5" customHeight="1" thickBot="1">
      <c r="A3" s="63" t="s">
        <v>482</v>
      </c>
      <c r="B3" s="63" t="s">
        <v>381</v>
      </c>
      <c r="C3" s="63" t="s">
        <v>577</v>
      </c>
      <c r="D3" s="63" t="s">
        <v>575</v>
      </c>
      <c r="E3" s="63" t="s">
        <v>578</v>
      </c>
    </row>
    <row r="4" spans="1:5" s="50" customFormat="1" ht="19.5" customHeight="1">
      <c r="A4" s="164"/>
      <c r="B4" s="165" t="s">
        <v>440</v>
      </c>
      <c r="C4" s="165"/>
      <c r="D4" s="165"/>
      <c r="E4" s="164"/>
    </row>
    <row r="5" spans="1:5" s="51" customFormat="1" ht="12.75">
      <c r="A5" s="65" t="s">
        <v>483</v>
      </c>
      <c r="B5" s="66" t="s">
        <v>241</v>
      </c>
      <c r="C5" s="79">
        <v>3027557</v>
      </c>
      <c r="D5" s="573">
        <v>11680</v>
      </c>
      <c r="E5" s="79">
        <f>SUM(C5:D5)</f>
        <v>3039237</v>
      </c>
    </row>
    <row r="6" spans="1:5" s="30" customFormat="1" ht="12.75">
      <c r="A6" s="65" t="s">
        <v>484</v>
      </c>
      <c r="B6" s="68" t="s">
        <v>717</v>
      </c>
      <c r="C6" s="69">
        <v>854650</v>
      </c>
      <c r="D6" s="574">
        <v>-318</v>
      </c>
      <c r="E6" s="79">
        <f>SUM(C6:D6)</f>
        <v>854332</v>
      </c>
    </row>
    <row r="7" spans="1:5" s="30" customFormat="1" ht="12.75">
      <c r="A7" s="65" t="s">
        <v>485</v>
      </c>
      <c r="B7" s="70" t="s">
        <v>718</v>
      </c>
      <c r="C7" s="69">
        <v>4991888</v>
      </c>
      <c r="D7" s="575">
        <v>-4355</v>
      </c>
      <c r="E7" s="79">
        <f>SUM(C7:D7)</f>
        <v>4987533</v>
      </c>
    </row>
    <row r="8" spans="1:5" s="30" customFormat="1" ht="12.75">
      <c r="A8" s="65" t="s">
        <v>486</v>
      </c>
      <c r="B8" s="70" t="s">
        <v>166</v>
      </c>
      <c r="C8" s="139">
        <v>211954</v>
      </c>
      <c r="D8" s="575"/>
      <c r="E8" s="79">
        <f>SUM(C8:D8)</f>
        <v>211954</v>
      </c>
    </row>
    <row r="9" spans="1:5" s="30" customFormat="1" ht="12.75">
      <c r="A9" s="65" t="s">
        <v>487</v>
      </c>
      <c r="B9" s="70" t="s">
        <v>905</v>
      </c>
      <c r="C9" s="69">
        <v>1620188</v>
      </c>
      <c r="D9" s="575">
        <v>-4813</v>
      </c>
      <c r="E9" s="79">
        <f>SUM(C9:D9)</f>
        <v>1615375</v>
      </c>
    </row>
    <row r="10" spans="1:5" s="30" customFormat="1" ht="13.5">
      <c r="A10" s="65"/>
      <c r="B10" s="64" t="s">
        <v>631</v>
      </c>
      <c r="C10" s="80">
        <f>SUM(C5:C9)</f>
        <v>10706237</v>
      </c>
      <c r="D10" s="80">
        <f>SUM(D5:D9)</f>
        <v>2194</v>
      </c>
      <c r="E10" s="80">
        <f>SUM(E5:E9)</f>
        <v>10708431</v>
      </c>
    </row>
    <row r="11" spans="1:5" s="30" customFormat="1" ht="12.75">
      <c r="A11" s="67" t="s">
        <v>488</v>
      </c>
      <c r="B11" s="69" t="s">
        <v>891</v>
      </c>
      <c r="C11" s="69">
        <v>5034714</v>
      </c>
      <c r="D11" s="69">
        <v>-8320</v>
      </c>
      <c r="E11" s="69">
        <f>SUM(C11:D11)</f>
        <v>5026394</v>
      </c>
    </row>
    <row r="12" spans="1:5" s="30" customFormat="1" ht="12.75">
      <c r="A12" s="67" t="s">
        <v>489</v>
      </c>
      <c r="B12" s="69" t="s">
        <v>890</v>
      </c>
      <c r="C12" s="69">
        <v>694941</v>
      </c>
      <c r="D12" s="69">
        <v>-13100</v>
      </c>
      <c r="E12" s="69">
        <f>SUM(C12:D12)</f>
        <v>681841</v>
      </c>
    </row>
    <row r="13" spans="1:5" s="30" customFormat="1" ht="12.75">
      <c r="A13" s="67" t="s">
        <v>490</v>
      </c>
      <c r="B13" s="69" t="s">
        <v>1001</v>
      </c>
      <c r="C13" s="139">
        <v>850585</v>
      </c>
      <c r="D13" s="69">
        <v>14100</v>
      </c>
      <c r="E13" s="69">
        <f>SUM(C13:D13)</f>
        <v>864685</v>
      </c>
    </row>
    <row r="14" spans="1:5" s="30" customFormat="1" ht="13.5">
      <c r="A14" s="67"/>
      <c r="B14" s="81" t="s">
        <v>632</v>
      </c>
      <c r="C14" s="153">
        <f>SUM(C11:C13)</f>
        <v>6580240</v>
      </c>
      <c r="D14" s="153">
        <f>SUM(D11:D13)</f>
        <v>-7320</v>
      </c>
      <c r="E14" s="153">
        <f>SUM(E11:E13)</f>
        <v>6572920</v>
      </c>
    </row>
    <row r="15" spans="1:5" s="30" customFormat="1" ht="18" customHeight="1">
      <c r="A15" s="67" t="s">
        <v>1002</v>
      </c>
      <c r="B15" s="81" t="s">
        <v>1003</v>
      </c>
      <c r="C15" s="153">
        <f>SUM(C14+C10)</f>
        <v>17286477</v>
      </c>
      <c r="D15" s="153">
        <f>SUM(D14+D10)</f>
        <v>-5126</v>
      </c>
      <c r="E15" s="153">
        <f>SUM(E14+E10)</f>
        <v>17281351</v>
      </c>
    </row>
    <row r="16" spans="1:5" s="30" customFormat="1" ht="16.5" customHeight="1">
      <c r="A16" s="67" t="s">
        <v>1004</v>
      </c>
      <c r="B16" s="81" t="s">
        <v>439</v>
      </c>
      <c r="C16" s="153"/>
      <c r="D16" s="81"/>
      <c r="E16" s="153"/>
    </row>
    <row r="17" spans="1:5" s="31" customFormat="1" ht="18.75" customHeight="1">
      <c r="A17" s="71"/>
      <c r="B17" s="72" t="s">
        <v>263</v>
      </c>
      <c r="C17" s="73">
        <f>SUM(C15:C16)</f>
        <v>17286477</v>
      </c>
      <c r="D17" s="73">
        <f>SUM(D15:D16)</f>
        <v>-5126</v>
      </c>
      <c r="E17" s="73">
        <f>SUM(E15:E16)</f>
        <v>17281351</v>
      </c>
    </row>
    <row r="18" spans="1:5" s="20" customFormat="1" ht="12.75">
      <c r="A18" s="75"/>
      <c r="B18" s="74"/>
      <c r="C18" s="74"/>
      <c r="D18" s="74"/>
      <c r="E18" s="74"/>
    </row>
    <row r="19" spans="1:5" s="1" customFormat="1" ht="12.75">
      <c r="A19" s="75"/>
      <c r="B19" s="75"/>
      <c r="C19" s="75"/>
      <c r="D19" s="75"/>
      <c r="E19" s="75"/>
    </row>
    <row r="20" spans="1:5" s="1" customFormat="1" ht="12.75">
      <c r="A20" s="75"/>
      <c r="B20" s="75"/>
      <c r="C20" s="75"/>
      <c r="D20" s="75"/>
      <c r="E20" s="75"/>
    </row>
    <row r="21" spans="1:5" s="1" customFormat="1" ht="12.75">
      <c r="A21" s="75"/>
      <c r="B21" s="75"/>
      <c r="C21" s="75"/>
      <c r="D21" s="75"/>
      <c r="E21" s="75"/>
    </row>
    <row r="22" spans="1:5" s="1" customFormat="1" ht="12.75">
      <c r="A22" s="75"/>
      <c r="B22" s="75"/>
      <c r="C22" s="75"/>
      <c r="D22" s="75"/>
      <c r="E22" s="75"/>
    </row>
    <row r="23" spans="1:5" s="1" customFormat="1" ht="12.75">
      <c r="A23" s="75"/>
      <c r="B23" s="75"/>
      <c r="C23" s="75"/>
      <c r="D23" s="75"/>
      <c r="E23" s="75"/>
    </row>
    <row r="24" spans="1:5" s="1" customFormat="1" ht="12.75">
      <c r="A24" s="75"/>
      <c r="B24" s="75"/>
      <c r="C24" s="75"/>
      <c r="D24" s="75"/>
      <c r="E24" s="75"/>
    </row>
    <row r="25" spans="1:5" s="1" customFormat="1" ht="12.75">
      <c r="A25" s="75"/>
      <c r="B25" s="75"/>
      <c r="C25" s="75"/>
      <c r="D25" s="75"/>
      <c r="E25" s="75"/>
    </row>
    <row r="26" spans="1:5" s="1" customFormat="1" ht="12.75">
      <c r="A26" s="75"/>
      <c r="B26" s="75"/>
      <c r="C26" s="75"/>
      <c r="D26" s="75"/>
      <c r="E26" s="75"/>
    </row>
    <row r="27" spans="1:5" s="1" customFormat="1" ht="12.75">
      <c r="A27" s="75"/>
      <c r="B27" s="75"/>
      <c r="C27" s="75"/>
      <c r="D27" s="75"/>
      <c r="E27" s="75"/>
    </row>
    <row r="28" spans="1:5" s="1" customFormat="1" ht="12.75">
      <c r="A28" s="76"/>
      <c r="B28" s="75"/>
      <c r="C28" s="75"/>
      <c r="D28" s="75"/>
      <c r="E28" s="75"/>
    </row>
    <row r="29" spans="1:5" ht="12.75">
      <c r="A29" s="76"/>
      <c r="B29" s="76"/>
      <c r="C29" s="76"/>
      <c r="D29" s="76"/>
      <c r="E29" s="76"/>
    </row>
    <row r="30" spans="1:5" ht="12.75">
      <c r="A30" s="76"/>
      <c r="B30" s="76"/>
      <c r="C30" s="76"/>
      <c r="D30" s="76"/>
      <c r="E30" s="76"/>
    </row>
    <row r="31" spans="1:5" ht="12.75">
      <c r="A31" s="76"/>
      <c r="B31" s="76"/>
      <c r="C31" s="76"/>
      <c r="D31" s="76"/>
      <c r="E31" s="76"/>
    </row>
    <row r="32" spans="1:5" ht="12.75">
      <c r="A32" s="76"/>
      <c r="B32" s="76"/>
      <c r="C32" s="76"/>
      <c r="D32" s="76"/>
      <c r="E32" s="76"/>
    </row>
    <row r="33" spans="1:5" ht="12.75">
      <c r="A33" s="76"/>
      <c r="B33" s="76"/>
      <c r="C33" s="76"/>
      <c r="D33" s="76"/>
      <c r="E33" s="76"/>
    </row>
    <row r="34" spans="2:5" ht="12.75">
      <c r="B34" s="76"/>
      <c r="C34" s="76"/>
      <c r="D34" s="76"/>
      <c r="E34" s="76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2015.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pane ySplit="2" topLeftCell="BM3" activePane="bottomLeft" state="frozen"/>
      <selection pane="topLeft" activeCell="A1" sqref="A1"/>
      <selection pane="bottomLeft" activeCell="K15" sqref="K15:M15"/>
    </sheetView>
  </sheetViews>
  <sheetFormatPr defaultColWidth="9.00390625" defaultRowHeight="12.75"/>
  <cols>
    <col min="1" max="1" width="3.375" style="578" customWidth="1"/>
    <col min="2" max="2" width="7.00390625" style="578" customWidth="1"/>
    <col min="3" max="3" width="23.375" style="578" customWidth="1"/>
    <col min="4" max="4" width="12.375" style="578" customWidth="1"/>
    <col min="5" max="5" width="14.375" style="578" customWidth="1"/>
    <col min="6" max="6" width="10.875" style="578" customWidth="1"/>
    <col min="7" max="7" width="10.375" style="578" customWidth="1"/>
    <col min="8" max="8" width="12.00390625" style="578" customWidth="1"/>
    <col min="9" max="9" width="14.00390625" style="578" customWidth="1"/>
    <col min="10" max="10" width="14.875" style="578" customWidth="1"/>
    <col min="11" max="11" width="13.375" style="578" customWidth="1"/>
    <col min="12" max="12" width="14.875" style="578" customWidth="1"/>
    <col min="13" max="13" width="13.625" style="578" customWidth="1"/>
    <col min="14" max="14" width="11.50390625" style="578" customWidth="1"/>
    <col min="15" max="16384" width="9.375" style="578" customWidth="1"/>
  </cols>
  <sheetData>
    <row r="1" spans="1:14" ht="12.75">
      <c r="A1" s="486" t="s">
        <v>1052</v>
      </c>
      <c r="B1" s="486" t="s">
        <v>1053</v>
      </c>
      <c r="C1" s="487" t="s">
        <v>381</v>
      </c>
      <c r="D1" s="576" t="s">
        <v>441</v>
      </c>
      <c r="E1" s="576"/>
      <c r="F1" s="576"/>
      <c r="G1" s="576"/>
      <c r="H1" s="576"/>
      <c r="I1" s="576"/>
      <c r="J1" s="576"/>
      <c r="K1" s="576" t="s">
        <v>789</v>
      </c>
      <c r="L1" s="576"/>
      <c r="M1" s="577"/>
      <c r="N1" s="484" t="s">
        <v>383</v>
      </c>
    </row>
    <row r="2" spans="1:14" s="581" customFormat="1" ht="60.75" customHeight="1" thickBot="1">
      <c r="A2" s="486"/>
      <c r="B2" s="486"/>
      <c r="C2" s="487"/>
      <c r="D2" s="579" t="s">
        <v>153</v>
      </c>
      <c r="E2" s="579" t="s">
        <v>154</v>
      </c>
      <c r="F2" s="160" t="s">
        <v>155</v>
      </c>
      <c r="G2" s="580" t="s">
        <v>785</v>
      </c>
      <c r="H2" s="160" t="s">
        <v>786</v>
      </c>
      <c r="I2" s="160" t="s">
        <v>787</v>
      </c>
      <c r="J2" s="160" t="s">
        <v>788</v>
      </c>
      <c r="K2" s="160" t="s">
        <v>442</v>
      </c>
      <c r="L2" s="160" t="s">
        <v>443</v>
      </c>
      <c r="M2" s="191" t="s">
        <v>445</v>
      </c>
      <c r="N2" s="485"/>
    </row>
    <row r="3" spans="1:14" ht="16.5" customHeight="1">
      <c r="A3" s="582"/>
      <c r="B3" s="582"/>
      <c r="C3" s="582" t="s">
        <v>678</v>
      </c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3"/>
    </row>
    <row r="4" spans="1:14" ht="24.75" customHeight="1">
      <c r="A4" s="584"/>
      <c r="B4" s="584">
        <v>12</v>
      </c>
      <c r="C4" s="585" t="s">
        <v>211</v>
      </c>
      <c r="D4" s="586">
        <f>'[1]5.a'!E8</f>
        <v>0</v>
      </c>
      <c r="E4" s="586">
        <f>'[1]5.a'!F8</f>
        <v>0</v>
      </c>
      <c r="F4" s="586">
        <f>'[1]5.a'!G8</f>
        <v>0</v>
      </c>
      <c r="G4" s="586">
        <f>'[1]5.a'!H8</f>
        <v>9906</v>
      </c>
      <c r="H4" s="586">
        <f>'[1]5.a'!I8</f>
        <v>0</v>
      </c>
      <c r="I4" s="586">
        <f>'[1]5.a'!J8</f>
        <v>0</v>
      </c>
      <c r="J4" s="586">
        <f>'[1]5.a'!K8</f>
        <v>0</v>
      </c>
      <c r="K4" s="586">
        <f>'[1]5.a'!L8</f>
        <v>0</v>
      </c>
      <c r="L4" s="586">
        <f>'[1]5.a'!M8</f>
        <v>0</v>
      </c>
      <c r="M4" s="586">
        <f>'[1]5.a'!N8</f>
        <v>0</v>
      </c>
      <c r="N4" s="586">
        <f aca="true" t="shared" si="0" ref="N4:N12">SUM(D4:M4)</f>
        <v>9906</v>
      </c>
    </row>
    <row r="5" spans="1:14" ht="16.5" customHeight="1">
      <c r="A5" s="584"/>
      <c r="B5" s="584">
        <v>13</v>
      </c>
      <c r="C5" s="582" t="s">
        <v>212</v>
      </c>
      <c r="D5" s="586">
        <f>'[1]5.a'!E19</f>
        <v>37376</v>
      </c>
      <c r="E5" s="586">
        <f>'[1]5.a'!F19</f>
        <v>0</v>
      </c>
      <c r="F5" s="586">
        <f>'[1]5.a'!G19</f>
        <v>0</v>
      </c>
      <c r="G5" s="586">
        <f>'[1]5.a'!H19</f>
        <v>5461</v>
      </c>
      <c r="H5" s="586">
        <f>'[1]5.a'!I19</f>
        <v>0</v>
      </c>
      <c r="I5" s="586">
        <f>'[1]5.a'!J19</f>
        <v>2000</v>
      </c>
      <c r="J5" s="586">
        <f>'[1]5.a'!K19</f>
        <v>0</v>
      </c>
      <c r="K5" s="586">
        <f>'[1]5.a'!L19</f>
        <v>0</v>
      </c>
      <c r="L5" s="586">
        <f>'[1]5.a'!M19</f>
        <v>0</v>
      </c>
      <c r="M5" s="586">
        <f>'[1]5.a'!N19</f>
        <v>0</v>
      </c>
      <c r="N5" s="586">
        <f t="shared" si="0"/>
        <v>44837</v>
      </c>
    </row>
    <row r="6" spans="1:14" ht="16.5" customHeight="1">
      <c r="A6" s="584"/>
      <c r="B6" s="584">
        <v>15</v>
      </c>
      <c r="C6" s="582" t="s">
        <v>673</v>
      </c>
      <c r="D6" s="586">
        <f>'[1]5.a'!E36</f>
        <v>0</v>
      </c>
      <c r="E6" s="586">
        <f>'[1]5.a'!F36</f>
        <v>545188</v>
      </c>
      <c r="F6" s="586">
        <f>'[1]5.a'!G36</f>
        <v>0</v>
      </c>
      <c r="G6" s="586">
        <f>'[1]5.a'!H36</f>
        <v>677207</v>
      </c>
      <c r="H6" s="586">
        <f>'[1]5.a'!I36</f>
        <v>0</v>
      </c>
      <c r="I6" s="586">
        <f>'[1]5.a'!J36</f>
        <v>0</v>
      </c>
      <c r="J6" s="586">
        <f>'[1]5.a'!K36</f>
        <v>0</v>
      </c>
      <c r="K6" s="586">
        <f>'[1]5.a'!L36</f>
        <v>0</v>
      </c>
      <c r="L6" s="586">
        <f>'[1]5.a'!M36</f>
        <v>0</v>
      </c>
      <c r="M6" s="586">
        <f>'[1]5.a'!N36</f>
        <v>0</v>
      </c>
      <c r="N6" s="586">
        <f t="shared" si="0"/>
        <v>1222395</v>
      </c>
    </row>
    <row r="7" spans="1:14" ht="16.5" customHeight="1">
      <c r="A7" s="584"/>
      <c r="B7" s="584">
        <v>16</v>
      </c>
      <c r="C7" s="582" t="s">
        <v>252</v>
      </c>
      <c r="D7" s="586">
        <f>'[1]5.a'!E57</f>
        <v>644909</v>
      </c>
      <c r="E7" s="586">
        <f>'[1]5.a'!F57</f>
        <v>2946279</v>
      </c>
      <c r="F7" s="586">
        <f>'[1]5.a'!G57</f>
        <v>0</v>
      </c>
      <c r="G7" s="586">
        <f>'[1]5.a'!H57</f>
        <v>65475</v>
      </c>
      <c r="H7" s="586">
        <f>'[1]5.a'!I57</f>
        <v>0</v>
      </c>
      <c r="I7" s="586">
        <f>'[1]5.a'!J57</f>
        <v>0</v>
      </c>
      <c r="J7" s="586">
        <f>'[1]5.a'!K57</f>
        <v>290000</v>
      </c>
      <c r="K7" s="586">
        <f>'[1]5.a'!L57</f>
        <v>0</v>
      </c>
      <c r="L7" s="586">
        <f>'[1]5.a'!M57</f>
        <v>0</v>
      </c>
      <c r="M7" s="586">
        <f>'[1]5.a'!N57</f>
        <v>0</v>
      </c>
      <c r="N7" s="586">
        <f t="shared" si="0"/>
        <v>3946663</v>
      </c>
    </row>
    <row r="8" spans="1:14" ht="16.5" customHeight="1">
      <c r="A8" s="584"/>
      <c r="B8" s="584">
        <v>17</v>
      </c>
      <c r="C8" s="582" t="s">
        <v>674</v>
      </c>
      <c r="D8" s="586">
        <f>'[1]5.a'!E78</f>
        <v>0</v>
      </c>
      <c r="E8" s="586">
        <f>'[1]5.a'!F78</f>
        <v>0</v>
      </c>
      <c r="F8" s="586">
        <f>'[1]5.a'!G78</f>
        <v>0</v>
      </c>
      <c r="G8" s="586">
        <f>'[1]5.a'!H78</f>
        <v>358019</v>
      </c>
      <c r="H8" s="586">
        <f>'[1]5.a'!I78</f>
        <v>144480</v>
      </c>
      <c r="I8" s="586">
        <f>'[1]5.a'!J78</f>
        <v>0</v>
      </c>
      <c r="J8" s="586">
        <f>'[1]5.a'!K78</f>
        <v>30000</v>
      </c>
      <c r="K8" s="586">
        <f>'[1]5.a'!L78</f>
        <v>0</v>
      </c>
      <c r="L8" s="586">
        <f>'[1]5.a'!M78</f>
        <v>80000</v>
      </c>
      <c r="M8" s="586">
        <f>'[1]5.a'!N78</f>
        <v>113924</v>
      </c>
      <c r="N8" s="586">
        <f t="shared" si="0"/>
        <v>726423</v>
      </c>
    </row>
    <row r="9" spans="1:14" ht="16.5" customHeight="1">
      <c r="A9" s="584"/>
      <c r="B9" s="584">
        <v>18</v>
      </c>
      <c r="C9" s="582" t="s">
        <v>675</v>
      </c>
      <c r="D9" s="586">
        <f>'[1]5.a'!E86</f>
        <v>0</v>
      </c>
      <c r="E9" s="586">
        <f>'[1]5.a'!F86</f>
        <v>0</v>
      </c>
      <c r="F9" s="586">
        <f>'[1]5.a'!G86</f>
        <v>7000</v>
      </c>
      <c r="G9" s="586">
        <f>'[1]5.a'!H86</f>
        <v>67315</v>
      </c>
      <c r="H9" s="586">
        <f>'[1]5.a'!I86</f>
        <v>0</v>
      </c>
      <c r="I9" s="586">
        <f>'[1]5.a'!J86</f>
        <v>0</v>
      </c>
      <c r="J9" s="586">
        <f>'[1]5.a'!K86</f>
        <v>0</v>
      </c>
      <c r="K9" s="586">
        <f>'[1]5.a'!L86</f>
        <v>0</v>
      </c>
      <c r="L9" s="586">
        <f>'[1]5.a'!M86</f>
        <v>0</v>
      </c>
      <c r="M9" s="586">
        <f>'[1]5.a'!N86</f>
        <v>0</v>
      </c>
      <c r="N9" s="586">
        <f t="shared" si="0"/>
        <v>74315</v>
      </c>
    </row>
    <row r="10" spans="1:14" ht="16.5" customHeight="1">
      <c r="A10" s="584"/>
      <c r="B10" s="584">
        <v>19</v>
      </c>
      <c r="C10" s="582" t="s">
        <v>1049</v>
      </c>
      <c r="D10" s="586">
        <f>'[1]5.a'!E112</f>
        <v>2273791</v>
      </c>
      <c r="E10" s="586">
        <f>'[1]5.a'!F112</f>
        <v>0</v>
      </c>
      <c r="F10" s="586">
        <f>'[1]5.a'!G112</f>
        <v>4545000</v>
      </c>
      <c r="G10" s="586">
        <f>'[1]5.a'!H112</f>
        <v>210831</v>
      </c>
      <c r="H10" s="586">
        <f>'[1]5.a'!I112</f>
        <v>0</v>
      </c>
      <c r="I10" s="586">
        <f>'[1]5.a'!J112</f>
        <v>0</v>
      </c>
      <c r="J10" s="586">
        <f>'[1]5.a'!K112</f>
        <v>0</v>
      </c>
      <c r="K10" s="586">
        <f>'[1]5.a'!L112</f>
        <v>378018</v>
      </c>
      <c r="L10" s="586">
        <f>'[1]5.a'!M112</f>
        <v>1986107</v>
      </c>
      <c r="M10" s="586">
        <f>'[1]5.a'!N112</f>
        <v>0</v>
      </c>
      <c r="N10" s="586">
        <f t="shared" si="0"/>
        <v>9393747</v>
      </c>
    </row>
    <row r="11" spans="1:14" ht="16.5" customHeight="1">
      <c r="A11" s="584"/>
      <c r="B11" s="584">
        <v>20</v>
      </c>
      <c r="C11" s="12" t="s">
        <v>1282</v>
      </c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>
        <f t="shared" si="0"/>
        <v>0</v>
      </c>
    </row>
    <row r="12" spans="1:14" ht="16.5" customHeight="1">
      <c r="A12" s="584"/>
      <c r="B12" s="584">
        <v>22</v>
      </c>
      <c r="C12" s="587" t="s">
        <v>1303</v>
      </c>
      <c r="D12" s="586">
        <f>'[1]5.a'!E118</f>
        <v>8000</v>
      </c>
      <c r="E12" s="586">
        <f>'[1]5.a'!F118</f>
        <v>0</v>
      </c>
      <c r="F12" s="586">
        <f>'[1]5.a'!G118</f>
        <v>0</v>
      </c>
      <c r="G12" s="586">
        <f>'[1]5.a'!H118</f>
        <v>0</v>
      </c>
      <c r="H12" s="586">
        <f>'[1]5.a'!I118</f>
        <v>0</v>
      </c>
      <c r="I12" s="586">
        <f>'[1]5.a'!J118</f>
        <v>0</v>
      </c>
      <c r="J12" s="586">
        <f>'[1]5.a'!K118</f>
        <v>0</v>
      </c>
      <c r="K12" s="586">
        <f>'[1]5.a'!L118</f>
        <v>0</v>
      </c>
      <c r="L12" s="586">
        <f>'[1]5.a'!M118</f>
        <v>0</v>
      </c>
      <c r="M12" s="586">
        <f>'[1]5.a'!N118</f>
        <v>0</v>
      </c>
      <c r="N12" s="586">
        <f t="shared" si="0"/>
        <v>8000</v>
      </c>
    </row>
    <row r="13" spans="1:14" ht="36" customHeight="1">
      <c r="A13" s="588"/>
      <c r="B13" s="588"/>
      <c r="C13" s="589" t="s">
        <v>44</v>
      </c>
      <c r="D13" s="590">
        <f aca="true" t="shared" si="1" ref="D13:N13">SUM(D4:D12)</f>
        <v>2964076</v>
      </c>
      <c r="E13" s="590">
        <f t="shared" si="1"/>
        <v>3491467</v>
      </c>
      <c r="F13" s="590">
        <f t="shared" si="1"/>
        <v>4552000</v>
      </c>
      <c r="G13" s="590">
        <f t="shared" si="1"/>
        <v>1394214</v>
      </c>
      <c r="H13" s="590">
        <f t="shared" si="1"/>
        <v>144480</v>
      </c>
      <c r="I13" s="590">
        <f t="shared" si="1"/>
        <v>2000</v>
      </c>
      <c r="J13" s="590">
        <f t="shared" si="1"/>
        <v>320000</v>
      </c>
      <c r="K13" s="590">
        <f t="shared" si="1"/>
        <v>378018</v>
      </c>
      <c r="L13" s="590">
        <f t="shared" si="1"/>
        <v>2066107</v>
      </c>
      <c r="M13" s="590">
        <f t="shared" si="1"/>
        <v>113924</v>
      </c>
      <c r="N13" s="590">
        <f t="shared" si="1"/>
        <v>15426286</v>
      </c>
    </row>
    <row r="14" spans="1:14" ht="16.5" customHeight="1">
      <c r="A14" s="591">
        <v>2</v>
      </c>
      <c r="B14" s="591"/>
      <c r="C14" s="582" t="s">
        <v>680</v>
      </c>
      <c r="D14" s="586">
        <f>'[1]5.a'!E120</f>
        <v>294113</v>
      </c>
      <c r="E14" s="586">
        <f>'[1]5.a'!F120</f>
        <v>0</v>
      </c>
      <c r="F14" s="586">
        <f>'[1]5.a'!G120</f>
        <v>0</v>
      </c>
      <c r="G14" s="586">
        <f>'[1]5.a'!H120</f>
        <v>1108071</v>
      </c>
      <c r="H14" s="586">
        <f>'[1]5.a'!I120</f>
        <v>0</v>
      </c>
      <c r="I14" s="586">
        <f>'[1]5.a'!J120</f>
        <v>65000</v>
      </c>
      <c r="J14" s="586">
        <f>'[1]5.a'!K120</f>
        <v>0</v>
      </c>
      <c r="K14" s="586">
        <f>'[1]5.a'!L120</f>
        <v>0</v>
      </c>
      <c r="L14" s="586">
        <f>'[1]5.a'!M120</f>
        <v>387881</v>
      </c>
      <c r="M14" s="586"/>
      <c r="N14" s="586">
        <f>SUM(D14:M14)</f>
        <v>1855065</v>
      </c>
    </row>
    <row r="15" spans="1:14" ht="16.5" customHeight="1">
      <c r="A15" s="588"/>
      <c r="B15" s="588"/>
      <c r="C15" s="592" t="s">
        <v>665</v>
      </c>
      <c r="D15" s="590">
        <f aca="true" t="shared" si="2" ref="D15:N15">SUM(D13:D14)</f>
        <v>3258189</v>
      </c>
      <c r="E15" s="590">
        <f t="shared" si="2"/>
        <v>3491467</v>
      </c>
      <c r="F15" s="590">
        <f t="shared" si="2"/>
        <v>4552000</v>
      </c>
      <c r="G15" s="590">
        <f t="shared" si="2"/>
        <v>2502285</v>
      </c>
      <c r="H15" s="590">
        <f t="shared" si="2"/>
        <v>144480</v>
      </c>
      <c r="I15" s="590">
        <f t="shared" si="2"/>
        <v>67000</v>
      </c>
      <c r="J15" s="590">
        <f t="shared" si="2"/>
        <v>320000</v>
      </c>
      <c r="K15" s="590">
        <f t="shared" si="2"/>
        <v>378018</v>
      </c>
      <c r="L15" s="590">
        <f t="shared" si="2"/>
        <v>2453988</v>
      </c>
      <c r="M15" s="590">
        <f t="shared" si="2"/>
        <v>113924</v>
      </c>
      <c r="N15" s="590">
        <f t="shared" si="2"/>
        <v>17281351</v>
      </c>
    </row>
    <row r="16" spans="3:13" ht="16.5" customHeight="1">
      <c r="C16" s="593"/>
      <c r="D16" s="594"/>
      <c r="E16" s="594"/>
      <c r="F16" s="594"/>
      <c r="G16" s="594"/>
      <c r="H16" s="594"/>
      <c r="I16" s="594"/>
      <c r="J16" s="594"/>
      <c r="K16" s="594"/>
      <c r="L16" s="594"/>
      <c r="M16" s="594"/>
    </row>
    <row r="17" spans="3:12" ht="13.5" customHeight="1">
      <c r="C17" s="593"/>
      <c r="D17" s="594"/>
      <c r="E17" s="594"/>
      <c r="F17" s="594"/>
      <c r="G17" s="594"/>
      <c r="H17" s="594"/>
      <c r="I17" s="594"/>
      <c r="J17" s="594"/>
      <c r="K17" s="594"/>
      <c r="L17" s="594"/>
    </row>
    <row r="18" spans="4:12" ht="13.5" customHeight="1">
      <c r="D18" s="594"/>
      <c r="E18" s="594"/>
      <c r="F18" s="594"/>
      <c r="G18" s="594"/>
      <c r="H18" s="594"/>
      <c r="I18" s="594"/>
      <c r="J18" s="594"/>
      <c r="K18" s="594"/>
      <c r="L18" s="594"/>
    </row>
    <row r="19" spans="4:12" ht="13.5" customHeight="1">
      <c r="D19" s="594"/>
      <c r="E19" s="594"/>
      <c r="F19" s="594"/>
      <c r="G19" s="594"/>
      <c r="H19" s="594"/>
      <c r="I19" s="594"/>
      <c r="J19" s="594"/>
      <c r="K19" s="594"/>
      <c r="L19" s="594"/>
    </row>
    <row r="20" spans="4:12" ht="13.5" customHeight="1">
      <c r="D20" s="594"/>
      <c r="E20" s="594"/>
      <c r="F20" s="594"/>
      <c r="G20" s="594"/>
      <c r="H20" s="594"/>
      <c r="I20" s="594"/>
      <c r="J20" s="594"/>
      <c r="K20" s="594"/>
      <c r="L20" s="594"/>
    </row>
    <row r="21" spans="4:12" ht="13.5" customHeight="1">
      <c r="D21" s="594"/>
      <c r="E21" s="594"/>
      <c r="F21" s="594"/>
      <c r="G21" s="594"/>
      <c r="H21" s="594"/>
      <c r="I21" s="594"/>
      <c r="J21" s="594"/>
      <c r="K21" s="594"/>
      <c r="L21" s="594"/>
    </row>
    <row r="22" spans="4:12" ht="13.5" customHeight="1">
      <c r="D22" s="594"/>
      <c r="E22" s="594"/>
      <c r="F22" s="594"/>
      <c r="G22" s="594"/>
      <c r="H22" s="594"/>
      <c r="I22" s="594"/>
      <c r="J22" s="594"/>
      <c r="K22" s="594"/>
      <c r="L22" s="594"/>
    </row>
    <row r="23" spans="4:12" ht="13.5" customHeight="1">
      <c r="D23" s="594"/>
      <c r="E23" s="594"/>
      <c r="F23" s="594"/>
      <c r="G23" s="594"/>
      <c r="H23" s="594"/>
      <c r="I23" s="594"/>
      <c r="J23" s="594"/>
      <c r="K23" s="594"/>
      <c r="L23" s="594"/>
    </row>
    <row r="24" spans="4:12" ht="13.5" customHeight="1">
      <c r="D24" s="594"/>
      <c r="E24" s="594"/>
      <c r="F24" s="594"/>
      <c r="G24" s="594"/>
      <c r="H24" s="594"/>
      <c r="I24" s="594"/>
      <c r="J24" s="594"/>
      <c r="K24" s="594"/>
      <c r="L24" s="594"/>
    </row>
    <row r="25" spans="4:12" ht="13.5" customHeight="1">
      <c r="D25" s="594"/>
      <c r="E25" s="594"/>
      <c r="F25" s="594"/>
      <c r="G25" s="594"/>
      <c r="H25" s="594"/>
      <c r="I25" s="594"/>
      <c r="J25" s="594"/>
      <c r="K25" s="594"/>
      <c r="L25" s="594"/>
    </row>
    <row r="26" ht="13.5" customHeight="1"/>
    <row r="27" ht="13.5" customHeight="1"/>
    <row r="28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2015.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9"/>
  <sheetViews>
    <sheetView workbookViewId="0" topLeftCell="A1">
      <pane ySplit="2" topLeftCell="BM3" activePane="bottomLeft" state="frozen"/>
      <selection pane="topLeft" activeCell="A1" sqref="A1"/>
      <selection pane="bottomLeft" activeCell="D121" sqref="D121"/>
    </sheetView>
  </sheetViews>
  <sheetFormatPr defaultColWidth="9.00390625" defaultRowHeight="12.75"/>
  <cols>
    <col min="1" max="1" width="5.625" style="600" customWidth="1"/>
    <col min="2" max="2" width="6.50390625" style="600" customWidth="1"/>
    <col min="3" max="3" width="37.375" style="600" customWidth="1"/>
    <col min="4" max="4" width="8.875" style="600" customWidth="1"/>
    <col min="5" max="5" width="13.625" style="600" customWidth="1"/>
    <col min="6" max="6" width="13.125" style="600" customWidth="1"/>
    <col min="7" max="7" width="12.375" style="600" customWidth="1"/>
    <col min="8" max="8" width="11.375" style="600" customWidth="1"/>
    <col min="9" max="9" width="13.00390625" style="600" customWidth="1"/>
    <col min="10" max="10" width="12.00390625" style="600" customWidth="1"/>
    <col min="11" max="11" width="13.125" style="600" customWidth="1"/>
    <col min="12" max="12" width="13.875" style="600" customWidth="1"/>
    <col min="13" max="13" width="11.50390625" style="600" customWidth="1"/>
    <col min="14" max="14" width="10.625" style="600" customWidth="1"/>
    <col min="15" max="15" width="13.125" style="600" customWidth="1"/>
    <col min="16" max="16" width="10.875" style="600" bestFit="1" customWidth="1"/>
    <col min="17" max="17" width="12.125" style="600" bestFit="1" customWidth="1"/>
    <col min="18" max="16384" width="9.375" style="600" customWidth="1"/>
  </cols>
  <sheetData>
    <row r="1" spans="1:15" ht="14.25" thickBot="1">
      <c r="A1" s="488" t="s">
        <v>1052</v>
      </c>
      <c r="B1" s="488" t="s">
        <v>1053</v>
      </c>
      <c r="C1" s="484" t="s">
        <v>381</v>
      </c>
      <c r="D1" s="494" t="s">
        <v>585</v>
      </c>
      <c r="E1" s="595" t="s">
        <v>441</v>
      </c>
      <c r="F1" s="596"/>
      <c r="G1" s="596"/>
      <c r="H1" s="596"/>
      <c r="I1" s="596"/>
      <c r="J1" s="596"/>
      <c r="K1" s="597"/>
      <c r="L1" s="598" t="s">
        <v>789</v>
      </c>
      <c r="M1" s="599"/>
      <c r="N1" s="599"/>
      <c r="O1" s="484" t="s">
        <v>152</v>
      </c>
    </row>
    <row r="2" spans="1:15" s="605" customFormat="1" ht="54.75" customHeight="1" thickBot="1">
      <c r="A2" s="489"/>
      <c r="B2" s="489"/>
      <c r="C2" s="485"/>
      <c r="D2" s="601"/>
      <c r="E2" s="602" t="s">
        <v>153</v>
      </c>
      <c r="F2" s="603" t="s">
        <v>154</v>
      </c>
      <c r="G2" s="157" t="s">
        <v>155</v>
      </c>
      <c r="H2" s="604" t="s">
        <v>785</v>
      </c>
      <c r="I2" s="157" t="s">
        <v>786</v>
      </c>
      <c r="J2" s="157" t="s">
        <v>787</v>
      </c>
      <c r="K2" s="157" t="s">
        <v>788</v>
      </c>
      <c r="L2" s="157" t="s">
        <v>442</v>
      </c>
      <c r="M2" s="157" t="s">
        <v>443</v>
      </c>
      <c r="N2" s="206" t="s">
        <v>445</v>
      </c>
      <c r="O2" s="485"/>
    </row>
    <row r="3" spans="1:15" s="605" customFormat="1" ht="12.75" customHeight="1">
      <c r="A3" s="606">
        <v>1</v>
      </c>
      <c r="B3" s="606"/>
      <c r="C3" s="607" t="s">
        <v>678</v>
      </c>
      <c r="D3" s="607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9"/>
    </row>
    <row r="4" spans="1:15" s="605" customFormat="1" ht="12.75" customHeight="1">
      <c r="A4" s="606">
        <v>1</v>
      </c>
      <c r="B4" s="606">
        <v>1</v>
      </c>
      <c r="C4" s="610" t="s">
        <v>1281</v>
      </c>
      <c r="D4" s="610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</row>
    <row r="5" spans="1:15" s="613" customFormat="1" ht="13.5" customHeight="1">
      <c r="A5" s="141">
        <v>1</v>
      </c>
      <c r="B5" s="141">
        <v>12</v>
      </c>
      <c r="C5" s="611" t="s">
        <v>211</v>
      </c>
      <c r="D5" s="612"/>
      <c r="E5" s="142"/>
      <c r="F5" s="142"/>
      <c r="G5" s="525"/>
      <c r="H5" s="525"/>
      <c r="I5" s="525"/>
      <c r="J5" s="525"/>
      <c r="K5" s="525"/>
      <c r="L5" s="525"/>
      <c r="M5" s="525"/>
      <c r="N5" s="525"/>
      <c r="O5" s="525"/>
    </row>
    <row r="6" spans="1:15" s="613" customFormat="1" ht="24.75" customHeight="1">
      <c r="A6" s="141"/>
      <c r="B6" s="141"/>
      <c r="C6" s="614" t="s">
        <v>284</v>
      </c>
      <c r="D6" s="614"/>
      <c r="E6" s="428"/>
      <c r="F6" s="142"/>
      <c r="G6" s="525"/>
      <c r="H6" s="525"/>
      <c r="I6" s="525"/>
      <c r="J6" s="525"/>
      <c r="K6" s="525"/>
      <c r="L6" s="525"/>
      <c r="M6" s="525"/>
      <c r="N6" s="525"/>
      <c r="O6" s="525"/>
    </row>
    <row r="7" spans="1:15" s="613" customFormat="1" ht="16.5" customHeight="1">
      <c r="A7" s="615"/>
      <c r="B7" s="615"/>
      <c r="C7" s="616" t="s">
        <v>354</v>
      </c>
      <c r="D7" s="617">
        <v>221902</v>
      </c>
      <c r="E7" s="618"/>
      <c r="F7" s="618"/>
      <c r="G7" s="618"/>
      <c r="H7" s="618">
        <f>9906+'[1]táj.1.'!H7</f>
        <v>9906</v>
      </c>
      <c r="I7" s="618"/>
      <c r="J7" s="618"/>
      <c r="K7" s="618"/>
      <c r="L7" s="618"/>
      <c r="M7" s="618"/>
      <c r="N7" s="618"/>
      <c r="O7" s="525">
        <f>SUM(H7:N7)</f>
        <v>9906</v>
      </c>
    </row>
    <row r="8" spans="1:15" s="613" customFormat="1" ht="13.5" customHeight="1">
      <c r="A8" s="619"/>
      <c r="B8" s="619"/>
      <c r="C8" s="143" t="s">
        <v>223</v>
      </c>
      <c r="D8" s="99"/>
      <c r="E8" s="620">
        <f aca="true" t="shared" si="0" ref="E8:O8">SUM(E5:E7)</f>
        <v>0</v>
      </c>
      <c r="F8" s="621">
        <f t="shared" si="0"/>
        <v>0</v>
      </c>
      <c r="G8" s="621">
        <f t="shared" si="0"/>
        <v>0</v>
      </c>
      <c r="H8" s="621">
        <f t="shared" si="0"/>
        <v>9906</v>
      </c>
      <c r="I8" s="621">
        <f t="shared" si="0"/>
        <v>0</v>
      </c>
      <c r="J8" s="621">
        <f t="shared" si="0"/>
        <v>0</v>
      </c>
      <c r="K8" s="621">
        <f t="shared" si="0"/>
        <v>0</v>
      </c>
      <c r="L8" s="621">
        <f t="shared" si="0"/>
        <v>0</v>
      </c>
      <c r="M8" s="621">
        <f t="shared" si="0"/>
        <v>0</v>
      </c>
      <c r="N8" s="621">
        <f t="shared" si="0"/>
        <v>0</v>
      </c>
      <c r="O8" s="621">
        <f t="shared" si="0"/>
        <v>9906</v>
      </c>
    </row>
    <row r="9" spans="1:15" s="613" customFormat="1" ht="13.5" customHeight="1">
      <c r="A9" s="622">
        <v>1</v>
      </c>
      <c r="B9" s="622">
        <v>13</v>
      </c>
      <c r="C9" s="623" t="s">
        <v>212</v>
      </c>
      <c r="D9" s="624"/>
      <c r="E9" s="625"/>
      <c r="F9" s="626"/>
      <c r="G9" s="626"/>
      <c r="H9" s="626"/>
      <c r="I9" s="626"/>
      <c r="J9" s="626"/>
      <c r="K9" s="626"/>
      <c r="L9" s="626"/>
      <c r="M9" s="626"/>
      <c r="N9" s="626"/>
      <c r="O9" s="626"/>
    </row>
    <row r="10" spans="1:15" s="613" customFormat="1" ht="13.5" customHeight="1">
      <c r="A10" s="622"/>
      <c r="B10" s="622"/>
      <c r="C10" s="627" t="s">
        <v>287</v>
      </c>
      <c r="D10" s="628"/>
      <c r="E10" s="618"/>
      <c r="F10" s="618"/>
      <c r="G10" s="525"/>
      <c r="H10" s="525"/>
      <c r="I10" s="525"/>
      <c r="J10" s="525"/>
      <c r="K10" s="525"/>
      <c r="L10" s="525"/>
      <c r="M10" s="525"/>
      <c r="N10" s="525"/>
      <c r="O10" s="525"/>
    </row>
    <row r="11" spans="1:15" s="613" customFormat="1" ht="24.75" customHeight="1">
      <c r="A11" s="622"/>
      <c r="B11" s="622"/>
      <c r="C11" s="629" t="s">
        <v>715</v>
      </c>
      <c r="D11" s="630">
        <v>131705</v>
      </c>
      <c r="E11" s="618">
        <f>23323+'[1]táj.1.'!E11</f>
        <v>23323</v>
      </c>
      <c r="F11" s="618"/>
      <c r="G11" s="618"/>
      <c r="H11" s="618"/>
      <c r="I11" s="618"/>
      <c r="J11" s="618"/>
      <c r="K11" s="618"/>
      <c r="L11" s="618"/>
      <c r="M11" s="618"/>
      <c r="N11" s="618"/>
      <c r="O11" s="525">
        <f>SUM(E11:N11)</f>
        <v>23323</v>
      </c>
    </row>
    <row r="12" spans="1:15" s="613" customFormat="1" ht="24.75" customHeight="1">
      <c r="A12" s="622"/>
      <c r="B12" s="622"/>
      <c r="C12" s="631" t="s">
        <v>473</v>
      </c>
      <c r="D12" s="632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33"/>
    </row>
    <row r="13" spans="1:15" s="613" customFormat="1" ht="24.75" customHeight="1">
      <c r="A13" s="622"/>
      <c r="B13" s="622"/>
      <c r="C13" s="631" t="s">
        <v>712</v>
      </c>
      <c r="D13" s="632">
        <v>131703</v>
      </c>
      <c r="E13" s="618"/>
      <c r="F13" s="618"/>
      <c r="G13" s="618"/>
      <c r="H13" s="618">
        <f>5461+'[1]táj.1.'!H13</f>
        <v>5461</v>
      </c>
      <c r="I13" s="618"/>
      <c r="J13" s="618"/>
      <c r="K13" s="618"/>
      <c r="L13" s="618"/>
      <c r="M13" s="618"/>
      <c r="N13" s="618"/>
      <c r="O13" s="525">
        <f>SUM(E13:N13)</f>
        <v>5461</v>
      </c>
    </row>
    <row r="14" spans="1:15" s="613" customFormat="1" ht="38.25" customHeight="1">
      <c r="A14" s="622"/>
      <c r="B14" s="622"/>
      <c r="C14" s="634" t="s">
        <v>475</v>
      </c>
      <c r="D14" s="635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525"/>
    </row>
    <row r="15" spans="1:15" s="613" customFormat="1" ht="24.75" customHeight="1">
      <c r="A15" s="622"/>
      <c r="B15" s="622"/>
      <c r="C15" s="636" t="s">
        <v>867</v>
      </c>
      <c r="D15" s="62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525"/>
    </row>
    <row r="16" spans="1:15" s="613" customFormat="1" ht="17.25" customHeight="1">
      <c r="A16" s="622"/>
      <c r="B16" s="622"/>
      <c r="C16" s="634" t="s">
        <v>1216</v>
      </c>
      <c r="D16" s="635">
        <v>131845</v>
      </c>
      <c r="E16" s="618"/>
      <c r="F16" s="618"/>
      <c r="G16" s="618"/>
      <c r="H16" s="618"/>
      <c r="I16" s="618"/>
      <c r="J16" s="618">
        <f>2000+'[1]táj.1.'!J16</f>
        <v>2000</v>
      </c>
      <c r="K16" s="618"/>
      <c r="L16" s="618"/>
      <c r="M16" s="618"/>
      <c r="N16" s="618"/>
      <c r="O16" s="525">
        <f>SUM(E16:N16)</f>
        <v>2000</v>
      </c>
    </row>
    <row r="17" spans="1:15" s="613" customFormat="1" ht="24.75" customHeight="1">
      <c r="A17" s="622"/>
      <c r="B17" s="622"/>
      <c r="C17" s="631" t="s">
        <v>476</v>
      </c>
      <c r="D17" s="632"/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525"/>
    </row>
    <row r="18" spans="1:15" s="613" customFormat="1" ht="49.5" customHeight="1">
      <c r="A18" s="622"/>
      <c r="B18" s="622"/>
      <c r="C18" s="637" t="s">
        <v>556</v>
      </c>
      <c r="D18" s="638">
        <v>132923</v>
      </c>
      <c r="E18" s="618">
        <f>14053+'[1]táj.1.'!E18</f>
        <v>14053</v>
      </c>
      <c r="F18" s="618"/>
      <c r="G18" s="618"/>
      <c r="H18" s="618"/>
      <c r="I18" s="618"/>
      <c r="J18" s="618"/>
      <c r="K18" s="618"/>
      <c r="L18" s="618"/>
      <c r="M18" s="618"/>
      <c r="N18" s="618"/>
      <c r="O18" s="618">
        <f>SUM(E18:N18)</f>
        <v>14053</v>
      </c>
    </row>
    <row r="19" spans="1:15" s="613" customFormat="1" ht="13.5" customHeight="1">
      <c r="A19" s="619"/>
      <c r="B19" s="619"/>
      <c r="C19" s="143" t="s">
        <v>219</v>
      </c>
      <c r="D19" s="99"/>
      <c r="E19" s="620">
        <f aca="true" t="shared" si="1" ref="E19:O19">SUM(E11:E18)</f>
        <v>37376</v>
      </c>
      <c r="F19" s="620">
        <f t="shared" si="1"/>
        <v>0</v>
      </c>
      <c r="G19" s="620">
        <f t="shared" si="1"/>
        <v>0</v>
      </c>
      <c r="H19" s="620">
        <f t="shared" si="1"/>
        <v>5461</v>
      </c>
      <c r="I19" s="620">
        <f t="shared" si="1"/>
        <v>0</v>
      </c>
      <c r="J19" s="620">
        <f t="shared" si="1"/>
        <v>2000</v>
      </c>
      <c r="K19" s="620">
        <f t="shared" si="1"/>
        <v>0</v>
      </c>
      <c r="L19" s="620">
        <f t="shared" si="1"/>
        <v>0</v>
      </c>
      <c r="M19" s="620">
        <f t="shared" si="1"/>
        <v>0</v>
      </c>
      <c r="N19" s="620">
        <f t="shared" si="1"/>
        <v>0</v>
      </c>
      <c r="O19" s="620">
        <f t="shared" si="1"/>
        <v>44837</v>
      </c>
    </row>
    <row r="20" spans="1:15" s="605" customFormat="1" ht="13.5" customHeight="1">
      <c r="A20" s="606">
        <v>1</v>
      </c>
      <c r="B20" s="606">
        <v>15</v>
      </c>
      <c r="C20" s="639" t="s">
        <v>385</v>
      </c>
      <c r="D20" s="640"/>
      <c r="E20" s="641"/>
      <c r="F20" s="642"/>
      <c r="G20" s="642"/>
      <c r="H20" s="642"/>
      <c r="I20" s="642"/>
      <c r="J20" s="642"/>
      <c r="K20" s="642"/>
      <c r="L20" s="642"/>
      <c r="M20" s="642"/>
      <c r="N20" s="642"/>
      <c r="O20" s="642"/>
    </row>
    <row r="21" spans="1:15" s="605" customFormat="1" ht="24.75" customHeight="1">
      <c r="A21" s="606"/>
      <c r="B21" s="606"/>
      <c r="C21" s="190" t="s">
        <v>308</v>
      </c>
      <c r="D21" s="643"/>
      <c r="E21" s="644"/>
      <c r="F21" s="642"/>
      <c r="G21" s="642"/>
      <c r="H21" s="642"/>
      <c r="I21" s="642"/>
      <c r="J21" s="642"/>
      <c r="K21" s="642"/>
      <c r="L21" s="642"/>
      <c r="M21" s="642"/>
      <c r="N21" s="642"/>
      <c r="O21" s="642"/>
    </row>
    <row r="22" spans="1:15" s="605" customFormat="1" ht="24.75" customHeight="1">
      <c r="A22" s="606"/>
      <c r="B22" s="606"/>
      <c r="C22" s="133" t="s">
        <v>357</v>
      </c>
      <c r="D22" s="645">
        <v>151906</v>
      </c>
      <c r="E22" s="641"/>
      <c r="F22" s="642"/>
      <c r="G22" s="642"/>
      <c r="H22" s="642">
        <f>32753+'[1]táj.1.'!H22</f>
        <v>32753</v>
      </c>
      <c r="I22" s="642"/>
      <c r="J22" s="642"/>
      <c r="K22" s="642"/>
      <c r="L22" s="642"/>
      <c r="M22" s="642"/>
      <c r="N22" s="642"/>
      <c r="O22" s="642">
        <f>SUM(E22:N22)</f>
        <v>32753</v>
      </c>
    </row>
    <row r="23" spans="1:15" s="605" customFormat="1" ht="12.75" customHeight="1">
      <c r="A23" s="606"/>
      <c r="B23" s="606"/>
      <c r="C23" s="646" t="s">
        <v>375</v>
      </c>
      <c r="D23" s="647">
        <v>151907</v>
      </c>
      <c r="E23" s="641"/>
      <c r="F23" s="642"/>
      <c r="G23" s="642"/>
      <c r="H23" s="642">
        <f>199890+'[1]táj.1.'!H23</f>
        <v>199890</v>
      </c>
      <c r="I23" s="642"/>
      <c r="J23" s="642"/>
      <c r="K23" s="642"/>
      <c r="L23" s="642"/>
      <c r="M23" s="642"/>
      <c r="N23" s="642"/>
      <c r="O23" s="642">
        <f>SUM(E23:N23)</f>
        <v>199890</v>
      </c>
    </row>
    <row r="24" spans="1:15" s="605" customFormat="1" ht="12.75" customHeight="1">
      <c r="A24" s="606"/>
      <c r="B24" s="606"/>
      <c r="C24" s="646" t="s">
        <v>873</v>
      </c>
      <c r="D24" s="647">
        <v>151915</v>
      </c>
      <c r="E24" s="641"/>
      <c r="F24" s="642"/>
      <c r="G24" s="642"/>
      <c r="H24" s="642">
        <f>1334+'[1]táj.1.'!H24</f>
        <v>1334</v>
      </c>
      <c r="I24" s="642"/>
      <c r="J24" s="642"/>
      <c r="K24" s="642"/>
      <c r="L24" s="642"/>
      <c r="M24" s="642"/>
      <c r="N24" s="642"/>
      <c r="O24" s="642">
        <f>SUM(E24:N24)</f>
        <v>1334</v>
      </c>
    </row>
    <row r="25" spans="1:15" s="605" customFormat="1" ht="12.75" customHeight="1">
      <c r="A25" s="606"/>
      <c r="B25" s="606"/>
      <c r="C25" s="637" t="s">
        <v>866</v>
      </c>
      <c r="D25" s="638"/>
      <c r="E25" s="641"/>
      <c r="F25" s="642"/>
      <c r="G25" s="642"/>
      <c r="H25" s="642"/>
      <c r="I25" s="642"/>
      <c r="J25" s="642"/>
      <c r="K25" s="642"/>
      <c r="L25" s="642"/>
      <c r="M25" s="642"/>
      <c r="N25" s="642"/>
      <c r="O25" s="642"/>
    </row>
    <row r="26" spans="1:15" s="605" customFormat="1" ht="12.75" customHeight="1">
      <c r="A26" s="606"/>
      <c r="B26" s="606"/>
      <c r="C26" s="646" t="s">
        <v>1020</v>
      </c>
      <c r="D26" s="647">
        <v>151905</v>
      </c>
      <c r="E26" s="641"/>
      <c r="F26" s="642"/>
      <c r="G26" s="642"/>
      <c r="H26" s="642">
        <f>6350+'[1]táj.1.'!H26</f>
        <v>6350</v>
      </c>
      <c r="I26" s="642"/>
      <c r="J26" s="642"/>
      <c r="K26" s="642"/>
      <c r="L26" s="642"/>
      <c r="M26" s="642"/>
      <c r="N26" s="642"/>
      <c r="O26" s="642">
        <f>SUM(E26:N26)</f>
        <v>6350</v>
      </c>
    </row>
    <row r="27" spans="1:15" s="605" customFormat="1" ht="24.75" customHeight="1">
      <c r="A27" s="606"/>
      <c r="B27" s="606"/>
      <c r="C27" s="133" t="s">
        <v>293</v>
      </c>
      <c r="D27" s="645"/>
      <c r="E27" s="641"/>
      <c r="F27" s="642"/>
      <c r="G27" s="642"/>
      <c r="H27" s="642"/>
      <c r="I27" s="642"/>
      <c r="J27" s="642"/>
      <c r="K27" s="642"/>
      <c r="L27" s="642"/>
      <c r="M27" s="642"/>
      <c r="N27" s="642"/>
      <c r="O27" s="642"/>
    </row>
    <row r="28" spans="1:16" s="605" customFormat="1" ht="33.75" customHeight="1">
      <c r="A28" s="606"/>
      <c r="B28" s="606"/>
      <c r="C28" s="648" t="s">
        <v>1108</v>
      </c>
      <c r="D28" s="630">
        <v>162105</v>
      </c>
      <c r="E28" s="641"/>
      <c r="F28" s="642">
        <f>194000+'[1]táj.1.'!F28</f>
        <v>194000</v>
      </c>
      <c r="G28" s="642"/>
      <c r="H28" s="642"/>
      <c r="I28" s="642"/>
      <c r="J28" s="642"/>
      <c r="K28" s="642"/>
      <c r="L28" s="642"/>
      <c r="M28" s="642"/>
      <c r="N28" s="642"/>
      <c r="O28" s="642">
        <f>SUM(E28:N28)</f>
        <v>194000</v>
      </c>
      <c r="P28" s="649"/>
    </row>
    <row r="29" spans="1:16" s="605" customFormat="1" ht="28.5" customHeight="1">
      <c r="A29" s="606"/>
      <c r="B29" s="606"/>
      <c r="C29" s="648" t="s">
        <v>1109</v>
      </c>
      <c r="D29" s="650">
        <v>152117</v>
      </c>
      <c r="E29" s="641"/>
      <c r="F29" s="642"/>
      <c r="G29" s="642"/>
      <c r="H29" s="642">
        <f>246380+'[1]táj.1.'!H29</f>
        <v>246380</v>
      </c>
      <c r="I29" s="642"/>
      <c r="J29" s="642"/>
      <c r="K29" s="642"/>
      <c r="L29" s="642"/>
      <c r="M29" s="642"/>
      <c r="N29" s="642"/>
      <c r="O29" s="642">
        <f>SUM(E29:N29)</f>
        <v>246380</v>
      </c>
      <c r="P29" s="649"/>
    </row>
    <row r="30" spans="1:16" s="605" customFormat="1" ht="14.25" customHeight="1">
      <c r="A30" s="606"/>
      <c r="B30" s="606"/>
      <c r="C30" s="629" t="s">
        <v>304</v>
      </c>
      <c r="D30" s="630"/>
      <c r="E30" s="641"/>
      <c r="F30" s="525"/>
      <c r="G30" s="642"/>
      <c r="H30" s="642"/>
      <c r="I30" s="642"/>
      <c r="J30" s="642"/>
      <c r="K30" s="642"/>
      <c r="L30" s="642"/>
      <c r="M30" s="642"/>
      <c r="N30" s="642"/>
      <c r="O30" s="642"/>
      <c r="P30" s="649"/>
    </row>
    <row r="31" spans="1:16" s="605" customFormat="1" ht="39" customHeight="1">
      <c r="A31" s="606"/>
      <c r="B31" s="606"/>
      <c r="C31" s="651" t="s">
        <v>545</v>
      </c>
      <c r="D31" s="652">
        <v>152202</v>
      </c>
      <c r="E31" s="641"/>
      <c r="F31" s="642">
        <f>341840+'[1]táj.1.'!F31</f>
        <v>253881</v>
      </c>
      <c r="G31" s="642"/>
      <c r="H31" s="642"/>
      <c r="I31" s="642"/>
      <c r="J31" s="642"/>
      <c r="K31" s="642"/>
      <c r="L31" s="642"/>
      <c r="M31" s="642"/>
      <c r="N31" s="642"/>
      <c r="O31" s="642">
        <f>SUM(E31:N31)</f>
        <v>253881</v>
      </c>
      <c r="P31" s="649"/>
    </row>
    <row r="32" spans="1:16" s="605" customFormat="1" ht="36.75" customHeight="1">
      <c r="A32" s="606"/>
      <c r="B32" s="606"/>
      <c r="C32" s="651" t="s">
        <v>586</v>
      </c>
      <c r="D32" s="652">
        <v>152204</v>
      </c>
      <c r="E32" s="641"/>
      <c r="F32" s="642">
        <f>'[1]táj.1.'!F32</f>
        <v>87959</v>
      </c>
      <c r="G32" s="642"/>
      <c r="H32" s="642"/>
      <c r="I32" s="642"/>
      <c r="J32" s="642"/>
      <c r="K32" s="642"/>
      <c r="L32" s="642"/>
      <c r="M32" s="642"/>
      <c r="N32" s="642"/>
      <c r="O32" s="642">
        <f>SUM(E32:N32)</f>
        <v>87959</v>
      </c>
      <c r="P32" s="649"/>
    </row>
    <row r="33" spans="1:16" s="605" customFormat="1" ht="15" customHeight="1">
      <c r="A33" s="606"/>
      <c r="B33" s="606"/>
      <c r="C33" s="298" t="s">
        <v>405</v>
      </c>
      <c r="D33" s="652">
        <v>152920</v>
      </c>
      <c r="E33" s="641"/>
      <c r="F33" s="642">
        <f>9348+'[1]táj.1.'!F33</f>
        <v>9348</v>
      </c>
      <c r="G33" s="642"/>
      <c r="H33" s="642"/>
      <c r="I33" s="642"/>
      <c r="J33" s="642"/>
      <c r="K33" s="642"/>
      <c r="L33" s="642"/>
      <c r="M33" s="642"/>
      <c r="N33" s="642"/>
      <c r="O33" s="642">
        <f>SUM(E33:N33)</f>
        <v>9348</v>
      </c>
      <c r="P33" s="649"/>
    </row>
    <row r="34" spans="1:15" s="605" customFormat="1" ht="24.75" customHeight="1">
      <c r="A34" s="606"/>
      <c r="B34" s="606"/>
      <c r="C34" s="133" t="s">
        <v>343</v>
      </c>
      <c r="D34" s="645"/>
      <c r="E34" s="641"/>
      <c r="F34" s="653"/>
      <c r="G34" s="642"/>
      <c r="H34" s="525"/>
      <c r="I34" s="525"/>
      <c r="J34" s="525"/>
      <c r="K34" s="525"/>
      <c r="L34" s="525"/>
      <c r="M34" s="525"/>
      <c r="N34" s="525"/>
      <c r="O34" s="642"/>
    </row>
    <row r="35" spans="1:15" s="605" customFormat="1" ht="24.75" customHeight="1">
      <c r="A35" s="606"/>
      <c r="B35" s="606"/>
      <c r="C35" s="629" t="s">
        <v>45</v>
      </c>
      <c r="D35" s="630">
        <v>151910</v>
      </c>
      <c r="E35" s="641"/>
      <c r="F35" s="642"/>
      <c r="G35" s="642"/>
      <c r="H35" s="642">
        <f>190500+'[1]táj.1.'!H35</f>
        <v>190500</v>
      </c>
      <c r="I35" s="642"/>
      <c r="J35" s="642"/>
      <c r="K35" s="642"/>
      <c r="L35" s="642"/>
      <c r="M35" s="642"/>
      <c r="N35" s="642"/>
      <c r="O35" s="642">
        <f>SUM(E35:N35)</f>
        <v>190500</v>
      </c>
    </row>
    <row r="36" spans="1:15" s="605" customFormat="1" ht="12.75" customHeight="1">
      <c r="A36" s="619"/>
      <c r="B36" s="619"/>
      <c r="C36" s="654" t="s">
        <v>848</v>
      </c>
      <c r="D36" s="655"/>
      <c r="E36" s="620">
        <f aca="true" t="shared" si="2" ref="E36:O36">SUM(E21:E35)</f>
        <v>0</v>
      </c>
      <c r="F36" s="621">
        <f t="shared" si="2"/>
        <v>545188</v>
      </c>
      <c r="G36" s="621">
        <f t="shared" si="2"/>
        <v>0</v>
      </c>
      <c r="H36" s="621">
        <f t="shared" si="2"/>
        <v>677207</v>
      </c>
      <c r="I36" s="621">
        <f t="shared" si="2"/>
        <v>0</v>
      </c>
      <c r="J36" s="621">
        <f t="shared" si="2"/>
        <v>0</v>
      </c>
      <c r="K36" s="621">
        <f t="shared" si="2"/>
        <v>0</v>
      </c>
      <c r="L36" s="621">
        <f t="shared" si="2"/>
        <v>0</v>
      </c>
      <c r="M36" s="621">
        <f t="shared" si="2"/>
        <v>0</v>
      </c>
      <c r="N36" s="621">
        <f t="shared" si="2"/>
        <v>0</v>
      </c>
      <c r="O36" s="621">
        <f t="shared" si="2"/>
        <v>1222395</v>
      </c>
    </row>
    <row r="37" spans="1:15" s="605" customFormat="1" ht="12.75" customHeight="1">
      <c r="A37" s="606">
        <v>1</v>
      </c>
      <c r="B37" s="606" t="s">
        <v>1036</v>
      </c>
      <c r="C37" s="639" t="s">
        <v>252</v>
      </c>
      <c r="D37" s="640"/>
      <c r="E37" s="641"/>
      <c r="F37" s="642"/>
      <c r="G37" s="642"/>
      <c r="H37" s="642"/>
      <c r="I37" s="642"/>
      <c r="J37" s="642"/>
      <c r="K37" s="642"/>
      <c r="L37" s="642"/>
      <c r="M37" s="642"/>
      <c r="N37" s="642"/>
      <c r="O37" s="642"/>
    </row>
    <row r="38" spans="1:15" s="605" customFormat="1" ht="27" customHeight="1">
      <c r="A38" s="606"/>
      <c r="B38" s="606"/>
      <c r="C38" s="133" t="s">
        <v>868</v>
      </c>
      <c r="D38" s="40"/>
      <c r="E38" s="144"/>
      <c r="F38" s="642"/>
      <c r="G38" s="642"/>
      <c r="H38" s="642"/>
      <c r="I38" s="642"/>
      <c r="J38" s="642"/>
      <c r="K38" s="642"/>
      <c r="L38" s="642"/>
      <c r="M38" s="642"/>
      <c r="N38" s="642"/>
      <c r="O38" s="642"/>
    </row>
    <row r="39" spans="1:15" s="605" customFormat="1" ht="15" customHeight="1">
      <c r="A39" s="606"/>
      <c r="B39" s="606"/>
      <c r="C39" s="627" t="s">
        <v>149</v>
      </c>
      <c r="D39" s="628">
        <v>162104</v>
      </c>
      <c r="E39" s="656"/>
      <c r="F39" s="653"/>
      <c r="G39" s="653"/>
      <c r="H39" s="653"/>
      <c r="I39" s="653"/>
      <c r="J39" s="653"/>
      <c r="K39" s="653">
        <f>250000+'[1]táj.1.'!K39</f>
        <v>250000</v>
      </c>
      <c r="L39" s="653"/>
      <c r="M39" s="653"/>
      <c r="N39" s="653"/>
      <c r="O39" s="642">
        <f>SUM(E39:N39)</f>
        <v>250000</v>
      </c>
    </row>
    <row r="40" spans="1:15" s="605" customFormat="1" ht="15" customHeight="1">
      <c r="A40" s="606"/>
      <c r="B40" s="606"/>
      <c r="C40" s="646" t="s">
        <v>869</v>
      </c>
      <c r="D40" s="647"/>
      <c r="E40" s="656"/>
      <c r="F40" s="642"/>
      <c r="G40" s="642"/>
      <c r="H40" s="525"/>
      <c r="I40" s="525"/>
      <c r="J40" s="525"/>
      <c r="K40" s="525"/>
      <c r="L40" s="525"/>
      <c r="M40" s="525"/>
      <c r="N40" s="525"/>
      <c r="O40" s="642"/>
    </row>
    <row r="41" spans="1:15" s="605" customFormat="1" ht="39.75" customHeight="1">
      <c r="A41" s="606"/>
      <c r="B41" s="606"/>
      <c r="C41" s="657" t="s">
        <v>501</v>
      </c>
      <c r="D41" s="635">
        <v>162664</v>
      </c>
      <c r="E41" s="656">
        <f>261239+'[1]táj.1.'!E41</f>
        <v>261239</v>
      </c>
      <c r="F41" s="653"/>
      <c r="G41" s="653"/>
      <c r="H41" s="653"/>
      <c r="I41" s="653"/>
      <c r="J41" s="653"/>
      <c r="K41" s="653"/>
      <c r="L41" s="653"/>
      <c r="M41" s="653"/>
      <c r="N41" s="653"/>
      <c r="O41" s="642">
        <f>SUM(E41:N41)</f>
        <v>261239</v>
      </c>
    </row>
    <row r="42" spans="1:15" s="605" customFormat="1" ht="41.25" customHeight="1">
      <c r="A42" s="606"/>
      <c r="B42" s="606"/>
      <c r="C42" s="657" t="s">
        <v>502</v>
      </c>
      <c r="D42" s="635">
        <v>162665</v>
      </c>
      <c r="E42" s="656">
        <f>293117+'[1]táj.1.'!E42</f>
        <v>293117</v>
      </c>
      <c r="F42" s="653"/>
      <c r="G42" s="653"/>
      <c r="H42" s="653"/>
      <c r="I42" s="653"/>
      <c r="J42" s="653"/>
      <c r="K42" s="653"/>
      <c r="L42" s="653"/>
      <c r="M42" s="653"/>
      <c r="N42" s="653"/>
      <c r="O42" s="642">
        <f>SUM(E42:N42)</f>
        <v>293117</v>
      </c>
    </row>
    <row r="43" spans="1:15" s="605" customFormat="1" ht="36" customHeight="1">
      <c r="A43" s="606"/>
      <c r="B43" s="606"/>
      <c r="C43" s="658" t="s">
        <v>503</v>
      </c>
      <c r="D43" s="659">
        <v>162662</v>
      </c>
      <c r="E43" s="656">
        <f>1778+'[1]táj.1.'!E43</f>
        <v>1778</v>
      </c>
      <c r="F43" s="653">
        <f>194999+'[1]táj.1.'!F43</f>
        <v>194999</v>
      </c>
      <c r="G43" s="653"/>
      <c r="H43" s="653"/>
      <c r="I43" s="653"/>
      <c r="J43" s="653"/>
      <c r="K43" s="653"/>
      <c r="L43" s="653"/>
      <c r="M43" s="653"/>
      <c r="N43" s="653"/>
      <c r="O43" s="642">
        <f>SUM(E43:N43)</f>
        <v>196777</v>
      </c>
    </row>
    <row r="44" spans="1:15" s="605" customFormat="1" ht="31.5" customHeight="1">
      <c r="A44" s="606"/>
      <c r="B44" s="606"/>
      <c r="C44" s="133" t="s">
        <v>305</v>
      </c>
      <c r="D44" s="645"/>
      <c r="E44" s="656"/>
      <c r="F44" s="642"/>
      <c r="G44" s="642"/>
      <c r="H44" s="525"/>
      <c r="I44" s="525"/>
      <c r="J44" s="525"/>
      <c r="K44" s="525"/>
      <c r="L44" s="525"/>
      <c r="M44" s="525"/>
      <c r="N44" s="525"/>
      <c r="O44" s="642"/>
    </row>
    <row r="45" spans="1:15" s="605" customFormat="1" ht="49.5" customHeight="1">
      <c r="A45" s="606"/>
      <c r="B45" s="606"/>
      <c r="C45" s="658" t="s">
        <v>557</v>
      </c>
      <c r="D45" s="659">
        <v>162711</v>
      </c>
      <c r="E45" s="656">
        <f>16108+'[1]táj.1.'!E45</f>
        <v>16108</v>
      </c>
      <c r="F45" s="653">
        <f>242224+'[1]táj.1.'!F45</f>
        <v>192844</v>
      </c>
      <c r="G45" s="653"/>
      <c r="H45" s="653"/>
      <c r="I45" s="653"/>
      <c r="J45" s="653"/>
      <c r="K45" s="653"/>
      <c r="L45" s="653"/>
      <c r="M45" s="653"/>
      <c r="N45" s="653"/>
      <c r="O45" s="642">
        <f>SUM(E45:N45)</f>
        <v>208952</v>
      </c>
    </row>
    <row r="46" spans="1:15" s="605" customFormat="1" ht="63" customHeight="1">
      <c r="A46" s="606"/>
      <c r="B46" s="606"/>
      <c r="C46" s="660" t="s">
        <v>815</v>
      </c>
      <c r="D46" s="661">
        <v>162712</v>
      </c>
      <c r="E46" s="656">
        <f>23706+'[1]táj.1.'!E46</f>
        <v>23706</v>
      </c>
      <c r="F46" s="653">
        <f>218496+'[1]táj.1.'!F46</f>
        <v>218496</v>
      </c>
      <c r="G46" s="653"/>
      <c r="H46" s="653">
        <f>65475+'[1]táj.1.'!H46</f>
        <v>65475</v>
      </c>
      <c r="I46" s="653"/>
      <c r="J46" s="653"/>
      <c r="K46" s="653"/>
      <c r="L46" s="653"/>
      <c r="M46" s="653"/>
      <c r="N46" s="653"/>
      <c r="O46" s="642">
        <f>SUM(E46:N46)</f>
        <v>307677</v>
      </c>
    </row>
    <row r="47" spans="1:15" s="605" customFormat="1" ht="24.75" customHeight="1">
      <c r="A47" s="606"/>
      <c r="B47" s="606"/>
      <c r="C47" s="190" t="s">
        <v>292</v>
      </c>
      <c r="D47" s="643"/>
      <c r="E47" s="656"/>
      <c r="F47" s="642"/>
      <c r="G47" s="642"/>
      <c r="H47" s="525"/>
      <c r="I47" s="525"/>
      <c r="J47" s="525"/>
      <c r="K47" s="525"/>
      <c r="L47" s="525"/>
      <c r="M47" s="525"/>
      <c r="N47" s="525"/>
      <c r="O47" s="642"/>
    </row>
    <row r="48" spans="1:15" s="605" customFormat="1" ht="24.75" customHeight="1">
      <c r="A48" s="606"/>
      <c r="B48" s="606"/>
      <c r="C48" s="662" t="s">
        <v>561</v>
      </c>
      <c r="D48" s="659">
        <v>162674</v>
      </c>
      <c r="E48" s="656"/>
      <c r="F48" s="653">
        <f>957868+'[1]táj.1.'!F48</f>
        <v>957868</v>
      </c>
      <c r="G48" s="653"/>
      <c r="H48" s="653"/>
      <c r="I48" s="653"/>
      <c r="J48" s="653"/>
      <c r="K48" s="653"/>
      <c r="L48" s="653"/>
      <c r="M48" s="653"/>
      <c r="N48" s="653"/>
      <c r="O48" s="642">
        <f>SUM(E48:N48)</f>
        <v>957868</v>
      </c>
    </row>
    <row r="49" spans="1:15" s="605" customFormat="1" ht="24.75" customHeight="1">
      <c r="A49" s="606"/>
      <c r="B49" s="606"/>
      <c r="C49" s="636" t="s">
        <v>867</v>
      </c>
      <c r="D49" s="628"/>
      <c r="E49" s="656"/>
      <c r="F49" s="653"/>
      <c r="G49" s="653"/>
      <c r="H49" s="653"/>
      <c r="I49" s="653"/>
      <c r="J49" s="653"/>
      <c r="K49" s="653"/>
      <c r="L49" s="653"/>
      <c r="M49" s="653"/>
      <c r="N49" s="653"/>
      <c r="O49" s="642"/>
    </row>
    <row r="50" spans="1:15" s="605" customFormat="1" ht="49.5" customHeight="1">
      <c r="A50" s="606"/>
      <c r="B50" s="606"/>
      <c r="C50" s="663" t="s">
        <v>562</v>
      </c>
      <c r="D50" s="664">
        <v>162671</v>
      </c>
      <c r="E50" s="656">
        <f>32978+'[1]táj.1.'!E50</f>
        <v>32978</v>
      </c>
      <c r="F50" s="653">
        <f>277303+'[1]táj.1.'!F50</f>
        <v>277303</v>
      </c>
      <c r="G50" s="653"/>
      <c r="H50" s="653"/>
      <c r="I50" s="653"/>
      <c r="J50" s="653"/>
      <c r="K50" s="653"/>
      <c r="L50" s="653"/>
      <c r="M50" s="653"/>
      <c r="N50" s="653"/>
      <c r="O50" s="642">
        <f>SUM(E50:N50)</f>
        <v>310281</v>
      </c>
    </row>
    <row r="51" spans="1:15" s="605" customFormat="1" ht="37.5" customHeight="1">
      <c r="A51" s="606"/>
      <c r="B51" s="606"/>
      <c r="C51" s="665" t="s">
        <v>563</v>
      </c>
      <c r="D51" s="635">
        <v>162673</v>
      </c>
      <c r="E51" s="656">
        <f>5774+'[1]táj.1.'!E51</f>
        <v>5774</v>
      </c>
      <c r="F51" s="653">
        <f>119377+'[1]táj.1.'!F51</f>
        <v>119377</v>
      </c>
      <c r="G51" s="653"/>
      <c r="H51" s="653"/>
      <c r="I51" s="653"/>
      <c r="J51" s="653"/>
      <c r="K51" s="653"/>
      <c r="L51" s="653"/>
      <c r="M51" s="653"/>
      <c r="N51" s="653"/>
      <c r="O51" s="642">
        <f>SUM(E51:N51)</f>
        <v>125151</v>
      </c>
    </row>
    <row r="52" spans="1:15" s="605" customFormat="1" ht="37.5" customHeight="1">
      <c r="A52" s="606"/>
      <c r="B52" s="606"/>
      <c r="C52" s="666" t="s">
        <v>560</v>
      </c>
      <c r="D52" s="635">
        <v>162606</v>
      </c>
      <c r="E52" s="656">
        <f>10209+'[1]táj.1.'!E52</f>
        <v>10209</v>
      </c>
      <c r="F52" s="653"/>
      <c r="G52" s="653"/>
      <c r="H52" s="653"/>
      <c r="I52" s="653"/>
      <c r="J52" s="653"/>
      <c r="K52" s="653"/>
      <c r="L52" s="653"/>
      <c r="M52" s="653"/>
      <c r="N52" s="653"/>
      <c r="O52" s="642">
        <f>SUM(E52:N52)</f>
        <v>10209</v>
      </c>
    </row>
    <row r="53" spans="1:15" s="605" customFormat="1" ht="29.25" customHeight="1">
      <c r="A53" s="606"/>
      <c r="B53" s="606"/>
      <c r="C53" s="667" t="s">
        <v>916</v>
      </c>
      <c r="D53" s="668">
        <v>162678</v>
      </c>
      <c r="E53" s="656"/>
      <c r="F53" s="653"/>
      <c r="G53" s="653"/>
      <c r="H53" s="653"/>
      <c r="I53" s="653"/>
      <c r="J53" s="653"/>
      <c r="K53" s="653">
        <f>40000+'[1]táj.1.'!K53</f>
        <v>40000</v>
      </c>
      <c r="L53" s="653"/>
      <c r="M53" s="653"/>
      <c r="N53" s="653"/>
      <c r="O53" s="642">
        <f>SUM(E53:N53)</f>
        <v>40000</v>
      </c>
    </row>
    <row r="54" spans="1:15" s="605" customFormat="1" ht="15" customHeight="1">
      <c r="A54" s="606"/>
      <c r="B54" s="606"/>
      <c r="C54" s="237" t="s">
        <v>310</v>
      </c>
      <c r="D54" s="210"/>
      <c r="E54" s="656"/>
      <c r="F54" s="653"/>
      <c r="G54" s="653"/>
      <c r="H54" s="653"/>
      <c r="I54" s="653"/>
      <c r="J54" s="653"/>
      <c r="K54" s="653"/>
      <c r="L54" s="653"/>
      <c r="M54" s="653"/>
      <c r="N54" s="653"/>
      <c r="O54" s="642"/>
    </row>
    <row r="55" spans="1:15" s="605" customFormat="1" ht="39.75" customHeight="1">
      <c r="A55" s="606"/>
      <c r="B55" s="606"/>
      <c r="C55" s="669" t="s">
        <v>558</v>
      </c>
      <c r="D55" s="670">
        <v>162973</v>
      </c>
      <c r="E55" s="656"/>
      <c r="F55" s="653">
        <f>491005+'[1]táj.1.'!F55</f>
        <v>491005</v>
      </c>
      <c r="G55" s="653"/>
      <c r="H55" s="653"/>
      <c r="I55" s="653"/>
      <c r="J55" s="653"/>
      <c r="K55" s="653"/>
      <c r="L55" s="653"/>
      <c r="M55" s="653"/>
      <c r="N55" s="653"/>
      <c r="O55" s="642">
        <f>SUM(E55:N55)</f>
        <v>491005</v>
      </c>
    </row>
    <row r="56" spans="1:15" s="605" customFormat="1" ht="39.75" customHeight="1">
      <c r="A56" s="606"/>
      <c r="B56" s="606"/>
      <c r="C56" s="669" t="s">
        <v>559</v>
      </c>
      <c r="D56" s="670">
        <v>162974</v>
      </c>
      <c r="E56" s="656"/>
      <c r="F56" s="653">
        <f>494387+'[1]táj.1.'!F56</f>
        <v>494387</v>
      </c>
      <c r="G56" s="653"/>
      <c r="H56" s="653"/>
      <c r="I56" s="653"/>
      <c r="J56" s="653"/>
      <c r="K56" s="653"/>
      <c r="L56" s="653"/>
      <c r="M56" s="653"/>
      <c r="N56" s="653"/>
      <c r="O56" s="642">
        <f>SUM(E56:N56)</f>
        <v>494387</v>
      </c>
    </row>
    <row r="57" spans="1:15" s="605" customFormat="1" ht="12.75" customHeight="1">
      <c r="A57" s="619"/>
      <c r="B57" s="619"/>
      <c r="C57" s="654" t="s">
        <v>37</v>
      </c>
      <c r="D57" s="655"/>
      <c r="E57" s="620">
        <f aca="true" t="shared" si="3" ref="E57:K57">SUM(E38:E56)</f>
        <v>644909</v>
      </c>
      <c r="F57" s="621">
        <f t="shared" si="3"/>
        <v>2946279</v>
      </c>
      <c r="G57" s="621">
        <f t="shared" si="3"/>
        <v>0</v>
      </c>
      <c r="H57" s="621">
        <f t="shared" si="3"/>
        <v>65475</v>
      </c>
      <c r="I57" s="621">
        <f t="shared" si="3"/>
        <v>0</v>
      </c>
      <c r="J57" s="621">
        <f t="shared" si="3"/>
        <v>0</v>
      </c>
      <c r="K57" s="621">
        <f t="shared" si="3"/>
        <v>290000</v>
      </c>
      <c r="L57" s="621"/>
      <c r="M57" s="621"/>
      <c r="N57" s="621">
        <f>SUM(N38:N56)</f>
        <v>0</v>
      </c>
      <c r="O57" s="621">
        <f>SUM(O38:O56)</f>
        <v>3946663</v>
      </c>
    </row>
    <row r="58" spans="1:15" s="605" customFormat="1" ht="12.75" customHeight="1">
      <c r="A58" s="606">
        <v>1</v>
      </c>
      <c r="B58" s="606">
        <v>17</v>
      </c>
      <c r="C58" s="639" t="s">
        <v>386</v>
      </c>
      <c r="D58" s="640"/>
      <c r="E58" s="641"/>
      <c r="F58" s="642"/>
      <c r="G58" s="642"/>
      <c r="H58" s="642"/>
      <c r="I58" s="642"/>
      <c r="J58" s="642"/>
      <c r="K58" s="642"/>
      <c r="L58" s="642"/>
      <c r="M58" s="642"/>
      <c r="N58" s="642"/>
      <c r="O58" s="642"/>
    </row>
    <row r="59" spans="1:15" s="605" customFormat="1" ht="24" customHeight="1">
      <c r="A59" s="606"/>
      <c r="B59" s="606"/>
      <c r="C59" s="133" t="s">
        <v>293</v>
      </c>
      <c r="D59" s="40"/>
      <c r="E59" s="644"/>
      <c r="F59" s="642"/>
      <c r="G59" s="642"/>
      <c r="H59" s="642"/>
      <c r="I59" s="642"/>
      <c r="J59" s="642"/>
      <c r="K59" s="642"/>
      <c r="L59" s="642"/>
      <c r="M59" s="642"/>
      <c r="N59" s="642"/>
      <c r="O59" s="642"/>
    </row>
    <row r="60" spans="1:16" s="605" customFormat="1" ht="13.5" customHeight="1">
      <c r="A60" s="606"/>
      <c r="B60" s="606"/>
      <c r="C60" s="646" t="s">
        <v>1037</v>
      </c>
      <c r="D60" s="647">
        <v>171907</v>
      </c>
      <c r="E60" s="641"/>
      <c r="F60" s="642"/>
      <c r="G60" s="642"/>
      <c r="H60" s="642">
        <f>3666+'[1]táj.1.'!H60</f>
        <v>3666</v>
      </c>
      <c r="I60" s="642">
        <f>144480+'[1]táj.1.'!I60</f>
        <v>144480</v>
      </c>
      <c r="J60" s="642"/>
      <c r="K60" s="642"/>
      <c r="L60" s="642"/>
      <c r="M60" s="642"/>
      <c r="N60" s="642"/>
      <c r="O60" s="642">
        <f>SUM(E60:N60)</f>
        <v>148146</v>
      </c>
      <c r="P60" s="649"/>
    </row>
    <row r="61" spans="1:16" s="605" customFormat="1" ht="13.5" customHeight="1">
      <c r="A61" s="606"/>
      <c r="B61" s="606"/>
      <c r="C61" s="671" t="s">
        <v>539</v>
      </c>
      <c r="D61" s="617">
        <v>171916</v>
      </c>
      <c r="E61" s="641"/>
      <c r="F61" s="642"/>
      <c r="G61" s="642"/>
      <c r="H61" s="642">
        <f>8890+'[1]táj.1.'!H61</f>
        <v>8890</v>
      </c>
      <c r="I61" s="642"/>
      <c r="J61" s="642"/>
      <c r="K61" s="642"/>
      <c r="L61" s="642"/>
      <c r="M61" s="642"/>
      <c r="N61" s="642"/>
      <c r="O61" s="642">
        <f>SUM(E61:N61)</f>
        <v>8890</v>
      </c>
      <c r="P61" s="649"/>
    </row>
    <row r="62" spans="1:15" s="605" customFormat="1" ht="14.25" customHeight="1">
      <c r="A62" s="606"/>
      <c r="B62" s="606"/>
      <c r="C62" s="672" t="s">
        <v>1217</v>
      </c>
      <c r="D62" s="673">
        <v>171912</v>
      </c>
      <c r="E62" s="641"/>
      <c r="F62" s="642"/>
      <c r="G62" s="642"/>
      <c r="H62" s="642">
        <f>30000+'[1]táj.1.'!H62</f>
        <v>30000</v>
      </c>
      <c r="I62" s="642"/>
      <c r="J62" s="642"/>
      <c r="K62" s="642"/>
      <c r="L62" s="642"/>
      <c r="M62" s="642"/>
      <c r="N62" s="642"/>
      <c r="O62" s="642">
        <f>SUM(E62:N62)</f>
        <v>30000</v>
      </c>
    </row>
    <row r="63" spans="1:15" s="605" customFormat="1" ht="25.5" customHeight="1">
      <c r="A63" s="606"/>
      <c r="B63" s="606"/>
      <c r="C63" s="627" t="s">
        <v>477</v>
      </c>
      <c r="D63" s="628"/>
      <c r="E63" s="641"/>
      <c r="F63" s="642"/>
      <c r="G63" s="642"/>
      <c r="H63" s="642"/>
      <c r="I63" s="642"/>
      <c r="J63" s="642"/>
      <c r="K63" s="642"/>
      <c r="L63" s="642"/>
      <c r="M63" s="642"/>
      <c r="N63" s="642"/>
      <c r="O63" s="642"/>
    </row>
    <row r="64" spans="1:15" s="605" customFormat="1" ht="13.5" customHeight="1">
      <c r="A64" s="606"/>
      <c r="B64" s="606"/>
      <c r="C64" s="674" t="s">
        <v>1039</v>
      </c>
      <c r="D64" s="675">
        <v>171980</v>
      </c>
      <c r="E64" s="641"/>
      <c r="F64" s="642"/>
      <c r="G64" s="642"/>
      <c r="H64" s="642">
        <f>27940+'[1]táj.1.'!H64</f>
        <v>27940</v>
      </c>
      <c r="I64" s="642"/>
      <c r="J64" s="642"/>
      <c r="K64" s="642"/>
      <c r="L64" s="642"/>
      <c r="M64" s="642"/>
      <c r="N64" s="642"/>
      <c r="O64" s="642">
        <f>SUM(E64:N64)</f>
        <v>27940</v>
      </c>
    </row>
    <row r="65" spans="1:15" s="605" customFormat="1" ht="26.25" customHeight="1">
      <c r="A65" s="676"/>
      <c r="B65" s="676"/>
      <c r="C65" s="133" t="s">
        <v>293</v>
      </c>
      <c r="D65" s="645"/>
      <c r="E65" s="641"/>
      <c r="F65" s="677"/>
      <c r="G65" s="677"/>
      <c r="H65" s="677"/>
      <c r="I65" s="677"/>
      <c r="J65" s="677"/>
      <c r="K65" s="677"/>
      <c r="L65" s="677"/>
      <c r="M65" s="677"/>
      <c r="N65" s="677"/>
      <c r="O65" s="642"/>
    </row>
    <row r="66" spans="1:15" s="605" customFormat="1" ht="27.75" customHeight="1">
      <c r="A66" s="676"/>
      <c r="B66" s="676"/>
      <c r="C66" s="627" t="s">
        <v>399</v>
      </c>
      <c r="D66" s="647">
        <v>171905</v>
      </c>
      <c r="E66" s="641"/>
      <c r="F66" s="642"/>
      <c r="G66" s="642"/>
      <c r="H66" s="642">
        <f>55880+'[1]táj.1.'!H66</f>
        <v>55880</v>
      </c>
      <c r="I66" s="642"/>
      <c r="J66" s="642"/>
      <c r="K66" s="642"/>
      <c r="L66" s="642"/>
      <c r="M66" s="642"/>
      <c r="N66" s="642"/>
      <c r="O66" s="642">
        <f>SUM(E66:N66)</f>
        <v>55880</v>
      </c>
    </row>
    <row r="67" spans="1:15" s="605" customFormat="1" ht="13.5" customHeight="1">
      <c r="A67" s="678"/>
      <c r="B67" s="678"/>
      <c r="C67" s="679" t="s">
        <v>1064</v>
      </c>
      <c r="D67" s="647">
        <v>171909</v>
      </c>
      <c r="E67" s="680"/>
      <c r="F67" s="681"/>
      <c r="G67" s="681"/>
      <c r="H67" s="681">
        <f>3429+'[1]táj.1.'!H67</f>
        <v>3429</v>
      </c>
      <c r="I67" s="681"/>
      <c r="J67" s="681"/>
      <c r="K67" s="681"/>
      <c r="L67" s="681"/>
      <c r="M67" s="681"/>
      <c r="N67" s="681"/>
      <c r="O67" s="681">
        <f>SUM(E67:N67)</f>
        <v>3429</v>
      </c>
    </row>
    <row r="68" spans="1:15" s="605" customFormat="1" ht="13.5" customHeight="1">
      <c r="A68" s="678"/>
      <c r="B68" s="678"/>
      <c r="C68" s="679" t="s">
        <v>150</v>
      </c>
      <c r="D68" s="647">
        <v>171913</v>
      </c>
      <c r="E68" s="641"/>
      <c r="F68" s="642"/>
      <c r="G68" s="642"/>
      <c r="H68" s="642">
        <f>2000+'[1]táj.1.'!H68</f>
        <v>2000</v>
      </c>
      <c r="I68" s="642"/>
      <c r="J68" s="642"/>
      <c r="K68" s="642"/>
      <c r="L68" s="642"/>
      <c r="M68" s="642"/>
      <c r="N68" s="642"/>
      <c r="O68" s="642">
        <f>SUM(E68:N68)</f>
        <v>2000</v>
      </c>
    </row>
    <row r="69" spans="1:15" s="605" customFormat="1" ht="24.75" customHeight="1">
      <c r="A69" s="678"/>
      <c r="B69" s="678"/>
      <c r="C69" s="636" t="s">
        <v>867</v>
      </c>
      <c r="D69" s="628"/>
      <c r="E69" s="641"/>
      <c r="F69" s="681"/>
      <c r="G69" s="681"/>
      <c r="H69" s="681"/>
      <c r="I69" s="681"/>
      <c r="J69" s="681"/>
      <c r="K69" s="681"/>
      <c r="L69" s="681"/>
      <c r="M69" s="681"/>
      <c r="N69" s="681"/>
      <c r="O69" s="642"/>
    </row>
    <row r="70" spans="1:15" s="605" customFormat="1" ht="15" customHeight="1">
      <c r="A70" s="678"/>
      <c r="B70" s="678"/>
      <c r="C70" s="646" t="s">
        <v>1038</v>
      </c>
      <c r="D70" s="647">
        <v>171901</v>
      </c>
      <c r="E70" s="641"/>
      <c r="F70" s="642"/>
      <c r="G70" s="642"/>
      <c r="H70" s="642">
        <f>35714+'[1]táj.1.'!H70</f>
        <v>35714</v>
      </c>
      <c r="I70" s="642"/>
      <c r="J70" s="642"/>
      <c r="K70" s="642"/>
      <c r="L70" s="642"/>
      <c r="M70" s="642"/>
      <c r="N70" s="642"/>
      <c r="O70" s="642">
        <f>SUM(E70:N70)</f>
        <v>35714</v>
      </c>
    </row>
    <row r="71" spans="1:15" s="605" customFormat="1" ht="24.75" customHeight="1">
      <c r="A71" s="606"/>
      <c r="B71" s="606"/>
      <c r="C71" s="682" t="s">
        <v>870</v>
      </c>
      <c r="D71" s="683"/>
      <c r="E71" s="641"/>
      <c r="F71" s="642"/>
      <c r="G71" s="642"/>
      <c r="H71" s="642"/>
      <c r="I71" s="642"/>
      <c r="J71" s="642"/>
      <c r="K71" s="642"/>
      <c r="L71" s="642"/>
      <c r="M71" s="642"/>
      <c r="N71" s="642"/>
      <c r="O71" s="642"/>
    </row>
    <row r="72" spans="1:15" s="605" customFormat="1" ht="15" customHeight="1">
      <c r="A72" s="606"/>
      <c r="B72" s="606"/>
      <c r="C72" s="684" t="s">
        <v>466</v>
      </c>
      <c r="D72" s="630">
        <v>171908</v>
      </c>
      <c r="E72" s="641"/>
      <c r="F72" s="642"/>
      <c r="G72" s="642"/>
      <c r="H72" s="642">
        <f>190500+'[1]táj.1.'!H72</f>
        <v>190500</v>
      </c>
      <c r="I72" s="642"/>
      <c r="J72" s="642"/>
      <c r="K72" s="642"/>
      <c r="L72" s="642"/>
      <c r="M72" s="642"/>
      <c r="N72" s="642"/>
      <c r="O72" s="642">
        <f>SUM(E72:N72)</f>
        <v>190500</v>
      </c>
    </row>
    <row r="73" spans="1:15" s="605" customFormat="1" ht="13.5" customHeight="1">
      <c r="A73" s="606"/>
      <c r="B73" s="606"/>
      <c r="C73" s="685" t="s">
        <v>1040</v>
      </c>
      <c r="D73" s="686"/>
      <c r="E73" s="641"/>
      <c r="F73" s="642"/>
      <c r="G73" s="642"/>
      <c r="H73" s="642"/>
      <c r="I73" s="642"/>
      <c r="J73" s="642"/>
      <c r="K73" s="642"/>
      <c r="L73" s="642"/>
      <c r="M73" s="642"/>
      <c r="N73" s="642"/>
      <c r="O73" s="642"/>
    </row>
    <row r="74" spans="1:15" s="605" customFormat="1" ht="24.75" customHeight="1">
      <c r="A74" s="606"/>
      <c r="B74" s="606"/>
      <c r="C74" s="180" t="s">
        <v>282</v>
      </c>
      <c r="D74" s="42"/>
      <c r="E74" s="641"/>
      <c r="F74" s="642"/>
      <c r="G74" s="642"/>
      <c r="H74" s="642"/>
      <c r="I74" s="642"/>
      <c r="J74" s="642"/>
      <c r="K74" s="642"/>
      <c r="L74" s="642"/>
      <c r="M74" s="642"/>
      <c r="N74" s="642"/>
      <c r="O74" s="642"/>
    </row>
    <row r="75" spans="1:15" s="605" customFormat="1" ht="24.75" customHeight="1">
      <c r="A75" s="606"/>
      <c r="B75" s="606"/>
      <c r="C75" s="627" t="s">
        <v>658</v>
      </c>
      <c r="D75" s="630">
        <v>121401</v>
      </c>
      <c r="E75" s="641"/>
      <c r="F75" s="642"/>
      <c r="G75" s="642"/>
      <c r="H75" s="642"/>
      <c r="I75" s="642"/>
      <c r="J75" s="642"/>
      <c r="K75" s="642">
        <f>30000+'[1]táj.1.'!K76</f>
        <v>30000</v>
      </c>
      <c r="L75" s="642"/>
      <c r="M75" s="642"/>
      <c r="N75" s="642"/>
      <c r="O75" s="642">
        <f>SUM(E75:N75)</f>
        <v>30000</v>
      </c>
    </row>
    <row r="76" spans="1:15" s="605" customFormat="1" ht="24.75" customHeight="1">
      <c r="A76" s="606"/>
      <c r="B76" s="606"/>
      <c r="C76" s="614" t="s">
        <v>478</v>
      </c>
      <c r="D76" s="628"/>
      <c r="E76" s="641"/>
      <c r="F76" s="687"/>
      <c r="G76" s="653"/>
      <c r="H76" s="642"/>
      <c r="I76" s="642"/>
      <c r="J76" s="642"/>
      <c r="K76" s="642"/>
      <c r="L76" s="642"/>
      <c r="M76" s="642"/>
      <c r="N76" s="642"/>
      <c r="O76" s="642"/>
    </row>
    <row r="77" spans="1:16" s="605" customFormat="1" ht="21" customHeight="1">
      <c r="A77" s="606"/>
      <c r="B77" s="606"/>
      <c r="C77" s="636" t="s">
        <v>659</v>
      </c>
      <c r="D77" s="628">
        <v>176902</v>
      </c>
      <c r="E77" s="641"/>
      <c r="F77" s="642"/>
      <c r="G77" s="642"/>
      <c r="H77" s="642"/>
      <c r="I77" s="642"/>
      <c r="J77" s="642"/>
      <c r="K77" s="642"/>
      <c r="L77" s="642"/>
      <c r="M77" s="642">
        <f>80000+'[1]táj.1.'!M78</f>
        <v>80000</v>
      </c>
      <c r="N77" s="642">
        <f>73924+'[1]táj.1.'!N78</f>
        <v>113924</v>
      </c>
      <c r="O77" s="642">
        <f>SUM(E77:N77)</f>
        <v>193924</v>
      </c>
      <c r="P77" s="649"/>
    </row>
    <row r="78" spans="1:15" s="605" customFormat="1" ht="18" customHeight="1">
      <c r="A78" s="619"/>
      <c r="B78" s="619"/>
      <c r="C78" s="654" t="s">
        <v>1041</v>
      </c>
      <c r="D78" s="655"/>
      <c r="E78" s="620">
        <f aca="true" t="shared" si="4" ref="E78:O78">SUM(E58:E77)</f>
        <v>0</v>
      </c>
      <c r="F78" s="621">
        <f t="shared" si="4"/>
        <v>0</v>
      </c>
      <c r="G78" s="621">
        <f t="shared" si="4"/>
        <v>0</v>
      </c>
      <c r="H78" s="621">
        <f t="shared" si="4"/>
        <v>358019</v>
      </c>
      <c r="I78" s="621">
        <f t="shared" si="4"/>
        <v>144480</v>
      </c>
      <c r="J78" s="621">
        <f t="shared" si="4"/>
        <v>0</v>
      </c>
      <c r="K78" s="621">
        <f t="shared" si="4"/>
        <v>30000</v>
      </c>
      <c r="L78" s="621">
        <f t="shared" si="4"/>
        <v>0</v>
      </c>
      <c r="M78" s="621">
        <f t="shared" si="4"/>
        <v>80000</v>
      </c>
      <c r="N78" s="621">
        <f t="shared" si="4"/>
        <v>113924</v>
      </c>
      <c r="O78" s="621">
        <f t="shared" si="4"/>
        <v>726423</v>
      </c>
    </row>
    <row r="79" spans="1:15" s="605" customFormat="1" ht="12" customHeight="1">
      <c r="A79" s="622">
        <v>1</v>
      </c>
      <c r="B79" s="622">
        <v>18</v>
      </c>
      <c r="C79" s="627" t="s">
        <v>1042</v>
      </c>
      <c r="D79" s="688"/>
      <c r="E79" s="689"/>
      <c r="F79" s="626"/>
      <c r="G79" s="626"/>
      <c r="H79" s="626"/>
      <c r="I79" s="626"/>
      <c r="J79" s="626"/>
      <c r="K79" s="626"/>
      <c r="L79" s="626"/>
      <c r="M79" s="626"/>
      <c r="N79" s="626"/>
      <c r="O79" s="626"/>
    </row>
    <row r="80" spans="1:15" s="605" customFormat="1" ht="24.75" customHeight="1">
      <c r="A80" s="606"/>
      <c r="B80" s="606"/>
      <c r="C80" s="133" t="s">
        <v>293</v>
      </c>
      <c r="D80" s="40"/>
      <c r="E80" s="656"/>
      <c r="F80" s="653"/>
      <c r="G80" s="653"/>
      <c r="H80" s="642"/>
      <c r="I80" s="642"/>
      <c r="J80" s="642"/>
      <c r="K80" s="642"/>
      <c r="L80" s="642"/>
      <c r="M80" s="642"/>
      <c r="N80" s="642"/>
      <c r="O80" s="642"/>
    </row>
    <row r="81" spans="1:15" s="605" customFormat="1" ht="24.75" customHeight="1">
      <c r="A81" s="606"/>
      <c r="B81" s="606"/>
      <c r="C81" s="180" t="s">
        <v>714</v>
      </c>
      <c r="D81" s="652">
        <v>181901</v>
      </c>
      <c r="E81" s="656"/>
      <c r="F81" s="653"/>
      <c r="G81" s="653"/>
      <c r="H81" s="653">
        <f>29850+'[1]táj.1.'!H82</f>
        <v>29850</v>
      </c>
      <c r="I81" s="653"/>
      <c r="J81" s="653"/>
      <c r="K81" s="653"/>
      <c r="L81" s="653"/>
      <c r="M81" s="653"/>
      <c r="N81" s="653"/>
      <c r="O81" s="642">
        <f>SUM(E81:N81)</f>
        <v>29850</v>
      </c>
    </row>
    <row r="82" spans="1:15" s="605" customFormat="1" ht="12" customHeight="1">
      <c r="A82" s="606"/>
      <c r="B82" s="606"/>
      <c r="C82" s="627" t="s">
        <v>196</v>
      </c>
      <c r="D82" s="628">
        <v>181905</v>
      </c>
      <c r="E82" s="656"/>
      <c r="F82" s="653"/>
      <c r="G82" s="653"/>
      <c r="H82" s="653">
        <f>20320+'[1]táj.1.'!H83</f>
        <v>20320</v>
      </c>
      <c r="I82" s="653"/>
      <c r="J82" s="653"/>
      <c r="K82" s="653"/>
      <c r="L82" s="653"/>
      <c r="M82" s="653"/>
      <c r="N82" s="653"/>
      <c r="O82" s="642">
        <f>SUM(E82:N82)</f>
        <v>20320</v>
      </c>
    </row>
    <row r="83" spans="1:15" s="605" customFormat="1" ht="15" customHeight="1">
      <c r="A83" s="606"/>
      <c r="B83" s="606"/>
      <c r="C83" s="133" t="s">
        <v>874</v>
      </c>
      <c r="D83" s="645">
        <v>181903</v>
      </c>
      <c r="E83" s="656"/>
      <c r="F83" s="653"/>
      <c r="G83" s="653">
        <f>7000+'[1]táj.1.'!G84</f>
        <v>7000</v>
      </c>
      <c r="H83" s="653"/>
      <c r="I83" s="653"/>
      <c r="J83" s="653"/>
      <c r="K83" s="653"/>
      <c r="L83" s="653"/>
      <c r="M83" s="653"/>
      <c r="N83" s="653"/>
      <c r="O83" s="642">
        <f>SUM(E83:N83)</f>
        <v>7000</v>
      </c>
    </row>
    <row r="84" spans="1:15" s="605" customFormat="1" ht="24" customHeight="1">
      <c r="A84" s="606"/>
      <c r="B84" s="606"/>
      <c r="C84" s="133" t="s">
        <v>644</v>
      </c>
      <c r="D84" s="645">
        <v>181904</v>
      </c>
      <c r="E84" s="656"/>
      <c r="F84" s="653"/>
      <c r="G84" s="653"/>
      <c r="H84" s="653">
        <f>127+'[1]táj.1.'!H85</f>
        <v>127</v>
      </c>
      <c r="I84" s="653"/>
      <c r="J84" s="653"/>
      <c r="K84" s="653"/>
      <c r="L84" s="653"/>
      <c r="M84" s="653"/>
      <c r="N84" s="653"/>
      <c r="O84" s="642">
        <f>SUM(E84:N84)</f>
        <v>127</v>
      </c>
    </row>
    <row r="85" spans="1:15" s="605" customFormat="1" ht="15" customHeight="1">
      <c r="A85" s="606" t="s">
        <v>1050</v>
      </c>
      <c r="B85" s="606"/>
      <c r="C85" s="627" t="s">
        <v>376</v>
      </c>
      <c r="D85" s="628">
        <v>181902</v>
      </c>
      <c r="E85" s="656"/>
      <c r="F85" s="653"/>
      <c r="G85" s="653"/>
      <c r="H85" s="653">
        <f>17018+'[1]táj.1.'!H86</f>
        <v>17018</v>
      </c>
      <c r="I85" s="653"/>
      <c r="J85" s="653"/>
      <c r="K85" s="653"/>
      <c r="L85" s="653"/>
      <c r="M85" s="653"/>
      <c r="N85" s="653"/>
      <c r="O85" s="642">
        <f>SUM(E85:N85)</f>
        <v>17018</v>
      </c>
    </row>
    <row r="86" spans="1:15" s="605" customFormat="1" ht="14.25" customHeight="1">
      <c r="A86" s="619"/>
      <c r="B86" s="619"/>
      <c r="C86" s="654" t="s">
        <v>377</v>
      </c>
      <c r="D86" s="655"/>
      <c r="E86" s="690">
        <f aca="true" t="shared" si="5" ref="E86:O86">SUM(E81:E85)</f>
        <v>0</v>
      </c>
      <c r="F86" s="691">
        <f t="shared" si="5"/>
        <v>0</v>
      </c>
      <c r="G86" s="691">
        <f t="shared" si="5"/>
        <v>7000</v>
      </c>
      <c r="H86" s="691">
        <f t="shared" si="5"/>
        <v>67315</v>
      </c>
      <c r="I86" s="691">
        <f t="shared" si="5"/>
        <v>0</v>
      </c>
      <c r="J86" s="691">
        <f t="shared" si="5"/>
        <v>0</v>
      </c>
      <c r="K86" s="691">
        <f t="shared" si="5"/>
        <v>0</v>
      </c>
      <c r="L86" s="691">
        <f t="shared" si="5"/>
        <v>0</v>
      </c>
      <c r="M86" s="691">
        <f t="shared" si="5"/>
        <v>0</v>
      </c>
      <c r="N86" s="691">
        <f t="shared" si="5"/>
        <v>0</v>
      </c>
      <c r="O86" s="691">
        <f t="shared" si="5"/>
        <v>74315</v>
      </c>
    </row>
    <row r="87" spans="1:15" s="605" customFormat="1" ht="12" customHeight="1">
      <c r="A87" s="606">
        <v>1</v>
      </c>
      <c r="B87" s="606">
        <v>19</v>
      </c>
      <c r="C87" s="639" t="s">
        <v>1049</v>
      </c>
      <c r="D87" s="640"/>
      <c r="E87" s="641"/>
      <c r="F87" s="642"/>
      <c r="G87" s="642"/>
      <c r="H87" s="642"/>
      <c r="I87" s="642"/>
      <c r="J87" s="642"/>
      <c r="K87" s="642"/>
      <c r="L87" s="642"/>
      <c r="M87" s="642"/>
      <c r="N87" s="642"/>
      <c r="O87" s="642"/>
    </row>
    <row r="88" spans="1:15" s="605" customFormat="1" ht="24" customHeight="1">
      <c r="A88" s="606"/>
      <c r="B88" s="606"/>
      <c r="C88" s="692" t="s">
        <v>321</v>
      </c>
      <c r="D88" s="693"/>
      <c r="E88" s="641"/>
      <c r="F88" s="642"/>
      <c r="G88" s="642"/>
      <c r="H88" s="642"/>
      <c r="I88" s="642"/>
      <c r="J88" s="642"/>
      <c r="K88" s="642"/>
      <c r="L88" s="642"/>
      <c r="M88" s="642"/>
      <c r="N88" s="642"/>
      <c r="O88" s="642"/>
    </row>
    <row r="89" spans="1:16" s="605" customFormat="1" ht="24.75" customHeight="1">
      <c r="A89" s="606"/>
      <c r="B89" s="606"/>
      <c r="C89" s="629" t="s">
        <v>901</v>
      </c>
      <c r="D89" s="630">
        <v>196906</v>
      </c>
      <c r="E89" s="656"/>
      <c r="F89" s="653"/>
      <c r="G89" s="653"/>
      <c r="H89" s="653"/>
      <c r="I89" s="653"/>
      <c r="J89" s="653"/>
      <c r="K89" s="653"/>
      <c r="L89" s="653">
        <f>378018+'[1]táj.1.'!L90</f>
        <v>378018</v>
      </c>
      <c r="M89" s="653"/>
      <c r="N89" s="653"/>
      <c r="O89" s="642">
        <f>SUM(E89:N89)</f>
        <v>378018</v>
      </c>
      <c r="P89" s="649"/>
    </row>
    <row r="90" spans="1:15" s="605" customFormat="1" ht="24.75" customHeight="1">
      <c r="A90" s="606"/>
      <c r="B90" s="606"/>
      <c r="C90" s="614" t="s">
        <v>284</v>
      </c>
      <c r="D90" s="628"/>
      <c r="E90" s="656"/>
      <c r="F90" s="653"/>
      <c r="G90" s="653"/>
      <c r="H90" s="642"/>
      <c r="I90" s="642"/>
      <c r="J90" s="642"/>
      <c r="K90" s="642"/>
      <c r="L90" s="642"/>
      <c r="M90" s="642"/>
      <c r="N90" s="642"/>
      <c r="O90" s="642"/>
    </row>
    <row r="91" spans="1:15" s="605" customFormat="1" ht="12.75">
      <c r="A91" s="606" t="s">
        <v>1050</v>
      </c>
      <c r="B91" s="606"/>
      <c r="C91" s="646" t="s">
        <v>378</v>
      </c>
      <c r="D91" s="647">
        <v>191102</v>
      </c>
      <c r="E91" s="656"/>
      <c r="F91" s="653"/>
      <c r="G91" s="653"/>
      <c r="H91" s="653">
        <f>10000+'[1]táj.1.'!H92</f>
        <v>10000</v>
      </c>
      <c r="I91" s="653"/>
      <c r="J91" s="653"/>
      <c r="K91" s="653"/>
      <c r="L91" s="653"/>
      <c r="M91" s="653"/>
      <c r="N91" s="653"/>
      <c r="O91" s="642">
        <f>SUM(E91:N91)</f>
        <v>10000</v>
      </c>
    </row>
    <row r="92" spans="1:16" s="605" customFormat="1" ht="12.75">
      <c r="A92" s="606"/>
      <c r="B92" s="606"/>
      <c r="C92" s="616" t="s">
        <v>353</v>
      </c>
      <c r="D92" s="617">
        <v>191103</v>
      </c>
      <c r="E92" s="656"/>
      <c r="F92" s="653"/>
      <c r="G92" s="653"/>
      <c r="H92" s="653">
        <f>200831+'[1]táj.1.'!H93</f>
        <v>200831</v>
      </c>
      <c r="I92" s="653"/>
      <c r="J92" s="653"/>
      <c r="K92" s="653"/>
      <c r="L92" s="653"/>
      <c r="M92" s="653"/>
      <c r="N92" s="653"/>
      <c r="O92" s="642">
        <f>SUM(E92:N92)</f>
        <v>200831</v>
      </c>
      <c r="P92" s="649"/>
    </row>
    <row r="93" spans="1:16" s="605" customFormat="1" ht="25.5">
      <c r="A93" s="606"/>
      <c r="B93" s="606"/>
      <c r="C93" s="627" t="s">
        <v>646</v>
      </c>
      <c r="D93" s="628"/>
      <c r="E93" s="656"/>
      <c r="F93" s="653"/>
      <c r="G93" s="653"/>
      <c r="H93" s="653"/>
      <c r="I93" s="653"/>
      <c r="J93" s="653"/>
      <c r="K93" s="653"/>
      <c r="L93" s="653"/>
      <c r="M93" s="653">
        <f>1137210+'[1]táj.1.'!M94</f>
        <v>1123281</v>
      </c>
      <c r="N93" s="653"/>
      <c r="O93" s="642">
        <f>SUM(E93:N93)</f>
        <v>1123281</v>
      </c>
      <c r="P93" s="649"/>
    </row>
    <row r="94" spans="1:16" s="605" customFormat="1" ht="25.5">
      <c r="A94" s="606"/>
      <c r="B94" s="606"/>
      <c r="C94" s="627" t="s">
        <v>1218</v>
      </c>
      <c r="D94" s="628">
        <v>191196</v>
      </c>
      <c r="E94" s="656"/>
      <c r="F94" s="653"/>
      <c r="G94" s="653"/>
      <c r="H94" s="653"/>
      <c r="I94" s="653"/>
      <c r="J94" s="653"/>
      <c r="K94" s="653"/>
      <c r="L94" s="653"/>
      <c r="M94" s="653">
        <f>62826+'[1]táj.1.'!M95</f>
        <v>62826</v>
      </c>
      <c r="N94" s="653"/>
      <c r="O94" s="642">
        <f>SUM(E94:N94)</f>
        <v>62826</v>
      </c>
      <c r="P94" s="649"/>
    </row>
    <row r="95" spans="1:16" s="605" customFormat="1" ht="31.5" customHeight="1">
      <c r="A95" s="606"/>
      <c r="B95" s="606"/>
      <c r="C95" s="627" t="s">
        <v>645</v>
      </c>
      <c r="D95" s="628">
        <v>191901</v>
      </c>
      <c r="E95" s="656"/>
      <c r="F95" s="653"/>
      <c r="G95" s="653"/>
      <c r="H95" s="653"/>
      <c r="I95" s="653"/>
      <c r="J95" s="653"/>
      <c r="K95" s="653"/>
      <c r="L95" s="653"/>
      <c r="M95" s="653">
        <f>800000+'[1]táj.1.'!M96</f>
        <v>800000</v>
      </c>
      <c r="N95" s="653"/>
      <c r="O95" s="642">
        <f>SUM(E95:N95)</f>
        <v>800000</v>
      </c>
      <c r="P95" s="649"/>
    </row>
    <row r="96" spans="1:15" s="605" customFormat="1" ht="24.75" customHeight="1">
      <c r="A96" s="606"/>
      <c r="B96" s="606"/>
      <c r="C96" s="627" t="s">
        <v>871</v>
      </c>
      <c r="D96" s="628"/>
      <c r="E96" s="656"/>
      <c r="F96" s="653"/>
      <c r="G96" s="653"/>
      <c r="H96" s="653"/>
      <c r="I96" s="653"/>
      <c r="J96" s="653"/>
      <c r="K96" s="642"/>
      <c r="L96" s="642"/>
      <c r="M96" s="642"/>
      <c r="N96" s="642"/>
      <c r="O96" s="642"/>
    </row>
    <row r="97" spans="1:15" s="605" customFormat="1" ht="25.5">
      <c r="A97" s="606"/>
      <c r="B97" s="606"/>
      <c r="C97" s="180" t="s">
        <v>692</v>
      </c>
      <c r="D97" s="628">
        <v>191901</v>
      </c>
      <c r="E97" s="656">
        <f>100+'[1]táj.1.'!E98</f>
        <v>7069</v>
      </c>
      <c r="F97" s="653"/>
      <c r="G97" s="653"/>
      <c r="H97" s="653"/>
      <c r="I97" s="653"/>
      <c r="J97" s="653"/>
      <c r="K97" s="653"/>
      <c r="L97" s="653"/>
      <c r="M97" s="653"/>
      <c r="N97" s="653"/>
      <c r="O97" s="642">
        <f>SUM(E97:N97)</f>
        <v>7069</v>
      </c>
    </row>
    <row r="98" spans="1:15" s="605" customFormat="1" ht="25.5">
      <c r="A98" s="606"/>
      <c r="B98" s="606"/>
      <c r="C98" s="180" t="s">
        <v>693</v>
      </c>
      <c r="D98" s="628">
        <v>191901</v>
      </c>
      <c r="E98" s="656">
        <f>886883+'[1]táj.1.'!E99</f>
        <v>886883</v>
      </c>
      <c r="F98" s="653"/>
      <c r="G98" s="653"/>
      <c r="H98" s="653"/>
      <c r="I98" s="653"/>
      <c r="J98" s="653"/>
      <c r="K98" s="653"/>
      <c r="L98" s="653"/>
      <c r="M98" s="653"/>
      <c r="N98" s="653"/>
      <c r="O98" s="642">
        <f>SUM(E98:N98)</f>
        <v>886883</v>
      </c>
    </row>
    <row r="99" spans="1:17" s="605" customFormat="1" ht="24" customHeight="1">
      <c r="A99" s="606"/>
      <c r="B99" s="606"/>
      <c r="C99" s="180" t="s">
        <v>694</v>
      </c>
      <c r="D99" s="628">
        <v>191901</v>
      </c>
      <c r="E99" s="656">
        <f>695886+'[1]táj.1.'!E100</f>
        <v>695886</v>
      </c>
      <c r="F99" s="653"/>
      <c r="G99" s="653"/>
      <c r="H99" s="653"/>
      <c r="I99" s="653"/>
      <c r="J99" s="653"/>
      <c r="K99" s="653"/>
      <c r="L99" s="653"/>
      <c r="M99" s="653"/>
      <c r="N99" s="653"/>
      <c r="O99" s="642">
        <f>SUM(E99:N99)</f>
        <v>695886</v>
      </c>
      <c r="Q99" s="649"/>
    </row>
    <row r="100" spans="1:16" s="605" customFormat="1" ht="24" customHeight="1">
      <c r="A100" s="606"/>
      <c r="B100" s="606"/>
      <c r="C100" s="180" t="s">
        <v>695</v>
      </c>
      <c r="D100" s="628">
        <v>191901</v>
      </c>
      <c r="E100" s="656">
        <f>656366+'[1]táj.1.'!E101</f>
        <v>656366</v>
      </c>
      <c r="F100" s="653"/>
      <c r="G100" s="653"/>
      <c r="H100" s="653"/>
      <c r="I100" s="653"/>
      <c r="J100" s="653"/>
      <c r="K100" s="653"/>
      <c r="L100" s="653"/>
      <c r="M100" s="653"/>
      <c r="N100" s="653"/>
      <c r="O100" s="642">
        <f>SUM(E100:N100)</f>
        <v>656366</v>
      </c>
      <c r="P100" s="649"/>
    </row>
    <row r="101" spans="1:16" s="605" customFormat="1" ht="28.5" customHeight="1">
      <c r="A101" s="606"/>
      <c r="B101" s="606"/>
      <c r="C101" s="627" t="s">
        <v>479</v>
      </c>
      <c r="D101" s="688"/>
      <c r="E101" s="656"/>
      <c r="F101" s="653"/>
      <c r="G101" s="653"/>
      <c r="H101" s="653"/>
      <c r="I101" s="653"/>
      <c r="J101" s="653"/>
      <c r="K101" s="653"/>
      <c r="L101" s="653"/>
      <c r="M101" s="653"/>
      <c r="N101" s="653"/>
      <c r="O101" s="642"/>
      <c r="P101" s="649"/>
    </row>
    <row r="102" spans="1:15" s="605" customFormat="1" ht="13.5" customHeight="1">
      <c r="A102" s="606"/>
      <c r="B102" s="606"/>
      <c r="C102" s="646" t="s">
        <v>349</v>
      </c>
      <c r="D102" s="628">
        <v>191901</v>
      </c>
      <c r="E102" s="656"/>
      <c r="F102" s="653"/>
      <c r="G102" s="653">
        <f>3700000+'[1]táj.1.'!G103</f>
        <v>3700000</v>
      </c>
      <c r="H102" s="653"/>
      <c r="I102" s="653"/>
      <c r="J102" s="653"/>
      <c r="K102" s="653"/>
      <c r="L102" s="653"/>
      <c r="M102" s="653"/>
      <c r="N102" s="653"/>
      <c r="O102" s="642">
        <f aca="true" t="shared" si="6" ref="O102:O107">SUM(E102:N102)</f>
        <v>3700000</v>
      </c>
    </row>
    <row r="103" spans="1:15" s="605" customFormat="1" ht="13.5" customHeight="1">
      <c r="A103" s="606"/>
      <c r="B103" s="606"/>
      <c r="C103" s="646" t="s">
        <v>350</v>
      </c>
      <c r="D103" s="628">
        <v>191901</v>
      </c>
      <c r="E103" s="656"/>
      <c r="F103" s="653"/>
      <c r="G103" s="653">
        <f>228000+'[1]táj.1.'!G104</f>
        <v>228000</v>
      </c>
      <c r="H103" s="653"/>
      <c r="I103" s="653"/>
      <c r="J103" s="653"/>
      <c r="K103" s="653"/>
      <c r="L103" s="653"/>
      <c r="M103" s="653"/>
      <c r="N103" s="653"/>
      <c r="O103" s="642">
        <f t="shared" si="6"/>
        <v>228000</v>
      </c>
    </row>
    <row r="104" spans="1:15" s="605" customFormat="1" ht="13.5" customHeight="1">
      <c r="A104" s="606"/>
      <c r="B104" s="606"/>
      <c r="C104" s="646" t="s">
        <v>351</v>
      </c>
      <c r="D104" s="628">
        <v>191901</v>
      </c>
      <c r="E104" s="656"/>
      <c r="F104" s="653"/>
      <c r="G104" s="653">
        <f>12000+'[1]táj.1.'!G105</f>
        <v>12000</v>
      </c>
      <c r="H104" s="653"/>
      <c r="I104" s="653"/>
      <c r="J104" s="653"/>
      <c r="K104" s="653"/>
      <c r="L104" s="653"/>
      <c r="M104" s="653"/>
      <c r="N104" s="653"/>
      <c r="O104" s="642">
        <f t="shared" si="6"/>
        <v>12000</v>
      </c>
    </row>
    <row r="105" spans="1:15" s="605" customFormat="1" ht="13.5" customHeight="1">
      <c r="A105" s="606"/>
      <c r="B105" s="606"/>
      <c r="C105" s="646" t="s">
        <v>352</v>
      </c>
      <c r="D105" s="628">
        <v>191901</v>
      </c>
      <c r="E105" s="656"/>
      <c r="F105" s="653"/>
      <c r="G105" s="653">
        <f>5000+'[1]táj.1.'!G106</f>
        <v>5000</v>
      </c>
      <c r="H105" s="653"/>
      <c r="I105" s="653"/>
      <c r="J105" s="653"/>
      <c r="K105" s="653"/>
      <c r="L105" s="653"/>
      <c r="M105" s="653"/>
      <c r="N105" s="653"/>
      <c r="O105" s="642">
        <f t="shared" si="6"/>
        <v>5000</v>
      </c>
    </row>
    <row r="106" spans="1:15" s="605" customFormat="1" ht="13.5" customHeight="1">
      <c r="A106" s="606"/>
      <c r="B106" s="606"/>
      <c r="C106" s="646" t="s">
        <v>1387</v>
      </c>
      <c r="D106" s="628">
        <v>191901</v>
      </c>
      <c r="E106" s="656"/>
      <c r="F106" s="653"/>
      <c r="G106" s="653">
        <f>600000+'[1]táj.1.'!G107</f>
        <v>600000</v>
      </c>
      <c r="H106" s="653"/>
      <c r="I106" s="653"/>
      <c r="J106" s="653"/>
      <c r="K106" s="653"/>
      <c r="L106" s="653"/>
      <c r="M106" s="653"/>
      <c r="N106" s="653"/>
      <c r="O106" s="642">
        <f t="shared" si="6"/>
        <v>600000</v>
      </c>
    </row>
    <row r="107" spans="1:15" s="605" customFormat="1" ht="24" customHeight="1">
      <c r="A107" s="606"/>
      <c r="B107" s="606"/>
      <c r="C107" s="694" t="s">
        <v>587</v>
      </c>
      <c r="D107" s="628">
        <v>191128</v>
      </c>
      <c r="E107" s="656">
        <f>'[1]táj.1.'!E108</f>
        <v>363</v>
      </c>
      <c r="F107" s="653"/>
      <c r="G107" s="653"/>
      <c r="H107" s="653"/>
      <c r="I107" s="653"/>
      <c r="J107" s="653"/>
      <c r="K107" s="653"/>
      <c r="L107" s="653"/>
      <c r="M107" s="653"/>
      <c r="N107" s="653"/>
      <c r="O107" s="642">
        <f t="shared" si="6"/>
        <v>363</v>
      </c>
    </row>
    <row r="108" spans="1:15" s="605" customFormat="1" ht="24.75" customHeight="1">
      <c r="A108" s="606"/>
      <c r="B108" s="606"/>
      <c r="C108" s="196" t="s">
        <v>480</v>
      </c>
      <c r="D108" s="652"/>
      <c r="E108" s="656"/>
      <c r="F108" s="653"/>
      <c r="G108" s="653"/>
      <c r="H108" s="653"/>
      <c r="I108" s="653"/>
      <c r="J108" s="653"/>
      <c r="K108" s="653"/>
      <c r="L108" s="653"/>
      <c r="M108" s="653"/>
      <c r="N108" s="653"/>
      <c r="O108" s="642"/>
    </row>
    <row r="109" spans="1:15" s="605" customFormat="1" ht="33.75" customHeight="1">
      <c r="A109" s="606"/>
      <c r="B109" s="606"/>
      <c r="C109" s="162" t="s">
        <v>872</v>
      </c>
      <c r="D109" s="652">
        <v>191103</v>
      </c>
      <c r="E109" s="656">
        <f>16000+'[1]táj.1.'!E110</f>
        <v>16000</v>
      </c>
      <c r="F109" s="653"/>
      <c r="G109" s="653"/>
      <c r="H109" s="653"/>
      <c r="I109" s="653"/>
      <c r="J109" s="653"/>
      <c r="K109" s="653"/>
      <c r="L109" s="653"/>
      <c r="M109" s="653"/>
      <c r="N109" s="653"/>
      <c r="O109" s="642">
        <f>SUM(E109:N109)</f>
        <v>16000</v>
      </c>
    </row>
    <row r="110" spans="1:15" s="605" customFormat="1" ht="24.75" customHeight="1">
      <c r="A110" s="606"/>
      <c r="B110" s="606"/>
      <c r="C110" s="162" t="s">
        <v>1025</v>
      </c>
      <c r="D110" s="652"/>
      <c r="E110" s="656"/>
      <c r="F110" s="653"/>
      <c r="G110" s="653"/>
      <c r="H110" s="653"/>
      <c r="I110" s="653"/>
      <c r="J110" s="653"/>
      <c r="K110" s="653"/>
      <c r="L110" s="653"/>
      <c r="M110" s="653"/>
      <c r="N110" s="653"/>
      <c r="O110" s="642"/>
    </row>
    <row r="111" spans="1:15" s="605" customFormat="1" ht="24.75" customHeight="1">
      <c r="A111" s="606"/>
      <c r="B111" s="606"/>
      <c r="C111" s="627" t="s">
        <v>711</v>
      </c>
      <c r="D111" s="630">
        <v>191607</v>
      </c>
      <c r="E111" s="656">
        <f>11224+'[1]táj.1.'!E112</f>
        <v>11224</v>
      </c>
      <c r="F111" s="653"/>
      <c r="G111" s="653"/>
      <c r="H111" s="653"/>
      <c r="I111" s="653"/>
      <c r="J111" s="653"/>
      <c r="K111" s="653"/>
      <c r="L111" s="653"/>
      <c r="M111" s="653"/>
      <c r="N111" s="653"/>
      <c r="O111" s="642">
        <f>SUM(E111:N111)</f>
        <v>11224</v>
      </c>
    </row>
    <row r="112" spans="1:15" s="605" customFormat="1" ht="15.75" customHeight="1">
      <c r="A112" s="695"/>
      <c r="B112" s="619"/>
      <c r="C112" s="654" t="s">
        <v>1051</v>
      </c>
      <c r="D112" s="655"/>
      <c r="E112" s="620">
        <f aca="true" t="shared" si="7" ref="E112:N112">SUM(E88:E111)</f>
        <v>2273791</v>
      </c>
      <c r="F112" s="621">
        <f t="shared" si="7"/>
        <v>0</v>
      </c>
      <c r="G112" s="621">
        <f t="shared" si="7"/>
        <v>4545000</v>
      </c>
      <c r="H112" s="621">
        <f t="shared" si="7"/>
        <v>210831</v>
      </c>
      <c r="I112" s="621">
        <f t="shared" si="7"/>
        <v>0</v>
      </c>
      <c r="J112" s="621">
        <f t="shared" si="7"/>
        <v>0</v>
      </c>
      <c r="K112" s="621">
        <f t="shared" si="7"/>
        <v>0</v>
      </c>
      <c r="L112" s="621">
        <f t="shared" si="7"/>
        <v>378018</v>
      </c>
      <c r="M112" s="621">
        <f t="shared" si="7"/>
        <v>1986107</v>
      </c>
      <c r="N112" s="621">
        <f t="shared" si="7"/>
        <v>0</v>
      </c>
      <c r="O112" s="621">
        <f>SUM(O87:O111)</f>
        <v>9393747</v>
      </c>
    </row>
    <row r="113" spans="1:15" s="605" customFormat="1" ht="27.75" customHeight="1">
      <c r="A113" s="615">
        <v>1</v>
      </c>
      <c r="B113" s="622">
        <v>21</v>
      </c>
      <c r="C113" s="133" t="s">
        <v>293</v>
      </c>
      <c r="D113" s="40"/>
      <c r="E113" s="69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</row>
    <row r="114" spans="1:15" s="605" customFormat="1" ht="15" customHeight="1">
      <c r="A114" s="695"/>
      <c r="B114" s="619"/>
      <c r="C114" s="143" t="s">
        <v>264</v>
      </c>
      <c r="D114" s="99"/>
      <c r="E114" s="697"/>
      <c r="F114" s="621"/>
      <c r="G114" s="621"/>
      <c r="H114" s="621"/>
      <c r="I114" s="621"/>
      <c r="J114" s="621"/>
      <c r="K114" s="621"/>
      <c r="L114" s="621"/>
      <c r="M114" s="621"/>
      <c r="N114" s="621"/>
      <c r="O114" s="621">
        <f>SUM(E114:N114)</f>
        <v>0</v>
      </c>
    </row>
    <row r="115" spans="1:15" s="605" customFormat="1" ht="10.5" customHeight="1">
      <c r="A115" s="615">
        <v>1</v>
      </c>
      <c r="B115" s="622">
        <v>22</v>
      </c>
      <c r="C115" s="698" t="s">
        <v>1303</v>
      </c>
      <c r="D115" s="699"/>
      <c r="E115" s="689"/>
      <c r="F115" s="626"/>
      <c r="G115" s="626"/>
      <c r="H115" s="626"/>
      <c r="I115" s="626"/>
      <c r="J115" s="626"/>
      <c r="K115" s="626"/>
      <c r="L115" s="626"/>
      <c r="M115" s="626"/>
      <c r="N115" s="626"/>
      <c r="O115" s="626"/>
    </row>
    <row r="116" spans="1:15" s="605" customFormat="1" ht="24.75" customHeight="1">
      <c r="A116" s="615"/>
      <c r="B116" s="622"/>
      <c r="C116" s="614" t="s">
        <v>284</v>
      </c>
      <c r="D116" s="688"/>
      <c r="E116" s="700"/>
      <c r="F116" s="626"/>
      <c r="G116" s="626"/>
      <c r="H116" s="626"/>
      <c r="I116" s="626"/>
      <c r="J116" s="626"/>
      <c r="K116" s="626"/>
      <c r="L116" s="626"/>
      <c r="M116" s="626"/>
      <c r="N116" s="626"/>
      <c r="O116" s="626"/>
    </row>
    <row r="117" spans="1:15" s="605" customFormat="1" ht="15" customHeight="1">
      <c r="A117" s="615"/>
      <c r="B117" s="622"/>
      <c r="C117" s="234" t="s">
        <v>716</v>
      </c>
      <c r="D117" s="90">
        <v>221903</v>
      </c>
      <c r="E117" s="163">
        <f>8000+'[1]táj.1.'!E118</f>
        <v>8000</v>
      </c>
      <c r="F117" s="163"/>
      <c r="G117" s="163"/>
      <c r="H117" s="163"/>
      <c r="I117" s="163"/>
      <c r="J117" s="163"/>
      <c r="K117" s="163"/>
      <c r="L117" s="163"/>
      <c r="M117" s="163"/>
      <c r="N117" s="163"/>
      <c r="O117" s="525">
        <f>SUM(E117:N117)</f>
        <v>8000</v>
      </c>
    </row>
    <row r="118" spans="1:15" s="605" customFormat="1" ht="12" customHeight="1">
      <c r="A118" s="695"/>
      <c r="B118" s="619"/>
      <c r="C118" s="654" t="s">
        <v>542</v>
      </c>
      <c r="D118" s="655"/>
      <c r="E118" s="620">
        <f>SUM(E115:E117)</f>
        <v>8000</v>
      </c>
      <c r="F118" s="621"/>
      <c r="G118" s="621">
        <f>SUM(G115:G117)</f>
        <v>0</v>
      </c>
      <c r="H118" s="621">
        <f>SUM(H115:H117)</f>
        <v>0</v>
      </c>
      <c r="I118" s="621"/>
      <c r="J118" s="621">
        <f>SUM(J115:J117)</f>
        <v>0</v>
      </c>
      <c r="K118" s="621">
        <f>SUM(K115:K117)</f>
        <v>0</v>
      </c>
      <c r="L118" s="621"/>
      <c r="M118" s="621"/>
      <c r="N118" s="621">
        <f>SUM(N115:N117)</f>
        <v>0</v>
      </c>
      <c r="O118" s="621">
        <f>SUM(O115:O117)</f>
        <v>8000</v>
      </c>
    </row>
    <row r="119" spans="1:15" s="605" customFormat="1" ht="24.75" customHeight="1">
      <c r="A119" s="619"/>
      <c r="B119" s="619"/>
      <c r="C119" s="701" t="s">
        <v>31</v>
      </c>
      <c r="D119" s="702"/>
      <c r="E119" s="620">
        <f aca="true" t="shared" si="8" ref="E119:O119">SUM(E8+E19+E36+E57+E78+E86+E112+E114+E118)</f>
        <v>2964076</v>
      </c>
      <c r="F119" s="621">
        <f t="shared" si="8"/>
        <v>3491467</v>
      </c>
      <c r="G119" s="621">
        <f t="shared" si="8"/>
        <v>4552000</v>
      </c>
      <c r="H119" s="621">
        <f t="shared" si="8"/>
        <v>1394214</v>
      </c>
      <c r="I119" s="621">
        <f t="shared" si="8"/>
        <v>144480</v>
      </c>
      <c r="J119" s="621">
        <f t="shared" si="8"/>
        <v>2000</v>
      </c>
      <c r="K119" s="621">
        <f t="shared" si="8"/>
        <v>320000</v>
      </c>
      <c r="L119" s="621">
        <f t="shared" si="8"/>
        <v>378018</v>
      </c>
      <c r="M119" s="621">
        <f t="shared" si="8"/>
        <v>2066107</v>
      </c>
      <c r="N119" s="621">
        <f t="shared" si="8"/>
        <v>113924</v>
      </c>
      <c r="O119" s="621">
        <f t="shared" si="8"/>
        <v>15426286</v>
      </c>
    </row>
    <row r="120" spans="1:15" s="605" customFormat="1" ht="15.75" customHeight="1" thickBot="1">
      <c r="A120" s="606">
        <v>2</v>
      </c>
      <c r="B120" s="606"/>
      <c r="C120" s="623" t="s">
        <v>680</v>
      </c>
      <c r="D120" s="586"/>
      <c r="E120" s="641">
        <f>290455+'[1]táj.1.'!E121</f>
        <v>294113</v>
      </c>
      <c r="F120" s="642"/>
      <c r="G120" s="642"/>
      <c r="H120" s="642">
        <f>1095878+'[1]táj.1.'!H121</f>
        <v>1108071</v>
      </c>
      <c r="I120" s="642"/>
      <c r="J120" s="642">
        <f>65000+'[1]táj.1.'!J121</f>
        <v>65000</v>
      </c>
      <c r="K120" s="642"/>
      <c r="L120" s="642"/>
      <c r="M120" s="642">
        <f>387881+'[1]táj.1.'!M121</f>
        <v>387881</v>
      </c>
      <c r="N120" s="642"/>
      <c r="O120" s="677">
        <f>SUM(E120:N120)</f>
        <v>1855065</v>
      </c>
    </row>
    <row r="121" spans="1:15" s="605" customFormat="1" ht="15.75" customHeight="1" thickBot="1">
      <c r="A121" s="619"/>
      <c r="B121" s="619"/>
      <c r="C121" s="703" t="s">
        <v>665</v>
      </c>
      <c r="D121" s="655"/>
      <c r="E121" s="620">
        <f>SUM(E119:E120)</f>
        <v>3258189</v>
      </c>
      <c r="F121" s="621">
        <f>SUM(F119:F120)</f>
        <v>3491467</v>
      </c>
      <c r="G121" s="621">
        <f aca="true" t="shared" si="9" ref="G121:O121">SUM(G119:G120)+G113</f>
        <v>4552000</v>
      </c>
      <c r="H121" s="621">
        <f t="shared" si="9"/>
        <v>2502285</v>
      </c>
      <c r="I121" s="621">
        <f t="shared" si="9"/>
        <v>144480</v>
      </c>
      <c r="J121" s="621">
        <f t="shared" si="9"/>
        <v>67000</v>
      </c>
      <c r="K121" s="621">
        <f t="shared" si="9"/>
        <v>320000</v>
      </c>
      <c r="L121" s="621">
        <f t="shared" si="9"/>
        <v>378018</v>
      </c>
      <c r="M121" s="621">
        <f t="shared" si="9"/>
        <v>2453988</v>
      </c>
      <c r="N121" s="621">
        <f t="shared" si="9"/>
        <v>113924</v>
      </c>
      <c r="O121" s="621">
        <f t="shared" si="9"/>
        <v>17281351</v>
      </c>
    </row>
    <row r="122" spans="1:16" s="605" customFormat="1" ht="18.75" customHeight="1">
      <c r="A122" s="704"/>
      <c r="B122" s="704"/>
      <c r="C122" s="704"/>
      <c r="D122" s="704"/>
      <c r="E122" s="704"/>
      <c r="F122" s="704"/>
      <c r="G122" s="704"/>
      <c r="H122" s="704"/>
      <c r="I122" s="704"/>
      <c r="J122" s="704"/>
      <c r="K122" s="704"/>
      <c r="L122" s="704"/>
      <c r="M122" s="704"/>
      <c r="N122" s="704"/>
      <c r="O122" s="704"/>
      <c r="P122" s="649"/>
    </row>
    <row r="123" spans="1:16" s="605" customFormat="1" ht="13.5" customHeight="1">
      <c r="A123" s="705"/>
      <c r="B123" s="705"/>
      <c r="C123" s="705"/>
      <c r="D123" s="705"/>
      <c r="E123" s="705"/>
      <c r="F123" s="705"/>
      <c r="G123" s="705"/>
      <c r="H123" s="705"/>
      <c r="I123" s="705"/>
      <c r="J123" s="705"/>
      <c r="K123" s="705"/>
      <c r="L123" s="705"/>
      <c r="M123" s="705"/>
      <c r="N123" s="705"/>
      <c r="O123" s="705"/>
      <c r="P123" s="649"/>
    </row>
    <row r="124" spans="1:15" ht="12.75">
      <c r="A124" s="705"/>
      <c r="B124" s="705"/>
      <c r="C124" s="705"/>
      <c r="D124" s="705"/>
      <c r="E124" s="705"/>
      <c r="F124" s="705"/>
      <c r="G124" s="705"/>
      <c r="H124" s="705"/>
      <c r="I124" s="705"/>
      <c r="J124" s="705"/>
      <c r="K124" s="705"/>
      <c r="L124" s="705"/>
      <c r="M124" s="705"/>
      <c r="N124" s="705"/>
      <c r="O124" s="706"/>
    </row>
    <row r="125" spans="1:15" ht="12.75">
      <c r="A125" s="705"/>
      <c r="B125" s="705"/>
      <c r="C125" s="705"/>
      <c r="D125" s="705"/>
      <c r="E125" s="705"/>
      <c r="F125" s="705"/>
      <c r="G125" s="705"/>
      <c r="H125" s="705"/>
      <c r="I125" s="705"/>
      <c r="J125" s="705"/>
      <c r="K125" s="705"/>
      <c r="L125" s="705"/>
      <c r="M125" s="705"/>
      <c r="N125" s="705"/>
      <c r="O125" s="705"/>
    </row>
    <row r="126" spans="1:15" ht="12.75">
      <c r="A126" s="705"/>
      <c r="B126" s="705"/>
      <c r="C126" s="705"/>
      <c r="D126" s="705"/>
      <c r="E126" s="705"/>
      <c r="F126" s="705"/>
      <c r="G126" s="705"/>
      <c r="H126" s="705"/>
      <c r="I126" s="705"/>
      <c r="J126" s="705"/>
      <c r="K126" s="705"/>
      <c r="L126" s="705"/>
      <c r="M126" s="705"/>
      <c r="N126" s="705"/>
      <c r="O126" s="705"/>
    </row>
    <row r="127" spans="1:15" ht="12.75">
      <c r="A127" s="705"/>
      <c r="B127" s="705"/>
      <c r="C127" s="705"/>
      <c r="D127" s="705"/>
      <c r="E127" s="705"/>
      <c r="F127" s="705"/>
      <c r="G127" s="705"/>
      <c r="H127" s="705"/>
      <c r="I127" s="705"/>
      <c r="J127" s="705"/>
      <c r="K127" s="705"/>
      <c r="L127" s="705"/>
      <c r="M127" s="705"/>
      <c r="N127" s="705"/>
      <c r="O127" s="705"/>
    </row>
    <row r="128" spans="1:15" ht="12.75">
      <c r="A128" s="705"/>
      <c r="B128" s="705"/>
      <c r="C128" s="705"/>
      <c r="D128" s="705"/>
      <c r="E128" s="705"/>
      <c r="F128" s="705"/>
      <c r="G128" s="705"/>
      <c r="H128" s="705"/>
      <c r="I128" s="705"/>
      <c r="J128" s="705"/>
      <c r="K128" s="705"/>
      <c r="L128" s="705"/>
      <c r="M128" s="705"/>
      <c r="N128" s="705"/>
      <c r="O128" s="705"/>
    </row>
    <row r="129" spans="1:15" ht="12.75">
      <c r="A129" s="705"/>
      <c r="B129" s="705"/>
      <c r="C129" s="705"/>
      <c r="D129" s="705"/>
      <c r="E129" s="705"/>
      <c r="F129" s="705"/>
      <c r="G129" s="705"/>
      <c r="H129" s="705"/>
      <c r="I129" s="705"/>
      <c r="J129" s="705"/>
      <c r="K129" s="705"/>
      <c r="L129" s="705"/>
      <c r="M129" s="705"/>
      <c r="N129" s="705"/>
      <c r="O129" s="705"/>
    </row>
    <row r="130" spans="1:15" ht="12.75">
      <c r="A130" s="705"/>
      <c r="B130" s="705"/>
      <c r="C130" s="705"/>
      <c r="D130" s="705"/>
      <c r="E130" s="705"/>
      <c r="F130" s="705"/>
      <c r="G130" s="705"/>
      <c r="H130" s="705"/>
      <c r="I130" s="705"/>
      <c r="J130" s="705"/>
      <c r="K130" s="705"/>
      <c r="L130" s="705"/>
      <c r="M130" s="705"/>
      <c r="N130" s="705"/>
      <c r="O130" s="705"/>
    </row>
    <row r="131" spans="1:15" ht="12.75">
      <c r="A131" s="705"/>
      <c r="B131" s="705"/>
      <c r="C131" s="705"/>
      <c r="D131" s="705"/>
      <c r="E131" s="705"/>
      <c r="F131" s="705"/>
      <c r="G131" s="705"/>
      <c r="H131" s="705"/>
      <c r="I131" s="705"/>
      <c r="J131" s="705"/>
      <c r="K131" s="705"/>
      <c r="L131" s="705"/>
      <c r="M131" s="705"/>
      <c r="N131" s="705"/>
      <c r="O131" s="705"/>
    </row>
    <row r="132" spans="1:15" ht="12.75">
      <c r="A132" s="705"/>
      <c r="B132" s="705"/>
      <c r="C132" s="705"/>
      <c r="D132" s="705"/>
      <c r="E132" s="705"/>
      <c r="F132" s="705"/>
      <c r="G132" s="705"/>
      <c r="H132" s="705"/>
      <c r="I132" s="705"/>
      <c r="J132" s="705"/>
      <c r="K132" s="705"/>
      <c r="L132" s="705"/>
      <c r="M132" s="705"/>
      <c r="N132" s="705"/>
      <c r="O132" s="705"/>
    </row>
    <row r="133" spans="3:15" ht="12.75">
      <c r="C133" s="705"/>
      <c r="D133" s="705"/>
      <c r="E133" s="705"/>
      <c r="F133" s="705"/>
      <c r="G133" s="705"/>
      <c r="H133" s="705"/>
      <c r="I133" s="705"/>
      <c r="J133" s="705"/>
      <c r="K133" s="705"/>
      <c r="L133" s="705"/>
      <c r="M133" s="705"/>
      <c r="N133" s="705"/>
      <c r="O133" s="705"/>
    </row>
    <row r="134" spans="3:15" ht="12.75">
      <c r="C134" s="705"/>
      <c r="D134" s="705"/>
      <c r="E134" s="705"/>
      <c r="F134" s="705"/>
      <c r="G134" s="705"/>
      <c r="H134" s="705"/>
      <c r="I134" s="705"/>
      <c r="J134" s="705"/>
      <c r="K134" s="705"/>
      <c r="L134" s="705"/>
      <c r="M134" s="705"/>
      <c r="N134" s="705"/>
      <c r="O134" s="705"/>
    </row>
    <row r="135" spans="3:15" ht="12.75">
      <c r="C135" s="705"/>
      <c r="D135" s="705"/>
      <c r="E135" s="705"/>
      <c r="F135" s="705"/>
      <c r="G135" s="705"/>
      <c r="H135" s="705"/>
      <c r="I135" s="705"/>
      <c r="J135" s="705"/>
      <c r="K135" s="705"/>
      <c r="L135" s="705"/>
      <c r="M135" s="705"/>
      <c r="N135" s="705"/>
      <c r="O135" s="705"/>
    </row>
    <row r="136" spans="3:15" ht="12.75">
      <c r="C136" s="705"/>
      <c r="D136" s="705"/>
      <c r="E136" s="705"/>
      <c r="F136" s="705"/>
      <c r="G136" s="705"/>
      <c r="H136" s="705"/>
      <c r="I136" s="705"/>
      <c r="J136" s="705"/>
      <c r="K136" s="705"/>
      <c r="L136" s="705"/>
      <c r="M136" s="705"/>
      <c r="N136" s="705"/>
      <c r="O136" s="705"/>
    </row>
    <row r="137" spans="3:15" ht="12.75">
      <c r="C137" s="705"/>
      <c r="D137" s="705"/>
      <c r="E137" s="705"/>
      <c r="F137" s="705"/>
      <c r="G137" s="705"/>
      <c r="H137" s="705"/>
      <c r="I137" s="705"/>
      <c r="J137" s="705"/>
      <c r="K137" s="705"/>
      <c r="L137" s="705"/>
      <c r="M137" s="705"/>
      <c r="N137" s="705"/>
      <c r="O137" s="705"/>
    </row>
    <row r="138" spans="3:15" ht="12.75">
      <c r="C138" s="705"/>
      <c r="D138" s="705"/>
      <c r="E138" s="705"/>
      <c r="F138" s="705"/>
      <c r="G138" s="705"/>
      <c r="H138" s="705"/>
      <c r="I138" s="705"/>
      <c r="J138" s="705"/>
      <c r="K138" s="705"/>
      <c r="L138" s="705"/>
      <c r="M138" s="705"/>
      <c r="N138" s="705"/>
      <c r="O138" s="705"/>
    </row>
    <row r="139" spans="3:15" ht="12.75"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</row>
    <row r="140" spans="3:15" ht="12.75">
      <c r="C140" s="705"/>
      <c r="D140" s="705"/>
      <c r="E140" s="705"/>
      <c r="F140" s="705"/>
      <c r="G140" s="705"/>
      <c r="H140" s="705"/>
      <c r="I140" s="705"/>
      <c r="J140" s="705"/>
      <c r="K140" s="705"/>
      <c r="L140" s="705"/>
      <c r="M140" s="705"/>
      <c r="N140" s="705"/>
      <c r="O140" s="705"/>
    </row>
    <row r="141" spans="3:15" ht="12.75">
      <c r="C141" s="705"/>
      <c r="D141" s="705"/>
      <c r="E141" s="705"/>
      <c r="F141" s="705"/>
      <c r="G141" s="705"/>
      <c r="H141" s="705"/>
      <c r="I141" s="705"/>
      <c r="J141" s="705"/>
      <c r="K141" s="705"/>
      <c r="L141" s="705"/>
      <c r="M141" s="705"/>
      <c r="N141" s="705"/>
      <c r="O141" s="705"/>
    </row>
    <row r="142" spans="3:15" ht="12.75">
      <c r="C142" s="705"/>
      <c r="D142" s="705"/>
      <c r="E142" s="705"/>
      <c r="F142" s="705"/>
      <c r="G142" s="705"/>
      <c r="H142" s="705"/>
      <c r="I142" s="705"/>
      <c r="J142" s="705"/>
      <c r="K142" s="705"/>
      <c r="L142" s="705"/>
      <c r="M142" s="705"/>
      <c r="N142" s="705"/>
      <c r="O142" s="705"/>
    </row>
    <row r="143" spans="3:15" ht="12.75">
      <c r="C143" s="705"/>
      <c r="D143" s="705"/>
      <c r="E143" s="705"/>
      <c r="F143" s="705"/>
      <c r="G143" s="705"/>
      <c r="H143" s="705"/>
      <c r="I143" s="705"/>
      <c r="J143" s="705"/>
      <c r="K143" s="705"/>
      <c r="L143" s="705"/>
      <c r="M143" s="705"/>
      <c r="N143" s="705"/>
      <c r="O143" s="705"/>
    </row>
    <row r="144" spans="3:15" ht="12.75">
      <c r="C144" s="705"/>
      <c r="D144" s="705"/>
      <c r="E144" s="705"/>
      <c r="F144" s="705"/>
      <c r="G144" s="705"/>
      <c r="H144" s="705"/>
      <c r="I144" s="705"/>
      <c r="J144" s="705"/>
      <c r="K144" s="705"/>
      <c r="L144" s="705"/>
      <c r="M144" s="705"/>
      <c r="N144" s="705"/>
      <c r="O144" s="705"/>
    </row>
    <row r="145" spans="3:15" ht="12.75">
      <c r="C145" s="705"/>
      <c r="D145" s="705"/>
      <c r="E145" s="705"/>
      <c r="F145" s="705"/>
      <c r="G145" s="705"/>
      <c r="H145" s="705"/>
      <c r="I145" s="705"/>
      <c r="J145" s="705"/>
      <c r="K145" s="705"/>
      <c r="L145" s="705"/>
      <c r="M145" s="705"/>
      <c r="N145" s="705"/>
      <c r="O145" s="705"/>
    </row>
    <row r="146" spans="3:15" ht="12.75">
      <c r="C146" s="705"/>
      <c r="D146" s="705"/>
      <c r="E146" s="705"/>
      <c r="F146" s="705"/>
      <c r="G146" s="705"/>
      <c r="H146" s="705"/>
      <c r="I146" s="705"/>
      <c r="J146" s="705"/>
      <c r="K146" s="705"/>
      <c r="L146" s="705"/>
      <c r="M146" s="705"/>
      <c r="N146" s="705"/>
      <c r="O146" s="705"/>
    </row>
    <row r="147" spans="3:15" ht="12.75">
      <c r="C147" s="705"/>
      <c r="D147" s="705"/>
      <c r="E147" s="705"/>
      <c r="F147" s="705"/>
      <c r="G147" s="705"/>
      <c r="H147" s="705"/>
      <c r="I147" s="705"/>
      <c r="J147" s="705"/>
      <c r="K147" s="705"/>
      <c r="L147" s="705"/>
      <c r="M147" s="705"/>
      <c r="N147" s="705"/>
      <c r="O147" s="705"/>
    </row>
    <row r="148" spans="3:15" ht="12.75">
      <c r="C148" s="705"/>
      <c r="D148" s="705"/>
      <c r="E148" s="705"/>
      <c r="F148" s="705"/>
      <c r="G148" s="705"/>
      <c r="H148" s="705"/>
      <c r="I148" s="705"/>
      <c r="J148" s="705"/>
      <c r="K148" s="705"/>
      <c r="L148" s="705"/>
      <c r="M148" s="705"/>
      <c r="N148" s="705"/>
      <c r="O148" s="705"/>
    </row>
    <row r="149" spans="3:15" ht="12.75">
      <c r="C149" s="705"/>
      <c r="D149" s="705"/>
      <c r="E149" s="705"/>
      <c r="F149" s="705"/>
      <c r="G149" s="705"/>
      <c r="H149" s="705"/>
      <c r="I149" s="705"/>
      <c r="J149" s="705"/>
      <c r="K149" s="705"/>
      <c r="L149" s="705"/>
      <c r="M149" s="705"/>
      <c r="N149" s="705"/>
      <c r="O149" s="705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600" verticalDpi="600" orientation="landscape" paperSize="9" scale="75" r:id="rId1"/>
  <headerFooter alignWithMargins="0">
    <oddHeader>&amp;C&amp;"Times New Roman,Félkövér dőlt" ZALAEGERSZEG MEGYEI JOGÚ VÁROS ÖNKORMÁNYZATA
BEVÉTELI ELŐIRÁNYZATAI  2015.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pane ySplit="2" topLeftCell="BM3" activePane="bottomLeft" state="frozen"/>
      <selection pane="topLeft" activeCell="B1" sqref="B1"/>
      <selection pane="bottomLeft" activeCell="D17" sqref="D17:N17"/>
    </sheetView>
  </sheetViews>
  <sheetFormatPr defaultColWidth="9.00390625" defaultRowHeight="12.75"/>
  <cols>
    <col min="1" max="1" width="4.375" style="24" customWidth="1"/>
    <col min="2" max="2" width="7.00390625" style="24" customWidth="1"/>
    <col min="3" max="3" width="23.625" style="24" customWidth="1"/>
    <col min="4" max="4" width="10.625" style="24" customWidth="1"/>
    <col min="5" max="5" width="11.875" style="24" customWidth="1"/>
    <col min="6" max="8" width="10.50390625" style="24" customWidth="1"/>
    <col min="9" max="9" width="12.00390625" style="24" customWidth="1"/>
    <col min="10" max="10" width="11.875" style="24" customWidth="1"/>
    <col min="11" max="11" width="9.50390625" style="24" customWidth="1"/>
    <col min="12" max="12" width="11.375" style="24" customWidth="1"/>
    <col min="13" max="13" width="12.625" style="24" customWidth="1"/>
    <col min="14" max="14" width="12.00390625" style="32" customWidth="1"/>
    <col min="15" max="16384" width="9.375" style="24" customWidth="1"/>
  </cols>
  <sheetData>
    <row r="1" spans="1:14" ht="12.75" customHeight="1">
      <c r="A1" s="491" t="s">
        <v>1052</v>
      </c>
      <c r="B1" s="491" t="s">
        <v>1053</v>
      </c>
      <c r="C1" s="491" t="s">
        <v>381</v>
      </c>
      <c r="D1" s="490" t="s">
        <v>440</v>
      </c>
      <c r="E1" s="490"/>
      <c r="F1" s="490"/>
      <c r="G1" s="490"/>
      <c r="H1" s="490"/>
      <c r="I1" s="490"/>
      <c r="J1" s="490"/>
      <c r="K1" s="490"/>
      <c r="L1" s="490" t="s">
        <v>439</v>
      </c>
      <c r="M1" s="490"/>
      <c r="N1" s="491" t="s">
        <v>676</v>
      </c>
    </row>
    <row r="2" spans="1:14" s="29" customFormat="1" ht="60" customHeight="1">
      <c r="A2" s="491"/>
      <c r="B2" s="491"/>
      <c r="C2" s="491"/>
      <c r="D2" s="159" t="s">
        <v>241</v>
      </c>
      <c r="E2" s="159" t="s">
        <v>790</v>
      </c>
      <c r="F2" s="159" t="s">
        <v>775</v>
      </c>
      <c r="G2" s="159" t="s">
        <v>166</v>
      </c>
      <c r="H2" s="159" t="s">
        <v>905</v>
      </c>
      <c r="I2" s="159" t="s">
        <v>891</v>
      </c>
      <c r="J2" s="159" t="s">
        <v>890</v>
      </c>
      <c r="K2" s="159" t="s">
        <v>167</v>
      </c>
      <c r="L2" s="159" t="s">
        <v>444</v>
      </c>
      <c r="M2" s="159" t="s">
        <v>449</v>
      </c>
      <c r="N2" s="491"/>
    </row>
    <row r="3" spans="1:14" s="29" customFormat="1" ht="15" customHeight="1">
      <c r="A3" s="2">
        <v>1</v>
      </c>
      <c r="B3" s="2"/>
      <c r="C3" s="582" t="s">
        <v>678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9" customFormat="1" ht="15" customHeight="1">
      <c r="A4" s="2">
        <v>1</v>
      </c>
      <c r="B4" s="2">
        <v>1</v>
      </c>
      <c r="C4" s="8" t="s">
        <v>1281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30" customFormat="1" ht="24.75" customHeight="1">
      <c r="A5" s="4"/>
      <c r="B5" s="4">
        <v>12</v>
      </c>
      <c r="C5" s="585" t="s">
        <v>211</v>
      </c>
      <c r="D5" s="5">
        <f>'[1]6.a'!G42</f>
        <v>0</v>
      </c>
      <c r="E5" s="5">
        <f>'[1]6.a'!H42</f>
        <v>2700</v>
      </c>
      <c r="F5" s="5">
        <f>'[1]6.a'!I42</f>
        <v>21992</v>
      </c>
      <c r="G5" s="5">
        <f>'[1]6.a'!J42</f>
        <v>192280</v>
      </c>
      <c r="H5" s="5">
        <f>'[1]6.a'!K42</f>
        <v>2300</v>
      </c>
      <c r="I5" s="5">
        <f>'[1]6.a'!L42</f>
        <v>30000</v>
      </c>
      <c r="J5" s="5">
        <f>'[1]6.a'!M42</f>
        <v>0</v>
      </c>
      <c r="K5" s="5">
        <f>'[1]6.a'!N42</f>
        <v>42519</v>
      </c>
      <c r="L5" s="5">
        <f>'[1]6.a'!O42</f>
        <v>0</v>
      </c>
      <c r="M5" s="5">
        <f>'[1]6.a'!P42</f>
        <v>0</v>
      </c>
      <c r="N5" s="5">
        <f aca="true" t="shared" si="0" ref="N5:N15">SUM(D5:M5)</f>
        <v>291791</v>
      </c>
    </row>
    <row r="6" spans="1:14" s="30" customFormat="1" ht="13.5" customHeight="1">
      <c r="A6" s="4"/>
      <c r="B6" s="4">
        <v>13</v>
      </c>
      <c r="C6" s="582" t="s">
        <v>212</v>
      </c>
      <c r="D6" s="5">
        <f>'[1]6.a'!G196</f>
        <v>1470</v>
      </c>
      <c r="E6" s="5">
        <f>'[1]6.a'!H196</f>
        <v>405</v>
      </c>
      <c r="F6" s="5">
        <f>'[1]6.a'!I196</f>
        <v>89022</v>
      </c>
      <c r="G6" s="5">
        <f>'[1]6.a'!J196</f>
        <v>19674</v>
      </c>
      <c r="H6" s="5">
        <f>'[1]6.a'!K196</f>
        <v>506192</v>
      </c>
      <c r="I6" s="5">
        <f>'[1]6.a'!L196</f>
        <v>70705</v>
      </c>
      <c r="J6" s="5">
        <f>'[1]6.a'!M196</f>
        <v>63414</v>
      </c>
      <c r="K6" s="5">
        <f>'[1]6.a'!N196</f>
        <v>34965</v>
      </c>
      <c r="L6" s="5">
        <f>'[1]6.a'!O196</f>
        <v>0</v>
      </c>
      <c r="M6" s="5">
        <f>'[1]6.a'!P196</f>
        <v>0</v>
      </c>
      <c r="N6" s="5">
        <f t="shared" si="0"/>
        <v>785847</v>
      </c>
    </row>
    <row r="7" spans="1:14" s="30" customFormat="1" ht="13.5" customHeight="1">
      <c r="A7" s="4"/>
      <c r="B7" s="4">
        <v>14</v>
      </c>
      <c r="C7" s="582" t="s">
        <v>689</v>
      </c>
      <c r="D7" s="5">
        <f>'[1]6.a'!G212</f>
        <v>0</v>
      </c>
      <c r="E7" s="5">
        <f>'[1]6.a'!H212</f>
        <v>0</v>
      </c>
      <c r="F7" s="5">
        <f>'[1]6.a'!I212</f>
        <v>16003</v>
      </c>
      <c r="G7" s="5">
        <f>'[1]6.a'!J212</f>
        <v>0</v>
      </c>
      <c r="H7" s="5">
        <f>'[1]6.a'!K212</f>
        <v>0</v>
      </c>
      <c r="I7" s="5">
        <f>'[1]6.a'!L212</f>
        <v>1038780</v>
      </c>
      <c r="J7" s="5">
        <f>'[1]6.a'!M212</f>
        <v>0</v>
      </c>
      <c r="K7" s="5">
        <f>'[1]6.a'!N212</f>
        <v>574</v>
      </c>
      <c r="L7" s="5">
        <f>'[1]6.a'!O212</f>
        <v>0</v>
      </c>
      <c r="M7" s="5">
        <f>'[1]6.a'!P212</f>
        <v>0</v>
      </c>
      <c r="N7" s="5">
        <f t="shared" si="0"/>
        <v>1055357</v>
      </c>
    </row>
    <row r="8" spans="1:14" s="30" customFormat="1" ht="13.5" customHeight="1">
      <c r="A8" s="4"/>
      <c r="B8" s="4">
        <v>15</v>
      </c>
      <c r="C8" s="60" t="s">
        <v>385</v>
      </c>
      <c r="D8" s="5">
        <f>'[1]6.a'!G430</f>
        <v>1500</v>
      </c>
      <c r="E8" s="5">
        <f>'[1]6.a'!H430</f>
        <v>400</v>
      </c>
      <c r="F8" s="5">
        <f>'[1]6.a'!I430</f>
        <v>1334163</v>
      </c>
      <c r="G8" s="5">
        <f>'[1]6.a'!J430</f>
        <v>0</v>
      </c>
      <c r="H8" s="5">
        <f>'[1]6.a'!K430</f>
        <v>39093</v>
      </c>
      <c r="I8" s="5">
        <f>'[1]6.a'!L430</f>
        <v>217722</v>
      </c>
      <c r="J8" s="5">
        <f>'[1]6.a'!M430</f>
        <v>475254</v>
      </c>
      <c r="K8" s="5">
        <f>'[1]6.a'!N430</f>
        <v>644383</v>
      </c>
      <c r="L8" s="5">
        <f>'[1]6.a'!O430</f>
        <v>0</v>
      </c>
      <c r="M8" s="5">
        <f>'[1]6.a'!P430</f>
        <v>0</v>
      </c>
      <c r="N8" s="5">
        <f t="shared" si="0"/>
        <v>2712515</v>
      </c>
    </row>
    <row r="9" spans="1:14" s="30" customFormat="1" ht="13.5" customHeight="1">
      <c r="A9" s="4"/>
      <c r="B9" s="4">
        <v>16</v>
      </c>
      <c r="C9" s="60" t="s">
        <v>252</v>
      </c>
      <c r="D9" s="5">
        <f>'[1]6.a'!G524</f>
        <v>0</v>
      </c>
      <c r="E9" s="5">
        <f>'[1]6.a'!H524</f>
        <v>0</v>
      </c>
      <c r="F9" s="5">
        <f>'[1]6.a'!I524</f>
        <v>674246</v>
      </c>
      <c r="G9" s="5">
        <f>'[1]6.a'!J524</f>
        <v>0</v>
      </c>
      <c r="H9" s="5">
        <f>'[1]6.a'!K524</f>
        <v>0</v>
      </c>
      <c r="I9" s="5">
        <f>'[1]6.a'!L524</f>
        <v>3409190</v>
      </c>
      <c r="J9" s="5">
        <f>'[1]6.a'!M524</f>
        <v>98879</v>
      </c>
      <c r="K9" s="5">
        <f>'[1]6.a'!N524</f>
        <v>105124</v>
      </c>
      <c r="L9" s="5">
        <f>'[1]6.a'!O524</f>
        <v>0</v>
      </c>
      <c r="M9" s="5">
        <f>'[1]6.a'!P524</f>
        <v>0</v>
      </c>
      <c r="N9" s="5">
        <f t="shared" si="0"/>
        <v>4287439</v>
      </c>
    </row>
    <row r="10" spans="1:14" s="30" customFormat="1" ht="13.5" customHeight="1">
      <c r="A10" s="4"/>
      <c r="B10" s="4">
        <v>17</v>
      </c>
      <c r="C10" s="60" t="s">
        <v>386</v>
      </c>
      <c r="D10" s="5">
        <f>'[1]6.a'!G551</f>
        <v>0</v>
      </c>
      <c r="E10" s="5">
        <f>'[1]6.a'!H551</f>
        <v>0</v>
      </c>
      <c r="F10" s="5">
        <f>'[1]6.a'!I551</f>
        <v>34600</v>
      </c>
      <c r="G10" s="5">
        <f>'[1]6.a'!J551</f>
        <v>0</v>
      </c>
      <c r="H10" s="5">
        <f>'[1]6.a'!K551</f>
        <v>400</v>
      </c>
      <c r="I10" s="5">
        <f>'[1]6.a'!L551</f>
        <v>153061</v>
      </c>
      <c r="J10" s="5">
        <f>'[1]6.a'!M551</f>
        <v>373</v>
      </c>
      <c r="K10" s="5">
        <f>'[1]6.a'!N551</f>
        <v>22520</v>
      </c>
      <c r="L10" s="5">
        <f>'[1]6.a'!O551</f>
        <v>0</v>
      </c>
      <c r="M10" s="5">
        <f>'[1]6.a'!P551</f>
        <v>0</v>
      </c>
      <c r="N10" s="5">
        <f t="shared" si="0"/>
        <v>210954</v>
      </c>
    </row>
    <row r="11" spans="1:14" s="30" customFormat="1" ht="13.5" customHeight="1">
      <c r="A11" s="4"/>
      <c r="B11" s="4">
        <v>18</v>
      </c>
      <c r="C11" s="427" t="s">
        <v>864</v>
      </c>
      <c r="D11" s="5">
        <f>'[1]6.a'!G569</f>
        <v>0</v>
      </c>
      <c r="E11" s="5">
        <f>'[1]6.a'!H569</f>
        <v>0</v>
      </c>
      <c r="F11" s="5">
        <f>'[1]6.a'!I569</f>
        <v>42676</v>
      </c>
      <c r="G11" s="5">
        <f>'[1]6.a'!J569</f>
        <v>0</v>
      </c>
      <c r="H11" s="5">
        <f>'[1]6.a'!K569</f>
        <v>0</v>
      </c>
      <c r="I11" s="5">
        <f>'[1]6.a'!L569</f>
        <v>1200</v>
      </c>
      <c r="J11" s="5">
        <f>'[1]6.a'!M569</f>
        <v>0</v>
      </c>
      <c r="K11" s="5">
        <f>'[1]6.a'!N569</f>
        <v>0</v>
      </c>
      <c r="L11" s="5">
        <f>'[1]6.a'!O569</f>
        <v>0</v>
      </c>
      <c r="M11" s="5">
        <f>'[1]6.a'!P569</f>
        <v>0</v>
      </c>
      <c r="N11" s="5">
        <f t="shared" si="0"/>
        <v>43876</v>
      </c>
    </row>
    <row r="12" spans="1:14" s="30" customFormat="1" ht="13.5" customHeight="1">
      <c r="A12" s="4"/>
      <c r="B12" s="4">
        <v>19</v>
      </c>
      <c r="C12" s="59" t="s">
        <v>1049</v>
      </c>
      <c r="D12" s="5">
        <f>'[1]6.a'!G603</f>
        <v>0</v>
      </c>
      <c r="E12" s="5">
        <f>'[1]6.a'!H603</f>
        <v>0</v>
      </c>
      <c r="F12" s="5">
        <f>'[1]6.a'!I603</f>
        <v>312112</v>
      </c>
      <c r="G12" s="5">
        <f>'[1]6.a'!J603</f>
        <v>0</v>
      </c>
      <c r="H12" s="5">
        <f>'[1]6.a'!K603</f>
        <v>615036</v>
      </c>
      <c r="I12" s="5">
        <f>'[1]6.a'!L603</f>
        <v>0</v>
      </c>
      <c r="J12" s="5">
        <f>'[1]6.a'!M603</f>
        <v>0</v>
      </c>
      <c r="K12" s="5">
        <f>'[1]6.a'!N603</f>
        <v>4600</v>
      </c>
      <c r="L12" s="5">
        <f>'[1]6.a'!O603</f>
        <v>0</v>
      </c>
      <c r="M12" s="5">
        <f>'[1]6.a'!P603</f>
        <v>0</v>
      </c>
      <c r="N12" s="5">
        <f t="shared" si="0"/>
        <v>931748</v>
      </c>
    </row>
    <row r="13" spans="1:14" s="30" customFormat="1" ht="12.75" customHeight="1">
      <c r="A13" s="4"/>
      <c r="B13" s="4">
        <v>20</v>
      </c>
      <c r="C13" s="59" t="s">
        <v>1282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0</v>
      </c>
    </row>
    <row r="14" spans="1:14" s="30" customFormat="1" ht="27" customHeight="1">
      <c r="A14" s="4"/>
      <c r="B14" s="4">
        <v>21</v>
      </c>
      <c r="C14" s="707" t="s">
        <v>1304</v>
      </c>
      <c r="D14" s="5">
        <f>'[1]6.a'!G638</f>
        <v>99895</v>
      </c>
      <c r="E14" s="5">
        <f>'[1]6.a'!H638</f>
        <v>28540</v>
      </c>
      <c r="F14" s="5">
        <f>'[1]6.a'!I638</f>
        <v>124734</v>
      </c>
      <c r="G14" s="5">
        <f>'[1]6.a'!J638</f>
        <v>0</v>
      </c>
      <c r="H14" s="5">
        <f>'[1]6.a'!K638</f>
        <v>128033</v>
      </c>
      <c r="I14" s="5">
        <f>'[1]6.a'!L638</f>
        <v>0</v>
      </c>
      <c r="J14" s="5">
        <f>'[1]6.a'!M638</f>
        <v>0</v>
      </c>
      <c r="K14" s="5">
        <f>'[1]6.a'!N638</f>
        <v>10000</v>
      </c>
      <c r="L14" s="5">
        <f>'[1]6.a'!O638</f>
        <v>0</v>
      </c>
      <c r="M14" s="5">
        <f>'[1]6.a'!P638</f>
        <v>0</v>
      </c>
      <c r="N14" s="5">
        <f t="shared" si="0"/>
        <v>391202</v>
      </c>
    </row>
    <row r="15" spans="1:14" s="30" customFormat="1" ht="12.75" customHeight="1">
      <c r="A15" s="4"/>
      <c r="B15" s="4">
        <v>30</v>
      </c>
      <c r="C15" s="6" t="s">
        <v>1285</v>
      </c>
      <c r="D15" s="5">
        <f>'[1]6.a'!G664</f>
        <v>0</v>
      </c>
      <c r="E15" s="5">
        <f>'[1]6.a'!H664</f>
        <v>0</v>
      </c>
      <c r="F15" s="5">
        <f>'[1]6.a'!I664</f>
        <v>0</v>
      </c>
      <c r="G15" s="5">
        <f>'[1]6.a'!J664</f>
        <v>0</v>
      </c>
      <c r="H15" s="5">
        <f>'[1]6.a'!K664</f>
        <v>291907</v>
      </c>
      <c r="I15" s="5">
        <f>'[1]6.a'!L664</f>
        <v>51490</v>
      </c>
      <c r="J15" s="5">
        <f>'[1]6.a'!M664</f>
        <v>10000</v>
      </c>
      <c r="K15" s="5">
        <f>'[1]6.a'!N664</f>
        <v>0</v>
      </c>
      <c r="L15" s="5">
        <f>'[1]6.a'!O664</f>
        <v>0</v>
      </c>
      <c r="M15" s="5">
        <f>'[1]6.a'!P664</f>
        <v>0</v>
      </c>
      <c r="N15" s="5">
        <f t="shared" si="0"/>
        <v>353397</v>
      </c>
    </row>
    <row r="16" spans="1:14" s="31" customFormat="1" ht="34.5" customHeight="1">
      <c r="A16" s="61"/>
      <c r="B16" s="61"/>
      <c r="C16" s="589" t="s">
        <v>44</v>
      </c>
      <c r="D16" s="9">
        <f>SUM(D3:D15)</f>
        <v>102865</v>
      </c>
      <c r="E16" s="9">
        <f>SUM(E3:E15)</f>
        <v>32045</v>
      </c>
      <c r="F16" s="9">
        <f aca="true" t="shared" si="1" ref="F16:N16">SUM(F5:F15)</f>
        <v>2649548</v>
      </c>
      <c r="G16" s="9">
        <f t="shared" si="1"/>
        <v>211954</v>
      </c>
      <c r="H16" s="9">
        <f t="shared" si="1"/>
        <v>1582961</v>
      </c>
      <c r="I16" s="9">
        <f t="shared" si="1"/>
        <v>4972148</v>
      </c>
      <c r="J16" s="9">
        <f t="shared" si="1"/>
        <v>647920</v>
      </c>
      <c r="K16" s="9">
        <f t="shared" si="1"/>
        <v>864685</v>
      </c>
      <c r="L16" s="9">
        <f t="shared" si="1"/>
        <v>0</v>
      </c>
      <c r="M16" s="9">
        <f t="shared" si="1"/>
        <v>0</v>
      </c>
      <c r="N16" s="9">
        <f t="shared" si="1"/>
        <v>11064126</v>
      </c>
    </row>
    <row r="17" spans="1:14" s="31" customFormat="1" ht="12.75" customHeight="1">
      <c r="A17" s="138">
        <v>2</v>
      </c>
      <c r="B17" s="138"/>
      <c r="C17" s="708" t="s">
        <v>680</v>
      </c>
      <c r="D17" s="8">
        <f>'[1]6.a'!G666</f>
        <v>2936372</v>
      </c>
      <c r="E17" s="8">
        <f>'[1]6.a'!H666</f>
        <v>822287</v>
      </c>
      <c r="F17" s="8">
        <f>'[1]6.a'!I666</f>
        <v>2337985</v>
      </c>
      <c r="G17" s="8">
        <f>'[1]6.a'!J666</f>
        <v>0</v>
      </c>
      <c r="H17" s="8">
        <f>'[1]6.a'!K666</f>
        <v>32414</v>
      </c>
      <c r="I17" s="8">
        <f>'[1]6.a'!L666</f>
        <v>54246</v>
      </c>
      <c r="J17" s="8">
        <f>'[1]6.a'!M666</f>
        <v>33921</v>
      </c>
      <c r="K17" s="8">
        <f>'[1]6.a'!N666</f>
        <v>0</v>
      </c>
      <c r="L17" s="8"/>
      <c r="M17" s="8">
        <f>'[1]6.a'!P666</f>
        <v>0</v>
      </c>
      <c r="N17" s="179">
        <f>SUM(D17:M17)</f>
        <v>6217225</v>
      </c>
    </row>
    <row r="18" spans="1:14" s="31" customFormat="1" ht="12.75" customHeight="1">
      <c r="A18" s="61"/>
      <c r="B18" s="61"/>
      <c r="C18" s="10" t="s">
        <v>665</v>
      </c>
      <c r="D18" s="9">
        <f aca="true" t="shared" si="2" ref="D18:N18">SUM(D16:D17)</f>
        <v>3039237</v>
      </c>
      <c r="E18" s="9">
        <f t="shared" si="2"/>
        <v>854332</v>
      </c>
      <c r="F18" s="9">
        <f t="shared" si="2"/>
        <v>4987533</v>
      </c>
      <c r="G18" s="9">
        <f t="shared" si="2"/>
        <v>211954</v>
      </c>
      <c r="H18" s="9">
        <f t="shared" si="2"/>
        <v>1615375</v>
      </c>
      <c r="I18" s="9">
        <f t="shared" si="2"/>
        <v>5026394</v>
      </c>
      <c r="J18" s="9">
        <f t="shared" si="2"/>
        <v>681841</v>
      </c>
      <c r="K18" s="9">
        <f t="shared" si="2"/>
        <v>864685</v>
      </c>
      <c r="L18" s="9">
        <f t="shared" si="2"/>
        <v>0</v>
      </c>
      <c r="M18" s="9">
        <f t="shared" si="2"/>
        <v>0</v>
      </c>
      <c r="N18" s="9">
        <f t="shared" si="2"/>
        <v>17281351</v>
      </c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2015.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V673"/>
  <sheetViews>
    <sheetView zoomScale="108" zoomScaleNormal="108" zoomScaleSheetLayoutView="120" workbookViewId="0" topLeftCell="C1">
      <pane ySplit="2" topLeftCell="BM390" activePane="bottomLeft" state="frozen"/>
      <selection pane="topLeft" activeCell="A1" sqref="A1"/>
      <selection pane="bottomLeft" activeCell="M390" sqref="M390"/>
    </sheetView>
  </sheetViews>
  <sheetFormatPr defaultColWidth="9.00390625" defaultRowHeight="12.75"/>
  <cols>
    <col min="1" max="2" width="3.875" style="1" customWidth="1"/>
    <col min="3" max="3" width="5.125" style="1" customWidth="1"/>
    <col min="4" max="4" width="49.125" style="1" customWidth="1"/>
    <col min="5" max="5" width="4.50390625" style="1" customWidth="1"/>
    <col min="6" max="6" width="9.625" style="1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8" width="11.00390625" style="1" customWidth="1"/>
    <col min="19" max="16384" width="9.375" style="1" customWidth="1"/>
  </cols>
  <sheetData>
    <row r="1" spans="1:17" ht="36.75" customHeight="1" thickBot="1">
      <c r="A1" s="494" t="s">
        <v>1052</v>
      </c>
      <c r="B1" s="494" t="s">
        <v>1053</v>
      </c>
      <c r="C1" s="494" t="s">
        <v>170</v>
      </c>
      <c r="D1" s="496" t="s">
        <v>381</v>
      </c>
      <c r="E1" s="494" t="s">
        <v>771</v>
      </c>
      <c r="F1" s="494" t="s">
        <v>585</v>
      </c>
      <c r="G1" s="709" t="s">
        <v>440</v>
      </c>
      <c r="H1" s="709"/>
      <c r="I1" s="709"/>
      <c r="J1" s="709"/>
      <c r="K1" s="709"/>
      <c r="L1" s="709"/>
      <c r="M1" s="709"/>
      <c r="N1" s="710"/>
      <c r="O1" s="492" t="s">
        <v>439</v>
      </c>
      <c r="P1" s="493"/>
      <c r="Q1" s="173" t="s">
        <v>383</v>
      </c>
    </row>
    <row r="2" spans="1:17" ht="57.75" customHeight="1" thickBot="1">
      <c r="A2" s="495"/>
      <c r="B2" s="495"/>
      <c r="C2" s="495"/>
      <c r="D2" s="497"/>
      <c r="E2" s="495"/>
      <c r="F2" s="495"/>
      <c r="G2" s="171" t="s">
        <v>241</v>
      </c>
      <c r="H2" s="152" t="s">
        <v>790</v>
      </c>
      <c r="I2" s="152" t="s">
        <v>775</v>
      </c>
      <c r="J2" s="152" t="s">
        <v>166</v>
      </c>
      <c r="K2" s="152" t="s">
        <v>905</v>
      </c>
      <c r="L2" s="152" t="s">
        <v>891</v>
      </c>
      <c r="M2" s="152" t="s">
        <v>890</v>
      </c>
      <c r="N2" s="152" t="s">
        <v>167</v>
      </c>
      <c r="O2" s="194" t="s">
        <v>444</v>
      </c>
      <c r="P2" s="195" t="s">
        <v>449</v>
      </c>
      <c r="Q2" s="174"/>
    </row>
    <row r="3" spans="1:17" ht="16.5" customHeight="1">
      <c r="A3" s="170">
        <v>1</v>
      </c>
      <c r="B3" s="2"/>
      <c r="C3" s="404"/>
      <c r="D3" s="84" t="s">
        <v>679</v>
      </c>
      <c r="E3" s="172"/>
      <c r="F3" s="172"/>
      <c r="G3" s="3"/>
      <c r="H3" s="3"/>
      <c r="I3" s="3"/>
      <c r="J3" s="3"/>
      <c r="K3" s="3"/>
      <c r="L3" s="3"/>
      <c r="M3" s="3"/>
      <c r="N3" s="3"/>
      <c r="O3" s="3"/>
      <c r="P3" s="3"/>
      <c r="Q3" s="85"/>
    </row>
    <row r="4" spans="1:17" ht="12.75" customHeight="1">
      <c r="A4" s="2">
        <v>1</v>
      </c>
      <c r="B4" s="2">
        <v>1</v>
      </c>
      <c r="C4" s="2"/>
      <c r="D4" s="84" t="s">
        <v>1281</v>
      </c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85"/>
    </row>
    <row r="5" spans="1:17" ht="12">
      <c r="A5" s="7">
        <v>1</v>
      </c>
      <c r="B5" s="7">
        <v>12</v>
      </c>
      <c r="C5" s="7"/>
      <c r="D5" s="711" t="s">
        <v>211</v>
      </c>
      <c r="E5" s="405"/>
      <c r="F5" s="405"/>
      <c r="G5" s="86"/>
      <c r="H5" s="86"/>
      <c r="I5" s="86"/>
      <c r="J5" s="86"/>
      <c r="K5" s="86"/>
      <c r="L5" s="86"/>
      <c r="M5" s="86"/>
      <c r="N5" s="86"/>
      <c r="O5" s="86"/>
      <c r="P5" s="86"/>
      <c r="Q5" s="8"/>
    </row>
    <row r="6" spans="1:17" ht="14.25" customHeight="1">
      <c r="A6" s="7"/>
      <c r="B6" s="7"/>
      <c r="C6" s="218"/>
      <c r="D6" s="192" t="s">
        <v>280</v>
      </c>
      <c r="E6" s="406"/>
      <c r="F6" s="406"/>
      <c r="G6" s="86"/>
      <c r="H6" s="86"/>
      <c r="I6" s="86"/>
      <c r="J6" s="86"/>
      <c r="K6" s="86"/>
      <c r="L6" s="123"/>
      <c r="M6" s="123"/>
      <c r="N6" s="123"/>
      <c r="O6" s="123"/>
      <c r="P6" s="123"/>
      <c r="Q6" s="8"/>
    </row>
    <row r="7" spans="1:19" ht="14.25" customHeight="1">
      <c r="A7" s="7"/>
      <c r="B7" s="7"/>
      <c r="C7" s="218"/>
      <c r="D7" s="192" t="s">
        <v>468</v>
      </c>
      <c r="E7" s="406">
        <v>1</v>
      </c>
      <c r="F7" s="712">
        <v>121101</v>
      </c>
      <c r="G7" s="86"/>
      <c r="H7" s="86"/>
      <c r="I7" s="86"/>
      <c r="J7" s="86">
        <f>14600+'[1]táj.2.'!J7</f>
        <v>14600</v>
      </c>
      <c r="K7" s="86"/>
      <c r="L7" s="86"/>
      <c r="M7" s="86"/>
      <c r="N7" s="86"/>
      <c r="O7" s="86"/>
      <c r="P7" s="86"/>
      <c r="Q7" s="8">
        <f>SUM(G7:P7)</f>
        <v>14600</v>
      </c>
      <c r="R7" s="211"/>
      <c r="S7" s="211"/>
    </row>
    <row r="8" spans="1:19" ht="14.25" customHeight="1">
      <c r="A8" s="7"/>
      <c r="B8" s="7"/>
      <c r="C8" s="218"/>
      <c r="D8" s="11" t="s">
        <v>237</v>
      </c>
      <c r="E8" s="407">
        <v>1</v>
      </c>
      <c r="F8" s="712">
        <v>121102</v>
      </c>
      <c r="G8" s="86"/>
      <c r="H8" s="86"/>
      <c r="I8" s="86"/>
      <c r="J8" s="86">
        <f>45800+'[1]táj.2.'!J8</f>
        <v>45800</v>
      </c>
      <c r="K8" s="86"/>
      <c r="L8" s="86"/>
      <c r="M8" s="86"/>
      <c r="N8" s="86"/>
      <c r="O8" s="86"/>
      <c r="P8" s="86"/>
      <c r="Q8" s="8">
        <f>SUM(G8:P8)</f>
        <v>45800</v>
      </c>
      <c r="R8" s="211"/>
      <c r="S8" s="211"/>
    </row>
    <row r="9" spans="1:18" ht="14.25" customHeight="1">
      <c r="A9" s="7"/>
      <c r="B9" s="7"/>
      <c r="C9" s="218"/>
      <c r="D9" s="11" t="s">
        <v>117</v>
      </c>
      <c r="E9" s="407">
        <v>2</v>
      </c>
      <c r="F9" s="90">
        <v>121103</v>
      </c>
      <c r="G9" s="86"/>
      <c r="H9" s="86"/>
      <c r="I9" s="86"/>
      <c r="J9" s="86">
        <f>15000+'[1]táj.2.'!J9</f>
        <v>15000</v>
      </c>
      <c r="K9" s="86"/>
      <c r="L9" s="86"/>
      <c r="M9" s="86"/>
      <c r="N9" s="86"/>
      <c r="O9" s="86"/>
      <c r="P9" s="86"/>
      <c r="Q9" s="8">
        <f>SUM(G9:P9)</f>
        <v>15000</v>
      </c>
      <c r="R9" s="211"/>
    </row>
    <row r="10" spans="1:18" ht="14.25" customHeight="1">
      <c r="A10" s="7"/>
      <c r="B10" s="7"/>
      <c r="C10" s="218"/>
      <c r="D10" s="11" t="s">
        <v>281</v>
      </c>
      <c r="E10" s="407"/>
      <c r="F10" s="235"/>
      <c r="G10" s="86"/>
      <c r="H10" s="86"/>
      <c r="I10" s="86"/>
      <c r="J10" s="86"/>
      <c r="K10" s="86"/>
      <c r="L10" s="123"/>
      <c r="M10" s="123"/>
      <c r="N10" s="123"/>
      <c r="O10" s="123"/>
      <c r="P10" s="123"/>
      <c r="Q10" s="8"/>
      <c r="R10" s="211"/>
    </row>
    <row r="11" spans="1:19" ht="14.25" customHeight="1">
      <c r="A11" s="7"/>
      <c r="B11" s="7"/>
      <c r="C11" s="218"/>
      <c r="D11" s="11" t="s">
        <v>467</v>
      </c>
      <c r="E11" s="407">
        <v>1</v>
      </c>
      <c r="F11" s="712">
        <v>121104</v>
      </c>
      <c r="G11" s="86"/>
      <c r="H11" s="86"/>
      <c r="I11" s="86"/>
      <c r="J11" s="86">
        <f>23000+'[1]táj.2.'!J11</f>
        <v>23000</v>
      </c>
      <c r="K11" s="86"/>
      <c r="L11" s="86"/>
      <c r="M11" s="86"/>
      <c r="N11" s="86"/>
      <c r="O11" s="86"/>
      <c r="P11" s="86"/>
      <c r="Q11" s="8">
        <f>SUM(G11:P11)</f>
        <v>23000</v>
      </c>
      <c r="S11" s="211"/>
    </row>
    <row r="12" spans="1:19" ht="14.25" customHeight="1">
      <c r="A12" s="7"/>
      <c r="B12" s="7"/>
      <c r="C12" s="218"/>
      <c r="D12" s="11" t="s">
        <v>409</v>
      </c>
      <c r="E12" s="407">
        <v>2</v>
      </c>
      <c r="F12" s="90">
        <v>121114</v>
      </c>
      <c r="G12" s="86"/>
      <c r="H12" s="86"/>
      <c r="I12" s="86"/>
      <c r="J12" s="86">
        <f>14000+'[1]táj.2.'!J12</f>
        <v>14000</v>
      </c>
      <c r="K12" s="86"/>
      <c r="L12" s="86"/>
      <c r="M12" s="86"/>
      <c r="N12" s="86"/>
      <c r="O12" s="86"/>
      <c r="P12" s="86"/>
      <c r="Q12" s="8">
        <f>SUM(G12:P12)</f>
        <v>14000</v>
      </c>
      <c r="S12" s="211"/>
    </row>
    <row r="13" spans="1:19" ht="14.25" customHeight="1">
      <c r="A13" s="7"/>
      <c r="B13" s="7"/>
      <c r="C13" s="218"/>
      <c r="D13" s="11" t="s">
        <v>1026</v>
      </c>
      <c r="E13" s="407"/>
      <c r="F13" s="235"/>
      <c r="G13" s="86"/>
      <c r="H13" s="86"/>
      <c r="I13" s="86"/>
      <c r="J13" s="86"/>
      <c r="K13" s="86"/>
      <c r="L13" s="123"/>
      <c r="M13" s="123"/>
      <c r="N13" s="123"/>
      <c r="O13" s="123"/>
      <c r="P13" s="123"/>
      <c r="Q13" s="8"/>
      <c r="S13" s="211"/>
    </row>
    <row r="14" spans="1:19" ht="14.25" customHeight="1">
      <c r="A14" s="7"/>
      <c r="B14" s="7"/>
      <c r="C14" s="218"/>
      <c r="D14" s="11" t="s">
        <v>469</v>
      </c>
      <c r="E14" s="407">
        <v>2</v>
      </c>
      <c r="F14" s="712">
        <v>121109</v>
      </c>
      <c r="G14" s="86"/>
      <c r="H14" s="86"/>
      <c r="I14" s="86"/>
      <c r="J14" s="86">
        <f>12000+'[1]táj.2.'!J14</f>
        <v>12000</v>
      </c>
      <c r="K14" s="86"/>
      <c r="L14" s="86"/>
      <c r="M14" s="86"/>
      <c r="N14" s="86"/>
      <c r="O14" s="86"/>
      <c r="P14" s="86"/>
      <c r="Q14" s="8">
        <f>SUM(G14:P14)</f>
        <v>12000</v>
      </c>
      <c r="S14" s="211"/>
    </row>
    <row r="15" spans="1:19" ht="14.25" customHeight="1">
      <c r="A15" s="7"/>
      <c r="B15" s="7"/>
      <c r="C15" s="218"/>
      <c r="D15" s="11" t="s">
        <v>436</v>
      </c>
      <c r="E15" s="407">
        <v>2</v>
      </c>
      <c r="F15" s="712">
        <v>121110</v>
      </c>
      <c r="G15" s="86"/>
      <c r="H15" s="86"/>
      <c r="I15" s="86"/>
      <c r="J15" s="86">
        <f>2000+'[1]táj.2.'!J15</f>
        <v>2000</v>
      </c>
      <c r="K15" s="86"/>
      <c r="L15" s="86"/>
      <c r="M15" s="86"/>
      <c r="N15" s="86"/>
      <c r="O15" s="86"/>
      <c r="P15" s="86"/>
      <c r="Q15" s="8">
        <f>SUM(G15:P15)</f>
        <v>2000</v>
      </c>
      <c r="S15" s="211"/>
    </row>
    <row r="16" spans="1:19" ht="14.25" customHeight="1">
      <c r="A16" s="7"/>
      <c r="B16" s="7"/>
      <c r="C16" s="218"/>
      <c r="D16" s="11" t="s">
        <v>118</v>
      </c>
      <c r="E16" s="407">
        <v>2</v>
      </c>
      <c r="F16" s="712">
        <v>121111</v>
      </c>
      <c r="G16" s="86"/>
      <c r="H16" s="86"/>
      <c r="I16" s="86"/>
      <c r="J16" s="86">
        <f>8500+'[1]táj.2.'!J16</f>
        <v>8500</v>
      </c>
      <c r="K16" s="86"/>
      <c r="L16" s="86"/>
      <c r="M16" s="86"/>
      <c r="N16" s="86"/>
      <c r="O16" s="86"/>
      <c r="P16" s="86"/>
      <c r="Q16" s="8">
        <f>SUM(G16:P16)</f>
        <v>8500</v>
      </c>
      <c r="S16" s="211"/>
    </row>
    <row r="17" spans="1:19" ht="14.25" customHeight="1">
      <c r="A17" s="7"/>
      <c r="B17" s="7"/>
      <c r="C17" s="218"/>
      <c r="D17" s="11" t="s">
        <v>923</v>
      </c>
      <c r="E17" s="407"/>
      <c r="F17" s="235"/>
      <c r="G17" s="86"/>
      <c r="H17" s="86"/>
      <c r="I17" s="86"/>
      <c r="J17" s="86"/>
      <c r="K17" s="86"/>
      <c r="L17" s="123"/>
      <c r="M17" s="123"/>
      <c r="N17" s="123"/>
      <c r="O17" s="123"/>
      <c r="P17" s="123"/>
      <c r="Q17" s="8"/>
      <c r="S17" s="211"/>
    </row>
    <row r="18" spans="1:19" ht="14.25" customHeight="1">
      <c r="A18" s="7"/>
      <c r="B18" s="7"/>
      <c r="C18" s="218"/>
      <c r="D18" s="11" t="s">
        <v>119</v>
      </c>
      <c r="E18" s="407">
        <v>2</v>
      </c>
      <c r="F18" s="90">
        <v>121106</v>
      </c>
      <c r="G18" s="86"/>
      <c r="H18" s="86"/>
      <c r="I18" s="86"/>
      <c r="J18" s="86">
        <f>5380+'[1]táj.2.'!J18</f>
        <v>5380</v>
      </c>
      <c r="K18" s="86"/>
      <c r="L18" s="86"/>
      <c r="M18" s="86"/>
      <c r="N18" s="86"/>
      <c r="O18" s="86"/>
      <c r="P18" s="86"/>
      <c r="Q18" s="8">
        <f>SUM(G18:P18)</f>
        <v>5380</v>
      </c>
      <c r="S18" s="211"/>
    </row>
    <row r="19" spans="1:19" ht="14.25" customHeight="1">
      <c r="A19" s="7"/>
      <c r="B19" s="7"/>
      <c r="C19" s="218"/>
      <c r="D19" s="11" t="s">
        <v>281</v>
      </c>
      <c r="E19" s="407"/>
      <c r="F19" s="235"/>
      <c r="G19" s="86"/>
      <c r="H19" s="86"/>
      <c r="I19" s="86"/>
      <c r="J19" s="86"/>
      <c r="K19" s="86"/>
      <c r="L19" s="123"/>
      <c r="M19" s="123"/>
      <c r="N19" s="123"/>
      <c r="O19" s="123"/>
      <c r="P19" s="123"/>
      <c r="Q19" s="8"/>
      <c r="S19" s="211"/>
    </row>
    <row r="20" spans="1:19" ht="14.25" customHeight="1">
      <c r="A20" s="7"/>
      <c r="B20" s="7"/>
      <c r="C20" s="218"/>
      <c r="D20" s="11" t="s">
        <v>122</v>
      </c>
      <c r="E20" s="407">
        <v>1</v>
      </c>
      <c r="F20" s="90">
        <v>121107</v>
      </c>
      <c r="G20" s="86"/>
      <c r="H20" s="86"/>
      <c r="I20" s="86"/>
      <c r="J20" s="86">
        <f>7000+'[1]táj.2.'!J20</f>
        <v>7000</v>
      </c>
      <c r="K20" s="86"/>
      <c r="L20" s="86"/>
      <c r="M20" s="86"/>
      <c r="N20" s="86"/>
      <c r="O20" s="86"/>
      <c r="P20" s="86"/>
      <c r="Q20" s="8">
        <f>SUM(G20:P20)</f>
        <v>7000</v>
      </c>
      <c r="S20" s="211"/>
    </row>
    <row r="21" spans="1:19" ht="14.25" customHeight="1">
      <c r="A21" s="7"/>
      <c r="B21" s="7"/>
      <c r="C21" s="218"/>
      <c r="D21" s="11" t="s">
        <v>120</v>
      </c>
      <c r="E21" s="407">
        <v>2</v>
      </c>
      <c r="F21" s="90">
        <v>121108</v>
      </c>
      <c r="G21" s="86"/>
      <c r="H21" s="86"/>
      <c r="I21" s="86"/>
      <c r="J21" s="86">
        <f>1000+'[1]táj.2.'!J21</f>
        <v>1000</v>
      </c>
      <c r="K21" s="86"/>
      <c r="L21" s="86"/>
      <c r="M21" s="86"/>
      <c r="N21" s="86"/>
      <c r="O21" s="86"/>
      <c r="P21" s="86"/>
      <c r="Q21" s="8">
        <f>SUM(G21:P21)</f>
        <v>1000</v>
      </c>
      <c r="S21" s="211"/>
    </row>
    <row r="22" spans="1:19" ht="14.25" customHeight="1">
      <c r="A22" s="7"/>
      <c r="B22" s="7"/>
      <c r="C22" s="218"/>
      <c r="D22" s="11" t="s">
        <v>1026</v>
      </c>
      <c r="E22" s="407"/>
      <c r="F22" s="235"/>
      <c r="G22" s="86"/>
      <c r="H22" s="86"/>
      <c r="I22" s="86"/>
      <c r="J22" s="86"/>
      <c r="K22" s="86"/>
      <c r="L22" s="123"/>
      <c r="M22" s="123"/>
      <c r="N22" s="123"/>
      <c r="O22" s="123"/>
      <c r="P22" s="123"/>
      <c r="Q22" s="8"/>
      <c r="S22" s="211"/>
    </row>
    <row r="23" spans="1:19" ht="14.25" customHeight="1">
      <c r="A23" s="7"/>
      <c r="B23" s="7"/>
      <c r="C23" s="218"/>
      <c r="D23" s="11" t="s">
        <v>121</v>
      </c>
      <c r="E23" s="407">
        <v>1</v>
      </c>
      <c r="F23" s="712">
        <v>121204</v>
      </c>
      <c r="G23" s="86"/>
      <c r="H23" s="86"/>
      <c r="I23" s="86"/>
      <c r="J23" s="86">
        <f>24800+'[1]táj.2.'!J23</f>
        <v>24800</v>
      </c>
      <c r="K23" s="86"/>
      <c r="L23" s="86"/>
      <c r="M23" s="86"/>
      <c r="N23" s="86"/>
      <c r="O23" s="86"/>
      <c r="P23" s="86"/>
      <c r="Q23" s="8">
        <f>SUM(G23:P23)</f>
        <v>24800</v>
      </c>
      <c r="S23" s="211"/>
    </row>
    <row r="24" spans="1:19" ht="14.25" customHeight="1">
      <c r="A24" s="7"/>
      <c r="B24" s="7"/>
      <c r="C24" s="218"/>
      <c r="D24" s="88" t="s">
        <v>470</v>
      </c>
      <c r="E24" s="407">
        <v>1</v>
      </c>
      <c r="F24" s="712">
        <v>121203</v>
      </c>
      <c r="G24" s="86"/>
      <c r="H24" s="86"/>
      <c r="I24" s="86"/>
      <c r="J24" s="86">
        <f>7200+'[1]táj.2.'!J24</f>
        <v>7200</v>
      </c>
      <c r="K24" s="86"/>
      <c r="L24" s="86"/>
      <c r="M24" s="86"/>
      <c r="N24" s="86"/>
      <c r="O24" s="86"/>
      <c r="P24" s="86"/>
      <c r="Q24" s="8">
        <f>SUM(G24:P24)</f>
        <v>7200</v>
      </c>
      <c r="S24" s="211"/>
    </row>
    <row r="25" spans="1:19" ht="14.25" customHeight="1">
      <c r="A25" s="7"/>
      <c r="B25" s="7"/>
      <c r="C25" s="218"/>
      <c r="D25" s="13" t="s">
        <v>336</v>
      </c>
      <c r="E25" s="407"/>
      <c r="F25" s="235"/>
      <c r="G25" s="86"/>
      <c r="H25" s="12"/>
      <c r="I25" s="8"/>
      <c r="J25" s="8"/>
      <c r="K25" s="86"/>
      <c r="L25" s="125"/>
      <c r="M25" s="125"/>
      <c r="N25" s="125"/>
      <c r="O25" s="125"/>
      <c r="P25" s="124"/>
      <c r="Q25" s="8"/>
      <c r="S25" s="211"/>
    </row>
    <row r="26" spans="1:19" ht="14.25" customHeight="1">
      <c r="A26" s="7"/>
      <c r="B26" s="7"/>
      <c r="C26" s="218"/>
      <c r="D26" s="11" t="s">
        <v>387</v>
      </c>
      <c r="E26" s="407">
        <v>2</v>
      </c>
      <c r="F26" s="712">
        <v>121504</v>
      </c>
      <c r="G26" s="86"/>
      <c r="H26" s="86"/>
      <c r="I26" s="86"/>
      <c r="J26" s="86">
        <f>5500+'[1]táj.2.'!J26</f>
        <v>5500</v>
      </c>
      <c r="K26" s="86"/>
      <c r="L26" s="86"/>
      <c r="M26" s="86"/>
      <c r="N26" s="86"/>
      <c r="O26" s="86"/>
      <c r="P26" s="86"/>
      <c r="Q26" s="8">
        <f>SUM(G26:P26)</f>
        <v>5500</v>
      </c>
      <c r="S26" s="211"/>
    </row>
    <row r="27" spans="1:19" ht="14.25" customHeight="1">
      <c r="A27" s="7"/>
      <c r="B27" s="7"/>
      <c r="C27" s="218"/>
      <c r="D27" s="11" t="s">
        <v>282</v>
      </c>
      <c r="E27" s="407"/>
      <c r="F27" s="235"/>
      <c r="G27" s="86"/>
      <c r="H27" s="8"/>
      <c r="I27" s="8"/>
      <c r="J27" s="125"/>
      <c r="K27" s="86"/>
      <c r="L27" s="125"/>
      <c r="M27" s="125"/>
      <c r="N27" s="125"/>
      <c r="O27" s="125"/>
      <c r="P27" s="124"/>
      <c r="Q27" s="8"/>
      <c r="S27" s="211"/>
    </row>
    <row r="28" spans="1:19" ht="12" customHeight="1">
      <c r="A28" s="87"/>
      <c r="B28" s="90"/>
      <c r="C28" s="219"/>
      <c r="D28" s="12" t="s">
        <v>437</v>
      </c>
      <c r="E28" s="407">
        <v>1</v>
      </c>
      <c r="F28" s="712">
        <v>121403</v>
      </c>
      <c r="G28" s="86"/>
      <c r="H28" s="86"/>
      <c r="I28" s="86">
        <f>90+'[1]táj.2.'!I28</f>
        <v>90</v>
      </c>
      <c r="J28" s="86"/>
      <c r="K28" s="86"/>
      <c r="L28" s="86"/>
      <c r="M28" s="86"/>
      <c r="N28" s="86"/>
      <c r="O28" s="86"/>
      <c r="P28" s="86"/>
      <c r="Q28" s="8">
        <f>SUM(G28:P28)</f>
        <v>90</v>
      </c>
      <c r="S28" s="211"/>
    </row>
    <row r="29" spans="1:19" ht="12" customHeight="1">
      <c r="A29" s="87"/>
      <c r="B29" s="90"/>
      <c r="C29" s="219"/>
      <c r="D29" s="12" t="s">
        <v>283</v>
      </c>
      <c r="E29" s="12"/>
      <c r="F29" s="713"/>
      <c r="G29" s="86"/>
      <c r="H29" s="12"/>
      <c r="I29" s="12"/>
      <c r="J29" s="126"/>
      <c r="K29" s="12"/>
      <c r="L29" s="126"/>
      <c r="M29" s="126"/>
      <c r="N29" s="126"/>
      <c r="O29" s="126"/>
      <c r="P29" s="126"/>
      <c r="Q29" s="8"/>
      <c r="S29" s="211"/>
    </row>
    <row r="30" spans="1:19" ht="12" customHeight="1">
      <c r="A30" s="87"/>
      <c r="B30" s="87"/>
      <c r="C30" s="220"/>
      <c r="D30" s="13" t="s">
        <v>438</v>
      </c>
      <c r="E30" s="12">
        <v>1</v>
      </c>
      <c r="F30" s="90">
        <v>121301</v>
      </c>
      <c r="G30" s="86"/>
      <c r="H30" s="86"/>
      <c r="I30" s="86"/>
      <c r="J30" s="86"/>
      <c r="K30" s="86">
        <f>1800+'[1]táj.2.'!K30</f>
        <v>1800</v>
      </c>
      <c r="L30" s="86"/>
      <c r="M30" s="86"/>
      <c r="N30" s="86"/>
      <c r="O30" s="86"/>
      <c r="P30" s="86"/>
      <c r="Q30" s="8">
        <f>SUM(G30:P30)</f>
        <v>1800</v>
      </c>
      <c r="S30" s="211"/>
    </row>
    <row r="31" spans="1:19" ht="12" customHeight="1">
      <c r="A31" s="87"/>
      <c r="B31" s="87"/>
      <c r="C31" s="220"/>
      <c r="D31" s="714" t="s">
        <v>284</v>
      </c>
      <c r="E31" s="407"/>
      <c r="F31" s="235"/>
      <c r="G31" s="86"/>
      <c r="H31" s="12"/>
      <c r="I31" s="12"/>
      <c r="J31" s="126"/>
      <c r="K31" s="12"/>
      <c r="L31" s="126"/>
      <c r="M31" s="126"/>
      <c r="N31" s="126"/>
      <c r="O31" s="126"/>
      <c r="P31" s="12"/>
      <c r="Q31" s="8"/>
      <c r="S31" s="211"/>
    </row>
    <row r="32" spans="1:19" ht="12" customHeight="1">
      <c r="A32" s="87"/>
      <c r="B32" s="87"/>
      <c r="C32" s="220"/>
      <c r="D32" s="113" t="s">
        <v>1069</v>
      </c>
      <c r="E32" s="407">
        <v>2</v>
      </c>
      <c r="F32" s="90">
        <v>221902</v>
      </c>
      <c r="G32" s="86"/>
      <c r="H32" s="86"/>
      <c r="I32" s="86">
        <f>23000+'[1]táj.2.'!I32</f>
        <v>21202</v>
      </c>
      <c r="J32" s="86"/>
      <c r="K32" s="86"/>
      <c r="L32" s="86"/>
      <c r="M32" s="86"/>
      <c r="N32" s="86"/>
      <c r="O32" s="86"/>
      <c r="P32" s="86"/>
      <c r="Q32" s="8">
        <f>SUM(G32:P32)</f>
        <v>21202</v>
      </c>
      <c r="S32" s="211"/>
    </row>
    <row r="33" spans="1:19" ht="12" customHeight="1">
      <c r="A33" s="87"/>
      <c r="B33" s="87"/>
      <c r="C33" s="220"/>
      <c r="D33" s="118" t="s">
        <v>1070</v>
      </c>
      <c r="E33" s="407">
        <v>2</v>
      </c>
      <c r="F33" s="712" t="s">
        <v>588</v>
      </c>
      <c r="G33" s="86"/>
      <c r="H33" s="86">
        <f>2700+'[1]táj.2.'!H33</f>
        <v>2700</v>
      </c>
      <c r="I33" s="86">
        <f>300+'[1]táj.2.'!I33</f>
        <v>300</v>
      </c>
      <c r="J33" s="86">
        <f>6500+'[1]táj.2.'!J33</f>
        <v>6500</v>
      </c>
      <c r="K33" s="86"/>
      <c r="L33" s="86"/>
      <c r="M33" s="86"/>
      <c r="N33" s="86"/>
      <c r="O33" s="86"/>
      <c r="P33" s="86"/>
      <c r="Q33" s="8">
        <f>SUM(G33:P33)</f>
        <v>9500</v>
      </c>
      <c r="S33" s="211"/>
    </row>
    <row r="34" spans="1:19" ht="13.5" customHeight="1">
      <c r="A34" s="87"/>
      <c r="B34" s="87"/>
      <c r="C34" s="220"/>
      <c r="D34" s="217" t="s">
        <v>1222</v>
      </c>
      <c r="E34" s="407"/>
      <c r="F34" s="235"/>
      <c r="G34" s="86"/>
      <c r="H34" s="15"/>
      <c r="I34" s="15"/>
      <c r="J34" s="15"/>
      <c r="K34" s="15"/>
      <c r="L34" s="15"/>
      <c r="M34" s="15"/>
      <c r="N34" s="15"/>
      <c r="O34" s="15"/>
      <c r="P34" s="15"/>
      <c r="Q34" s="8"/>
      <c r="S34" s="211"/>
    </row>
    <row r="35" spans="1:19" ht="13.5" customHeight="1">
      <c r="A35" s="87"/>
      <c r="B35" s="87"/>
      <c r="C35" s="220"/>
      <c r="D35" s="14" t="s">
        <v>656</v>
      </c>
      <c r="E35" s="407">
        <v>1</v>
      </c>
      <c r="F35" s="712">
        <v>121601</v>
      </c>
      <c r="G35" s="86"/>
      <c r="H35" s="86"/>
      <c r="I35" s="86">
        <f>400+'[1]táj.2.'!I35</f>
        <v>400</v>
      </c>
      <c r="J35" s="86"/>
      <c r="K35" s="86">
        <f>500+'[1]táj.2.'!K35</f>
        <v>500</v>
      </c>
      <c r="L35" s="86">
        <f>0+'[1]táj.2.'!L35</f>
        <v>0</v>
      </c>
      <c r="M35" s="86">
        <f>0+'[1]táj.2.'!M35</f>
        <v>0</v>
      </c>
      <c r="N35" s="86">
        <f>0+'[1]táj.2.'!N35</f>
        <v>0</v>
      </c>
      <c r="O35" s="86">
        <f>0+'[1]táj.2.'!O35</f>
        <v>0</v>
      </c>
      <c r="P35" s="86">
        <f>0+'[1]táj.2.'!P35</f>
        <v>0</v>
      </c>
      <c r="Q35" s="15">
        <f>SUM(G35:P35)</f>
        <v>900</v>
      </c>
      <c r="S35" s="211"/>
    </row>
    <row r="36" spans="1:19" ht="13.5">
      <c r="A36" s="91"/>
      <c r="B36" s="91"/>
      <c r="C36" s="221"/>
      <c r="D36" s="94" t="s">
        <v>221</v>
      </c>
      <c r="E36" s="95"/>
      <c r="F36" s="95"/>
      <c r="G36" s="92">
        <f aca="true" t="shared" si="0" ref="G36:L36">SUM(G5:G35)</f>
        <v>0</v>
      </c>
      <c r="H36" s="92">
        <f t="shared" si="0"/>
        <v>2700</v>
      </c>
      <c r="I36" s="92">
        <f t="shared" si="0"/>
        <v>21992</v>
      </c>
      <c r="J36" s="92">
        <f t="shared" si="0"/>
        <v>192280</v>
      </c>
      <c r="K36" s="92">
        <f t="shared" si="0"/>
        <v>2300</v>
      </c>
      <c r="L36" s="92">
        <f t="shared" si="0"/>
        <v>0</v>
      </c>
      <c r="M36" s="92"/>
      <c r="N36" s="92">
        <f>SUM(N5:N35)</f>
        <v>0</v>
      </c>
      <c r="O36" s="92"/>
      <c r="P36" s="92">
        <f>SUM(P5:P35)</f>
        <v>0</v>
      </c>
      <c r="Q36" s="92">
        <f>SUM(Q5:Q35)</f>
        <v>219272</v>
      </c>
      <c r="S36" s="211"/>
    </row>
    <row r="37" spans="1:17" ht="12">
      <c r="A37" s="87"/>
      <c r="B37" s="87"/>
      <c r="C37" s="220"/>
      <c r="D37" s="13" t="s">
        <v>1381</v>
      </c>
      <c r="E37" s="89"/>
      <c r="F37" s="715"/>
      <c r="G37" s="12"/>
      <c r="H37" s="12"/>
      <c r="I37" s="12"/>
      <c r="J37" s="12"/>
      <c r="K37" s="12"/>
      <c r="L37" s="12"/>
      <c r="M37" s="12"/>
      <c r="N37" s="93"/>
      <c r="O37" s="93"/>
      <c r="P37" s="93"/>
      <c r="Q37" s="12"/>
    </row>
    <row r="38" spans="1:17" ht="28.5" customHeight="1">
      <c r="A38" s="87"/>
      <c r="B38" s="87"/>
      <c r="C38" s="220" t="s">
        <v>1099</v>
      </c>
      <c r="D38" s="229" t="s">
        <v>837</v>
      </c>
      <c r="E38" s="12"/>
      <c r="F38" s="90">
        <v>121401</v>
      </c>
      <c r="G38" s="12"/>
      <c r="H38" s="12"/>
      <c r="I38" s="12"/>
      <c r="J38" s="12"/>
      <c r="K38" s="12"/>
      <c r="L38" s="12"/>
      <c r="M38" s="12"/>
      <c r="N38" s="12">
        <f>20000+'[1]táj.2.'!N38</f>
        <v>20000</v>
      </c>
      <c r="O38" s="12"/>
      <c r="P38" s="12"/>
      <c r="Q38" s="12">
        <f>SUM(G38:P38)</f>
        <v>20000</v>
      </c>
    </row>
    <row r="39" spans="1:17" ht="12">
      <c r="A39" s="87"/>
      <c r="B39" s="87"/>
      <c r="C39" s="220"/>
      <c r="D39" s="13" t="s">
        <v>647</v>
      </c>
      <c r="E39" s="12"/>
      <c r="F39" s="713"/>
      <c r="G39" s="12"/>
      <c r="H39" s="12"/>
      <c r="I39" s="12"/>
      <c r="J39" s="12"/>
      <c r="K39" s="12"/>
      <c r="L39" s="12"/>
      <c r="M39" s="12"/>
      <c r="N39" s="12"/>
      <c r="O39" s="93"/>
      <c r="P39" s="93"/>
      <c r="Q39" s="12"/>
    </row>
    <row r="40" spans="1:17" ht="24">
      <c r="A40" s="87"/>
      <c r="B40" s="87"/>
      <c r="C40" s="220" t="s">
        <v>854</v>
      </c>
      <c r="D40" s="185" t="s">
        <v>927</v>
      </c>
      <c r="E40" s="12"/>
      <c r="F40" s="90">
        <v>121402</v>
      </c>
      <c r="G40" s="12"/>
      <c r="H40" s="12"/>
      <c r="I40" s="12"/>
      <c r="J40" s="12"/>
      <c r="K40" s="12"/>
      <c r="L40" s="12"/>
      <c r="M40" s="12"/>
      <c r="N40" s="12">
        <f>22519+'[1]táj.2.'!N40</f>
        <v>22519</v>
      </c>
      <c r="O40" s="12"/>
      <c r="P40" s="12"/>
      <c r="Q40" s="12">
        <f>SUM(G40:P40)</f>
        <v>22519</v>
      </c>
    </row>
    <row r="41" spans="1:17" ht="24">
      <c r="A41" s="87"/>
      <c r="B41" s="87"/>
      <c r="C41" s="220" t="s">
        <v>855</v>
      </c>
      <c r="D41" s="716" t="s">
        <v>928</v>
      </c>
      <c r="E41" s="12"/>
      <c r="F41" s="90">
        <v>121404</v>
      </c>
      <c r="G41" s="12"/>
      <c r="H41" s="12"/>
      <c r="I41" s="12"/>
      <c r="J41" s="12"/>
      <c r="K41" s="12"/>
      <c r="L41" s="12">
        <f>30000+'[1]táj.2.'!L41</f>
        <v>30000</v>
      </c>
      <c r="M41" s="12"/>
      <c r="N41" s="12"/>
      <c r="O41" s="12"/>
      <c r="P41" s="12"/>
      <c r="Q41" s="12">
        <f>SUM(G41:P41)</f>
        <v>30000</v>
      </c>
    </row>
    <row r="42" spans="1:17" ht="13.5">
      <c r="A42" s="91"/>
      <c r="B42" s="91"/>
      <c r="C42" s="221"/>
      <c r="D42" s="94" t="s">
        <v>220</v>
      </c>
      <c r="E42" s="95"/>
      <c r="F42" s="95"/>
      <c r="G42" s="96">
        <f aca="true" t="shared" si="1" ref="G42:N42">SUM(G36:G41)</f>
        <v>0</v>
      </c>
      <c r="H42" s="96">
        <f t="shared" si="1"/>
        <v>2700</v>
      </c>
      <c r="I42" s="96">
        <f t="shared" si="1"/>
        <v>21992</v>
      </c>
      <c r="J42" s="96">
        <f t="shared" si="1"/>
        <v>192280</v>
      </c>
      <c r="K42" s="96">
        <f t="shared" si="1"/>
        <v>2300</v>
      </c>
      <c r="L42" s="96">
        <f t="shared" si="1"/>
        <v>30000</v>
      </c>
      <c r="M42" s="96">
        <f t="shared" si="1"/>
        <v>0</v>
      </c>
      <c r="N42" s="96">
        <f t="shared" si="1"/>
        <v>42519</v>
      </c>
      <c r="O42" s="96"/>
      <c r="P42" s="96">
        <f>SUM(P36:P41)</f>
        <v>0</v>
      </c>
      <c r="Q42" s="96">
        <f>SUM(Q36:Q41)</f>
        <v>291791</v>
      </c>
    </row>
    <row r="43" spans="1:17" ht="12">
      <c r="A43" s="87">
        <v>1</v>
      </c>
      <c r="B43" s="87">
        <v>13</v>
      </c>
      <c r="C43" s="87"/>
      <c r="D43" s="711" t="s">
        <v>212</v>
      </c>
      <c r="E43" s="93" t="s">
        <v>124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1:17" ht="12">
      <c r="A44" s="87"/>
      <c r="B44" s="87"/>
      <c r="C44" s="220"/>
      <c r="D44" s="717" t="s">
        <v>902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ht="12">
      <c r="A45" s="87"/>
      <c r="B45" s="87"/>
      <c r="C45" s="220"/>
      <c r="D45" s="88" t="s">
        <v>337</v>
      </c>
      <c r="E45" s="407"/>
      <c r="F45" s="235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5" customHeight="1">
      <c r="A46" s="87"/>
      <c r="B46" s="87"/>
      <c r="C46" s="220"/>
      <c r="D46" s="13" t="s">
        <v>1047</v>
      </c>
      <c r="E46" s="12">
        <v>2</v>
      </c>
      <c r="F46" s="90">
        <v>131112</v>
      </c>
      <c r="G46" s="12"/>
      <c r="H46" s="12"/>
      <c r="I46" s="12"/>
      <c r="J46" s="12">
        <f>4074+'[1]táj.2.'!J46</f>
        <v>4074</v>
      </c>
      <c r="K46" s="12"/>
      <c r="L46" s="12"/>
      <c r="M46" s="12"/>
      <c r="N46" s="12"/>
      <c r="O46" s="12"/>
      <c r="P46" s="12"/>
      <c r="Q46" s="12">
        <f>SUM(G46:P46)</f>
        <v>4074</v>
      </c>
    </row>
    <row r="47" spans="1:17" ht="15" customHeight="1">
      <c r="A47" s="87"/>
      <c r="B47" s="87"/>
      <c r="C47" s="220"/>
      <c r="D47" s="162" t="s">
        <v>242</v>
      </c>
      <c r="E47" s="12">
        <v>2</v>
      </c>
      <c r="F47" s="90">
        <v>131123</v>
      </c>
      <c r="G47" s="12"/>
      <c r="H47" s="12"/>
      <c r="I47" s="12"/>
      <c r="J47" s="12"/>
      <c r="K47" s="12">
        <f>4500+'[1]táj.2.'!K47</f>
        <v>4500</v>
      </c>
      <c r="L47" s="12"/>
      <c r="M47" s="12"/>
      <c r="N47" s="12"/>
      <c r="O47" s="12"/>
      <c r="P47" s="12"/>
      <c r="Q47" s="12">
        <f>SUM(G47:P47)</f>
        <v>4500</v>
      </c>
    </row>
    <row r="48" spans="1:17" ht="15" customHeight="1">
      <c r="A48" s="87"/>
      <c r="B48" s="87"/>
      <c r="C48" s="220"/>
      <c r="D48" s="162" t="s">
        <v>141</v>
      </c>
      <c r="E48" s="12">
        <v>2</v>
      </c>
      <c r="F48" s="90">
        <v>131122</v>
      </c>
      <c r="G48" s="12">
        <f>750+'[1]táj.2.'!G48</f>
        <v>750</v>
      </c>
      <c r="H48" s="12">
        <f>203+'[1]táj.2.'!H48</f>
        <v>203</v>
      </c>
      <c r="I48" s="12">
        <f>297+'[1]táj.2.'!I48</f>
        <v>297</v>
      </c>
      <c r="J48" s="12"/>
      <c r="K48" s="12">
        <f>250+'[1]táj.2.'!K48</f>
        <v>250</v>
      </c>
      <c r="L48" s="12"/>
      <c r="M48" s="12"/>
      <c r="N48" s="12"/>
      <c r="O48" s="12"/>
      <c r="P48" s="12"/>
      <c r="Q48" s="12">
        <f>SUM(G48:P48)</f>
        <v>1500</v>
      </c>
    </row>
    <row r="49" spans="1:17" ht="22.5" customHeight="1">
      <c r="A49" s="87"/>
      <c r="B49" s="87"/>
      <c r="C49" s="220"/>
      <c r="D49" s="162" t="s">
        <v>1223</v>
      </c>
      <c r="E49" s="12"/>
      <c r="F49" s="713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24.75" customHeight="1">
      <c r="A50" s="87"/>
      <c r="B50" s="87"/>
      <c r="C50" s="220"/>
      <c r="D50" s="162" t="s">
        <v>359</v>
      </c>
      <c r="E50" s="12">
        <v>2</v>
      </c>
      <c r="F50" s="90">
        <v>131110</v>
      </c>
      <c r="G50" s="12"/>
      <c r="H50" s="12"/>
      <c r="I50" s="12"/>
      <c r="J50" s="12"/>
      <c r="K50" s="12">
        <f>4500+'[1]táj.2.'!K50</f>
        <v>4500</v>
      </c>
      <c r="L50" s="12"/>
      <c r="M50" s="12"/>
      <c r="N50" s="12"/>
      <c r="O50" s="12"/>
      <c r="P50" s="12"/>
      <c r="Q50" s="12">
        <f>SUM(G50:P50)</f>
        <v>4500</v>
      </c>
    </row>
    <row r="51" spans="1:17" ht="12" customHeight="1">
      <c r="A51" s="87"/>
      <c r="B51" s="87"/>
      <c r="C51" s="220"/>
      <c r="D51" s="162" t="s">
        <v>337</v>
      </c>
      <c r="E51" s="12"/>
      <c r="F51" s="71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4.25" customHeight="1">
      <c r="A52" s="87"/>
      <c r="B52" s="87"/>
      <c r="C52" s="220"/>
      <c r="D52" s="14" t="s">
        <v>8</v>
      </c>
      <c r="E52" s="12">
        <v>2</v>
      </c>
      <c r="F52" s="90">
        <v>131107</v>
      </c>
      <c r="G52" s="12"/>
      <c r="H52" s="12"/>
      <c r="I52" s="12"/>
      <c r="J52" s="12"/>
      <c r="K52" s="12">
        <f>72000+'[1]táj.2.'!K52</f>
        <v>72000</v>
      </c>
      <c r="L52" s="12"/>
      <c r="M52" s="12"/>
      <c r="N52" s="12"/>
      <c r="O52" s="12"/>
      <c r="P52" s="12"/>
      <c r="Q52" s="15">
        <f>SUM(G52:P52)</f>
        <v>72000</v>
      </c>
    </row>
    <row r="53" spans="1:17" ht="14.25" customHeight="1">
      <c r="A53" s="87"/>
      <c r="B53" s="87"/>
      <c r="C53" s="220"/>
      <c r="D53" s="14" t="s">
        <v>336</v>
      </c>
      <c r="E53" s="12"/>
      <c r="F53" s="713"/>
      <c r="G53" s="12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24.75" customHeight="1">
      <c r="A54" s="87"/>
      <c r="B54" s="87"/>
      <c r="C54" s="220"/>
      <c r="D54" s="213" t="s">
        <v>660</v>
      </c>
      <c r="E54" s="12">
        <v>2</v>
      </c>
      <c r="F54" s="90">
        <v>131115</v>
      </c>
      <c r="G54" s="12"/>
      <c r="H54" s="12"/>
      <c r="I54" s="12"/>
      <c r="J54" s="12"/>
      <c r="K54" s="12">
        <f>1687+'[1]táj.2.'!K54</f>
        <v>1687</v>
      </c>
      <c r="L54" s="12"/>
      <c r="M54" s="12"/>
      <c r="N54" s="12"/>
      <c r="O54" s="12"/>
      <c r="P54" s="12"/>
      <c r="Q54" s="15">
        <f>SUM(G54:P54)</f>
        <v>1687</v>
      </c>
    </row>
    <row r="55" spans="1:17" ht="15" customHeight="1">
      <c r="A55" s="87"/>
      <c r="B55" s="87"/>
      <c r="C55" s="220"/>
      <c r="D55" s="214" t="s">
        <v>903</v>
      </c>
      <c r="E55" s="408"/>
      <c r="F55" s="718"/>
      <c r="G55" s="12"/>
      <c r="H55" s="15"/>
      <c r="I55" s="15"/>
      <c r="J55" s="12"/>
      <c r="K55" s="12"/>
      <c r="L55" s="15"/>
      <c r="M55" s="15"/>
      <c r="N55" s="15"/>
      <c r="O55" s="15"/>
      <c r="P55" s="15"/>
      <c r="Q55" s="15"/>
    </row>
    <row r="56" spans="1:17" ht="24.75" customHeight="1">
      <c r="A56" s="87"/>
      <c r="B56" s="87"/>
      <c r="C56" s="220"/>
      <c r="D56" s="162" t="s">
        <v>1224</v>
      </c>
      <c r="E56" s="409"/>
      <c r="F56" s="719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2" customHeight="1">
      <c r="A57" s="87"/>
      <c r="B57" s="87"/>
      <c r="C57" s="220"/>
      <c r="D57" s="13" t="s">
        <v>1277</v>
      </c>
      <c r="E57" s="12">
        <v>2</v>
      </c>
      <c r="F57" s="90">
        <v>131101</v>
      </c>
      <c r="G57" s="12"/>
      <c r="H57" s="12"/>
      <c r="I57" s="12">
        <f>2002+'[1]táj.2.'!I57</f>
        <v>2002</v>
      </c>
      <c r="J57" s="12"/>
      <c r="K57" s="12">
        <f>120+'[1]táj.2.'!K57</f>
        <v>120</v>
      </c>
      <c r="L57" s="12"/>
      <c r="M57" s="12"/>
      <c r="N57" s="12"/>
      <c r="O57" s="12"/>
      <c r="P57" s="12"/>
      <c r="Q57" s="12">
        <f>SUM(G57:P57)</f>
        <v>2122</v>
      </c>
    </row>
    <row r="58" spans="1:17" ht="12" customHeight="1">
      <c r="A58" s="87"/>
      <c r="B58" s="87"/>
      <c r="C58" s="220"/>
      <c r="D58" s="13" t="s">
        <v>360</v>
      </c>
      <c r="E58" s="12">
        <v>2</v>
      </c>
      <c r="F58" s="90">
        <v>131102</v>
      </c>
      <c r="G58" s="12"/>
      <c r="H58" s="12"/>
      <c r="I58" s="12">
        <f>1000+'[1]táj.2.'!I58</f>
        <v>1000</v>
      </c>
      <c r="J58" s="12"/>
      <c r="K58" s="12"/>
      <c r="L58" s="12"/>
      <c r="M58" s="12"/>
      <c r="N58" s="12"/>
      <c r="O58" s="12"/>
      <c r="P58" s="12"/>
      <c r="Q58" s="12">
        <f>SUM(G58:P58)</f>
        <v>1000</v>
      </c>
    </row>
    <row r="59" spans="1:17" ht="12" customHeight="1">
      <c r="A59" s="87"/>
      <c r="B59" s="87"/>
      <c r="C59" s="220"/>
      <c r="D59" s="13" t="s">
        <v>700</v>
      </c>
      <c r="E59" s="12">
        <v>2</v>
      </c>
      <c r="F59" s="90">
        <v>131205</v>
      </c>
      <c r="G59" s="12"/>
      <c r="H59" s="12"/>
      <c r="I59" s="12"/>
      <c r="J59" s="12"/>
      <c r="K59" s="12">
        <f>1000+'[1]táj.2.'!K59</f>
        <v>1000</v>
      </c>
      <c r="L59" s="12"/>
      <c r="M59" s="12"/>
      <c r="N59" s="12"/>
      <c r="O59" s="12"/>
      <c r="P59" s="12"/>
      <c r="Q59" s="12">
        <f>SUM(G59:P59)</f>
        <v>1000</v>
      </c>
    </row>
    <row r="60" spans="1:17" ht="12" customHeight="1">
      <c r="A60" s="87"/>
      <c r="B60" s="87"/>
      <c r="C60" s="220"/>
      <c r="D60" s="13" t="s">
        <v>361</v>
      </c>
      <c r="E60" s="12">
        <v>2</v>
      </c>
      <c r="F60" s="90">
        <v>131206</v>
      </c>
      <c r="G60" s="12"/>
      <c r="H60" s="12"/>
      <c r="I60" s="12"/>
      <c r="J60" s="12"/>
      <c r="K60" s="12">
        <f>900+'[1]táj.2.'!K60</f>
        <v>900</v>
      </c>
      <c r="L60" s="12"/>
      <c r="M60" s="12"/>
      <c r="N60" s="12"/>
      <c r="O60" s="12"/>
      <c r="P60" s="12"/>
      <c r="Q60" s="12">
        <f>SUM(G60:P60)</f>
        <v>900</v>
      </c>
    </row>
    <row r="61" spans="1:17" ht="12" customHeight="1">
      <c r="A61" s="87"/>
      <c r="B61" s="87"/>
      <c r="C61" s="220"/>
      <c r="D61" s="88" t="s">
        <v>826</v>
      </c>
      <c r="E61" s="12">
        <v>2</v>
      </c>
      <c r="F61" s="90">
        <v>131209</v>
      </c>
      <c r="G61" s="12"/>
      <c r="H61" s="12"/>
      <c r="I61" s="12">
        <f>1029+'[1]táj.2.'!I61</f>
        <v>1029</v>
      </c>
      <c r="J61" s="12"/>
      <c r="K61" s="12">
        <f>300+'[1]táj.2.'!K61</f>
        <v>300</v>
      </c>
      <c r="L61" s="12"/>
      <c r="M61" s="12"/>
      <c r="N61" s="12"/>
      <c r="O61" s="12"/>
      <c r="P61" s="12"/>
      <c r="Q61" s="12">
        <f>SUM(G61:P61)</f>
        <v>1329</v>
      </c>
    </row>
    <row r="62" spans="1:17" ht="12" customHeight="1">
      <c r="A62" s="87"/>
      <c r="B62" s="87"/>
      <c r="C62" s="220"/>
      <c r="D62" s="13" t="s">
        <v>336</v>
      </c>
      <c r="E62" s="12"/>
      <c r="F62" s="713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2" customHeight="1">
      <c r="A63" s="87"/>
      <c r="B63" s="87"/>
      <c r="C63" s="220"/>
      <c r="D63" s="88" t="s">
        <v>677</v>
      </c>
      <c r="E63" s="12">
        <v>2</v>
      </c>
      <c r="F63" s="90">
        <v>131101</v>
      </c>
      <c r="G63" s="12"/>
      <c r="H63" s="12"/>
      <c r="I63" s="12"/>
      <c r="J63" s="12">
        <f>15000+'[1]táj.2.'!J63</f>
        <v>15000</v>
      </c>
      <c r="K63" s="12"/>
      <c r="L63" s="12"/>
      <c r="M63" s="12"/>
      <c r="N63" s="12"/>
      <c r="O63" s="12"/>
      <c r="P63" s="12"/>
      <c r="Q63" s="12">
        <f>SUM(G63:P63)</f>
        <v>15000</v>
      </c>
    </row>
    <row r="64" spans="1:17" ht="12" customHeight="1">
      <c r="A64" s="87"/>
      <c r="B64" s="87"/>
      <c r="C64" s="220"/>
      <c r="D64" s="88" t="s">
        <v>338</v>
      </c>
      <c r="E64" s="12"/>
      <c r="F64" s="713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2" customHeight="1">
      <c r="A65" s="87"/>
      <c r="B65" s="87"/>
      <c r="C65" s="220"/>
      <c r="D65" s="13" t="s">
        <v>827</v>
      </c>
      <c r="E65" s="12">
        <v>2</v>
      </c>
      <c r="F65" s="90">
        <v>131120</v>
      </c>
      <c r="G65" s="12">
        <f>102+'[1]táj.2.'!G65</f>
        <v>102</v>
      </c>
      <c r="H65" s="12">
        <f>52+'[1]táj.2.'!H65</f>
        <v>52</v>
      </c>
      <c r="I65" s="12">
        <f>587+'[1]táj.2.'!I65</f>
        <v>587</v>
      </c>
      <c r="J65" s="12"/>
      <c r="K65" s="12"/>
      <c r="L65" s="12"/>
      <c r="M65" s="12"/>
      <c r="N65" s="12"/>
      <c r="O65" s="12"/>
      <c r="P65" s="12"/>
      <c r="Q65" s="12">
        <f>SUM(G65:P65)</f>
        <v>741</v>
      </c>
    </row>
    <row r="66" spans="1:17" ht="12" customHeight="1">
      <c r="A66" s="87"/>
      <c r="B66" s="87"/>
      <c r="C66" s="220"/>
      <c r="D66" s="13" t="s">
        <v>339</v>
      </c>
      <c r="E66" s="407"/>
      <c r="F66" s="235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2" customHeight="1">
      <c r="A67" s="87"/>
      <c r="B67" s="87"/>
      <c r="C67" s="220"/>
      <c r="D67" s="13" t="s">
        <v>1245</v>
      </c>
      <c r="E67" s="12">
        <v>1</v>
      </c>
      <c r="F67" s="90">
        <v>131303</v>
      </c>
      <c r="G67" s="12"/>
      <c r="H67" s="12"/>
      <c r="I67" s="12">
        <f>2370+'[1]táj.2.'!I67</f>
        <v>1600</v>
      </c>
      <c r="J67" s="12"/>
      <c r="K67" s="12">
        <f>1130+'[1]táj.2.'!K67</f>
        <v>1900</v>
      </c>
      <c r="L67" s="12"/>
      <c r="M67" s="12"/>
      <c r="N67" s="12"/>
      <c r="O67" s="12"/>
      <c r="P67" s="12"/>
      <c r="Q67" s="12">
        <f aca="true" t="shared" si="2" ref="Q67:Q85">SUM(G67:P67)</f>
        <v>3500</v>
      </c>
    </row>
    <row r="68" spans="1:17" ht="12" customHeight="1">
      <c r="A68" s="87"/>
      <c r="B68" s="87"/>
      <c r="C68" s="220"/>
      <c r="D68" s="13" t="s">
        <v>1043</v>
      </c>
      <c r="E68" s="12">
        <v>2</v>
      </c>
      <c r="F68" s="90">
        <v>131302</v>
      </c>
      <c r="G68" s="12"/>
      <c r="H68" s="12"/>
      <c r="I68" s="12"/>
      <c r="J68" s="12"/>
      <c r="K68" s="12">
        <f>360+'[1]táj.2.'!K68</f>
        <v>360</v>
      </c>
      <c r="L68" s="12"/>
      <c r="M68" s="12"/>
      <c r="N68" s="12"/>
      <c r="O68" s="12"/>
      <c r="P68" s="12"/>
      <c r="Q68" s="12">
        <f t="shared" si="2"/>
        <v>360</v>
      </c>
    </row>
    <row r="69" spans="1:17" ht="12" customHeight="1">
      <c r="A69" s="87"/>
      <c r="B69" s="87"/>
      <c r="C69" s="220"/>
      <c r="D69" s="13" t="s">
        <v>142</v>
      </c>
      <c r="E69" s="12">
        <v>2</v>
      </c>
      <c r="F69" s="90">
        <v>131305</v>
      </c>
      <c r="G69" s="12"/>
      <c r="H69" s="12"/>
      <c r="I69" s="12"/>
      <c r="J69" s="12"/>
      <c r="K69" s="12">
        <f>900+'[1]táj.2.'!K69</f>
        <v>900</v>
      </c>
      <c r="L69" s="12"/>
      <c r="M69" s="12"/>
      <c r="N69" s="12"/>
      <c r="O69" s="12"/>
      <c r="P69" s="12"/>
      <c r="Q69" s="12">
        <f t="shared" si="2"/>
        <v>900</v>
      </c>
    </row>
    <row r="70" spans="1:17" ht="13.5" customHeight="1">
      <c r="A70" s="87"/>
      <c r="B70" s="87"/>
      <c r="C70" s="220"/>
      <c r="D70" s="196" t="s">
        <v>858</v>
      </c>
      <c r="E70" s="12">
        <v>2</v>
      </c>
      <c r="F70" s="90">
        <v>131325</v>
      </c>
      <c r="G70" s="12"/>
      <c r="H70" s="12"/>
      <c r="I70" s="12">
        <f>616+'[1]táj.2.'!I70</f>
        <v>616</v>
      </c>
      <c r="J70" s="12"/>
      <c r="K70" s="12"/>
      <c r="L70" s="12"/>
      <c r="M70" s="12"/>
      <c r="N70" s="12"/>
      <c r="O70" s="12"/>
      <c r="P70" s="12"/>
      <c r="Q70" s="12">
        <f t="shared" si="2"/>
        <v>616</v>
      </c>
    </row>
    <row r="71" spans="1:17" ht="24" customHeight="1">
      <c r="A71" s="87"/>
      <c r="B71" s="87"/>
      <c r="C71" s="220"/>
      <c r="D71" s="196" t="s">
        <v>543</v>
      </c>
      <c r="E71" s="12">
        <v>2</v>
      </c>
      <c r="F71" s="90">
        <v>131308</v>
      </c>
      <c r="G71" s="12"/>
      <c r="H71" s="12"/>
      <c r="I71" s="12"/>
      <c r="J71" s="12"/>
      <c r="K71" s="12">
        <f>6000+'[1]táj.2.'!K71</f>
        <v>6000</v>
      </c>
      <c r="L71" s="12"/>
      <c r="M71" s="12"/>
      <c r="N71" s="12"/>
      <c r="O71" s="12"/>
      <c r="P71" s="12"/>
      <c r="Q71" s="12">
        <f t="shared" si="2"/>
        <v>6000</v>
      </c>
    </row>
    <row r="72" spans="1:17" ht="13.5" customHeight="1">
      <c r="A72" s="87"/>
      <c r="B72" s="87"/>
      <c r="C72" s="220"/>
      <c r="D72" s="196" t="s">
        <v>125</v>
      </c>
      <c r="E72" s="12">
        <v>2</v>
      </c>
      <c r="F72" s="90">
        <v>131505</v>
      </c>
      <c r="G72" s="12"/>
      <c r="H72" s="12"/>
      <c r="I72" s="12">
        <f>600+'[1]táj.2.'!I72</f>
        <v>600</v>
      </c>
      <c r="J72" s="12"/>
      <c r="K72" s="12"/>
      <c r="L72" s="12"/>
      <c r="M72" s="12"/>
      <c r="N72" s="12"/>
      <c r="O72" s="12"/>
      <c r="P72" s="12"/>
      <c r="Q72" s="12">
        <f t="shared" si="2"/>
        <v>600</v>
      </c>
    </row>
    <row r="73" spans="1:17" ht="12" customHeight="1">
      <c r="A73" s="87"/>
      <c r="B73" s="87"/>
      <c r="C73" s="220"/>
      <c r="D73" s="13" t="s">
        <v>1044</v>
      </c>
      <c r="E73" s="12">
        <v>2</v>
      </c>
      <c r="F73" s="90">
        <v>131306</v>
      </c>
      <c r="G73" s="12"/>
      <c r="H73" s="12"/>
      <c r="I73" s="12"/>
      <c r="J73" s="12"/>
      <c r="K73" s="12">
        <f>540+'[1]táj.2.'!K73</f>
        <v>540</v>
      </c>
      <c r="L73" s="12"/>
      <c r="M73" s="12"/>
      <c r="N73" s="12"/>
      <c r="O73" s="12"/>
      <c r="P73" s="12"/>
      <c r="Q73" s="12">
        <f t="shared" si="2"/>
        <v>540</v>
      </c>
    </row>
    <row r="74" spans="1:17" ht="12" customHeight="1">
      <c r="A74" s="87"/>
      <c r="B74" s="87"/>
      <c r="C74" s="220"/>
      <c r="D74" s="196" t="s">
        <v>398</v>
      </c>
      <c r="E74" s="12">
        <v>2</v>
      </c>
      <c r="F74" s="90">
        <v>131121</v>
      </c>
      <c r="G74" s="12"/>
      <c r="H74" s="12"/>
      <c r="I74" s="12"/>
      <c r="J74" s="12"/>
      <c r="K74" s="12">
        <f>50000+'[1]táj.2.'!K74</f>
        <v>50000</v>
      </c>
      <c r="L74" s="12"/>
      <c r="M74" s="12"/>
      <c r="N74" s="12"/>
      <c r="O74" s="12"/>
      <c r="P74" s="12"/>
      <c r="Q74" s="12">
        <f t="shared" si="2"/>
        <v>50000</v>
      </c>
    </row>
    <row r="75" spans="1:17" ht="12" customHeight="1">
      <c r="A75" s="87"/>
      <c r="B75" s="87"/>
      <c r="C75" s="220"/>
      <c r="D75" s="162" t="s">
        <v>829</v>
      </c>
      <c r="E75" s="12">
        <v>2</v>
      </c>
      <c r="F75" s="90">
        <v>131501</v>
      </c>
      <c r="G75" s="12"/>
      <c r="H75" s="12"/>
      <c r="I75" s="12"/>
      <c r="J75" s="12"/>
      <c r="K75" s="12">
        <f>300+'[1]táj.2.'!K75</f>
        <v>300</v>
      </c>
      <c r="L75" s="12"/>
      <c r="M75" s="12"/>
      <c r="N75" s="12"/>
      <c r="O75" s="12"/>
      <c r="P75" s="12"/>
      <c r="Q75" s="12">
        <f t="shared" si="2"/>
        <v>300</v>
      </c>
    </row>
    <row r="76" spans="1:17" ht="12" customHeight="1">
      <c r="A76" s="87"/>
      <c r="B76" s="87"/>
      <c r="C76" s="220"/>
      <c r="D76" s="162" t="s">
        <v>362</v>
      </c>
      <c r="E76" s="12">
        <v>2</v>
      </c>
      <c r="F76" s="90">
        <v>131307</v>
      </c>
      <c r="G76" s="12"/>
      <c r="H76" s="12"/>
      <c r="I76" s="12"/>
      <c r="J76" s="12"/>
      <c r="K76" s="12">
        <f>720+'[1]táj.2.'!K76</f>
        <v>720</v>
      </c>
      <c r="L76" s="12"/>
      <c r="M76" s="12"/>
      <c r="N76" s="12"/>
      <c r="O76" s="12"/>
      <c r="P76" s="12"/>
      <c r="Q76" s="12">
        <f t="shared" si="2"/>
        <v>720</v>
      </c>
    </row>
    <row r="77" spans="1:17" ht="12" customHeight="1">
      <c r="A77" s="87"/>
      <c r="B77" s="87"/>
      <c r="C77" s="220"/>
      <c r="D77" s="196" t="s">
        <v>828</v>
      </c>
      <c r="E77" s="12">
        <v>1</v>
      </c>
      <c r="F77" s="90">
        <v>131322</v>
      </c>
      <c r="G77" s="12"/>
      <c r="H77" s="12"/>
      <c r="I77" s="12">
        <f>67+'[1]táj.2.'!I77</f>
        <v>67</v>
      </c>
      <c r="J77" s="12"/>
      <c r="K77" s="12"/>
      <c r="L77" s="12"/>
      <c r="M77" s="12"/>
      <c r="N77" s="12"/>
      <c r="O77" s="12"/>
      <c r="P77" s="12"/>
      <c r="Q77" s="12">
        <f t="shared" si="2"/>
        <v>67</v>
      </c>
    </row>
    <row r="78" spans="1:17" ht="12" customHeight="1">
      <c r="A78" s="87"/>
      <c r="B78" s="87"/>
      <c r="C78" s="220"/>
      <c r="D78" s="196" t="s">
        <v>41</v>
      </c>
      <c r="E78" s="12">
        <v>2</v>
      </c>
      <c r="F78" s="90">
        <v>131323</v>
      </c>
      <c r="G78" s="12"/>
      <c r="H78" s="12"/>
      <c r="I78" s="12"/>
      <c r="J78" s="12"/>
      <c r="K78" s="12">
        <f>450+'[1]táj.2.'!K78</f>
        <v>450</v>
      </c>
      <c r="L78" s="12"/>
      <c r="M78" s="12"/>
      <c r="N78" s="12"/>
      <c r="O78" s="12"/>
      <c r="P78" s="12"/>
      <c r="Q78" s="12">
        <f t="shared" si="2"/>
        <v>450</v>
      </c>
    </row>
    <row r="79" spans="1:17" ht="12" customHeight="1">
      <c r="A79" s="87"/>
      <c r="B79" s="87"/>
      <c r="C79" s="220"/>
      <c r="D79" s="162" t="s">
        <v>113</v>
      </c>
      <c r="E79" s="12">
        <v>2</v>
      </c>
      <c r="F79" s="90">
        <v>131326</v>
      </c>
      <c r="G79" s="12"/>
      <c r="H79" s="12"/>
      <c r="I79" s="12"/>
      <c r="J79" s="12"/>
      <c r="K79" s="12">
        <f>1200+'[1]táj.2.'!K79</f>
        <v>1200</v>
      </c>
      <c r="L79" s="12"/>
      <c r="M79" s="12"/>
      <c r="N79" s="12"/>
      <c r="O79" s="12"/>
      <c r="P79" s="12"/>
      <c r="Q79" s="12">
        <f t="shared" si="2"/>
        <v>1200</v>
      </c>
    </row>
    <row r="80" spans="1:17" ht="12" customHeight="1">
      <c r="A80" s="87"/>
      <c r="B80" s="87"/>
      <c r="C80" s="220"/>
      <c r="D80" s="162" t="s">
        <v>144</v>
      </c>
      <c r="E80" s="12">
        <v>2</v>
      </c>
      <c r="F80" s="90">
        <v>131314</v>
      </c>
      <c r="G80" s="12"/>
      <c r="H80" s="12"/>
      <c r="I80" s="12"/>
      <c r="J80" s="12"/>
      <c r="K80" s="12">
        <f>1800+'[1]táj.2.'!K80</f>
        <v>1800</v>
      </c>
      <c r="L80" s="12"/>
      <c r="M80" s="12"/>
      <c r="N80" s="12"/>
      <c r="O80" s="12"/>
      <c r="P80" s="12"/>
      <c r="Q80" s="12">
        <f t="shared" si="2"/>
        <v>1800</v>
      </c>
    </row>
    <row r="81" spans="1:17" ht="12" customHeight="1">
      <c r="A81" s="87"/>
      <c r="B81" s="87"/>
      <c r="C81" s="220"/>
      <c r="D81" s="162" t="s">
        <v>145</v>
      </c>
      <c r="E81" s="12">
        <v>2</v>
      </c>
      <c r="F81" s="90">
        <v>131135</v>
      </c>
      <c r="G81" s="12"/>
      <c r="H81" s="12"/>
      <c r="I81" s="12"/>
      <c r="J81" s="12"/>
      <c r="K81" s="12">
        <f>2500+'[1]táj.2.'!K81</f>
        <v>2500</v>
      </c>
      <c r="L81" s="12"/>
      <c r="M81" s="12"/>
      <c r="N81" s="12"/>
      <c r="O81" s="12"/>
      <c r="P81" s="12"/>
      <c r="Q81" s="12">
        <f t="shared" si="2"/>
        <v>2500</v>
      </c>
    </row>
    <row r="82" spans="1:17" ht="12" customHeight="1">
      <c r="A82" s="87"/>
      <c r="B82" s="87"/>
      <c r="C82" s="220"/>
      <c r="D82" s="162" t="s">
        <v>146</v>
      </c>
      <c r="E82" s="12">
        <v>2</v>
      </c>
      <c r="F82" s="90">
        <v>131136</v>
      </c>
      <c r="G82" s="12"/>
      <c r="H82" s="12"/>
      <c r="I82" s="12"/>
      <c r="J82" s="12"/>
      <c r="K82" s="12">
        <f>721+'[1]táj.2.'!K82</f>
        <v>721</v>
      </c>
      <c r="L82" s="12"/>
      <c r="M82" s="12"/>
      <c r="N82" s="12"/>
      <c r="O82" s="12"/>
      <c r="P82" s="12"/>
      <c r="Q82" s="12">
        <f t="shared" si="2"/>
        <v>721</v>
      </c>
    </row>
    <row r="83" spans="1:17" ht="12" customHeight="1">
      <c r="A83" s="87"/>
      <c r="B83" s="87"/>
      <c r="C83" s="220"/>
      <c r="D83" s="162" t="s">
        <v>697</v>
      </c>
      <c r="E83" s="12">
        <v>2</v>
      </c>
      <c r="F83" s="90">
        <v>131137</v>
      </c>
      <c r="G83" s="12"/>
      <c r="H83" s="12"/>
      <c r="I83" s="12"/>
      <c r="J83" s="12"/>
      <c r="K83" s="12">
        <f>500+'[1]táj.2.'!K83</f>
        <v>500</v>
      </c>
      <c r="L83" s="12"/>
      <c r="M83" s="12"/>
      <c r="N83" s="12"/>
      <c r="O83" s="12"/>
      <c r="P83" s="12"/>
      <c r="Q83" s="12">
        <f t="shared" si="2"/>
        <v>500</v>
      </c>
    </row>
    <row r="84" spans="1:17" ht="12" customHeight="1">
      <c r="A84" s="87"/>
      <c r="B84" s="87"/>
      <c r="C84" s="220"/>
      <c r="D84" s="162" t="s">
        <v>126</v>
      </c>
      <c r="E84" s="12">
        <v>2</v>
      </c>
      <c r="F84" s="90">
        <v>131138</v>
      </c>
      <c r="G84" s="12"/>
      <c r="H84" s="12"/>
      <c r="I84" s="12"/>
      <c r="J84" s="12"/>
      <c r="K84" s="12">
        <f>2500+'[1]táj.2.'!K84</f>
        <v>2500</v>
      </c>
      <c r="L84" s="12"/>
      <c r="M84" s="12"/>
      <c r="N84" s="12"/>
      <c r="O84" s="12"/>
      <c r="P84" s="12"/>
      <c r="Q84" s="12">
        <f t="shared" si="2"/>
        <v>2500</v>
      </c>
    </row>
    <row r="85" spans="1:17" ht="12" customHeight="1">
      <c r="A85" s="87"/>
      <c r="B85" s="87"/>
      <c r="C85" s="220"/>
      <c r="D85" s="162" t="s">
        <v>698</v>
      </c>
      <c r="E85" s="12">
        <v>2</v>
      </c>
      <c r="F85" s="90">
        <v>131139</v>
      </c>
      <c r="G85" s="12"/>
      <c r="H85" s="12"/>
      <c r="I85" s="12"/>
      <c r="J85" s="12"/>
      <c r="K85" s="12">
        <f>500+'[1]táj.2.'!K85</f>
        <v>500</v>
      </c>
      <c r="L85" s="12"/>
      <c r="M85" s="12"/>
      <c r="N85" s="12"/>
      <c r="O85" s="12"/>
      <c r="P85" s="12"/>
      <c r="Q85" s="12">
        <f t="shared" si="2"/>
        <v>500</v>
      </c>
    </row>
    <row r="86" spans="1:17" ht="12" customHeight="1">
      <c r="A86" s="87"/>
      <c r="B86" s="87"/>
      <c r="C86" s="220"/>
      <c r="D86" s="13" t="s">
        <v>63</v>
      </c>
      <c r="E86" s="407"/>
      <c r="F86" s="23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ht="24.75" customHeight="1">
      <c r="A87" s="87"/>
      <c r="B87" s="87"/>
      <c r="C87" s="220"/>
      <c r="D87" s="196" t="s">
        <v>1045</v>
      </c>
      <c r="E87" s="407">
        <v>2</v>
      </c>
      <c r="F87" s="90">
        <v>131135</v>
      </c>
      <c r="G87" s="12"/>
      <c r="H87" s="12"/>
      <c r="I87" s="12"/>
      <c r="J87" s="12"/>
      <c r="K87" s="12">
        <f>2250+'[1]táj.2.'!K87</f>
        <v>2250</v>
      </c>
      <c r="L87" s="12"/>
      <c r="M87" s="12"/>
      <c r="N87" s="12"/>
      <c r="O87" s="12"/>
      <c r="P87" s="12"/>
      <c r="Q87" s="12">
        <f aca="true" t="shared" si="3" ref="Q87:Q92">SUM(G87:P87)</f>
        <v>2250</v>
      </c>
    </row>
    <row r="88" spans="1:17" ht="12" customHeight="1">
      <c r="A88" s="87"/>
      <c r="B88" s="87"/>
      <c r="C88" s="222"/>
      <c r="D88" s="98" t="s">
        <v>1046</v>
      </c>
      <c r="E88" s="407">
        <v>2</v>
      </c>
      <c r="F88" s="90">
        <v>131136</v>
      </c>
      <c r="G88" s="12"/>
      <c r="H88" s="12"/>
      <c r="I88" s="12"/>
      <c r="J88" s="12"/>
      <c r="K88" s="12">
        <f>5000+'[1]táj.2.'!K88</f>
        <v>5000</v>
      </c>
      <c r="L88" s="12"/>
      <c r="M88" s="12"/>
      <c r="N88" s="12"/>
      <c r="O88" s="12"/>
      <c r="P88" s="12"/>
      <c r="Q88" s="12">
        <f t="shared" si="3"/>
        <v>5000</v>
      </c>
    </row>
    <row r="89" spans="1:17" ht="12" customHeight="1">
      <c r="A89" s="87"/>
      <c r="B89" s="87"/>
      <c r="C89" s="220"/>
      <c r="D89" s="13" t="s">
        <v>1278</v>
      </c>
      <c r="E89" s="407">
        <v>2</v>
      </c>
      <c r="F89" s="90">
        <v>131137</v>
      </c>
      <c r="G89" s="12"/>
      <c r="H89" s="12"/>
      <c r="I89" s="12"/>
      <c r="J89" s="12"/>
      <c r="K89" s="12">
        <f>10000+'[1]táj.2.'!K89</f>
        <v>10000</v>
      </c>
      <c r="L89" s="12"/>
      <c r="M89" s="12"/>
      <c r="N89" s="12"/>
      <c r="O89" s="12"/>
      <c r="P89" s="12"/>
      <c r="Q89" s="12">
        <f t="shared" si="3"/>
        <v>10000</v>
      </c>
    </row>
    <row r="90" spans="1:17" ht="12" customHeight="1">
      <c r="A90" s="87"/>
      <c r="B90" s="87"/>
      <c r="C90" s="220"/>
      <c r="D90" s="13" t="s">
        <v>1279</v>
      </c>
      <c r="E90" s="407">
        <v>2</v>
      </c>
      <c r="F90" s="90">
        <v>131138</v>
      </c>
      <c r="G90" s="12"/>
      <c r="H90" s="12"/>
      <c r="I90" s="12"/>
      <c r="J90" s="12"/>
      <c r="K90" s="12">
        <f>5500+'[1]táj.2.'!K90</f>
        <v>5500</v>
      </c>
      <c r="L90" s="12"/>
      <c r="M90" s="12"/>
      <c r="N90" s="12"/>
      <c r="O90" s="12"/>
      <c r="P90" s="12"/>
      <c r="Q90" s="12">
        <f t="shared" si="3"/>
        <v>5500</v>
      </c>
    </row>
    <row r="91" spans="1:17" ht="12" customHeight="1">
      <c r="A91" s="87"/>
      <c r="B91" s="87"/>
      <c r="C91" s="220"/>
      <c r="D91" s="13" t="s">
        <v>1071</v>
      </c>
      <c r="E91" s="407">
        <v>2</v>
      </c>
      <c r="F91" s="90">
        <v>131139</v>
      </c>
      <c r="G91" s="12"/>
      <c r="H91" s="12"/>
      <c r="I91" s="12"/>
      <c r="J91" s="12"/>
      <c r="K91" s="12">
        <f>2700+'[1]táj.2.'!K91</f>
        <v>2700</v>
      </c>
      <c r="L91" s="12"/>
      <c r="M91" s="12"/>
      <c r="N91" s="12"/>
      <c r="O91" s="12"/>
      <c r="P91" s="12"/>
      <c r="Q91" s="12">
        <f t="shared" si="3"/>
        <v>2700</v>
      </c>
    </row>
    <row r="92" spans="1:17" ht="12" customHeight="1">
      <c r="A92" s="87"/>
      <c r="B92" s="87"/>
      <c r="C92" s="220"/>
      <c r="D92" s="13" t="s">
        <v>702</v>
      </c>
      <c r="E92" s="407">
        <v>2</v>
      </c>
      <c r="F92" s="90">
        <v>134925</v>
      </c>
      <c r="G92" s="12"/>
      <c r="H92" s="12"/>
      <c r="I92" s="12"/>
      <c r="J92" s="12"/>
      <c r="K92" s="12">
        <f>2500+'[1]táj.2.'!K92</f>
        <v>2500</v>
      </c>
      <c r="L92" s="12"/>
      <c r="M92" s="12"/>
      <c r="N92" s="12"/>
      <c r="O92" s="12"/>
      <c r="P92" s="12"/>
      <c r="Q92" s="12">
        <f t="shared" si="3"/>
        <v>2500</v>
      </c>
    </row>
    <row r="93" spans="1:17" ht="15" customHeight="1">
      <c r="A93" s="87"/>
      <c r="B93" s="87"/>
      <c r="C93" s="220"/>
      <c r="D93" s="162" t="s">
        <v>340</v>
      </c>
      <c r="E93" s="409"/>
      <c r="F93" s="719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ht="12.75" customHeight="1">
      <c r="A94" s="87"/>
      <c r="B94" s="87"/>
      <c r="C94" s="220"/>
      <c r="D94" s="162" t="s">
        <v>1280</v>
      </c>
      <c r="E94" s="410">
        <v>2</v>
      </c>
      <c r="F94" s="652">
        <v>131502</v>
      </c>
      <c r="G94" s="12"/>
      <c r="H94" s="12"/>
      <c r="I94" s="12"/>
      <c r="J94" s="12">
        <f>600+'[1]táj.2.'!J94</f>
        <v>600</v>
      </c>
      <c r="K94" s="12"/>
      <c r="L94" s="12"/>
      <c r="M94" s="12"/>
      <c r="N94" s="12"/>
      <c r="O94" s="12"/>
      <c r="P94" s="12"/>
      <c r="Q94" s="12">
        <f>SUM(G94:P94)</f>
        <v>600</v>
      </c>
    </row>
    <row r="95" spans="1:17" ht="15" customHeight="1">
      <c r="A95" s="87"/>
      <c r="B95" s="87"/>
      <c r="C95" s="220"/>
      <c r="D95" s="145" t="s">
        <v>661</v>
      </c>
      <c r="E95" s="411"/>
      <c r="F95" s="235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ht="15" customHeight="1">
      <c r="A96" s="87"/>
      <c r="B96" s="87"/>
      <c r="C96" s="220"/>
      <c r="D96" s="13" t="s">
        <v>285</v>
      </c>
      <c r="E96" s="407"/>
      <c r="F96" s="235"/>
      <c r="G96" s="12"/>
      <c r="H96" s="12"/>
      <c r="I96" s="12"/>
      <c r="J96" s="126"/>
      <c r="K96" s="12"/>
      <c r="L96" s="126"/>
      <c r="M96" s="126"/>
      <c r="N96" s="126"/>
      <c r="O96" s="126"/>
      <c r="P96" s="126"/>
      <c r="Q96" s="8"/>
    </row>
    <row r="97" spans="1:17" ht="15" customHeight="1">
      <c r="A97" s="87"/>
      <c r="B97" s="87"/>
      <c r="C97" s="220"/>
      <c r="D97" s="13" t="s">
        <v>358</v>
      </c>
      <c r="E97" s="12">
        <v>2</v>
      </c>
      <c r="F97" s="652">
        <v>131701</v>
      </c>
      <c r="G97" s="12"/>
      <c r="H97" s="12"/>
      <c r="I97" s="12">
        <f>350+'[1]táj.2.'!I97</f>
        <v>350</v>
      </c>
      <c r="J97" s="12"/>
      <c r="K97" s="12">
        <f>100+'[1]táj.2.'!K97</f>
        <v>100</v>
      </c>
      <c r="L97" s="12"/>
      <c r="M97" s="12"/>
      <c r="N97" s="12"/>
      <c r="O97" s="12"/>
      <c r="P97" s="12"/>
      <c r="Q97" s="8">
        <f>SUM(G97:P97)</f>
        <v>450</v>
      </c>
    </row>
    <row r="98" spans="1:17" ht="15" customHeight="1">
      <c r="A98" s="87"/>
      <c r="B98" s="87"/>
      <c r="C98" s="220"/>
      <c r="D98" s="13" t="s">
        <v>63</v>
      </c>
      <c r="E98" s="412"/>
      <c r="F98" s="720"/>
      <c r="G98" s="12"/>
      <c r="H98" s="12"/>
      <c r="I98" s="12"/>
      <c r="J98" s="126"/>
      <c r="K98" s="12"/>
      <c r="L98" s="126"/>
      <c r="M98" s="126"/>
      <c r="N98" s="126"/>
      <c r="O98" s="126"/>
      <c r="P98" s="126"/>
      <c r="Q98" s="8"/>
    </row>
    <row r="99" spans="1:17" ht="15" customHeight="1">
      <c r="A99" s="87"/>
      <c r="B99" s="87"/>
      <c r="C99" s="220"/>
      <c r="D99" s="196" t="s">
        <v>684</v>
      </c>
      <c r="E99" s="413">
        <v>2</v>
      </c>
      <c r="F99" s="652">
        <v>131708</v>
      </c>
      <c r="G99" s="12"/>
      <c r="H99" s="12"/>
      <c r="I99" s="12"/>
      <c r="J99" s="12"/>
      <c r="K99" s="12">
        <f>1000+'[1]táj.2.'!K99</f>
        <v>1000</v>
      </c>
      <c r="L99" s="12"/>
      <c r="M99" s="12"/>
      <c r="N99" s="12"/>
      <c r="O99" s="12"/>
      <c r="P99" s="12"/>
      <c r="Q99" s="8">
        <f>SUM(G99:P99)</f>
        <v>1000</v>
      </c>
    </row>
    <row r="100" spans="1:17" ht="15" customHeight="1">
      <c r="A100" s="87"/>
      <c r="B100" s="87"/>
      <c r="C100" s="220"/>
      <c r="D100" s="11" t="s">
        <v>286</v>
      </c>
      <c r="E100" s="407"/>
      <c r="F100" s="235"/>
      <c r="G100" s="12"/>
      <c r="H100" s="12"/>
      <c r="I100" s="12"/>
      <c r="J100" s="126"/>
      <c r="K100" s="12"/>
      <c r="L100" s="126"/>
      <c r="M100" s="126"/>
      <c r="N100" s="126"/>
      <c r="O100" s="126"/>
      <c r="P100" s="126"/>
      <c r="Q100" s="8"/>
    </row>
    <row r="101" spans="1:17" ht="15" customHeight="1">
      <c r="A101" s="87"/>
      <c r="B101" s="87"/>
      <c r="C101" s="220"/>
      <c r="D101" s="11" t="s">
        <v>238</v>
      </c>
      <c r="E101" s="407">
        <v>1</v>
      </c>
      <c r="F101" s="652">
        <v>131703</v>
      </c>
      <c r="G101" s="12"/>
      <c r="H101" s="12"/>
      <c r="I101" s="12">
        <f>21528+'[1]táj.2.'!I101</f>
        <v>21528</v>
      </c>
      <c r="J101" s="12"/>
      <c r="K101" s="12"/>
      <c r="L101" s="12"/>
      <c r="M101" s="12"/>
      <c r="N101" s="12"/>
      <c r="O101" s="12"/>
      <c r="P101" s="12"/>
      <c r="Q101" s="8">
        <f>SUM(G101:P101)</f>
        <v>21528</v>
      </c>
    </row>
    <row r="102" spans="1:17" ht="15" customHeight="1">
      <c r="A102" s="87"/>
      <c r="B102" s="87"/>
      <c r="C102" s="220"/>
      <c r="D102" s="88" t="s">
        <v>388</v>
      </c>
      <c r="E102" s="407">
        <v>1</v>
      </c>
      <c r="F102" s="652">
        <v>121319</v>
      </c>
      <c r="G102" s="12"/>
      <c r="H102" s="12"/>
      <c r="I102" s="12">
        <f>2465+'[1]táj.2.'!I102</f>
        <v>2465</v>
      </c>
      <c r="J102" s="12"/>
      <c r="K102" s="12"/>
      <c r="L102" s="12"/>
      <c r="M102" s="12"/>
      <c r="N102" s="12"/>
      <c r="O102" s="12"/>
      <c r="P102" s="12"/>
      <c r="Q102" s="8">
        <f>SUM(G102:P102)</f>
        <v>2465</v>
      </c>
    </row>
    <row r="103" spans="1:17" ht="27" customHeight="1">
      <c r="A103" s="87"/>
      <c r="B103" s="87"/>
      <c r="C103" s="220"/>
      <c r="D103" s="634" t="s">
        <v>475</v>
      </c>
      <c r="E103" s="12"/>
      <c r="F103" s="713"/>
      <c r="G103" s="12"/>
      <c r="H103" s="12"/>
      <c r="I103" s="8"/>
      <c r="J103" s="8"/>
      <c r="K103" s="86"/>
      <c r="L103" s="125"/>
      <c r="M103" s="125"/>
      <c r="N103" s="125"/>
      <c r="O103" s="125"/>
      <c r="P103" s="124"/>
      <c r="Q103" s="8"/>
    </row>
    <row r="104" spans="1:17" ht="16.5" customHeight="1">
      <c r="A104" s="87"/>
      <c r="B104" s="87"/>
      <c r="C104" s="220"/>
      <c r="D104" s="634" t="s">
        <v>1298</v>
      </c>
      <c r="E104" s="12">
        <v>2</v>
      </c>
      <c r="F104" s="652">
        <v>131506</v>
      </c>
      <c r="G104" s="12"/>
      <c r="H104" s="12"/>
      <c r="I104" s="12">
        <f>2000+'[1]táj.2.'!I104</f>
        <v>2000</v>
      </c>
      <c r="J104" s="12"/>
      <c r="K104" s="12"/>
      <c r="L104" s="12"/>
      <c r="M104" s="12"/>
      <c r="N104" s="12"/>
      <c r="O104" s="12"/>
      <c r="P104" s="12"/>
      <c r="Q104" s="8">
        <f>SUM(G104:P104)</f>
        <v>2000</v>
      </c>
    </row>
    <row r="105" spans="1:17" ht="15" customHeight="1">
      <c r="A105" s="87"/>
      <c r="B105" s="87"/>
      <c r="C105" s="220"/>
      <c r="D105" s="13" t="s">
        <v>288</v>
      </c>
      <c r="E105" s="12"/>
      <c r="F105" s="713"/>
      <c r="G105" s="12"/>
      <c r="H105" s="12"/>
      <c r="I105" s="8"/>
      <c r="J105" s="8"/>
      <c r="K105" s="86"/>
      <c r="L105" s="125"/>
      <c r="M105" s="125"/>
      <c r="N105" s="125"/>
      <c r="O105" s="125"/>
      <c r="P105" s="124"/>
      <c r="Q105" s="8"/>
    </row>
    <row r="106" spans="1:17" ht="15" customHeight="1">
      <c r="A106" s="87"/>
      <c r="B106" s="87"/>
      <c r="C106" s="220"/>
      <c r="D106" s="13" t="s">
        <v>683</v>
      </c>
      <c r="E106" s="12">
        <v>2</v>
      </c>
      <c r="F106" s="90">
        <v>131707</v>
      </c>
      <c r="G106" s="12"/>
      <c r="H106" s="12"/>
      <c r="I106" s="12"/>
      <c r="J106" s="12"/>
      <c r="K106" s="12">
        <f>11500+'[1]táj.2.'!K106</f>
        <v>11500</v>
      </c>
      <c r="L106" s="12"/>
      <c r="M106" s="12"/>
      <c r="N106" s="12"/>
      <c r="O106" s="12"/>
      <c r="P106" s="12"/>
      <c r="Q106" s="8">
        <f>SUM(G106:P106)</f>
        <v>11500</v>
      </c>
    </row>
    <row r="107" spans="1:17" ht="16.5" customHeight="1">
      <c r="A107" s="87"/>
      <c r="B107" s="87"/>
      <c r="C107" s="220"/>
      <c r="D107" s="196" t="s">
        <v>341</v>
      </c>
      <c r="E107" s="414"/>
      <c r="F107" s="721"/>
      <c r="G107" s="12"/>
      <c r="H107" s="12"/>
      <c r="I107" s="12"/>
      <c r="J107" s="126"/>
      <c r="K107" s="12"/>
      <c r="L107" s="126"/>
      <c r="M107" s="126"/>
      <c r="N107" s="126"/>
      <c r="O107" s="126"/>
      <c r="P107" s="12"/>
      <c r="Q107" s="8"/>
    </row>
    <row r="108" spans="1:17" ht="15" customHeight="1">
      <c r="A108" s="87"/>
      <c r="B108" s="87"/>
      <c r="C108" s="220"/>
      <c r="D108" s="13" t="s">
        <v>536</v>
      </c>
      <c r="E108" s="415">
        <v>2</v>
      </c>
      <c r="F108" s="90">
        <v>131706</v>
      </c>
      <c r="G108" s="12"/>
      <c r="H108" s="12"/>
      <c r="I108" s="12">
        <f>800+'[1]táj.2.'!I108</f>
        <v>800</v>
      </c>
      <c r="J108" s="12"/>
      <c r="K108" s="12">
        <f>100+'[1]táj.2.'!K108</f>
        <v>100</v>
      </c>
      <c r="L108" s="12"/>
      <c r="M108" s="12"/>
      <c r="N108" s="12"/>
      <c r="O108" s="12"/>
      <c r="P108" s="12"/>
      <c r="Q108" s="8">
        <f>SUM(G108:P108)</f>
        <v>900</v>
      </c>
    </row>
    <row r="109" spans="1:17" ht="15" customHeight="1">
      <c r="A109" s="87"/>
      <c r="B109" s="87"/>
      <c r="C109" s="220"/>
      <c r="D109" s="13" t="s">
        <v>701</v>
      </c>
      <c r="E109" s="415">
        <v>2</v>
      </c>
      <c r="F109" s="722">
        <v>121517</v>
      </c>
      <c r="G109" s="12"/>
      <c r="H109" s="12"/>
      <c r="I109" s="12"/>
      <c r="J109" s="12"/>
      <c r="K109" s="12">
        <f>1570+'[1]táj.2.'!K109</f>
        <v>1570</v>
      </c>
      <c r="L109" s="12"/>
      <c r="M109" s="12"/>
      <c r="N109" s="12"/>
      <c r="O109" s="12"/>
      <c r="P109" s="12"/>
      <c r="Q109" s="8">
        <f>SUM(G109:P109)</f>
        <v>1570</v>
      </c>
    </row>
    <row r="110" spans="1:17" ht="15" customHeight="1">
      <c r="A110" s="87"/>
      <c r="B110" s="87"/>
      <c r="C110" s="220"/>
      <c r="D110" s="145" t="s">
        <v>859</v>
      </c>
      <c r="E110" s="12"/>
      <c r="F110" s="713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" customHeight="1">
      <c r="A111" s="87"/>
      <c r="B111" s="87"/>
      <c r="C111" s="220"/>
      <c r="D111" s="88" t="s">
        <v>289</v>
      </c>
      <c r="E111" s="407"/>
      <c r="F111" s="235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87"/>
      <c r="B112" s="87"/>
      <c r="C112" s="220"/>
      <c r="D112" s="13" t="s">
        <v>1307</v>
      </c>
      <c r="E112" s="12">
        <v>2</v>
      </c>
      <c r="F112" s="90">
        <v>131803</v>
      </c>
      <c r="G112" s="12"/>
      <c r="H112" s="12"/>
      <c r="I112" s="12"/>
      <c r="J112" s="12"/>
      <c r="K112" s="12">
        <f>150485+'[1]táj.2.'!K112</f>
        <v>150485</v>
      </c>
      <c r="L112" s="12"/>
      <c r="M112" s="12"/>
      <c r="N112" s="12"/>
      <c r="O112" s="12"/>
      <c r="P112" s="12"/>
      <c r="Q112" s="12">
        <f>SUM(G112:P112)</f>
        <v>150485</v>
      </c>
    </row>
    <row r="113" spans="1:17" ht="15" customHeight="1">
      <c r="A113" s="87"/>
      <c r="B113" s="87"/>
      <c r="C113" s="220"/>
      <c r="D113" s="13" t="s">
        <v>719</v>
      </c>
      <c r="E113" s="12">
        <v>2</v>
      </c>
      <c r="F113" s="90">
        <v>131804</v>
      </c>
      <c r="G113" s="12"/>
      <c r="H113" s="12"/>
      <c r="I113" s="12"/>
      <c r="J113" s="12"/>
      <c r="K113" s="12">
        <f>58029+'[1]táj.2.'!K113</f>
        <v>58029</v>
      </c>
      <c r="L113" s="12"/>
      <c r="M113" s="12"/>
      <c r="N113" s="12"/>
      <c r="O113" s="12"/>
      <c r="P113" s="12"/>
      <c r="Q113" s="12">
        <f>SUM(G113:P113)</f>
        <v>58029</v>
      </c>
    </row>
    <row r="114" spans="1:17" ht="15" customHeight="1">
      <c r="A114" s="87"/>
      <c r="B114" s="87"/>
      <c r="C114" s="220"/>
      <c r="D114" s="13" t="s">
        <v>860</v>
      </c>
      <c r="E114" s="12">
        <v>2</v>
      </c>
      <c r="F114" s="90">
        <v>131805</v>
      </c>
      <c r="G114" s="12"/>
      <c r="H114" s="12"/>
      <c r="I114" s="12"/>
      <c r="J114" s="12"/>
      <c r="K114" s="12">
        <f>10800+'[1]táj.2.'!K114</f>
        <v>10800</v>
      </c>
      <c r="L114" s="12"/>
      <c r="M114" s="12"/>
      <c r="N114" s="12"/>
      <c r="O114" s="12"/>
      <c r="P114" s="12"/>
      <c r="Q114" s="12">
        <f>SUM(G114:P114)</f>
        <v>10800</v>
      </c>
    </row>
    <row r="115" spans="1:17" ht="15" customHeight="1">
      <c r="A115" s="87"/>
      <c r="B115" s="87"/>
      <c r="C115" s="220"/>
      <c r="D115" s="88" t="s">
        <v>290</v>
      </c>
      <c r="E115" s="407"/>
      <c r="F115" s="235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ht="15" customHeight="1">
      <c r="A116" s="87"/>
      <c r="B116" s="87"/>
      <c r="C116" s="220"/>
      <c r="D116" s="14" t="s">
        <v>861</v>
      </c>
      <c r="E116" s="407">
        <v>1</v>
      </c>
      <c r="F116" s="90">
        <v>131808</v>
      </c>
      <c r="G116" s="12">
        <f>350+'[1]táj.2.'!G116</f>
        <v>350</v>
      </c>
      <c r="H116" s="12">
        <f>85+'[1]táj.2.'!H116</f>
        <v>85</v>
      </c>
      <c r="I116" s="12">
        <f>1910+'[1]táj.2.'!I116</f>
        <v>1910</v>
      </c>
      <c r="J116" s="12"/>
      <c r="K116" s="12"/>
      <c r="L116" s="12"/>
      <c r="M116" s="12"/>
      <c r="N116" s="12"/>
      <c r="O116" s="12"/>
      <c r="P116" s="12"/>
      <c r="Q116" s="12">
        <f>SUM(G116:P116)</f>
        <v>2345</v>
      </c>
    </row>
    <row r="117" spans="1:17" ht="15" customHeight="1">
      <c r="A117" s="87"/>
      <c r="B117" s="87"/>
      <c r="C117" s="220"/>
      <c r="D117" s="14" t="s">
        <v>253</v>
      </c>
      <c r="E117" s="15">
        <v>1</v>
      </c>
      <c r="F117" s="90">
        <v>131807</v>
      </c>
      <c r="G117" s="12"/>
      <c r="H117" s="12"/>
      <c r="I117" s="12">
        <f>1020+'[1]táj.2.'!I117</f>
        <v>1020</v>
      </c>
      <c r="J117" s="12"/>
      <c r="K117" s="12">
        <f>600+'[1]táj.2.'!K117</f>
        <v>600</v>
      </c>
      <c r="L117" s="12"/>
      <c r="M117" s="12"/>
      <c r="N117" s="12"/>
      <c r="O117" s="12"/>
      <c r="P117" s="12"/>
      <c r="Q117" s="12">
        <f>SUM(G117:P117)</f>
        <v>1620</v>
      </c>
    </row>
    <row r="118" spans="1:17" ht="15" customHeight="1">
      <c r="A118" s="87"/>
      <c r="B118" s="87"/>
      <c r="C118" s="220"/>
      <c r="D118" s="14" t="s">
        <v>1061</v>
      </c>
      <c r="E118" s="407">
        <v>1</v>
      </c>
      <c r="F118" s="712">
        <v>131809</v>
      </c>
      <c r="G118" s="12"/>
      <c r="H118" s="12"/>
      <c r="I118" s="12"/>
      <c r="J118" s="12"/>
      <c r="K118" s="12">
        <f>450+'[1]táj.2.'!K118</f>
        <v>450</v>
      </c>
      <c r="L118" s="12"/>
      <c r="M118" s="12"/>
      <c r="N118" s="12"/>
      <c r="O118" s="12"/>
      <c r="P118" s="12"/>
      <c r="Q118" s="12">
        <f>SUM(G118:P118)</f>
        <v>450</v>
      </c>
    </row>
    <row r="119" spans="1:17" ht="15" customHeight="1">
      <c r="A119" s="87"/>
      <c r="B119" s="87"/>
      <c r="C119" s="220"/>
      <c r="D119" s="162" t="s">
        <v>123</v>
      </c>
      <c r="E119" s="12">
        <v>2</v>
      </c>
      <c r="F119" s="90">
        <v>131835</v>
      </c>
      <c r="G119" s="12"/>
      <c r="H119" s="12"/>
      <c r="I119" s="12"/>
      <c r="J119" s="12"/>
      <c r="K119" s="12">
        <f>6500+'[1]táj.2.'!K119</f>
        <v>6500</v>
      </c>
      <c r="L119" s="12"/>
      <c r="M119" s="12"/>
      <c r="N119" s="12"/>
      <c r="O119" s="12"/>
      <c r="P119" s="12"/>
      <c r="Q119" s="12">
        <f>SUM(G119:P119)</f>
        <v>6500</v>
      </c>
    </row>
    <row r="120" spans="1:17" ht="15" customHeight="1">
      <c r="A120" s="87"/>
      <c r="B120" s="87"/>
      <c r="C120" s="220"/>
      <c r="D120" s="103" t="s">
        <v>291</v>
      </c>
      <c r="E120" s="407"/>
      <c r="F120" s="235"/>
      <c r="G120" s="12"/>
      <c r="H120" s="15"/>
      <c r="I120" s="15"/>
      <c r="J120" s="15"/>
      <c r="K120" s="15"/>
      <c r="L120" s="15"/>
      <c r="M120" s="15"/>
      <c r="N120" s="15"/>
      <c r="O120" s="15"/>
      <c r="P120" s="15"/>
      <c r="Q120" s="12"/>
    </row>
    <row r="121" spans="1:17" ht="15" customHeight="1">
      <c r="A121" s="87"/>
      <c r="B121" s="87"/>
      <c r="C121" s="220"/>
      <c r="D121" s="14" t="s">
        <v>254</v>
      </c>
      <c r="E121" s="15">
        <v>1</v>
      </c>
      <c r="F121" s="712">
        <v>131811</v>
      </c>
      <c r="G121" s="12"/>
      <c r="H121" s="12"/>
      <c r="I121" s="12"/>
      <c r="J121" s="12"/>
      <c r="K121" s="12">
        <f>12000+'[1]táj.2.'!K121</f>
        <v>12000</v>
      </c>
      <c r="L121" s="12"/>
      <c r="M121" s="12"/>
      <c r="N121" s="12"/>
      <c r="O121" s="12"/>
      <c r="P121" s="12"/>
      <c r="Q121" s="12">
        <f aca="true" t="shared" si="4" ref="Q121:Q130">SUM(G121:P121)</f>
        <v>12000</v>
      </c>
    </row>
    <row r="122" spans="1:17" ht="15" customHeight="1">
      <c r="A122" s="87"/>
      <c r="B122" s="87"/>
      <c r="C122" s="220"/>
      <c r="D122" s="14" t="s">
        <v>255</v>
      </c>
      <c r="E122" s="15">
        <v>1</v>
      </c>
      <c r="F122" s="712">
        <v>131812</v>
      </c>
      <c r="G122" s="12"/>
      <c r="H122" s="12"/>
      <c r="I122" s="12"/>
      <c r="J122" s="12"/>
      <c r="K122" s="12">
        <f>5000+'[1]táj.2.'!K122</f>
        <v>5000</v>
      </c>
      <c r="L122" s="12"/>
      <c r="M122" s="12"/>
      <c r="N122" s="12"/>
      <c r="O122" s="12"/>
      <c r="P122" s="12"/>
      <c r="Q122" s="12">
        <f t="shared" si="4"/>
        <v>5000</v>
      </c>
    </row>
    <row r="123" spans="1:17" ht="15" customHeight="1">
      <c r="A123" s="87"/>
      <c r="B123" s="87"/>
      <c r="C123" s="220"/>
      <c r="D123" s="14" t="s">
        <v>652</v>
      </c>
      <c r="E123" s="15">
        <v>1</v>
      </c>
      <c r="F123" s="712">
        <v>131813</v>
      </c>
      <c r="G123" s="12"/>
      <c r="H123" s="12"/>
      <c r="I123" s="12"/>
      <c r="J123" s="12"/>
      <c r="K123" s="12">
        <f>1800+'[1]táj.2.'!K123</f>
        <v>1800</v>
      </c>
      <c r="L123" s="12"/>
      <c r="M123" s="12"/>
      <c r="N123" s="12"/>
      <c r="O123" s="12"/>
      <c r="P123" s="12"/>
      <c r="Q123" s="12">
        <f t="shared" si="4"/>
        <v>1800</v>
      </c>
    </row>
    <row r="124" spans="1:17" ht="15" customHeight="1">
      <c r="A124" s="87"/>
      <c r="B124" s="87"/>
      <c r="C124" s="220"/>
      <c r="D124" s="14" t="s">
        <v>348</v>
      </c>
      <c r="E124" s="15">
        <v>1</v>
      </c>
      <c r="F124" s="712">
        <v>131815</v>
      </c>
      <c r="G124" s="12"/>
      <c r="H124" s="12"/>
      <c r="I124" s="12"/>
      <c r="J124" s="12"/>
      <c r="K124" s="12">
        <f>270+'[1]táj.2.'!K124</f>
        <v>270</v>
      </c>
      <c r="L124" s="12"/>
      <c r="M124" s="12"/>
      <c r="N124" s="12"/>
      <c r="O124" s="12"/>
      <c r="P124" s="12"/>
      <c r="Q124" s="12">
        <f t="shared" si="4"/>
        <v>270</v>
      </c>
    </row>
    <row r="125" spans="1:17" ht="15" customHeight="1">
      <c r="A125" s="87"/>
      <c r="B125" s="87"/>
      <c r="C125" s="220"/>
      <c r="D125" s="14" t="s">
        <v>1255</v>
      </c>
      <c r="E125" s="15">
        <v>1</v>
      </c>
      <c r="F125" s="712">
        <v>131816</v>
      </c>
      <c r="G125" s="12"/>
      <c r="H125" s="12"/>
      <c r="I125" s="12"/>
      <c r="J125" s="12"/>
      <c r="K125" s="12">
        <f>900+'[1]táj.2.'!K125</f>
        <v>900</v>
      </c>
      <c r="L125" s="12"/>
      <c r="M125" s="12"/>
      <c r="N125" s="12"/>
      <c r="O125" s="12"/>
      <c r="P125" s="12"/>
      <c r="Q125" s="12">
        <f t="shared" si="4"/>
        <v>900</v>
      </c>
    </row>
    <row r="126" spans="1:17" ht="15" customHeight="1">
      <c r="A126" s="87"/>
      <c r="B126" s="87"/>
      <c r="C126" s="220"/>
      <c r="D126" s="14" t="s">
        <v>1253</v>
      </c>
      <c r="E126" s="15">
        <v>1</v>
      </c>
      <c r="F126" s="712">
        <v>131817</v>
      </c>
      <c r="G126" s="12"/>
      <c r="H126" s="12"/>
      <c r="I126" s="12"/>
      <c r="J126" s="12"/>
      <c r="K126" s="12">
        <f>1080+'[1]táj.2.'!K126</f>
        <v>1080</v>
      </c>
      <c r="L126" s="12"/>
      <c r="M126" s="12"/>
      <c r="N126" s="12"/>
      <c r="O126" s="12"/>
      <c r="P126" s="12"/>
      <c r="Q126" s="12">
        <f t="shared" si="4"/>
        <v>1080</v>
      </c>
    </row>
    <row r="127" spans="1:17" ht="15" customHeight="1">
      <c r="A127" s="87"/>
      <c r="B127" s="87"/>
      <c r="C127" s="220"/>
      <c r="D127" s="14" t="s">
        <v>1254</v>
      </c>
      <c r="E127" s="15">
        <v>1</v>
      </c>
      <c r="F127" s="712">
        <v>131818</v>
      </c>
      <c r="G127" s="12"/>
      <c r="H127" s="12"/>
      <c r="I127" s="12"/>
      <c r="J127" s="12"/>
      <c r="K127" s="12">
        <f>450+'[1]táj.2.'!K127</f>
        <v>450</v>
      </c>
      <c r="L127" s="12"/>
      <c r="M127" s="12"/>
      <c r="N127" s="12"/>
      <c r="O127" s="12"/>
      <c r="P127" s="12"/>
      <c r="Q127" s="12">
        <f t="shared" si="4"/>
        <v>450</v>
      </c>
    </row>
    <row r="128" spans="1:17" ht="15" customHeight="1">
      <c r="A128" s="87"/>
      <c r="B128" s="87"/>
      <c r="C128" s="220"/>
      <c r="D128" s="14" t="s">
        <v>1060</v>
      </c>
      <c r="E128" s="15">
        <v>1</v>
      </c>
      <c r="F128" s="712">
        <v>131819</v>
      </c>
      <c r="G128" s="12"/>
      <c r="H128" s="12"/>
      <c r="I128" s="12"/>
      <c r="J128" s="12"/>
      <c r="K128" s="12">
        <f>360+'[1]táj.2.'!K128</f>
        <v>360</v>
      </c>
      <c r="L128" s="12"/>
      <c r="M128" s="12"/>
      <c r="N128" s="12"/>
      <c r="O128" s="12"/>
      <c r="P128" s="12"/>
      <c r="Q128" s="12">
        <f t="shared" si="4"/>
        <v>360</v>
      </c>
    </row>
    <row r="129" spans="1:17" ht="15" customHeight="1">
      <c r="A129" s="87"/>
      <c r="B129" s="87"/>
      <c r="C129" s="220"/>
      <c r="D129" s="14" t="s">
        <v>271</v>
      </c>
      <c r="E129" s="15">
        <v>1</v>
      </c>
      <c r="F129" s="712">
        <v>131832</v>
      </c>
      <c r="G129" s="12"/>
      <c r="H129" s="12"/>
      <c r="I129" s="12"/>
      <c r="J129" s="12"/>
      <c r="K129" s="12">
        <f>270+'[1]táj.2.'!K129</f>
        <v>270</v>
      </c>
      <c r="L129" s="12"/>
      <c r="M129" s="12"/>
      <c r="N129" s="12"/>
      <c r="O129" s="12"/>
      <c r="P129" s="12"/>
      <c r="Q129" s="12">
        <f t="shared" si="4"/>
        <v>270</v>
      </c>
    </row>
    <row r="130" spans="1:17" ht="15" customHeight="1">
      <c r="A130" s="87"/>
      <c r="B130" s="87"/>
      <c r="C130" s="220"/>
      <c r="D130" s="14" t="s">
        <v>1062</v>
      </c>
      <c r="E130" s="15">
        <v>1</v>
      </c>
      <c r="F130" s="712">
        <v>131820</v>
      </c>
      <c r="G130" s="12"/>
      <c r="H130" s="12"/>
      <c r="I130" s="12">
        <f>350+'[1]táj.2.'!I130</f>
        <v>350</v>
      </c>
      <c r="J130" s="12"/>
      <c r="K130" s="12">
        <f>1000+'[1]táj.2.'!K130</f>
        <v>1000</v>
      </c>
      <c r="L130" s="12"/>
      <c r="M130" s="12"/>
      <c r="N130" s="12"/>
      <c r="O130" s="12"/>
      <c r="P130" s="12"/>
      <c r="Q130" s="12">
        <f t="shared" si="4"/>
        <v>1350</v>
      </c>
    </row>
    <row r="131" spans="1:17" ht="15" customHeight="1">
      <c r="A131" s="87"/>
      <c r="B131" s="87"/>
      <c r="C131" s="220"/>
      <c r="D131" s="14" t="s">
        <v>472</v>
      </c>
      <c r="E131" s="15"/>
      <c r="F131" s="235"/>
      <c r="G131" s="12"/>
      <c r="H131" s="15"/>
      <c r="I131" s="15"/>
      <c r="J131" s="15"/>
      <c r="K131" s="15"/>
      <c r="L131" s="15"/>
      <c r="M131" s="15"/>
      <c r="N131" s="15"/>
      <c r="O131" s="15"/>
      <c r="P131" s="15"/>
      <c r="Q131" s="12"/>
    </row>
    <row r="132" spans="1:17" ht="15" customHeight="1">
      <c r="A132" s="87"/>
      <c r="B132" s="87"/>
      <c r="C132" s="220"/>
      <c r="D132" s="14" t="s">
        <v>1251</v>
      </c>
      <c r="E132" s="407">
        <v>2</v>
      </c>
      <c r="F132" s="712">
        <v>131821</v>
      </c>
      <c r="G132" s="12"/>
      <c r="H132" s="12"/>
      <c r="I132" s="12"/>
      <c r="J132" s="12"/>
      <c r="K132" s="12">
        <f>6830+'[1]táj.2.'!K132</f>
        <v>6830</v>
      </c>
      <c r="L132" s="12"/>
      <c r="M132" s="12"/>
      <c r="N132" s="12"/>
      <c r="O132" s="12"/>
      <c r="P132" s="12"/>
      <c r="Q132" s="12">
        <f aca="true" t="shared" si="5" ref="Q132:Q146">SUM(G132:P132)</f>
        <v>6830</v>
      </c>
    </row>
    <row r="133" spans="1:17" ht="15" customHeight="1">
      <c r="A133" s="87"/>
      <c r="B133" s="87"/>
      <c r="C133" s="220"/>
      <c r="D133" s="14" t="s">
        <v>1252</v>
      </c>
      <c r="E133" s="407">
        <v>2</v>
      </c>
      <c r="F133" s="712">
        <v>131822</v>
      </c>
      <c r="G133" s="12"/>
      <c r="H133" s="12"/>
      <c r="I133" s="12"/>
      <c r="J133" s="12"/>
      <c r="K133" s="12">
        <f>500+'[1]táj.2.'!K133</f>
        <v>500</v>
      </c>
      <c r="L133" s="12"/>
      <c r="M133" s="12"/>
      <c r="N133" s="12"/>
      <c r="O133" s="12"/>
      <c r="P133" s="12"/>
      <c r="Q133" s="12">
        <f t="shared" si="5"/>
        <v>500</v>
      </c>
    </row>
    <row r="134" spans="1:17" ht="15" customHeight="1">
      <c r="A134" s="87"/>
      <c r="B134" s="87"/>
      <c r="C134" s="220"/>
      <c r="D134" s="212" t="s">
        <v>243</v>
      </c>
      <c r="E134" s="416">
        <v>2</v>
      </c>
      <c r="F134" s="712">
        <v>131823</v>
      </c>
      <c r="G134" s="12"/>
      <c r="H134" s="12"/>
      <c r="I134" s="12"/>
      <c r="J134" s="12"/>
      <c r="K134" s="12">
        <f>18000+'[1]táj.2.'!K134</f>
        <v>18000</v>
      </c>
      <c r="L134" s="12"/>
      <c r="M134" s="12"/>
      <c r="N134" s="12"/>
      <c r="O134" s="12"/>
      <c r="P134" s="12"/>
      <c r="Q134" s="12">
        <f t="shared" si="5"/>
        <v>18000</v>
      </c>
    </row>
    <row r="135" spans="1:17" ht="15" customHeight="1">
      <c r="A135" s="87"/>
      <c r="B135" s="87"/>
      <c r="C135" s="220"/>
      <c r="D135" s="212" t="s">
        <v>244</v>
      </c>
      <c r="E135" s="156">
        <v>2</v>
      </c>
      <c r="F135" s="712">
        <v>131824</v>
      </c>
      <c r="G135" s="12"/>
      <c r="H135" s="12"/>
      <c r="I135" s="12"/>
      <c r="J135" s="12"/>
      <c r="K135" s="12">
        <f>2500+'[1]táj.2.'!K135</f>
        <v>2500</v>
      </c>
      <c r="L135" s="12"/>
      <c r="M135" s="12"/>
      <c r="N135" s="12"/>
      <c r="O135" s="12"/>
      <c r="P135" s="12"/>
      <c r="Q135" s="12">
        <f t="shared" si="5"/>
        <v>2500</v>
      </c>
    </row>
    <row r="136" spans="1:17" ht="15" customHeight="1">
      <c r="A136" s="87"/>
      <c r="B136" s="87"/>
      <c r="C136" s="220"/>
      <c r="D136" s="212" t="s">
        <v>272</v>
      </c>
      <c r="E136" s="156">
        <v>2</v>
      </c>
      <c r="F136" s="723">
        <v>131833</v>
      </c>
      <c r="G136" s="12"/>
      <c r="H136" s="12"/>
      <c r="I136" s="12"/>
      <c r="J136" s="12"/>
      <c r="K136" s="12">
        <f>2500+'[1]táj.2.'!K136</f>
        <v>2500</v>
      </c>
      <c r="L136" s="12"/>
      <c r="M136" s="12"/>
      <c r="N136" s="12"/>
      <c r="O136" s="12"/>
      <c r="P136" s="12"/>
      <c r="Q136" s="12">
        <f t="shared" si="5"/>
        <v>2500</v>
      </c>
    </row>
    <row r="137" spans="1:17" ht="15" customHeight="1">
      <c r="A137" s="87"/>
      <c r="B137" s="87"/>
      <c r="C137" s="220"/>
      <c r="D137" s="212" t="s">
        <v>245</v>
      </c>
      <c r="E137" s="156">
        <v>2</v>
      </c>
      <c r="F137" s="723">
        <v>131834</v>
      </c>
      <c r="G137" s="12"/>
      <c r="H137" s="12"/>
      <c r="I137" s="12"/>
      <c r="J137" s="12"/>
      <c r="K137" s="12">
        <f>4000+'[1]táj.2.'!K137</f>
        <v>4000</v>
      </c>
      <c r="L137" s="12"/>
      <c r="M137" s="12"/>
      <c r="N137" s="12"/>
      <c r="O137" s="12"/>
      <c r="P137" s="12"/>
      <c r="Q137" s="12">
        <f t="shared" si="5"/>
        <v>4000</v>
      </c>
    </row>
    <row r="138" spans="1:17" ht="15" customHeight="1">
      <c r="A138" s="87"/>
      <c r="B138" s="87"/>
      <c r="C138" s="220"/>
      <c r="D138" s="212" t="s">
        <v>1225</v>
      </c>
      <c r="E138" s="156">
        <v>2</v>
      </c>
      <c r="F138" s="724">
        <v>131836</v>
      </c>
      <c r="G138" s="12"/>
      <c r="H138" s="12"/>
      <c r="I138" s="12"/>
      <c r="J138" s="12"/>
      <c r="K138" s="12">
        <f>6000+'[1]táj.2.'!K138</f>
        <v>6000</v>
      </c>
      <c r="L138" s="12"/>
      <c r="M138" s="12"/>
      <c r="N138" s="12"/>
      <c r="O138" s="12"/>
      <c r="P138" s="12"/>
      <c r="Q138" s="12">
        <f t="shared" si="5"/>
        <v>6000</v>
      </c>
    </row>
    <row r="139" spans="1:17" ht="15" customHeight="1">
      <c r="A139" s="87"/>
      <c r="B139" s="87"/>
      <c r="C139" s="220"/>
      <c r="D139" s="212" t="s">
        <v>65</v>
      </c>
      <c r="E139" s="156">
        <v>2</v>
      </c>
      <c r="F139" s="724">
        <v>131837</v>
      </c>
      <c r="G139" s="12"/>
      <c r="H139" s="12"/>
      <c r="I139" s="12"/>
      <c r="J139" s="12"/>
      <c r="K139" s="12">
        <f>5000+'[1]táj.2.'!K139</f>
        <v>5000</v>
      </c>
      <c r="L139" s="12"/>
      <c r="M139" s="12"/>
      <c r="N139" s="12"/>
      <c r="O139" s="12"/>
      <c r="P139" s="12"/>
      <c r="Q139" s="12">
        <f t="shared" si="5"/>
        <v>5000</v>
      </c>
    </row>
    <row r="140" spans="1:17" ht="15" customHeight="1">
      <c r="A140" s="87"/>
      <c r="B140" s="87"/>
      <c r="C140" s="220"/>
      <c r="D140" s="212" t="s">
        <v>66</v>
      </c>
      <c r="E140" s="156">
        <v>2</v>
      </c>
      <c r="F140" s="724">
        <v>131838</v>
      </c>
      <c r="G140" s="12"/>
      <c r="H140" s="12"/>
      <c r="I140" s="12"/>
      <c r="J140" s="12"/>
      <c r="K140" s="12">
        <f>5000+'[1]táj.2.'!K140</f>
        <v>5000</v>
      </c>
      <c r="L140" s="12"/>
      <c r="M140" s="12"/>
      <c r="N140" s="12"/>
      <c r="O140" s="12"/>
      <c r="P140" s="12"/>
      <c r="Q140" s="12">
        <f t="shared" si="5"/>
        <v>5000</v>
      </c>
    </row>
    <row r="141" spans="1:17" ht="15" customHeight="1">
      <c r="A141" s="87"/>
      <c r="B141" s="87"/>
      <c r="C141" s="220"/>
      <c r="D141" s="212" t="s">
        <v>69</v>
      </c>
      <c r="E141" s="156">
        <v>2</v>
      </c>
      <c r="F141" s="724">
        <v>131839</v>
      </c>
      <c r="G141" s="12"/>
      <c r="H141" s="12"/>
      <c r="I141" s="12"/>
      <c r="J141" s="12"/>
      <c r="K141" s="12">
        <f>500+'[1]táj.2.'!K141</f>
        <v>500</v>
      </c>
      <c r="L141" s="12"/>
      <c r="M141" s="12"/>
      <c r="N141" s="12"/>
      <c r="O141" s="12"/>
      <c r="P141" s="12"/>
      <c r="Q141" s="12">
        <f t="shared" si="5"/>
        <v>500</v>
      </c>
    </row>
    <row r="142" spans="1:17" ht="15" customHeight="1">
      <c r="A142" s="87"/>
      <c r="B142" s="87"/>
      <c r="C142" s="220"/>
      <c r="D142" s="212" t="s">
        <v>67</v>
      </c>
      <c r="E142" s="156">
        <v>2</v>
      </c>
      <c r="F142" s="724">
        <v>131840</v>
      </c>
      <c r="G142" s="12"/>
      <c r="H142" s="12"/>
      <c r="I142" s="12"/>
      <c r="J142" s="12"/>
      <c r="K142" s="12">
        <f>1500+'[1]táj.2.'!K142</f>
        <v>1500</v>
      </c>
      <c r="L142" s="12"/>
      <c r="M142" s="12"/>
      <c r="N142" s="12"/>
      <c r="O142" s="12"/>
      <c r="P142" s="12"/>
      <c r="Q142" s="12">
        <f t="shared" si="5"/>
        <v>1500</v>
      </c>
    </row>
    <row r="143" spans="1:17" ht="15" customHeight="1">
      <c r="A143" s="87"/>
      <c r="B143" s="87"/>
      <c r="C143" s="220"/>
      <c r="D143" s="212" t="s">
        <v>68</v>
      </c>
      <c r="E143" s="156">
        <v>2</v>
      </c>
      <c r="F143" s="724">
        <v>131841</v>
      </c>
      <c r="G143" s="12"/>
      <c r="H143" s="12"/>
      <c r="I143" s="12"/>
      <c r="J143" s="12"/>
      <c r="K143" s="12">
        <f>500+'[1]táj.2.'!K143</f>
        <v>500</v>
      </c>
      <c r="L143" s="12"/>
      <c r="M143" s="12"/>
      <c r="N143" s="12"/>
      <c r="O143" s="12"/>
      <c r="P143" s="12"/>
      <c r="Q143" s="12">
        <f t="shared" si="5"/>
        <v>500</v>
      </c>
    </row>
    <row r="144" spans="1:17" ht="15" customHeight="1">
      <c r="A144" s="87"/>
      <c r="B144" s="87"/>
      <c r="C144" s="220"/>
      <c r="D144" s="212" t="s">
        <v>64</v>
      </c>
      <c r="E144" s="156">
        <v>2</v>
      </c>
      <c r="F144" s="724">
        <v>131842</v>
      </c>
      <c r="G144" s="12"/>
      <c r="H144" s="12"/>
      <c r="I144" s="12"/>
      <c r="J144" s="12"/>
      <c r="K144" s="12">
        <f>2500+'[1]táj.2.'!K144</f>
        <v>2500</v>
      </c>
      <c r="L144" s="12"/>
      <c r="M144" s="12"/>
      <c r="N144" s="12"/>
      <c r="O144" s="12"/>
      <c r="P144" s="12"/>
      <c r="Q144" s="12">
        <f t="shared" si="5"/>
        <v>2500</v>
      </c>
    </row>
    <row r="145" spans="1:17" ht="15" customHeight="1">
      <c r="A145" s="87"/>
      <c r="B145" s="87"/>
      <c r="C145" s="220"/>
      <c r="D145" s="212" t="s">
        <v>642</v>
      </c>
      <c r="E145" s="156">
        <v>2</v>
      </c>
      <c r="F145" s="724">
        <v>131843</v>
      </c>
      <c r="G145" s="12"/>
      <c r="H145" s="12"/>
      <c r="I145" s="12"/>
      <c r="J145" s="12"/>
      <c r="K145" s="12">
        <f>2000+'[1]táj.2.'!K145</f>
        <v>2000</v>
      </c>
      <c r="L145" s="12"/>
      <c r="M145" s="12"/>
      <c r="N145" s="12"/>
      <c r="O145" s="12"/>
      <c r="P145" s="12"/>
      <c r="Q145" s="12">
        <f t="shared" si="5"/>
        <v>2000</v>
      </c>
    </row>
    <row r="146" spans="1:17" ht="15" customHeight="1">
      <c r="A146" s="87"/>
      <c r="B146" s="87"/>
      <c r="C146" s="220"/>
      <c r="D146" s="14" t="s">
        <v>127</v>
      </c>
      <c r="E146" s="156">
        <v>2</v>
      </c>
      <c r="F146" s="724">
        <v>131844</v>
      </c>
      <c r="G146" s="12"/>
      <c r="H146" s="12"/>
      <c r="I146" s="12"/>
      <c r="J146" s="12"/>
      <c r="K146" s="12">
        <f>500+'[1]táj.2.'!K146</f>
        <v>500</v>
      </c>
      <c r="L146" s="12"/>
      <c r="M146" s="12"/>
      <c r="N146" s="12"/>
      <c r="O146" s="12"/>
      <c r="P146" s="12"/>
      <c r="Q146" s="12">
        <f t="shared" si="5"/>
        <v>500</v>
      </c>
    </row>
    <row r="147" spans="1:17" ht="15" customHeight="1">
      <c r="A147" s="87"/>
      <c r="B147" s="87"/>
      <c r="C147" s="220"/>
      <c r="D147" s="14" t="s">
        <v>292</v>
      </c>
      <c r="E147" s="407"/>
      <c r="F147" s="235"/>
      <c r="G147" s="12"/>
      <c r="H147" s="15"/>
      <c r="I147" s="15"/>
      <c r="J147" s="15"/>
      <c r="K147" s="15"/>
      <c r="L147" s="15"/>
      <c r="M147" s="15"/>
      <c r="N147" s="15"/>
      <c r="O147" s="15"/>
      <c r="P147" s="15"/>
      <c r="Q147" s="12"/>
    </row>
    <row r="148" spans="1:17" ht="15" customHeight="1">
      <c r="A148" s="87"/>
      <c r="B148" s="87"/>
      <c r="C148" s="220"/>
      <c r="D148" s="14" t="s">
        <v>446</v>
      </c>
      <c r="E148" s="407">
        <v>1</v>
      </c>
      <c r="F148" s="712">
        <v>131827</v>
      </c>
      <c r="G148" s="12"/>
      <c r="H148" s="12"/>
      <c r="I148" s="12">
        <f>24990+'[1]táj.2.'!I148</f>
        <v>24990</v>
      </c>
      <c r="J148" s="12"/>
      <c r="K148" s="12"/>
      <c r="L148" s="12"/>
      <c r="M148" s="12"/>
      <c r="N148" s="12"/>
      <c r="O148" s="12"/>
      <c r="P148" s="12"/>
      <c r="Q148" s="12">
        <f>SUM(G148:P148)</f>
        <v>24990</v>
      </c>
    </row>
    <row r="149" spans="1:17" ht="12">
      <c r="A149" s="91"/>
      <c r="B149" s="91"/>
      <c r="C149" s="221"/>
      <c r="D149" s="94" t="s">
        <v>213</v>
      </c>
      <c r="E149" s="95"/>
      <c r="F149" s="95"/>
      <c r="G149" s="99">
        <f aca="true" t="shared" si="6" ref="G149:Q149">SUM(G45:G148)</f>
        <v>1202</v>
      </c>
      <c r="H149" s="99">
        <f t="shared" si="6"/>
        <v>340</v>
      </c>
      <c r="I149" s="99">
        <f t="shared" si="6"/>
        <v>63211</v>
      </c>
      <c r="J149" s="99">
        <f t="shared" si="6"/>
        <v>19674</v>
      </c>
      <c r="K149" s="99">
        <f t="shared" si="6"/>
        <v>506192</v>
      </c>
      <c r="L149" s="99">
        <f t="shared" si="6"/>
        <v>0</v>
      </c>
      <c r="M149" s="99">
        <f t="shared" si="6"/>
        <v>0</v>
      </c>
      <c r="N149" s="99">
        <f t="shared" si="6"/>
        <v>0</v>
      </c>
      <c r="O149" s="99">
        <f t="shared" si="6"/>
        <v>0</v>
      </c>
      <c r="P149" s="99">
        <f t="shared" si="6"/>
        <v>0</v>
      </c>
      <c r="Q149" s="99">
        <f t="shared" si="6"/>
        <v>590619</v>
      </c>
    </row>
    <row r="150" spans="1:17" ht="12">
      <c r="A150" s="100"/>
      <c r="B150" s="100"/>
      <c r="C150" s="223"/>
      <c r="D150" s="145" t="s">
        <v>1381</v>
      </c>
      <c r="E150" s="89"/>
      <c r="F150" s="715"/>
      <c r="G150" s="93"/>
      <c r="H150" s="93"/>
      <c r="I150" s="93"/>
      <c r="J150" s="12"/>
      <c r="K150" s="12"/>
      <c r="L150" s="93"/>
      <c r="M150" s="93"/>
      <c r="N150" s="12"/>
      <c r="O150" s="12"/>
      <c r="P150" s="93"/>
      <c r="Q150" s="12"/>
    </row>
    <row r="151" spans="1:17" ht="12">
      <c r="A151" s="100"/>
      <c r="B151" s="100"/>
      <c r="C151" s="230" t="s">
        <v>1055</v>
      </c>
      <c r="D151" s="231" t="s">
        <v>902</v>
      </c>
      <c r="E151" s="89"/>
      <c r="F151" s="715"/>
      <c r="G151" s="93"/>
      <c r="H151" s="93"/>
      <c r="I151" s="93"/>
      <c r="J151" s="12"/>
      <c r="K151" s="12"/>
      <c r="L151" s="93"/>
      <c r="M151" s="93"/>
      <c r="N151" s="12"/>
      <c r="O151" s="12"/>
      <c r="P151" s="93"/>
      <c r="Q151" s="12"/>
    </row>
    <row r="152" spans="1:17" ht="12">
      <c r="A152" s="100"/>
      <c r="B152" s="100"/>
      <c r="C152" s="223" t="s">
        <v>1110</v>
      </c>
      <c r="D152" s="725" t="s">
        <v>732</v>
      </c>
      <c r="E152" s="89"/>
      <c r="F152" s="715"/>
      <c r="G152" s="93"/>
      <c r="H152" s="93"/>
      <c r="I152" s="93"/>
      <c r="J152" s="12"/>
      <c r="K152" s="12"/>
      <c r="L152" s="12"/>
      <c r="M152" s="12"/>
      <c r="N152" s="12"/>
      <c r="O152" s="93"/>
      <c r="P152" s="93"/>
      <c r="Q152" s="12"/>
    </row>
    <row r="153" spans="1:17" ht="12">
      <c r="A153" s="100"/>
      <c r="B153" s="100"/>
      <c r="C153" s="220" t="s">
        <v>1111</v>
      </c>
      <c r="D153" s="726" t="s">
        <v>1085</v>
      </c>
      <c r="E153" s="89"/>
      <c r="F153" s="712">
        <v>134903</v>
      </c>
      <c r="G153" s="12"/>
      <c r="H153" s="12"/>
      <c r="I153" s="12"/>
      <c r="J153" s="12"/>
      <c r="K153" s="12"/>
      <c r="L153" s="12"/>
      <c r="M153" s="12">
        <f>15000+'[1]táj.2.'!M153</f>
        <v>15000</v>
      </c>
      <c r="N153" s="12"/>
      <c r="O153" s="12"/>
      <c r="P153" s="12"/>
      <c r="Q153" s="12">
        <f aca="true" t="shared" si="7" ref="Q153:Q158">SUM(G153:P153)</f>
        <v>15000</v>
      </c>
    </row>
    <row r="154" spans="1:17" ht="12">
      <c r="A154" s="100"/>
      <c r="B154" s="100"/>
      <c r="C154" s="220" t="s">
        <v>1117</v>
      </c>
      <c r="D154" s="727" t="s">
        <v>1083</v>
      </c>
      <c r="E154" s="89"/>
      <c r="F154" s="712">
        <v>134906</v>
      </c>
      <c r="G154" s="12"/>
      <c r="H154" s="12"/>
      <c r="I154" s="12"/>
      <c r="J154" s="12"/>
      <c r="K154" s="12"/>
      <c r="L154" s="12"/>
      <c r="M154" s="12">
        <f>500+'[1]táj.2.'!M154</f>
        <v>0</v>
      </c>
      <c r="N154" s="12">
        <f>0+'[1]táj.2.'!N154</f>
        <v>500</v>
      </c>
      <c r="O154" s="12"/>
      <c r="P154" s="12"/>
      <c r="Q154" s="12">
        <f t="shared" si="7"/>
        <v>500</v>
      </c>
    </row>
    <row r="155" spans="1:17" ht="12">
      <c r="A155" s="100"/>
      <c r="B155" s="100"/>
      <c r="C155" s="220" t="s">
        <v>1118</v>
      </c>
      <c r="D155" s="727" t="s">
        <v>1084</v>
      </c>
      <c r="E155" s="89"/>
      <c r="F155" s="712">
        <v>134956</v>
      </c>
      <c r="G155" s="12"/>
      <c r="H155" s="12"/>
      <c r="I155" s="12"/>
      <c r="J155" s="12"/>
      <c r="K155" s="12"/>
      <c r="L155" s="12"/>
      <c r="M155" s="12">
        <f>2500+'[1]táj.2.'!M155</f>
        <v>2500</v>
      </c>
      <c r="N155" s="12"/>
      <c r="O155" s="12"/>
      <c r="P155" s="12"/>
      <c r="Q155" s="12">
        <f t="shared" si="7"/>
        <v>2500</v>
      </c>
    </row>
    <row r="156" spans="1:17" ht="24">
      <c r="A156" s="100"/>
      <c r="B156" s="100"/>
      <c r="C156" s="220" t="s">
        <v>1119</v>
      </c>
      <c r="D156" s="727" t="s">
        <v>1112</v>
      </c>
      <c r="E156" s="89"/>
      <c r="F156" s="712">
        <v>134957</v>
      </c>
      <c r="G156" s="12"/>
      <c r="H156" s="12"/>
      <c r="I156" s="12"/>
      <c r="J156" s="12"/>
      <c r="K156" s="12"/>
      <c r="L156" s="12"/>
      <c r="M156" s="12">
        <f>4500+'[1]táj.2.'!M156</f>
        <v>4500</v>
      </c>
      <c r="N156" s="12"/>
      <c r="O156" s="12"/>
      <c r="P156" s="12"/>
      <c r="Q156" s="12">
        <f t="shared" si="7"/>
        <v>4500</v>
      </c>
    </row>
    <row r="157" spans="1:17" ht="12">
      <c r="A157" s="100"/>
      <c r="B157" s="100"/>
      <c r="C157" s="220" t="s">
        <v>1120</v>
      </c>
      <c r="D157" s="727" t="s">
        <v>1113</v>
      </c>
      <c r="E157" s="89"/>
      <c r="F157" s="712">
        <v>134958</v>
      </c>
      <c r="G157" s="12"/>
      <c r="H157" s="12"/>
      <c r="I157" s="12"/>
      <c r="J157" s="12"/>
      <c r="K157" s="12"/>
      <c r="L157" s="12"/>
      <c r="M157" s="12"/>
      <c r="N157" s="12">
        <f>0+'[1]táj.2.'!N157</f>
        <v>500</v>
      </c>
      <c r="O157" s="12"/>
      <c r="P157" s="12"/>
      <c r="Q157" s="12">
        <f t="shared" si="7"/>
        <v>500</v>
      </c>
    </row>
    <row r="158" spans="1:17" ht="12">
      <c r="A158" s="100"/>
      <c r="B158" s="100"/>
      <c r="C158" s="220" t="s">
        <v>1301</v>
      </c>
      <c r="D158" s="727" t="s">
        <v>1114</v>
      </c>
      <c r="E158" s="89"/>
      <c r="F158" s="712">
        <v>134959</v>
      </c>
      <c r="G158" s="12"/>
      <c r="H158" s="12"/>
      <c r="I158" s="12"/>
      <c r="J158" s="12"/>
      <c r="K158" s="12"/>
      <c r="L158" s="12"/>
      <c r="M158" s="12">
        <f>1000+'[1]táj.2.'!M158</f>
        <v>1000</v>
      </c>
      <c r="N158" s="12"/>
      <c r="O158" s="12"/>
      <c r="P158" s="12"/>
      <c r="Q158" s="12">
        <f t="shared" si="7"/>
        <v>1000</v>
      </c>
    </row>
    <row r="159" spans="1:17" ht="12">
      <c r="A159" s="100"/>
      <c r="B159" s="100"/>
      <c r="C159" s="220" t="s">
        <v>1116</v>
      </c>
      <c r="D159" s="728" t="s">
        <v>1115</v>
      </c>
      <c r="E159" s="89"/>
      <c r="F159" s="715"/>
      <c r="G159" s="12"/>
      <c r="H159" s="93"/>
      <c r="I159" s="93"/>
      <c r="J159" s="12"/>
      <c r="K159" s="12"/>
      <c r="L159" s="93"/>
      <c r="M159" s="93"/>
      <c r="N159" s="12"/>
      <c r="O159" s="12"/>
      <c r="P159" s="93"/>
      <c r="Q159" s="12"/>
    </row>
    <row r="160" spans="1:17" ht="24">
      <c r="A160" s="100"/>
      <c r="B160" s="100"/>
      <c r="C160" s="220" t="s">
        <v>1125</v>
      </c>
      <c r="D160" s="727" t="s">
        <v>1226</v>
      </c>
      <c r="E160" s="89"/>
      <c r="F160" s="729">
        <v>132913</v>
      </c>
      <c r="G160" s="12"/>
      <c r="H160" s="12"/>
      <c r="I160" s="12"/>
      <c r="J160" s="12"/>
      <c r="K160" s="12"/>
      <c r="L160" s="12">
        <f>1000+'[1]táj.2.'!L160</f>
        <v>1000</v>
      </c>
      <c r="M160" s="12"/>
      <c r="N160" s="12"/>
      <c r="O160" s="12"/>
      <c r="P160" s="12"/>
      <c r="Q160" s="12">
        <f aca="true" t="shared" si="8" ref="Q160:Q167">SUM(G160:P160)</f>
        <v>1000</v>
      </c>
    </row>
    <row r="161" spans="1:17" ht="12">
      <c r="A161" s="100"/>
      <c r="B161" s="100"/>
      <c r="C161" s="220" t="s">
        <v>1126</v>
      </c>
      <c r="D161" s="727" t="s">
        <v>1123</v>
      </c>
      <c r="E161" s="89"/>
      <c r="F161" s="729">
        <v>132912</v>
      </c>
      <c r="G161" s="12"/>
      <c r="H161" s="12"/>
      <c r="I161" s="12"/>
      <c r="J161" s="12"/>
      <c r="K161" s="12"/>
      <c r="L161" s="12">
        <f>1500+'[1]táj.2.'!L161</f>
        <v>1500</v>
      </c>
      <c r="M161" s="12"/>
      <c r="N161" s="12"/>
      <c r="O161" s="12"/>
      <c r="P161" s="12"/>
      <c r="Q161" s="12">
        <f t="shared" si="8"/>
        <v>1500</v>
      </c>
    </row>
    <row r="162" spans="1:17" ht="12">
      <c r="A162" s="100"/>
      <c r="B162" s="100"/>
      <c r="C162" s="220" t="s">
        <v>1127</v>
      </c>
      <c r="D162" s="730" t="s">
        <v>1131</v>
      </c>
      <c r="E162" s="89"/>
      <c r="F162" s="729">
        <v>134911</v>
      </c>
      <c r="G162" s="12"/>
      <c r="H162" s="12"/>
      <c r="I162" s="12"/>
      <c r="J162" s="12"/>
      <c r="K162" s="12"/>
      <c r="L162" s="12"/>
      <c r="M162" s="12">
        <f>10000+'[1]táj.2.'!M162</f>
        <v>10000</v>
      </c>
      <c r="N162" s="12"/>
      <c r="O162" s="12"/>
      <c r="P162" s="12"/>
      <c r="Q162" s="12">
        <f t="shared" si="8"/>
        <v>10000</v>
      </c>
    </row>
    <row r="163" spans="1:17" ht="12">
      <c r="A163" s="100"/>
      <c r="B163" s="100"/>
      <c r="C163" s="220" t="s">
        <v>1128</v>
      </c>
      <c r="D163" s="727" t="s">
        <v>1121</v>
      </c>
      <c r="E163" s="89"/>
      <c r="F163" s="729">
        <v>134960</v>
      </c>
      <c r="G163" s="12"/>
      <c r="H163" s="12"/>
      <c r="I163" s="12"/>
      <c r="J163" s="12"/>
      <c r="K163" s="12"/>
      <c r="L163" s="12"/>
      <c r="M163" s="12">
        <f>1000+'[1]táj.2.'!M163</f>
        <v>1000</v>
      </c>
      <c r="N163" s="12"/>
      <c r="O163" s="12"/>
      <c r="P163" s="12"/>
      <c r="Q163" s="12">
        <f t="shared" si="8"/>
        <v>1000</v>
      </c>
    </row>
    <row r="164" spans="1:17" ht="24">
      <c r="A164" s="100"/>
      <c r="B164" s="100"/>
      <c r="C164" s="220" t="s">
        <v>1129</v>
      </c>
      <c r="D164" s="727" t="s">
        <v>1227</v>
      </c>
      <c r="E164" s="89"/>
      <c r="F164" s="729">
        <v>134946</v>
      </c>
      <c r="G164" s="12"/>
      <c r="H164" s="12"/>
      <c r="I164" s="12"/>
      <c r="J164" s="12"/>
      <c r="K164" s="12"/>
      <c r="L164" s="12">
        <f>3500+'[1]táj.2.'!L164</f>
        <v>3500</v>
      </c>
      <c r="M164" s="12"/>
      <c r="N164" s="12"/>
      <c r="O164" s="12"/>
      <c r="P164" s="12"/>
      <c r="Q164" s="12">
        <f t="shared" si="8"/>
        <v>3500</v>
      </c>
    </row>
    <row r="165" spans="1:17" ht="12">
      <c r="A165" s="100"/>
      <c r="B165" s="100"/>
      <c r="C165" s="220" t="s">
        <v>1130</v>
      </c>
      <c r="D165" s="727" t="s">
        <v>217</v>
      </c>
      <c r="E165" s="89"/>
      <c r="F165" s="729">
        <v>134914</v>
      </c>
      <c r="G165" s="12"/>
      <c r="H165" s="12"/>
      <c r="I165" s="12"/>
      <c r="J165" s="12"/>
      <c r="K165" s="12"/>
      <c r="L165" s="12"/>
      <c r="M165" s="12"/>
      <c r="N165" s="12">
        <f>0+'[1]táj.2.'!N165</f>
        <v>500</v>
      </c>
      <c r="O165" s="12"/>
      <c r="P165" s="12"/>
      <c r="Q165" s="12">
        <f t="shared" si="8"/>
        <v>500</v>
      </c>
    </row>
    <row r="166" spans="1:17" ht="12">
      <c r="A166" s="100"/>
      <c r="B166" s="100"/>
      <c r="C166" s="220" t="s">
        <v>730</v>
      </c>
      <c r="D166" s="727" t="s">
        <v>218</v>
      </c>
      <c r="E166" s="89"/>
      <c r="F166" s="729">
        <v>134915</v>
      </c>
      <c r="G166" s="12"/>
      <c r="H166" s="12"/>
      <c r="I166" s="12"/>
      <c r="J166" s="12"/>
      <c r="K166" s="12"/>
      <c r="L166" s="12"/>
      <c r="M166" s="12"/>
      <c r="N166" s="12">
        <f>0+'[1]táj.2.'!N166</f>
        <v>500</v>
      </c>
      <c r="O166" s="12"/>
      <c r="P166" s="12"/>
      <c r="Q166" s="12">
        <f t="shared" si="8"/>
        <v>500</v>
      </c>
    </row>
    <row r="167" spans="1:17" ht="12">
      <c r="A167" s="100"/>
      <c r="B167" s="100"/>
      <c r="C167" s="220" t="s">
        <v>731</v>
      </c>
      <c r="D167" s="727" t="s">
        <v>1122</v>
      </c>
      <c r="E167" s="89"/>
      <c r="F167" s="729">
        <v>134961</v>
      </c>
      <c r="G167" s="12"/>
      <c r="H167" s="12"/>
      <c r="I167" s="12"/>
      <c r="J167" s="12"/>
      <c r="K167" s="12"/>
      <c r="L167" s="12"/>
      <c r="M167" s="12"/>
      <c r="N167" s="12">
        <f>0+'[1]táj.2.'!N167</f>
        <v>600</v>
      </c>
      <c r="O167" s="12"/>
      <c r="P167" s="12"/>
      <c r="Q167" s="12">
        <f t="shared" si="8"/>
        <v>600</v>
      </c>
    </row>
    <row r="168" spans="1:17" ht="13.5">
      <c r="A168" s="100"/>
      <c r="B168" s="100"/>
      <c r="C168" s="223" t="s">
        <v>1133</v>
      </c>
      <c r="D168" s="731" t="s">
        <v>720</v>
      </c>
      <c r="E168" s="89"/>
      <c r="F168" s="729"/>
      <c r="G168" s="12"/>
      <c r="H168" s="93"/>
      <c r="I168" s="93"/>
      <c r="J168" s="12"/>
      <c r="K168" s="12"/>
      <c r="L168" s="12"/>
      <c r="M168" s="93"/>
      <c r="N168" s="12"/>
      <c r="O168" s="93"/>
      <c r="P168" s="93"/>
      <c r="Q168" s="12"/>
    </row>
    <row r="169" spans="1:17" ht="12">
      <c r="A169" s="100"/>
      <c r="B169" s="100"/>
      <c r="C169" s="220" t="s">
        <v>1134</v>
      </c>
      <c r="D169" s="727" t="s">
        <v>1124</v>
      </c>
      <c r="E169" s="89"/>
      <c r="F169" s="729">
        <v>134962</v>
      </c>
      <c r="G169" s="12"/>
      <c r="H169" s="12"/>
      <c r="I169" s="12"/>
      <c r="J169" s="12"/>
      <c r="K169" s="12"/>
      <c r="L169" s="12"/>
      <c r="M169" s="12">
        <f>8000+'[1]táj.2.'!M169</f>
        <v>8000</v>
      </c>
      <c r="N169" s="12"/>
      <c r="O169" s="12"/>
      <c r="P169" s="12"/>
      <c r="Q169" s="12">
        <f>SUM(G169:P169)</f>
        <v>8000</v>
      </c>
    </row>
    <row r="170" spans="1:17" ht="12">
      <c r="A170" s="100"/>
      <c r="B170" s="100"/>
      <c r="C170" s="220" t="s">
        <v>1135</v>
      </c>
      <c r="D170" s="732" t="s">
        <v>1132</v>
      </c>
      <c r="E170" s="89"/>
      <c r="F170" s="729">
        <v>134963</v>
      </c>
      <c r="G170" s="12"/>
      <c r="H170" s="12"/>
      <c r="I170" s="12"/>
      <c r="J170" s="12"/>
      <c r="K170" s="12"/>
      <c r="L170" s="12"/>
      <c r="M170" s="12">
        <f>1000+'[1]táj.2.'!M170</f>
        <v>1000</v>
      </c>
      <c r="N170" s="12"/>
      <c r="O170" s="12"/>
      <c r="P170" s="12"/>
      <c r="Q170" s="12">
        <f>SUM(G170:P170)</f>
        <v>1000</v>
      </c>
    </row>
    <row r="171" spans="1:17" ht="12">
      <c r="A171" s="100"/>
      <c r="B171" s="100"/>
      <c r="C171" s="230" t="s">
        <v>1054</v>
      </c>
      <c r="D171" s="231" t="s">
        <v>903</v>
      </c>
      <c r="E171" s="89"/>
      <c r="F171" s="729"/>
      <c r="G171" s="12"/>
      <c r="H171" s="93"/>
      <c r="I171" s="93"/>
      <c r="J171" s="12"/>
      <c r="K171" s="12"/>
      <c r="L171" s="93"/>
      <c r="M171" s="93"/>
      <c r="N171" s="12"/>
      <c r="O171" s="12"/>
      <c r="P171" s="93"/>
      <c r="Q171" s="12"/>
    </row>
    <row r="172" spans="1:17" ht="12">
      <c r="A172" s="100"/>
      <c r="B172" s="100"/>
      <c r="C172" s="220" t="s">
        <v>847</v>
      </c>
      <c r="D172" s="13" t="s">
        <v>128</v>
      </c>
      <c r="E172" s="89"/>
      <c r="F172" s="729">
        <v>132909</v>
      </c>
      <c r="G172" s="12"/>
      <c r="H172" s="12"/>
      <c r="I172" s="12"/>
      <c r="J172" s="12"/>
      <c r="K172" s="12"/>
      <c r="L172" s="12">
        <f>4000+'[1]táj.2.'!L172</f>
        <v>4000</v>
      </c>
      <c r="M172" s="12"/>
      <c r="N172" s="12"/>
      <c r="O172" s="12"/>
      <c r="P172" s="12"/>
      <c r="Q172" s="12">
        <f>SUM(G172:P172)</f>
        <v>4000</v>
      </c>
    </row>
    <row r="173" spans="1:17" ht="12">
      <c r="A173" s="100"/>
      <c r="B173" s="100"/>
      <c r="C173" s="220" t="s">
        <v>1076</v>
      </c>
      <c r="D173" s="13" t="s">
        <v>1312</v>
      </c>
      <c r="E173" s="89"/>
      <c r="F173" s="729">
        <v>132910</v>
      </c>
      <c r="G173" s="12"/>
      <c r="H173" s="12"/>
      <c r="I173" s="12"/>
      <c r="J173" s="12"/>
      <c r="K173" s="12"/>
      <c r="L173" s="12">
        <f>6050+'[1]táj.2.'!L173</f>
        <v>8255</v>
      </c>
      <c r="M173" s="12"/>
      <c r="N173" s="12"/>
      <c r="O173" s="12"/>
      <c r="P173" s="12"/>
      <c r="Q173" s="12">
        <f>SUM(G173:P173)</f>
        <v>8255</v>
      </c>
    </row>
    <row r="174" spans="1:17" ht="12">
      <c r="A174" s="100"/>
      <c r="B174" s="100"/>
      <c r="C174" s="230" t="s">
        <v>1056</v>
      </c>
      <c r="D174" s="207" t="s">
        <v>733</v>
      </c>
      <c r="E174" s="89"/>
      <c r="F174" s="729"/>
      <c r="G174" s="12"/>
      <c r="H174" s="93"/>
      <c r="I174" s="93"/>
      <c r="J174" s="12"/>
      <c r="K174" s="12"/>
      <c r="L174" s="12"/>
      <c r="M174" s="93"/>
      <c r="N174" s="12"/>
      <c r="O174" s="12"/>
      <c r="P174" s="93"/>
      <c r="Q174" s="12"/>
    </row>
    <row r="175" spans="1:17" ht="12">
      <c r="A175" s="100"/>
      <c r="B175" s="100"/>
      <c r="C175" s="220" t="s">
        <v>1137</v>
      </c>
      <c r="D175" s="727" t="s">
        <v>1022</v>
      </c>
      <c r="E175" s="89"/>
      <c r="F175" s="729">
        <v>134921</v>
      </c>
      <c r="G175" s="12"/>
      <c r="H175" s="12"/>
      <c r="I175" s="12"/>
      <c r="J175" s="12"/>
      <c r="K175" s="12"/>
      <c r="L175" s="12"/>
      <c r="M175" s="12">
        <f>6789+'[1]táj.2.'!M175</f>
        <v>6789</v>
      </c>
      <c r="N175" s="12"/>
      <c r="O175" s="12"/>
      <c r="P175" s="12"/>
      <c r="Q175" s="12">
        <f>SUM(G175:P175)</f>
        <v>6789</v>
      </c>
    </row>
    <row r="176" spans="1:17" ht="12">
      <c r="A176" s="100"/>
      <c r="B176" s="100"/>
      <c r="C176" s="220" t="s">
        <v>1138</v>
      </c>
      <c r="D176" s="727" t="s">
        <v>1136</v>
      </c>
      <c r="E176" s="89"/>
      <c r="F176" s="729">
        <v>134922</v>
      </c>
      <c r="G176" s="12"/>
      <c r="H176" s="12"/>
      <c r="I176" s="12"/>
      <c r="J176" s="12"/>
      <c r="K176" s="12"/>
      <c r="L176" s="12"/>
      <c r="M176" s="12">
        <f>700+'[1]táj.2.'!M176</f>
        <v>700</v>
      </c>
      <c r="N176" s="12"/>
      <c r="O176" s="12"/>
      <c r="P176" s="12"/>
      <c r="Q176" s="12">
        <f>SUM(G176:P176)</f>
        <v>700</v>
      </c>
    </row>
    <row r="177" spans="1:17" ht="12">
      <c r="A177" s="100"/>
      <c r="B177" s="100"/>
      <c r="C177" s="220" t="s">
        <v>1302</v>
      </c>
      <c r="D177" s="733" t="s">
        <v>1139</v>
      </c>
      <c r="E177" s="89"/>
      <c r="F177" s="729">
        <v>134926</v>
      </c>
      <c r="G177" s="12"/>
      <c r="H177" s="12"/>
      <c r="I177" s="12"/>
      <c r="J177" s="12"/>
      <c r="K177" s="12"/>
      <c r="L177" s="12"/>
      <c r="M177" s="12"/>
      <c r="N177" s="12">
        <f>0+'[1]táj.2.'!N177</f>
        <v>10000</v>
      </c>
      <c r="O177" s="12"/>
      <c r="P177" s="12"/>
      <c r="Q177" s="12">
        <f>SUM(G177:P177)</f>
        <v>10000</v>
      </c>
    </row>
    <row r="178" spans="1:17" ht="12.75">
      <c r="A178" s="100"/>
      <c r="B178" s="100"/>
      <c r="C178" s="220" t="s">
        <v>589</v>
      </c>
      <c r="D178" s="734" t="s">
        <v>590</v>
      </c>
      <c r="E178" s="89"/>
      <c r="F178" s="729">
        <v>134925</v>
      </c>
      <c r="G178" s="12"/>
      <c r="H178" s="12"/>
      <c r="I178" s="12"/>
      <c r="J178" s="12"/>
      <c r="K178" s="12"/>
      <c r="L178" s="12"/>
      <c r="M178" s="12"/>
      <c r="N178" s="12">
        <f>'[1]táj.2.'!N178</f>
        <v>500</v>
      </c>
      <c r="O178" s="12"/>
      <c r="P178" s="12"/>
      <c r="Q178" s="12">
        <f>SUM(G178:P178)</f>
        <v>500</v>
      </c>
    </row>
    <row r="179" spans="1:17" ht="12">
      <c r="A179" s="100"/>
      <c r="B179" s="100"/>
      <c r="C179" s="230" t="s">
        <v>1057</v>
      </c>
      <c r="D179" s="207" t="s">
        <v>734</v>
      </c>
      <c r="E179" s="89"/>
      <c r="F179" s="729"/>
      <c r="G179" s="12"/>
      <c r="H179" s="93"/>
      <c r="I179" s="93"/>
      <c r="J179" s="12"/>
      <c r="K179" s="12"/>
      <c r="L179" s="12"/>
      <c r="M179" s="93"/>
      <c r="N179" s="12"/>
      <c r="O179" s="12"/>
      <c r="P179" s="93"/>
      <c r="Q179" s="12"/>
    </row>
    <row r="180" spans="1:17" ht="51">
      <c r="A180" s="100"/>
      <c r="B180" s="100"/>
      <c r="C180" s="220" t="s">
        <v>1059</v>
      </c>
      <c r="D180" s="735" t="s">
        <v>1148</v>
      </c>
      <c r="E180" s="89"/>
      <c r="F180" s="729">
        <v>132940</v>
      </c>
      <c r="G180" s="12"/>
      <c r="H180" s="12"/>
      <c r="I180" s="12"/>
      <c r="J180" s="12"/>
      <c r="K180" s="12"/>
      <c r="L180" s="12">
        <f>6700+'[1]táj.2.'!L180</f>
        <v>6700</v>
      </c>
      <c r="M180" s="12"/>
      <c r="N180" s="12"/>
      <c r="O180" s="12"/>
      <c r="P180" s="12"/>
      <c r="Q180" s="12">
        <f>SUM(G180:P180)</f>
        <v>6700</v>
      </c>
    </row>
    <row r="181" spans="1:17" ht="12.75">
      <c r="A181" s="100"/>
      <c r="B181" s="100"/>
      <c r="C181" s="220" t="s">
        <v>1272</v>
      </c>
      <c r="D181" s="736" t="s">
        <v>1221</v>
      </c>
      <c r="E181" s="89"/>
      <c r="F181" s="729">
        <v>134964</v>
      </c>
      <c r="G181" s="12"/>
      <c r="H181" s="12"/>
      <c r="I181" s="12"/>
      <c r="J181" s="12"/>
      <c r="K181" s="12"/>
      <c r="L181" s="12"/>
      <c r="M181" s="12">
        <f>1000+'[1]táj.2.'!M181</f>
        <v>1000</v>
      </c>
      <c r="N181" s="12"/>
      <c r="O181" s="12"/>
      <c r="P181" s="12"/>
      <c r="Q181" s="12">
        <f>SUM(G181:P181)</f>
        <v>1000</v>
      </c>
    </row>
    <row r="182" spans="1:17" ht="12.75">
      <c r="A182" s="100"/>
      <c r="B182" s="100"/>
      <c r="C182" s="223" t="s">
        <v>1010</v>
      </c>
      <c r="D182" s="736" t="s">
        <v>1019</v>
      </c>
      <c r="E182" s="89"/>
      <c r="F182" s="729"/>
      <c r="G182" s="12"/>
      <c r="H182" s="93"/>
      <c r="I182" s="93"/>
      <c r="J182" s="12"/>
      <c r="K182" s="12"/>
      <c r="L182" s="12"/>
      <c r="M182" s="12"/>
      <c r="N182" s="12"/>
      <c r="O182" s="93"/>
      <c r="P182" s="93"/>
      <c r="Q182" s="12"/>
    </row>
    <row r="183" spans="1:17" ht="30" customHeight="1">
      <c r="A183" s="100"/>
      <c r="B183" s="100"/>
      <c r="C183" s="220" t="s">
        <v>1007</v>
      </c>
      <c r="D183" s="190" t="s">
        <v>85</v>
      </c>
      <c r="E183" s="102"/>
      <c r="F183" s="737">
        <v>132903</v>
      </c>
      <c r="G183" s="12"/>
      <c r="H183" s="12"/>
      <c r="I183" s="12"/>
      <c r="J183" s="12"/>
      <c r="K183" s="12"/>
      <c r="L183" s="12">
        <f>5953+'[1]táj.2.'!L183</f>
        <v>5953</v>
      </c>
      <c r="M183" s="12"/>
      <c r="N183" s="12"/>
      <c r="O183" s="12"/>
      <c r="P183" s="12"/>
      <c r="Q183" s="112">
        <f>SUM(G183:P183)</f>
        <v>5953</v>
      </c>
    </row>
    <row r="184" spans="1:17" ht="12">
      <c r="A184" s="100"/>
      <c r="B184" s="100"/>
      <c r="C184" s="223" t="s">
        <v>1008</v>
      </c>
      <c r="D184" s="13" t="s">
        <v>72</v>
      </c>
      <c r="E184" s="89"/>
      <c r="F184" s="729"/>
      <c r="G184" s="12"/>
      <c r="H184" s="93"/>
      <c r="I184" s="93"/>
      <c r="J184" s="12"/>
      <c r="K184" s="12"/>
      <c r="L184" s="12"/>
      <c r="M184" s="93"/>
      <c r="N184" s="12"/>
      <c r="O184" s="12"/>
      <c r="P184" s="93"/>
      <c r="Q184" s="12"/>
    </row>
    <row r="185" spans="1:17" ht="14.25" customHeight="1">
      <c r="A185" s="100"/>
      <c r="B185" s="100"/>
      <c r="C185" s="220" t="s">
        <v>99</v>
      </c>
      <c r="D185" s="738" t="s">
        <v>73</v>
      </c>
      <c r="E185" s="89"/>
      <c r="F185" s="729">
        <v>132946</v>
      </c>
      <c r="G185" s="12"/>
      <c r="H185" s="12"/>
      <c r="I185" s="12"/>
      <c r="J185" s="12"/>
      <c r="K185" s="12"/>
      <c r="L185" s="12"/>
      <c r="M185" s="12"/>
      <c r="N185" s="12">
        <f>800+'[1]táj.2.'!N185</f>
        <v>800</v>
      </c>
      <c r="O185" s="12"/>
      <c r="P185" s="12"/>
      <c r="Q185" s="12">
        <f aca="true" t="shared" si="9" ref="Q185:Q195">SUM(G185:P185)</f>
        <v>800</v>
      </c>
    </row>
    <row r="186" spans="1:17" ht="36" customHeight="1">
      <c r="A186" s="100"/>
      <c r="B186" s="100"/>
      <c r="C186" s="220" t="s">
        <v>100</v>
      </c>
      <c r="D186" s="735" t="s">
        <v>74</v>
      </c>
      <c r="E186" s="89"/>
      <c r="F186" s="729">
        <v>132941</v>
      </c>
      <c r="G186" s="12"/>
      <c r="H186" s="12"/>
      <c r="I186" s="12"/>
      <c r="J186" s="12"/>
      <c r="K186" s="12"/>
      <c r="L186" s="12"/>
      <c r="M186" s="12"/>
      <c r="N186" s="12">
        <f>20065+'[1]táj.2.'!N186</f>
        <v>20065</v>
      </c>
      <c r="O186" s="12"/>
      <c r="P186" s="12"/>
      <c r="Q186" s="12">
        <f t="shared" si="9"/>
        <v>20065</v>
      </c>
    </row>
    <row r="187" spans="1:17" ht="22.5" customHeight="1">
      <c r="A187" s="100"/>
      <c r="B187" s="100"/>
      <c r="C187" s="220" t="s">
        <v>101</v>
      </c>
      <c r="D187" s="735" t="s">
        <v>784</v>
      </c>
      <c r="E187" s="89"/>
      <c r="F187" s="729">
        <v>132942</v>
      </c>
      <c r="G187" s="12"/>
      <c r="H187" s="12"/>
      <c r="I187" s="12"/>
      <c r="J187" s="12"/>
      <c r="K187" s="12"/>
      <c r="L187" s="12">
        <f>12000+'[1]táj.2.'!L187</f>
        <v>12000</v>
      </c>
      <c r="M187" s="12"/>
      <c r="N187" s="12"/>
      <c r="O187" s="12"/>
      <c r="P187" s="12"/>
      <c r="Q187" s="12">
        <f t="shared" si="9"/>
        <v>12000</v>
      </c>
    </row>
    <row r="188" spans="1:17" ht="18.75" customHeight="1">
      <c r="A188" s="100"/>
      <c r="B188" s="100"/>
      <c r="C188" s="220" t="s">
        <v>1140</v>
      </c>
      <c r="D188" s="739" t="s">
        <v>1149</v>
      </c>
      <c r="E188" s="89"/>
      <c r="F188" s="729">
        <v>132911</v>
      </c>
      <c r="G188" s="12"/>
      <c r="H188" s="12"/>
      <c r="I188" s="12"/>
      <c r="J188" s="12"/>
      <c r="K188" s="12"/>
      <c r="L188" s="12">
        <f>20000+'[1]táj.2.'!L188</f>
        <v>20000</v>
      </c>
      <c r="M188" s="12"/>
      <c r="N188" s="12"/>
      <c r="O188" s="12"/>
      <c r="P188" s="12"/>
      <c r="Q188" s="12">
        <f t="shared" si="9"/>
        <v>20000</v>
      </c>
    </row>
    <row r="189" spans="1:17" ht="36" customHeight="1">
      <c r="A189" s="100"/>
      <c r="B189" s="100"/>
      <c r="C189" s="220" t="s">
        <v>1141</v>
      </c>
      <c r="D189" s="740" t="s">
        <v>256</v>
      </c>
      <c r="E189" s="89"/>
      <c r="F189" s="729">
        <v>132923</v>
      </c>
      <c r="G189" s="12">
        <f>268+'[1]táj.2.'!G189</f>
        <v>268</v>
      </c>
      <c r="H189" s="12">
        <f>65+'[1]táj.2.'!H189</f>
        <v>65</v>
      </c>
      <c r="I189" s="12">
        <f>25811+'[1]táj.2.'!I189</f>
        <v>25811</v>
      </c>
      <c r="J189" s="12"/>
      <c r="K189" s="12"/>
      <c r="L189" s="12">
        <f>7797+'[1]táj.2.'!L189</f>
        <v>7797</v>
      </c>
      <c r="M189" s="12"/>
      <c r="N189" s="12"/>
      <c r="O189" s="12"/>
      <c r="P189" s="12"/>
      <c r="Q189" s="12">
        <f t="shared" si="9"/>
        <v>33941</v>
      </c>
    </row>
    <row r="190" spans="1:17" ht="12.75">
      <c r="A190" s="100"/>
      <c r="B190" s="100"/>
      <c r="C190" s="220" t="s">
        <v>1142</v>
      </c>
      <c r="D190" s="741" t="s">
        <v>1006</v>
      </c>
      <c r="E190" s="89"/>
      <c r="F190" s="729">
        <v>134910</v>
      </c>
      <c r="G190" s="12"/>
      <c r="H190" s="12"/>
      <c r="I190" s="12"/>
      <c r="J190" s="12"/>
      <c r="K190" s="12"/>
      <c r="L190" s="12"/>
      <c r="M190" s="12">
        <f>1000+'[1]táj.2.'!M190</f>
        <v>1000</v>
      </c>
      <c r="N190" s="12"/>
      <c r="O190" s="12"/>
      <c r="P190" s="12"/>
      <c r="Q190" s="12">
        <f t="shared" si="9"/>
        <v>1000</v>
      </c>
    </row>
    <row r="191" spans="1:17" ht="25.5" customHeight="1">
      <c r="A191" s="100"/>
      <c r="B191" s="100"/>
      <c r="C191" s="220" t="s">
        <v>1143</v>
      </c>
      <c r="D191" s="742" t="s">
        <v>75</v>
      </c>
      <c r="E191" s="89"/>
      <c r="F191" s="729">
        <v>134940</v>
      </c>
      <c r="G191" s="12"/>
      <c r="H191" s="12"/>
      <c r="I191" s="12"/>
      <c r="J191" s="12"/>
      <c r="K191" s="12"/>
      <c r="L191" s="12"/>
      <c r="M191" s="12"/>
      <c r="N191" s="12">
        <f>1000+'[1]táj.2.'!N191</f>
        <v>1000</v>
      </c>
      <c r="O191" s="12"/>
      <c r="P191" s="12"/>
      <c r="Q191" s="12">
        <f t="shared" si="9"/>
        <v>1000</v>
      </c>
    </row>
    <row r="192" spans="1:17" ht="18.75" customHeight="1">
      <c r="A192" s="100"/>
      <c r="B192" s="100"/>
      <c r="C192" s="220" t="s">
        <v>735</v>
      </c>
      <c r="D192" s="743" t="s">
        <v>649</v>
      </c>
      <c r="E192" s="89"/>
      <c r="F192" s="729">
        <v>132904</v>
      </c>
      <c r="G192" s="12"/>
      <c r="H192" s="12"/>
      <c r="I192" s="12"/>
      <c r="J192" s="12"/>
      <c r="K192" s="12"/>
      <c r="L192" s="12"/>
      <c r="M192" s="12">
        <f>3595+'[1]táj.2.'!M192</f>
        <v>3595</v>
      </c>
      <c r="N192" s="12"/>
      <c r="O192" s="12"/>
      <c r="P192" s="12"/>
      <c r="Q192" s="12">
        <f t="shared" si="9"/>
        <v>3595</v>
      </c>
    </row>
    <row r="193" spans="1:17" ht="25.5" customHeight="1">
      <c r="A193" s="100"/>
      <c r="B193" s="100"/>
      <c r="C193" s="220" t="s">
        <v>736</v>
      </c>
      <c r="D193" s="233" t="s">
        <v>301</v>
      </c>
      <c r="E193" s="89"/>
      <c r="F193" s="729">
        <v>134919</v>
      </c>
      <c r="G193" s="12"/>
      <c r="H193" s="12"/>
      <c r="I193" s="12"/>
      <c r="J193" s="12"/>
      <c r="K193" s="12"/>
      <c r="L193" s="12"/>
      <c r="M193" s="12">
        <f>1713+'[1]táj.2.'!M193</f>
        <v>1713</v>
      </c>
      <c r="N193" s="12"/>
      <c r="O193" s="12"/>
      <c r="P193" s="12"/>
      <c r="Q193" s="12">
        <f t="shared" si="9"/>
        <v>1713</v>
      </c>
    </row>
    <row r="194" spans="1:17" ht="12.75">
      <c r="A194" s="100"/>
      <c r="B194" s="100"/>
      <c r="C194" s="220" t="s">
        <v>737</v>
      </c>
      <c r="D194" s="234" t="s">
        <v>1021</v>
      </c>
      <c r="E194" s="89"/>
      <c r="F194" s="729">
        <v>134930</v>
      </c>
      <c r="G194" s="12"/>
      <c r="H194" s="12"/>
      <c r="I194" s="12"/>
      <c r="J194" s="12"/>
      <c r="K194" s="12"/>
      <c r="L194" s="12"/>
      <c r="M194" s="12">
        <f>5000+'[1]táj.2.'!M194</f>
        <v>5000</v>
      </c>
      <c r="N194" s="12"/>
      <c r="O194" s="12"/>
      <c r="P194" s="12"/>
      <c r="Q194" s="12">
        <f t="shared" si="9"/>
        <v>5000</v>
      </c>
    </row>
    <row r="195" spans="1:17" ht="22.5" customHeight="1">
      <c r="A195" s="100"/>
      <c r="B195" s="100"/>
      <c r="C195" s="220" t="s">
        <v>738</v>
      </c>
      <c r="D195" s="180" t="s">
        <v>1345</v>
      </c>
      <c r="E195" s="89"/>
      <c r="F195" s="729">
        <v>134953</v>
      </c>
      <c r="G195" s="12"/>
      <c r="H195" s="12"/>
      <c r="I195" s="12"/>
      <c r="J195" s="12"/>
      <c r="K195" s="12"/>
      <c r="L195" s="12"/>
      <c r="M195" s="12">
        <f>617+'[1]táj.2.'!M195</f>
        <v>617</v>
      </c>
      <c r="N195" s="12"/>
      <c r="O195" s="12"/>
      <c r="P195" s="12"/>
      <c r="Q195" s="12">
        <f t="shared" si="9"/>
        <v>617</v>
      </c>
    </row>
    <row r="196" spans="1:17" ht="12.75" customHeight="1">
      <c r="A196" s="91"/>
      <c r="B196" s="91"/>
      <c r="C196" s="221"/>
      <c r="D196" s="143" t="s">
        <v>219</v>
      </c>
      <c r="E196" s="95"/>
      <c r="F196" s="744"/>
      <c r="G196" s="99">
        <f aca="true" t="shared" si="10" ref="G196:Q196">SUM(G149:G195)</f>
        <v>1470</v>
      </c>
      <c r="H196" s="99">
        <f t="shared" si="10"/>
        <v>405</v>
      </c>
      <c r="I196" s="99">
        <f t="shared" si="10"/>
        <v>89022</v>
      </c>
      <c r="J196" s="99">
        <f t="shared" si="10"/>
        <v>19674</v>
      </c>
      <c r="K196" s="99">
        <f t="shared" si="10"/>
        <v>506192</v>
      </c>
      <c r="L196" s="99">
        <f t="shared" si="10"/>
        <v>70705</v>
      </c>
      <c r="M196" s="99">
        <f t="shared" si="10"/>
        <v>63414</v>
      </c>
      <c r="N196" s="99">
        <f t="shared" si="10"/>
        <v>34965</v>
      </c>
      <c r="O196" s="99">
        <f t="shared" si="10"/>
        <v>0</v>
      </c>
      <c r="P196" s="99">
        <f t="shared" si="10"/>
        <v>0</v>
      </c>
      <c r="Q196" s="99">
        <f t="shared" si="10"/>
        <v>785847</v>
      </c>
    </row>
    <row r="197" spans="1:17" ht="12.75" customHeight="1">
      <c r="A197" s="100">
        <v>1</v>
      </c>
      <c r="B197" s="100">
        <v>14</v>
      </c>
      <c r="C197" s="223"/>
      <c r="D197" s="207" t="s">
        <v>689</v>
      </c>
      <c r="E197" s="97"/>
      <c r="F197" s="729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</row>
    <row r="198" spans="1:17" ht="12.75" customHeight="1">
      <c r="A198" s="100"/>
      <c r="B198" s="100"/>
      <c r="C198" s="223"/>
      <c r="D198" s="745" t="s">
        <v>344</v>
      </c>
      <c r="E198" s="97"/>
      <c r="F198" s="729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</row>
    <row r="199" spans="1:17" ht="12.75" customHeight="1">
      <c r="A199" s="100"/>
      <c r="B199" s="100"/>
      <c r="C199" s="223"/>
      <c r="D199" s="13" t="s">
        <v>691</v>
      </c>
      <c r="E199" s="89">
        <v>1</v>
      </c>
      <c r="F199" s="729">
        <v>171918</v>
      </c>
      <c r="G199" s="12"/>
      <c r="H199" s="12"/>
      <c r="I199" s="12">
        <f>4000+'[1]táj.2.'!I199</f>
        <v>4000</v>
      </c>
      <c r="J199" s="12"/>
      <c r="K199" s="12"/>
      <c r="L199" s="12"/>
      <c r="M199" s="12"/>
      <c r="N199" s="12"/>
      <c r="O199" s="12"/>
      <c r="P199" s="12"/>
      <c r="Q199" s="12">
        <f>SUM(I199:P199)</f>
        <v>4000</v>
      </c>
    </row>
    <row r="200" spans="1:17" ht="12.75" customHeight="1">
      <c r="A200" s="100"/>
      <c r="B200" s="100"/>
      <c r="C200" s="223"/>
      <c r="D200" s="13" t="s">
        <v>687</v>
      </c>
      <c r="E200" s="89">
        <v>1</v>
      </c>
      <c r="F200" s="729">
        <v>171926</v>
      </c>
      <c r="G200" s="12"/>
      <c r="H200" s="12"/>
      <c r="I200" s="12">
        <f>1000+'[1]táj.2.'!I200</f>
        <v>1000</v>
      </c>
      <c r="J200" s="12"/>
      <c r="K200" s="12"/>
      <c r="L200" s="12"/>
      <c r="M200" s="12"/>
      <c r="N200" s="12"/>
      <c r="O200" s="12"/>
      <c r="P200" s="12"/>
      <c r="Q200" s="12">
        <f>SUM(I200:P200)</f>
        <v>1000</v>
      </c>
    </row>
    <row r="201" spans="1:17" ht="12.75" customHeight="1">
      <c r="A201" s="100"/>
      <c r="B201" s="100"/>
      <c r="C201" s="223"/>
      <c r="D201" s="13" t="s">
        <v>688</v>
      </c>
      <c r="E201" s="89">
        <v>1</v>
      </c>
      <c r="F201" s="729">
        <v>171917</v>
      </c>
      <c r="G201" s="12"/>
      <c r="H201" s="12"/>
      <c r="I201" s="12">
        <f>10000+'[1]táj.2.'!I201</f>
        <v>10000</v>
      </c>
      <c r="J201" s="12"/>
      <c r="K201" s="12"/>
      <c r="L201" s="12"/>
      <c r="M201" s="12"/>
      <c r="N201" s="12"/>
      <c r="O201" s="12"/>
      <c r="P201" s="12"/>
      <c r="Q201" s="12">
        <f>SUM(I201:P201)</f>
        <v>10000</v>
      </c>
    </row>
    <row r="202" spans="1:17" ht="12.75" customHeight="1">
      <c r="A202" s="100"/>
      <c r="B202" s="100"/>
      <c r="C202" s="223"/>
      <c r="D202" s="13" t="s">
        <v>401</v>
      </c>
      <c r="E202" s="89">
        <v>1</v>
      </c>
      <c r="F202" s="729">
        <v>171967</v>
      </c>
      <c r="G202" s="12"/>
      <c r="H202" s="12"/>
      <c r="I202" s="12">
        <f>1003+'[1]táj.2.'!I202</f>
        <v>1003</v>
      </c>
      <c r="J202" s="12"/>
      <c r="K202" s="12"/>
      <c r="L202" s="12"/>
      <c r="M202" s="12"/>
      <c r="N202" s="12"/>
      <c r="O202" s="12"/>
      <c r="P202" s="12"/>
      <c r="Q202" s="12">
        <f>SUM(I202:P202)</f>
        <v>1003</v>
      </c>
    </row>
    <row r="203" spans="1:17" ht="12.75" customHeight="1">
      <c r="A203" s="91"/>
      <c r="B203" s="91"/>
      <c r="C203" s="221"/>
      <c r="D203" s="94" t="s">
        <v>76</v>
      </c>
      <c r="E203" s="208"/>
      <c r="F203" s="744"/>
      <c r="G203" s="99"/>
      <c r="H203" s="99"/>
      <c r="I203" s="209">
        <f aca="true" t="shared" si="11" ref="I203:Q203">SUM(I199:I202)</f>
        <v>16003</v>
      </c>
      <c r="J203" s="209">
        <f t="shared" si="11"/>
        <v>0</v>
      </c>
      <c r="K203" s="209">
        <f t="shared" si="11"/>
        <v>0</v>
      </c>
      <c r="L203" s="209">
        <f t="shared" si="11"/>
        <v>0</v>
      </c>
      <c r="M203" s="209">
        <f t="shared" si="11"/>
        <v>0</v>
      </c>
      <c r="N203" s="209">
        <f t="shared" si="11"/>
        <v>0</v>
      </c>
      <c r="O203" s="209">
        <f t="shared" si="11"/>
        <v>0</v>
      </c>
      <c r="P203" s="209">
        <f t="shared" si="11"/>
        <v>0</v>
      </c>
      <c r="Q203" s="209">
        <f t="shared" si="11"/>
        <v>16003</v>
      </c>
    </row>
    <row r="204" spans="1:17" ht="12.75" customHeight="1">
      <c r="A204" s="100"/>
      <c r="B204" s="100"/>
      <c r="C204" s="223"/>
      <c r="D204" s="145" t="s">
        <v>71</v>
      </c>
      <c r="E204" s="89"/>
      <c r="F204" s="729"/>
      <c r="G204" s="93"/>
      <c r="H204" s="93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ht="27.75" customHeight="1">
      <c r="A205" s="100"/>
      <c r="B205" s="100"/>
      <c r="C205" s="220" t="s">
        <v>1055</v>
      </c>
      <c r="D205" s="746" t="s">
        <v>1180</v>
      </c>
      <c r="E205" s="89"/>
      <c r="F205" s="729">
        <v>172915</v>
      </c>
      <c r="G205" s="12"/>
      <c r="H205" s="12"/>
      <c r="I205" s="12"/>
      <c r="J205" s="12"/>
      <c r="K205" s="12"/>
      <c r="L205" s="12">
        <f>11824+'[1]táj.2.'!L205</f>
        <v>11824</v>
      </c>
      <c r="M205" s="12"/>
      <c r="N205" s="12"/>
      <c r="O205" s="12"/>
      <c r="P205" s="12"/>
      <c r="Q205" s="12">
        <f>SUM(L205:P205)</f>
        <v>11824</v>
      </c>
    </row>
    <row r="206" spans="1:17" ht="26.25" customHeight="1">
      <c r="A206" s="100"/>
      <c r="B206" s="100"/>
      <c r="C206" s="220" t="s">
        <v>1054</v>
      </c>
      <c r="D206" s="196" t="s">
        <v>389</v>
      </c>
      <c r="E206" s="89"/>
      <c r="F206" s="729">
        <v>172916</v>
      </c>
      <c r="G206" s="12"/>
      <c r="H206" s="12"/>
      <c r="I206" s="12"/>
      <c r="J206" s="12"/>
      <c r="K206" s="12"/>
      <c r="L206" s="12">
        <f>20000+'[1]táj.2.'!L206</f>
        <v>20000</v>
      </c>
      <c r="M206" s="12"/>
      <c r="N206" s="12"/>
      <c r="O206" s="12"/>
      <c r="P206" s="12"/>
      <c r="Q206" s="12">
        <f>SUM(I206:P206)</f>
        <v>20000</v>
      </c>
    </row>
    <row r="207" spans="1:17" ht="12.75" customHeight="1">
      <c r="A207" s="100"/>
      <c r="B207" s="100"/>
      <c r="C207" s="223"/>
      <c r="D207" s="13" t="s">
        <v>72</v>
      </c>
      <c r="E207" s="89"/>
      <c r="F207" s="729"/>
      <c r="G207" s="12"/>
      <c r="H207" s="93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ht="12.75" customHeight="1">
      <c r="A208" s="100"/>
      <c r="B208" s="100"/>
      <c r="C208" s="220" t="s">
        <v>854</v>
      </c>
      <c r="D208" s="13" t="s">
        <v>326</v>
      </c>
      <c r="E208" s="89"/>
      <c r="F208" s="729">
        <v>162650</v>
      </c>
      <c r="G208" s="12"/>
      <c r="H208" s="12"/>
      <c r="I208" s="12"/>
      <c r="J208" s="12"/>
      <c r="K208" s="12"/>
      <c r="L208" s="12">
        <f>23446+'[1]táj.2.'!L208</f>
        <v>23446</v>
      </c>
      <c r="M208" s="12"/>
      <c r="N208" s="12"/>
      <c r="O208" s="12"/>
      <c r="P208" s="12"/>
      <c r="Q208" s="12">
        <f>SUM(I208:P208)</f>
        <v>23446</v>
      </c>
    </row>
    <row r="209" spans="1:17" ht="12.75" customHeight="1">
      <c r="A209" s="100"/>
      <c r="B209" s="100"/>
      <c r="C209" s="220" t="s">
        <v>855</v>
      </c>
      <c r="D209" s="13" t="s">
        <v>1228</v>
      </c>
      <c r="E209" s="89"/>
      <c r="F209" s="729">
        <v>162674</v>
      </c>
      <c r="G209" s="12"/>
      <c r="H209" s="12"/>
      <c r="I209" s="12"/>
      <c r="J209" s="12"/>
      <c r="K209" s="12"/>
      <c r="L209" s="12">
        <f>981010+'[1]táj.2.'!L209</f>
        <v>981010</v>
      </c>
      <c r="M209" s="12"/>
      <c r="N209" s="12"/>
      <c r="O209" s="12"/>
      <c r="P209" s="12"/>
      <c r="Q209" s="12">
        <f>SUM(I209:P209)</f>
        <v>981010</v>
      </c>
    </row>
    <row r="210" spans="1:17" ht="12.75" customHeight="1">
      <c r="A210" s="100"/>
      <c r="B210" s="100"/>
      <c r="C210" s="220" t="s">
        <v>856</v>
      </c>
      <c r="D210" s="747" t="s">
        <v>493</v>
      </c>
      <c r="E210" s="102"/>
      <c r="F210" s="729">
        <v>164903</v>
      </c>
      <c r="G210" s="12"/>
      <c r="H210" s="12"/>
      <c r="I210" s="12"/>
      <c r="J210" s="12"/>
      <c r="K210" s="12"/>
      <c r="L210" s="12">
        <f>0+'[1]táj.2.'!L210</f>
        <v>0</v>
      </c>
      <c r="M210" s="12"/>
      <c r="N210" s="12">
        <f>574+'[1]táj.2.'!N210</f>
        <v>574</v>
      </c>
      <c r="O210" s="12"/>
      <c r="P210" s="12"/>
      <c r="Q210" s="15">
        <f>SUM(G210:P210)</f>
        <v>574</v>
      </c>
    </row>
    <row r="211" spans="1:17" ht="25.5" customHeight="1">
      <c r="A211" s="100"/>
      <c r="B211" s="100"/>
      <c r="C211" s="220" t="s">
        <v>857</v>
      </c>
      <c r="D211" s="748" t="s">
        <v>881</v>
      </c>
      <c r="E211" s="102"/>
      <c r="F211" s="729">
        <v>162670</v>
      </c>
      <c r="G211" s="12"/>
      <c r="H211" s="12"/>
      <c r="I211" s="12"/>
      <c r="J211" s="12"/>
      <c r="K211" s="12"/>
      <c r="L211" s="12">
        <f>2500+'[1]táj.2.'!L211</f>
        <v>2500</v>
      </c>
      <c r="M211" s="12"/>
      <c r="N211" s="12"/>
      <c r="O211" s="12"/>
      <c r="P211" s="12"/>
      <c r="Q211" s="15">
        <f>SUM(G211:P211)</f>
        <v>2500</v>
      </c>
    </row>
    <row r="212" spans="1:17" ht="12.75" customHeight="1">
      <c r="A212" s="91"/>
      <c r="B212" s="91"/>
      <c r="C212" s="221"/>
      <c r="D212" s="94" t="s">
        <v>690</v>
      </c>
      <c r="E212" s="208"/>
      <c r="F212" s="744"/>
      <c r="G212" s="99">
        <f aca="true" t="shared" si="12" ref="G212:Q212">SUM(G203:G211)</f>
        <v>0</v>
      </c>
      <c r="H212" s="99">
        <f t="shared" si="12"/>
        <v>0</v>
      </c>
      <c r="I212" s="99">
        <f t="shared" si="12"/>
        <v>16003</v>
      </c>
      <c r="J212" s="99">
        <f t="shared" si="12"/>
        <v>0</v>
      </c>
      <c r="K212" s="99">
        <f t="shared" si="12"/>
        <v>0</v>
      </c>
      <c r="L212" s="99">
        <f t="shared" si="12"/>
        <v>1038780</v>
      </c>
      <c r="M212" s="99">
        <f t="shared" si="12"/>
        <v>0</v>
      </c>
      <c r="N212" s="99">
        <f t="shared" si="12"/>
        <v>574</v>
      </c>
      <c r="O212" s="99">
        <f t="shared" si="12"/>
        <v>0</v>
      </c>
      <c r="P212" s="99">
        <f t="shared" si="12"/>
        <v>0</v>
      </c>
      <c r="Q212" s="99">
        <f t="shared" si="12"/>
        <v>1055357</v>
      </c>
    </row>
    <row r="213" spans="1:17" ht="13.5" customHeight="1">
      <c r="A213" s="101">
        <v>1</v>
      </c>
      <c r="B213" s="101">
        <v>15</v>
      </c>
      <c r="C213" s="224"/>
      <c r="D213" s="18" t="s">
        <v>1286</v>
      </c>
      <c r="E213" s="102"/>
      <c r="F213" s="729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3.5" customHeight="1">
      <c r="A214" s="101"/>
      <c r="B214" s="101"/>
      <c r="C214" s="224"/>
      <c r="D214" s="103" t="s">
        <v>591</v>
      </c>
      <c r="E214" s="102"/>
      <c r="F214" s="749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3.5" customHeight="1">
      <c r="A215" s="101"/>
      <c r="B215" s="101"/>
      <c r="C215" s="224"/>
      <c r="D215" s="14" t="s">
        <v>1287</v>
      </c>
      <c r="E215" s="102">
        <v>1</v>
      </c>
      <c r="F215" s="712">
        <v>151502</v>
      </c>
      <c r="G215" s="15"/>
      <c r="H215" s="15"/>
      <c r="I215" s="15">
        <f>29459+'[1]táj.2.'!I215</f>
        <v>29459</v>
      </c>
      <c r="J215" s="15"/>
      <c r="K215" s="15"/>
      <c r="L215" s="15"/>
      <c r="M215" s="15"/>
      <c r="N215" s="15"/>
      <c r="O215" s="15"/>
      <c r="P215" s="15"/>
      <c r="Q215" s="15">
        <f aca="true" t="shared" si="13" ref="Q215:Q235">SUM(G215:P215)</f>
        <v>29459</v>
      </c>
    </row>
    <row r="216" spans="1:17" ht="13.5" customHeight="1">
      <c r="A216" s="101"/>
      <c r="B216" s="101"/>
      <c r="C216" s="224"/>
      <c r="D216" s="14" t="s">
        <v>1288</v>
      </c>
      <c r="E216" s="102">
        <v>1</v>
      </c>
      <c r="F216" s="712">
        <v>151504</v>
      </c>
      <c r="G216" s="15"/>
      <c r="H216" s="15"/>
      <c r="I216" s="15">
        <f>109239+'[1]táj.2.'!I216</f>
        <v>109239</v>
      </c>
      <c r="J216" s="15"/>
      <c r="K216" s="15"/>
      <c r="L216" s="15"/>
      <c r="M216" s="15"/>
      <c r="N216" s="15"/>
      <c r="O216" s="15"/>
      <c r="P216" s="15"/>
      <c r="Q216" s="15">
        <f t="shared" si="13"/>
        <v>109239</v>
      </c>
    </row>
    <row r="217" spans="1:17" ht="13.5" customHeight="1">
      <c r="A217" s="101"/>
      <c r="B217" s="101"/>
      <c r="C217" s="224"/>
      <c r="D217" s="103" t="s">
        <v>168</v>
      </c>
      <c r="E217" s="102">
        <v>1</v>
      </c>
      <c r="F217" s="712">
        <v>151501</v>
      </c>
      <c r="G217" s="15"/>
      <c r="H217" s="15"/>
      <c r="I217" s="15">
        <f>9000+'[1]táj.2.'!I217</f>
        <v>9000</v>
      </c>
      <c r="J217" s="15"/>
      <c r="K217" s="15"/>
      <c r="L217" s="15"/>
      <c r="M217" s="15"/>
      <c r="N217" s="15"/>
      <c r="O217" s="15"/>
      <c r="P217" s="15"/>
      <c r="Q217" s="15">
        <f t="shared" si="13"/>
        <v>9000</v>
      </c>
    </row>
    <row r="218" spans="1:17" ht="13.5" customHeight="1">
      <c r="A218" s="101"/>
      <c r="B218" s="101"/>
      <c r="C218" s="224"/>
      <c r="D218" s="103" t="s">
        <v>635</v>
      </c>
      <c r="E218" s="102">
        <v>1</v>
      </c>
      <c r="F218" s="712">
        <v>151905</v>
      </c>
      <c r="G218" s="15"/>
      <c r="H218" s="15"/>
      <c r="I218" s="15">
        <f>700+'[1]táj.2.'!I218</f>
        <v>700</v>
      </c>
      <c r="J218" s="15"/>
      <c r="K218" s="15"/>
      <c r="L218" s="15"/>
      <c r="M218" s="15"/>
      <c r="N218" s="15"/>
      <c r="O218" s="15"/>
      <c r="P218" s="15"/>
      <c r="Q218" s="15">
        <f t="shared" si="13"/>
        <v>700</v>
      </c>
    </row>
    <row r="219" spans="1:17" ht="13.5" customHeight="1">
      <c r="A219" s="101"/>
      <c r="B219" s="101"/>
      <c r="C219" s="224"/>
      <c r="D219" s="103" t="s">
        <v>1289</v>
      </c>
      <c r="E219" s="102">
        <v>2</v>
      </c>
      <c r="F219" s="712">
        <v>151503</v>
      </c>
      <c r="G219" s="15"/>
      <c r="H219" s="15"/>
      <c r="I219" s="15">
        <f>1800+'[1]táj.2.'!I219</f>
        <v>1800</v>
      </c>
      <c r="J219" s="15"/>
      <c r="K219" s="15"/>
      <c r="L219" s="15"/>
      <c r="M219" s="15"/>
      <c r="N219" s="15"/>
      <c r="O219" s="15"/>
      <c r="P219" s="15"/>
      <c r="Q219" s="15">
        <f t="shared" si="13"/>
        <v>1800</v>
      </c>
    </row>
    <row r="220" spans="1:17" ht="13.5" customHeight="1">
      <c r="A220" s="101"/>
      <c r="B220" s="101"/>
      <c r="C220" s="224"/>
      <c r="D220" s="103" t="s">
        <v>1290</v>
      </c>
      <c r="E220" s="102">
        <v>2</v>
      </c>
      <c r="F220" s="712">
        <v>151507</v>
      </c>
      <c r="G220" s="15"/>
      <c r="H220" s="15"/>
      <c r="I220" s="15">
        <f>1000+'[1]táj.2.'!I220</f>
        <v>1000</v>
      </c>
      <c r="J220" s="15"/>
      <c r="K220" s="15"/>
      <c r="L220" s="15"/>
      <c r="M220" s="15"/>
      <c r="N220" s="15"/>
      <c r="O220" s="15"/>
      <c r="P220" s="15"/>
      <c r="Q220" s="15">
        <f t="shared" si="13"/>
        <v>1000</v>
      </c>
    </row>
    <row r="221" spans="1:17" ht="13.5" customHeight="1">
      <c r="A221" s="101"/>
      <c r="B221" s="101"/>
      <c r="C221" s="224"/>
      <c r="D221" s="103" t="s">
        <v>1291</v>
      </c>
      <c r="E221" s="102">
        <v>2</v>
      </c>
      <c r="F221" s="712">
        <v>151509</v>
      </c>
      <c r="G221" s="15"/>
      <c r="H221" s="15"/>
      <c r="I221" s="15">
        <f>1000+'[1]táj.2.'!I221</f>
        <v>1000</v>
      </c>
      <c r="J221" s="15"/>
      <c r="K221" s="15"/>
      <c r="L221" s="15"/>
      <c r="M221" s="15"/>
      <c r="N221" s="15"/>
      <c r="O221" s="15"/>
      <c r="P221" s="15"/>
      <c r="Q221" s="15">
        <f t="shared" si="13"/>
        <v>1000</v>
      </c>
    </row>
    <row r="222" spans="1:17" ht="13.5" customHeight="1">
      <c r="A222" s="101"/>
      <c r="B222" s="101"/>
      <c r="C222" s="224"/>
      <c r="D222" s="103" t="s">
        <v>169</v>
      </c>
      <c r="E222" s="102">
        <v>1</v>
      </c>
      <c r="F222" s="712">
        <v>151510</v>
      </c>
      <c r="G222" s="15"/>
      <c r="H222" s="15"/>
      <c r="I222" s="15">
        <f>2500+'[1]táj.2.'!I222</f>
        <v>2500</v>
      </c>
      <c r="J222" s="15"/>
      <c r="K222" s="15"/>
      <c r="L222" s="15"/>
      <c r="M222" s="15"/>
      <c r="N222" s="15"/>
      <c r="O222" s="15"/>
      <c r="P222" s="15"/>
      <c r="Q222" s="15">
        <f t="shared" si="13"/>
        <v>2500</v>
      </c>
    </row>
    <row r="223" spans="1:17" ht="13.5" customHeight="1">
      <c r="A223" s="101"/>
      <c r="B223" s="101"/>
      <c r="C223" s="224"/>
      <c r="D223" s="103" t="s">
        <v>1292</v>
      </c>
      <c r="E223" s="102">
        <v>1</v>
      </c>
      <c r="F223" s="712">
        <v>151512</v>
      </c>
      <c r="G223" s="15"/>
      <c r="H223" s="15"/>
      <c r="I223" s="15">
        <f>1000+'[1]táj.2.'!I223</f>
        <v>1000</v>
      </c>
      <c r="J223" s="15"/>
      <c r="K223" s="15"/>
      <c r="L223" s="15"/>
      <c r="M223" s="15"/>
      <c r="N223" s="15"/>
      <c r="O223" s="15"/>
      <c r="P223" s="15"/>
      <c r="Q223" s="15">
        <f t="shared" si="13"/>
        <v>1000</v>
      </c>
    </row>
    <row r="224" spans="1:17" ht="13.5" customHeight="1">
      <c r="A224" s="101"/>
      <c r="B224" s="101"/>
      <c r="C224" s="224"/>
      <c r="D224" s="103" t="s">
        <v>685</v>
      </c>
      <c r="E224" s="102">
        <v>1</v>
      </c>
      <c r="F224" s="90">
        <v>151519</v>
      </c>
      <c r="G224" s="15"/>
      <c r="H224" s="15"/>
      <c r="I224" s="15">
        <f>1500+'[1]táj.2.'!I224</f>
        <v>1500</v>
      </c>
      <c r="J224" s="15"/>
      <c r="K224" s="15"/>
      <c r="L224" s="15"/>
      <c r="M224" s="15"/>
      <c r="N224" s="15"/>
      <c r="O224" s="15"/>
      <c r="P224" s="15"/>
      <c r="Q224" s="15">
        <f t="shared" si="13"/>
        <v>1500</v>
      </c>
    </row>
    <row r="225" spans="1:17" ht="13.5" customHeight="1">
      <c r="A225" s="101"/>
      <c r="B225" s="101"/>
      <c r="C225" s="224"/>
      <c r="D225" s="103" t="s">
        <v>363</v>
      </c>
      <c r="E225" s="102">
        <v>2</v>
      </c>
      <c r="F225" s="712">
        <v>151511</v>
      </c>
      <c r="G225" s="15"/>
      <c r="H225" s="15"/>
      <c r="I225" s="15">
        <f>3500+'[1]táj.2.'!I225</f>
        <v>3500</v>
      </c>
      <c r="J225" s="15"/>
      <c r="K225" s="15"/>
      <c r="L225" s="15"/>
      <c r="M225" s="15"/>
      <c r="N225" s="15"/>
      <c r="O225" s="15"/>
      <c r="P225" s="15"/>
      <c r="Q225" s="15">
        <f t="shared" si="13"/>
        <v>3500</v>
      </c>
    </row>
    <row r="226" spans="1:17" ht="13.5" customHeight="1">
      <c r="A226" s="101"/>
      <c r="B226" s="101"/>
      <c r="C226" s="224"/>
      <c r="D226" s="103" t="s">
        <v>364</v>
      </c>
      <c r="E226" s="750">
        <v>2</v>
      </c>
      <c r="F226" s="722">
        <v>151514</v>
      </c>
      <c r="G226" s="15"/>
      <c r="H226" s="15"/>
      <c r="I226" s="15">
        <f>1300+'[1]táj.2.'!I226</f>
        <v>1300</v>
      </c>
      <c r="J226" s="15"/>
      <c r="K226" s="15"/>
      <c r="L226" s="15"/>
      <c r="M226" s="15"/>
      <c r="N226" s="15"/>
      <c r="O226" s="15"/>
      <c r="P226" s="15"/>
      <c r="Q226" s="15">
        <f t="shared" si="13"/>
        <v>1300</v>
      </c>
    </row>
    <row r="227" spans="1:17" ht="13.5" customHeight="1">
      <c r="A227" s="101"/>
      <c r="B227" s="101"/>
      <c r="C227" s="224"/>
      <c r="D227" s="103" t="s">
        <v>367</v>
      </c>
      <c r="E227" s="750">
        <v>2</v>
      </c>
      <c r="F227" s="722">
        <v>151515</v>
      </c>
      <c r="G227" s="15"/>
      <c r="H227" s="15"/>
      <c r="I227" s="15">
        <f>800+'[1]táj.2.'!I227</f>
        <v>800</v>
      </c>
      <c r="J227" s="15"/>
      <c r="K227" s="15"/>
      <c r="L227" s="15"/>
      <c r="M227" s="15"/>
      <c r="N227" s="15"/>
      <c r="O227" s="15"/>
      <c r="P227" s="15"/>
      <c r="Q227" s="15">
        <f t="shared" si="13"/>
        <v>800</v>
      </c>
    </row>
    <row r="228" spans="1:17" ht="13.5" customHeight="1">
      <c r="A228" s="101"/>
      <c r="B228" s="101"/>
      <c r="C228" s="224"/>
      <c r="D228" s="103" t="s">
        <v>1229</v>
      </c>
      <c r="E228" s="750">
        <v>1</v>
      </c>
      <c r="F228" s="722">
        <v>151513</v>
      </c>
      <c r="G228" s="15"/>
      <c r="H228" s="15"/>
      <c r="I228" s="15">
        <f>17592+'[1]táj.2.'!I228</f>
        <v>17592</v>
      </c>
      <c r="J228" s="15"/>
      <c r="K228" s="15"/>
      <c r="L228" s="15"/>
      <c r="M228" s="15"/>
      <c r="N228" s="15"/>
      <c r="O228" s="15"/>
      <c r="P228" s="15"/>
      <c r="Q228" s="15">
        <f t="shared" si="13"/>
        <v>17592</v>
      </c>
    </row>
    <row r="229" spans="1:17" ht="13.5" customHeight="1">
      <c r="A229" s="101"/>
      <c r="B229" s="101"/>
      <c r="C229" s="224"/>
      <c r="D229" s="14" t="s">
        <v>342</v>
      </c>
      <c r="E229" s="130"/>
      <c r="F229" s="749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>
        <f t="shared" si="13"/>
        <v>0</v>
      </c>
    </row>
    <row r="230" spans="1:17" ht="13.5" customHeight="1">
      <c r="A230" s="101"/>
      <c r="B230" s="101"/>
      <c r="C230" s="224"/>
      <c r="D230" s="14" t="s">
        <v>1293</v>
      </c>
      <c r="E230" s="102">
        <v>1</v>
      </c>
      <c r="F230" s="712">
        <v>151401</v>
      </c>
      <c r="G230" s="15"/>
      <c r="H230" s="15"/>
      <c r="I230" s="15">
        <f>89125+'[1]táj.2.'!I230</f>
        <v>89125</v>
      </c>
      <c r="J230" s="15"/>
      <c r="K230" s="15"/>
      <c r="L230" s="15"/>
      <c r="M230" s="15"/>
      <c r="N230" s="15"/>
      <c r="O230" s="15"/>
      <c r="P230" s="15"/>
      <c r="Q230" s="15">
        <f t="shared" si="13"/>
        <v>89125</v>
      </c>
    </row>
    <row r="231" spans="1:17" ht="13.5" customHeight="1">
      <c r="A231" s="101"/>
      <c r="B231" s="101"/>
      <c r="C231" s="224"/>
      <c r="D231" s="14" t="s">
        <v>1294</v>
      </c>
      <c r="E231" s="130">
        <v>1</v>
      </c>
      <c r="F231" s="712">
        <v>151402</v>
      </c>
      <c r="G231" s="15"/>
      <c r="H231" s="15"/>
      <c r="I231" s="15">
        <f>34591+'[1]táj.2.'!I231</f>
        <v>34591</v>
      </c>
      <c r="J231" s="15"/>
      <c r="K231" s="15"/>
      <c r="L231" s="15"/>
      <c r="M231" s="15"/>
      <c r="N231" s="15"/>
      <c r="O231" s="15"/>
      <c r="P231" s="15"/>
      <c r="Q231" s="15">
        <f t="shared" si="13"/>
        <v>34591</v>
      </c>
    </row>
    <row r="232" spans="1:17" ht="13.5" customHeight="1">
      <c r="A232" s="101"/>
      <c r="B232" s="101"/>
      <c r="C232" s="224"/>
      <c r="D232" s="14" t="s">
        <v>821</v>
      </c>
      <c r="E232" s="130">
        <v>2</v>
      </c>
      <c r="F232" s="712">
        <v>151406</v>
      </c>
      <c r="G232" s="15"/>
      <c r="H232" s="15"/>
      <c r="I232" s="15">
        <f>1000+'[1]táj.2.'!I232</f>
        <v>1000</v>
      </c>
      <c r="J232" s="15"/>
      <c r="K232" s="15"/>
      <c r="L232" s="15"/>
      <c r="M232" s="15"/>
      <c r="N232" s="15"/>
      <c r="O232" s="15"/>
      <c r="P232" s="15"/>
      <c r="Q232" s="15">
        <f t="shared" si="13"/>
        <v>1000</v>
      </c>
    </row>
    <row r="233" spans="1:17" ht="13.5" customHeight="1">
      <c r="A233" s="101"/>
      <c r="B233" s="101"/>
      <c r="C233" s="224"/>
      <c r="D233" s="14" t="s">
        <v>822</v>
      </c>
      <c r="E233" s="130">
        <v>2</v>
      </c>
      <c r="F233" s="712">
        <v>151407</v>
      </c>
      <c r="G233" s="15"/>
      <c r="H233" s="15"/>
      <c r="I233" s="15">
        <f>1000+'[1]táj.2.'!I233</f>
        <v>1000</v>
      </c>
      <c r="J233" s="15"/>
      <c r="K233" s="15"/>
      <c r="L233" s="15"/>
      <c r="M233" s="15"/>
      <c r="N233" s="15"/>
      <c r="O233" s="15"/>
      <c r="P233" s="15"/>
      <c r="Q233" s="15">
        <f t="shared" si="13"/>
        <v>1000</v>
      </c>
    </row>
    <row r="234" spans="1:17" ht="13.5" customHeight="1">
      <c r="A234" s="101"/>
      <c r="B234" s="101"/>
      <c r="C234" s="224"/>
      <c r="D234" s="14" t="s">
        <v>1402</v>
      </c>
      <c r="E234" s="130">
        <v>1</v>
      </c>
      <c r="F234" s="712">
        <v>151403</v>
      </c>
      <c r="G234" s="15"/>
      <c r="H234" s="15"/>
      <c r="I234" s="15">
        <f>1800+'[1]táj.2.'!I234</f>
        <v>1800</v>
      </c>
      <c r="J234" s="15"/>
      <c r="K234" s="15"/>
      <c r="L234" s="15"/>
      <c r="M234" s="15"/>
      <c r="N234" s="15"/>
      <c r="O234" s="15"/>
      <c r="P234" s="15"/>
      <c r="Q234" s="15">
        <f t="shared" si="13"/>
        <v>1800</v>
      </c>
    </row>
    <row r="235" spans="1:17" ht="13.5" customHeight="1">
      <c r="A235" s="101"/>
      <c r="B235" s="101"/>
      <c r="C235" s="224"/>
      <c r="D235" s="14" t="s">
        <v>1246</v>
      </c>
      <c r="E235" s="130">
        <v>2</v>
      </c>
      <c r="F235" s="712">
        <v>151404</v>
      </c>
      <c r="G235" s="15"/>
      <c r="H235" s="15"/>
      <c r="I235" s="15">
        <f>4500+'[1]táj.2.'!I235</f>
        <v>4500</v>
      </c>
      <c r="J235" s="15"/>
      <c r="K235" s="15"/>
      <c r="L235" s="15"/>
      <c r="M235" s="15"/>
      <c r="N235" s="15"/>
      <c r="O235" s="15"/>
      <c r="P235" s="15"/>
      <c r="Q235" s="15">
        <f t="shared" si="13"/>
        <v>4500</v>
      </c>
    </row>
    <row r="236" spans="1:17" ht="13.5" customHeight="1">
      <c r="A236" s="101"/>
      <c r="B236" s="101"/>
      <c r="C236" s="224"/>
      <c r="D236" s="103" t="s">
        <v>303</v>
      </c>
      <c r="E236" s="130"/>
      <c r="F236" s="749"/>
      <c r="G236" s="15"/>
      <c r="H236" s="108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3.5" customHeight="1">
      <c r="A237" s="15"/>
      <c r="B237" s="15"/>
      <c r="C237" s="15"/>
      <c r="D237" s="14" t="s">
        <v>1295</v>
      </c>
      <c r="E237" s="102">
        <v>1</v>
      </c>
      <c r="F237" s="712">
        <v>151102</v>
      </c>
      <c r="G237" s="15"/>
      <c r="H237" s="15"/>
      <c r="I237" s="15">
        <f>2600+'[1]táj.2.'!I237</f>
        <v>2600</v>
      </c>
      <c r="J237" s="15"/>
      <c r="K237" s="15"/>
      <c r="L237" s="15"/>
      <c r="M237" s="15"/>
      <c r="N237" s="15"/>
      <c r="O237" s="15"/>
      <c r="P237" s="15"/>
      <c r="Q237" s="15">
        <f>SUM(G237:P237)</f>
        <v>2600</v>
      </c>
    </row>
    <row r="238" spans="1:17" ht="13.5" customHeight="1">
      <c r="A238" s="101"/>
      <c r="B238" s="101"/>
      <c r="C238" s="224"/>
      <c r="D238" s="14" t="s">
        <v>1313</v>
      </c>
      <c r="E238" s="102">
        <v>1</v>
      </c>
      <c r="F238" s="712">
        <v>151103</v>
      </c>
      <c r="G238" s="15"/>
      <c r="H238" s="15"/>
      <c r="I238" s="15">
        <f>4000+'[1]táj.2.'!I238</f>
        <v>4000</v>
      </c>
      <c r="J238" s="15"/>
      <c r="K238" s="15"/>
      <c r="L238" s="15"/>
      <c r="M238" s="15"/>
      <c r="N238" s="15"/>
      <c r="O238" s="15"/>
      <c r="P238" s="15"/>
      <c r="Q238" s="15">
        <f>SUM(G238:P238)</f>
        <v>4000</v>
      </c>
    </row>
    <row r="239" spans="1:17" ht="13.5" customHeight="1">
      <c r="A239" s="101"/>
      <c r="B239" s="101"/>
      <c r="C239" s="224"/>
      <c r="D239" s="14" t="s">
        <v>304</v>
      </c>
      <c r="E239" s="130"/>
      <c r="F239" s="749"/>
      <c r="G239" s="15"/>
      <c r="H239" s="108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3.5" customHeight="1">
      <c r="A240" s="101"/>
      <c r="B240" s="101"/>
      <c r="C240" s="224"/>
      <c r="D240" s="103" t="s">
        <v>1269</v>
      </c>
      <c r="E240" s="130">
        <v>1</v>
      </c>
      <c r="F240" s="712">
        <v>151301</v>
      </c>
      <c r="G240" s="15"/>
      <c r="H240" s="15"/>
      <c r="I240" s="15">
        <f>15000+'[1]táj.2.'!I240</f>
        <v>15000</v>
      </c>
      <c r="J240" s="15"/>
      <c r="K240" s="15"/>
      <c r="L240" s="15"/>
      <c r="M240" s="15"/>
      <c r="N240" s="15"/>
      <c r="O240" s="15"/>
      <c r="P240" s="15"/>
      <c r="Q240" s="15">
        <f aca="true" t="shared" si="14" ref="Q240:Q248">SUM(G240:P240)</f>
        <v>15000</v>
      </c>
    </row>
    <row r="241" spans="1:17" ht="25.5" customHeight="1">
      <c r="A241" s="101"/>
      <c r="B241" s="101"/>
      <c r="C241" s="224"/>
      <c r="D241" s="213" t="s">
        <v>1247</v>
      </c>
      <c r="E241" s="130">
        <v>1</v>
      </c>
      <c r="F241" s="712">
        <v>151305</v>
      </c>
      <c r="G241" s="15"/>
      <c r="H241" s="15"/>
      <c r="I241" s="15">
        <f>37000+'[1]táj.2.'!I241</f>
        <v>37000</v>
      </c>
      <c r="J241" s="15"/>
      <c r="K241" s="15"/>
      <c r="L241" s="15"/>
      <c r="M241" s="15"/>
      <c r="N241" s="15"/>
      <c r="O241" s="15"/>
      <c r="P241" s="15"/>
      <c r="Q241" s="15">
        <f t="shared" si="14"/>
        <v>37000</v>
      </c>
    </row>
    <row r="242" spans="1:17" ht="25.5" customHeight="1">
      <c r="A242" s="101"/>
      <c r="B242" s="101"/>
      <c r="C242" s="224"/>
      <c r="D242" s="213" t="s">
        <v>668</v>
      </c>
      <c r="E242" s="130">
        <v>1</v>
      </c>
      <c r="F242" s="712">
        <v>151306</v>
      </c>
      <c r="G242" s="15"/>
      <c r="H242" s="15"/>
      <c r="I242" s="15">
        <f>24000+'[1]táj.2.'!I242</f>
        <v>24000</v>
      </c>
      <c r="J242" s="15"/>
      <c r="K242" s="15"/>
      <c r="L242" s="15"/>
      <c r="M242" s="15"/>
      <c r="N242" s="15"/>
      <c r="O242" s="15"/>
      <c r="P242" s="15"/>
      <c r="Q242" s="15">
        <f t="shared" si="14"/>
        <v>24000</v>
      </c>
    </row>
    <row r="243" spans="1:17" ht="24" customHeight="1">
      <c r="A243" s="101"/>
      <c r="B243" s="101"/>
      <c r="C243" s="224"/>
      <c r="D243" s="213" t="s">
        <v>236</v>
      </c>
      <c r="E243" s="130">
        <v>1</v>
      </c>
      <c r="F243" s="712">
        <v>151308</v>
      </c>
      <c r="G243" s="15"/>
      <c r="H243" s="15"/>
      <c r="I243" s="15">
        <f>2000+'[1]táj.2.'!I243</f>
        <v>2000</v>
      </c>
      <c r="J243" s="15"/>
      <c r="K243" s="15"/>
      <c r="L243" s="15"/>
      <c r="M243" s="15"/>
      <c r="N243" s="15"/>
      <c r="O243" s="15"/>
      <c r="P243" s="15"/>
      <c r="Q243" s="15">
        <f t="shared" si="14"/>
        <v>2000</v>
      </c>
    </row>
    <row r="244" spans="1:17" ht="24" customHeight="1">
      <c r="A244" s="101"/>
      <c r="B244" s="101"/>
      <c r="C244" s="224"/>
      <c r="D244" s="213" t="s">
        <v>1248</v>
      </c>
      <c r="E244" s="751">
        <v>1</v>
      </c>
      <c r="F244" s="645">
        <v>151311</v>
      </c>
      <c r="G244" s="15"/>
      <c r="H244" s="15"/>
      <c r="I244" s="15">
        <f>1800+'[1]táj.2.'!I244</f>
        <v>1800</v>
      </c>
      <c r="J244" s="15"/>
      <c r="K244" s="15"/>
      <c r="L244" s="15"/>
      <c r="M244" s="15"/>
      <c r="N244" s="15"/>
      <c r="O244" s="15"/>
      <c r="P244" s="15"/>
      <c r="Q244" s="15">
        <f t="shared" si="14"/>
        <v>1800</v>
      </c>
    </row>
    <row r="245" spans="1:17" ht="12" customHeight="1">
      <c r="A245" s="101"/>
      <c r="B245" s="101"/>
      <c r="C245" s="224"/>
      <c r="D245" s="14" t="s">
        <v>1230</v>
      </c>
      <c r="E245" s="130">
        <v>1</v>
      </c>
      <c r="F245" s="712">
        <v>151312</v>
      </c>
      <c r="G245" s="15"/>
      <c r="H245" s="15"/>
      <c r="I245" s="15">
        <f>1800+'[1]táj.2.'!I245</f>
        <v>1800</v>
      </c>
      <c r="J245" s="15"/>
      <c r="K245" s="15"/>
      <c r="L245" s="15"/>
      <c r="M245" s="15"/>
      <c r="N245" s="15"/>
      <c r="O245" s="15"/>
      <c r="P245" s="15"/>
      <c r="Q245" s="15">
        <f t="shared" si="14"/>
        <v>1800</v>
      </c>
    </row>
    <row r="246" spans="1:17" ht="12" customHeight="1">
      <c r="A246" s="101"/>
      <c r="B246" s="101"/>
      <c r="C246" s="224"/>
      <c r="D246" s="14" t="s">
        <v>370</v>
      </c>
      <c r="E246" s="130">
        <v>1</v>
      </c>
      <c r="F246" s="712">
        <v>151302</v>
      </c>
      <c r="G246" s="15"/>
      <c r="H246" s="15"/>
      <c r="I246" s="15">
        <f>900+'[1]táj.2.'!I246</f>
        <v>900</v>
      </c>
      <c r="J246" s="15"/>
      <c r="K246" s="15"/>
      <c r="L246" s="15"/>
      <c r="M246" s="15"/>
      <c r="N246" s="15"/>
      <c r="O246" s="15"/>
      <c r="P246" s="15"/>
      <c r="Q246" s="15">
        <f t="shared" si="14"/>
        <v>900</v>
      </c>
    </row>
    <row r="247" spans="1:17" ht="25.5" customHeight="1">
      <c r="A247" s="101"/>
      <c r="B247" s="101"/>
      <c r="C247" s="224"/>
      <c r="D247" s="181" t="s">
        <v>686</v>
      </c>
      <c r="E247" s="130">
        <v>1</v>
      </c>
      <c r="F247" s="90">
        <v>151303</v>
      </c>
      <c r="G247" s="15"/>
      <c r="H247" s="15"/>
      <c r="I247" s="15">
        <f>2500+'[1]táj.2.'!I247</f>
        <v>2500</v>
      </c>
      <c r="J247" s="15"/>
      <c r="K247" s="15"/>
      <c r="L247" s="15"/>
      <c r="M247" s="15"/>
      <c r="N247" s="15"/>
      <c r="O247" s="15"/>
      <c r="P247" s="15"/>
      <c r="Q247" s="15">
        <f t="shared" si="14"/>
        <v>2500</v>
      </c>
    </row>
    <row r="248" spans="1:17" ht="24" customHeight="1">
      <c r="A248" s="101"/>
      <c r="B248" s="101"/>
      <c r="C248" s="224"/>
      <c r="D248" s="213" t="s">
        <v>1048</v>
      </c>
      <c r="E248" s="751">
        <v>2</v>
      </c>
      <c r="F248" s="645">
        <v>151315</v>
      </c>
      <c r="G248" s="15"/>
      <c r="H248" s="15"/>
      <c r="I248" s="15">
        <f>900+'[1]táj.2.'!I248</f>
        <v>900</v>
      </c>
      <c r="J248" s="15"/>
      <c r="K248" s="15"/>
      <c r="L248" s="15"/>
      <c r="M248" s="15"/>
      <c r="N248" s="15"/>
      <c r="O248" s="15"/>
      <c r="P248" s="15"/>
      <c r="Q248" s="15">
        <f t="shared" si="14"/>
        <v>900</v>
      </c>
    </row>
    <row r="249" spans="1:17" ht="24.75" customHeight="1">
      <c r="A249" s="101"/>
      <c r="B249" s="101"/>
      <c r="C249" s="224"/>
      <c r="D249" s="213" t="s">
        <v>305</v>
      </c>
      <c r="E249" s="751"/>
      <c r="F249" s="752"/>
      <c r="G249" s="15"/>
      <c r="H249" s="108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3.5" customHeight="1">
      <c r="A250" s="101"/>
      <c r="B250" s="101"/>
      <c r="C250" s="224"/>
      <c r="D250" s="14" t="s">
        <v>1342</v>
      </c>
      <c r="E250" s="102">
        <v>1</v>
      </c>
      <c r="F250" s="712">
        <v>151703</v>
      </c>
      <c r="G250" s="15"/>
      <c r="H250" s="15"/>
      <c r="I250" s="15">
        <f>1000+'[1]táj.2.'!I250</f>
        <v>1000</v>
      </c>
      <c r="J250" s="15"/>
      <c r="K250" s="15"/>
      <c r="L250" s="15"/>
      <c r="M250" s="15"/>
      <c r="N250" s="15"/>
      <c r="O250" s="15"/>
      <c r="P250" s="15"/>
      <c r="Q250" s="15">
        <f>SUM(G250:P250)</f>
        <v>1000</v>
      </c>
    </row>
    <row r="251" spans="1:17" ht="13.5" customHeight="1">
      <c r="A251" s="101"/>
      <c r="B251" s="101"/>
      <c r="C251" s="224"/>
      <c r="D251" s="103" t="s">
        <v>306</v>
      </c>
      <c r="E251" s="130"/>
      <c r="F251" s="749"/>
      <c r="G251" s="15"/>
      <c r="H251" s="108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3.5" customHeight="1">
      <c r="A252" s="101"/>
      <c r="B252" s="101"/>
      <c r="C252" s="224"/>
      <c r="D252" s="14" t="s">
        <v>1343</v>
      </c>
      <c r="E252" s="102">
        <v>1</v>
      </c>
      <c r="F252" s="712">
        <v>151601</v>
      </c>
      <c r="G252" s="15"/>
      <c r="H252" s="15"/>
      <c r="I252" s="15">
        <f>12000+'[1]táj.2.'!I252</f>
        <v>11695</v>
      </c>
      <c r="J252" s="15"/>
      <c r="K252" s="15"/>
      <c r="L252" s="15">
        <f>0+'[1]táj.2.'!L252</f>
        <v>305</v>
      </c>
      <c r="M252" s="15"/>
      <c r="N252" s="15"/>
      <c r="O252" s="15"/>
      <c r="P252" s="15"/>
      <c r="Q252" s="15">
        <f aca="true" t="shared" si="15" ref="Q252:Q263">SUM(G252:P252)</f>
        <v>12000</v>
      </c>
    </row>
    <row r="253" spans="1:17" ht="13.5" customHeight="1">
      <c r="A253" s="101"/>
      <c r="B253" s="101"/>
      <c r="C253" s="224"/>
      <c r="D253" s="13" t="s">
        <v>1344</v>
      </c>
      <c r="E253" s="89">
        <v>1</v>
      </c>
      <c r="F253" s="90">
        <v>151602</v>
      </c>
      <c r="G253" s="15"/>
      <c r="H253" s="15"/>
      <c r="I253" s="15">
        <f>0+'[1]táj.2.'!I253</f>
        <v>0</v>
      </c>
      <c r="J253" s="15"/>
      <c r="K253" s="15">
        <f>18000+'[1]táj.2.'!K253</f>
        <v>18000</v>
      </c>
      <c r="L253" s="15"/>
      <c r="M253" s="15"/>
      <c r="N253" s="15"/>
      <c r="O253" s="15"/>
      <c r="P253" s="15"/>
      <c r="Q253" s="15">
        <f t="shared" si="15"/>
        <v>18000</v>
      </c>
    </row>
    <row r="254" spans="1:17" ht="13.5" customHeight="1">
      <c r="A254" s="101"/>
      <c r="B254" s="101"/>
      <c r="C254" s="224"/>
      <c r="D254" s="14" t="s">
        <v>651</v>
      </c>
      <c r="E254" s="102">
        <v>1</v>
      </c>
      <c r="F254" s="712">
        <v>151607</v>
      </c>
      <c r="G254" s="15"/>
      <c r="H254" s="15"/>
      <c r="I254" s="15">
        <f>20392+'[1]táj.2.'!I254</f>
        <v>20392</v>
      </c>
      <c r="J254" s="15"/>
      <c r="K254" s="15"/>
      <c r="L254" s="15"/>
      <c r="M254" s="15"/>
      <c r="N254" s="15"/>
      <c r="O254" s="15"/>
      <c r="P254" s="15"/>
      <c r="Q254" s="15">
        <f t="shared" si="15"/>
        <v>20392</v>
      </c>
    </row>
    <row r="255" spans="1:17" ht="13.5" customHeight="1">
      <c r="A255" s="101"/>
      <c r="B255" s="101"/>
      <c r="C255" s="224"/>
      <c r="D255" s="14" t="s">
        <v>239</v>
      </c>
      <c r="E255" s="102">
        <v>2</v>
      </c>
      <c r="F255" s="712">
        <v>151610</v>
      </c>
      <c r="G255" s="15"/>
      <c r="H255" s="15"/>
      <c r="I255" s="15">
        <f>1800+'[1]táj.2.'!I255</f>
        <v>1800</v>
      </c>
      <c r="J255" s="15"/>
      <c r="K255" s="15"/>
      <c r="L255" s="15"/>
      <c r="M255" s="15"/>
      <c r="N255" s="15"/>
      <c r="O255" s="15"/>
      <c r="P255" s="15"/>
      <c r="Q255" s="15">
        <f t="shared" si="15"/>
        <v>1800</v>
      </c>
    </row>
    <row r="256" spans="1:17" ht="13.5" customHeight="1">
      <c r="A256" s="101" t="s">
        <v>1050</v>
      </c>
      <c r="B256" s="101"/>
      <c r="C256" s="224"/>
      <c r="D256" s="14" t="s">
        <v>906</v>
      </c>
      <c r="E256" s="130">
        <v>2</v>
      </c>
      <c r="F256" s="712">
        <v>151619</v>
      </c>
      <c r="G256" s="15"/>
      <c r="H256" s="15"/>
      <c r="I256" s="15">
        <f>15000+'[1]táj.2.'!I256</f>
        <v>15000</v>
      </c>
      <c r="J256" s="15"/>
      <c r="K256" s="15"/>
      <c r="L256" s="15"/>
      <c r="M256" s="15"/>
      <c r="N256" s="15"/>
      <c r="O256" s="15"/>
      <c r="P256" s="15"/>
      <c r="Q256" s="15">
        <f t="shared" si="15"/>
        <v>15000</v>
      </c>
    </row>
    <row r="257" spans="1:17" ht="13.5" customHeight="1">
      <c r="A257" s="101"/>
      <c r="B257" s="101"/>
      <c r="C257" s="224"/>
      <c r="D257" s="103" t="s">
        <v>365</v>
      </c>
      <c r="E257" s="750">
        <v>2</v>
      </c>
      <c r="F257" s="722">
        <v>151626</v>
      </c>
      <c r="G257" s="15"/>
      <c r="H257" s="15"/>
      <c r="I257" s="15">
        <f>800+'[1]táj.2.'!I257</f>
        <v>800</v>
      </c>
      <c r="J257" s="15"/>
      <c r="K257" s="15"/>
      <c r="L257" s="15"/>
      <c r="M257" s="15"/>
      <c r="N257" s="15"/>
      <c r="O257" s="15"/>
      <c r="P257" s="15"/>
      <c r="Q257" s="15">
        <f t="shared" si="15"/>
        <v>800</v>
      </c>
    </row>
    <row r="258" spans="1:17" ht="24.75" customHeight="1">
      <c r="A258" s="101"/>
      <c r="B258" s="101"/>
      <c r="C258" s="224"/>
      <c r="D258" s="181" t="s">
        <v>366</v>
      </c>
      <c r="E258" s="753">
        <v>2</v>
      </c>
      <c r="F258" s="754">
        <v>151627</v>
      </c>
      <c r="G258" s="15"/>
      <c r="H258" s="15"/>
      <c r="I258" s="15">
        <f>1500+'[1]táj.2.'!I258</f>
        <v>1500</v>
      </c>
      <c r="J258" s="15"/>
      <c r="K258" s="15"/>
      <c r="L258" s="15"/>
      <c r="M258" s="15"/>
      <c r="N258" s="15"/>
      <c r="O258" s="15"/>
      <c r="P258" s="15"/>
      <c r="Q258" s="15">
        <f t="shared" si="15"/>
        <v>1500</v>
      </c>
    </row>
    <row r="259" spans="1:17" ht="13.5" customHeight="1">
      <c r="A259" s="101"/>
      <c r="B259" s="101"/>
      <c r="C259" s="224"/>
      <c r="D259" s="14" t="s">
        <v>1314</v>
      </c>
      <c r="E259" s="102">
        <v>1</v>
      </c>
      <c r="F259" s="755">
        <v>151603</v>
      </c>
      <c r="G259" s="15"/>
      <c r="H259" s="15"/>
      <c r="I259" s="15">
        <f>52482+'[1]táj.2.'!I259</f>
        <v>52482</v>
      </c>
      <c r="J259" s="15"/>
      <c r="K259" s="15"/>
      <c r="L259" s="15"/>
      <c r="M259" s="15"/>
      <c r="N259" s="15"/>
      <c r="O259" s="15"/>
      <c r="P259" s="15"/>
      <c r="Q259" s="15">
        <f t="shared" si="15"/>
        <v>52482</v>
      </c>
    </row>
    <row r="260" spans="1:17" ht="13.5" customHeight="1">
      <c r="A260" s="101"/>
      <c r="B260" s="101"/>
      <c r="C260" s="224"/>
      <c r="D260" s="14" t="s">
        <v>368</v>
      </c>
      <c r="E260" s="102">
        <v>1</v>
      </c>
      <c r="F260" s="712">
        <v>151605</v>
      </c>
      <c r="G260" s="15"/>
      <c r="H260" s="15"/>
      <c r="I260" s="15">
        <f>97246+'[1]táj.2.'!I260</f>
        <v>97246</v>
      </c>
      <c r="J260" s="15"/>
      <c r="K260" s="15"/>
      <c r="L260" s="15"/>
      <c r="M260" s="15"/>
      <c r="N260" s="15"/>
      <c r="O260" s="15"/>
      <c r="P260" s="15"/>
      <c r="Q260" s="15">
        <f t="shared" si="15"/>
        <v>97246</v>
      </c>
    </row>
    <row r="261" spans="1:17" ht="13.5" customHeight="1">
      <c r="A261" s="101"/>
      <c r="B261" s="101"/>
      <c r="C261" s="224"/>
      <c r="D261" s="14" t="s">
        <v>1317</v>
      </c>
      <c r="E261" s="102">
        <v>1</v>
      </c>
      <c r="F261" s="712">
        <v>151608</v>
      </c>
      <c r="G261" s="15"/>
      <c r="H261" s="15"/>
      <c r="I261" s="15">
        <f>40000+'[1]táj.2.'!I261</f>
        <v>40000</v>
      </c>
      <c r="J261" s="15"/>
      <c r="K261" s="15"/>
      <c r="L261" s="15"/>
      <c r="M261" s="15"/>
      <c r="N261" s="15"/>
      <c r="O261" s="15"/>
      <c r="P261" s="15"/>
      <c r="Q261" s="15">
        <f t="shared" si="15"/>
        <v>40000</v>
      </c>
    </row>
    <row r="262" spans="1:17" ht="13.5" customHeight="1">
      <c r="A262" s="101"/>
      <c r="B262" s="101"/>
      <c r="C262" s="224"/>
      <c r="D262" s="14" t="s">
        <v>369</v>
      </c>
      <c r="E262" s="102">
        <v>2</v>
      </c>
      <c r="F262" s="712">
        <v>151624</v>
      </c>
      <c r="G262" s="15"/>
      <c r="H262" s="15"/>
      <c r="I262" s="15">
        <f>1800+'[1]táj.2.'!I262</f>
        <v>1800</v>
      </c>
      <c r="J262" s="15"/>
      <c r="K262" s="15"/>
      <c r="L262" s="15"/>
      <c r="M262" s="15"/>
      <c r="N262" s="15"/>
      <c r="O262" s="15"/>
      <c r="P262" s="15"/>
      <c r="Q262" s="15">
        <f t="shared" si="15"/>
        <v>1800</v>
      </c>
    </row>
    <row r="263" spans="1:17" ht="13.5" customHeight="1">
      <c r="A263" s="101"/>
      <c r="B263" s="101"/>
      <c r="C263" s="224"/>
      <c r="D263" s="14" t="s">
        <v>265</v>
      </c>
      <c r="E263" s="102">
        <v>2</v>
      </c>
      <c r="F263" s="712">
        <v>151621</v>
      </c>
      <c r="G263" s="15"/>
      <c r="H263" s="15"/>
      <c r="I263" s="15">
        <f>1000+'[1]táj.2.'!I263</f>
        <v>1000</v>
      </c>
      <c r="J263" s="15"/>
      <c r="K263" s="15"/>
      <c r="L263" s="15"/>
      <c r="M263" s="15"/>
      <c r="N263" s="15"/>
      <c r="O263" s="15"/>
      <c r="P263" s="15"/>
      <c r="Q263" s="15">
        <f t="shared" si="15"/>
        <v>1000</v>
      </c>
    </row>
    <row r="264" spans="1:17" ht="12.75" customHeight="1">
      <c r="A264" s="101"/>
      <c r="B264" s="101"/>
      <c r="C264" s="224"/>
      <c r="D264" s="193" t="s">
        <v>307</v>
      </c>
      <c r="E264" s="102"/>
      <c r="F264" s="749"/>
      <c r="G264" s="15"/>
      <c r="H264" s="108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2.75" customHeight="1">
      <c r="A265" s="101"/>
      <c r="B265" s="101"/>
      <c r="C265" s="224"/>
      <c r="D265" s="14" t="s">
        <v>650</v>
      </c>
      <c r="E265" s="102">
        <v>1</v>
      </c>
      <c r="F265" s="712">
        <v>151505</v>
      </c>
      <c r="G265" s="15"/>
      <c r="H265" s="15"/>
      <c r="I265" s="15">
        <f>8000+'[1]táj.2.'!I265</f>
        <v>8000</v>
      </c>
      <c r="J265" s="15"/>
      <c r="K265" s="15"/>
      <c r="L265" s="15"/>
      <c r="M265" s="15"/>
      <c r="N265" s="15"/>
      <c r="O265" s="15"/>
      <c r="P265" s="15"/>
      <c r="Q265" s="15">
        <f>SUM(G265:P265)</f>
        <v>8000</v>
      </c>
    </row>
    <row r="266" spans="1:17" ht="12.75" customHeight="1">
      <c r="A266" s="101"/>
      <c r="B266" s="101"/>
      <c r="C266" s="224"/>
      <c r="D266" s="103" t="s">
        <v>308</v>
      </c>
      <c r="E266" s="130"/>
      <c r="F266" s="749"/>
      <c r="G266" s="15"/>
      <c r="H266" s="108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3.5" customHeight="1">
      <c r="A267" s="101"/>
      <c r="B267" s="101"/>
      <c r="C267" s="101"/>
      <c r="D267" s="14" t="s">
        <v>357</v>
      </c>
      <c r="E267" s="102">
        <v>2</v>
      </c>
      <c r="F267" s="712">
        <v>151906</v>
      </c>
      <c r="G267" s="15"/>
      <c r="H267" s="15"/>
      <c r="I267" s="15">
        <f>121920+'[1]táj.2.'!I267</f>
        <v>121920</v>
      </c>
      <c r="J267" s="15"/>
      <c r="K267" s="15"/>
      <c r="L267" s="15"/>
      <c r="M267" s="15"/>
      <c r="N267" s="15"/>
      <c r="O267" s="15"/>
      <c r="P267" s="15"/>
      <c r="Q267" s="15">
        <f>SUM(G267:P267)</f>
        <v>121920</v>
      </c>
    </row>
    <row r="268" spans="1:17" ht="13.5" customHeight="1">
      <c r="A268" s="101"/>
      <c r="B268" s="101"/>
      <c r="C268" s="224"/>
      <c r="D268" s="14" t="s">
        <v>246</v>
      </c>
      <c r="E268" s="102">
        <v>2</v>
      </c>
      <c r="F268" s="712">
        <v>151905</v>
      </c>
      <c r="G268" s="15"/>
      <c r="H268" s="15"/>
      <c r="I268" s="15">
        <f>1334+'[1]táj.2.'!I268</f>
        <v>1334</v>
      </c>
      <c r="J268" s="15"/>
      <c r="K268" s="15"/>
      <c r="L268" s="15"/>
      <c r="M268" s="15"/>
      <c r="N268" s="15"/>
      <c r="O268" s="15"/>
      <c r="P268" s="15"/>
      <c r="Q268" s="15">
        <f>SUM(G268:P268)</f>
        <v>1334</v>
      </c>
    </row>
    <row r="269" spans="1:17" ht="13.5" customHeight="1">
      <c r="A269" s="101"/>
      <c r="B269" s="101"/>
      <c r="C269" s="224"/>
      <c r="D269" s="14" t="s">
        <v>375</v>
      </c>
      <c r="E269" s="102">
        <v>2</v>
      </c>
      <c r="F269" s="90">
        <v>151907</v>
      </c>
      <c r="G269" s="15"/>
      <c r="H269" s="15"/>
      <c r="I269" s="15">
        <f>204970+'[1]táj.2.'!I269</f>
        <v>204970</v>
      </c>
      <c r="J269" s="15"/>
      <c r="K269" s="15"/>
      <c r="L269" s="15"/>
      <c r="M269" s="15"/>
      <c r="N269" s="15"/>
      <c r="O269" s="15"/>
      <c r="P269" s="15"/>
      <c r="Q269" s="15">
        <f>SUM(G269:P269)</f>
        <v>204970</v>
      </c>
    </row>
    <row r="270" spans="1:17" ht="13.5" customHeight="1">
      <c r="A270" s="101"/>
      <c r="B270" s="101"/>
      <c r="C270" s="224"/>
      <c r="D270" s="14" t="s">
        <v>1316</v>
      </c>
      <c r="E270" s="102">
        <v>2</v>
      </c>
      <c r="F270" s="90">
        <v>151914</v>
      </c>
      <c r="G270" s="15"/>
      <c r="H270" s="15"/>
      <c r="I270" s="15">
        <f>4000+'[1]táj.2.'!I270</f>
        <v>4000</v>
      </c>
      <c r="J270" s="15"/>
      <c r="K270" s="15"/>
      <c r="L270" s="15"/>
      <c r="M270" s="15"/>
      <c r="N270" s="15"/>
      <c r="O270" s="15"/>
      <c r="P270" s="15"/>
      <c r="Q270" s="15">
        <f>SUM(G270:P270)</f>
        <v>4000</v>
      </c>
    </row>
    <row r="271" spans="1:17" ht="13.5" customHeight="1">
      <c r="A271" s="101"/>
      <c r="B271" s="101"/>
      <c r="C271" s="224"/>
      <c r="D271" s="103" t="s">
        <v>309</v>
      </c>
      <c r="E271" s="130"/>
      <c r="F271" s="749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3.5" customHeight="1">
      <c r="A272" s="101"/>
      <c r="B272" s="101"/>
      <c r="C272" s="224"/>
      <c r="D272" s="103" t="s">
        <v>1270</v>
      </c>
      <c r="E272" s="130">
        <v>1</v>
      </c>
      <c r="F272" s="712">
        <v>151801</v>
      </c>
      <c r="G272" s="15"/>
      <c r="H272" s="15"/>
      <c r="I272" s="15">
        <f>0+'[1]táj.2.'!I272</f>
        <v>0</v>
      </c>
      <c r="J272" s="15"/>
      <c r="K272" s="15">
        <f>18143+'[1]táj.2.'!K272</f>
        <v>17143</v>
      </c>
      <c r="L272" s="15"/>
      <c r="M272" s="15"/>
      <c r="N272" s="15"/>
      <c r="O272" s="15"/>
      <c r="P272" s="15"/>
      <c r="Q272" s="15">
        <f>SUM(G272:P272)</f>
        <v>17143</v>
      </c>
    </row>
    <row r="273" spans="1:17" ht="13.5" customHeight="1">
      <c r="A273" s="101"/>
      <c r="B273" s="101"/>
      <c r="C273" s="224"/>
      <c r="D273" s="103" t="s">
        <v>1249</v>
      </c>
      <c r="E273" s="130">
        <v>1</v>
      </c>
      <c r="F273" s="712">
        <v>151803</v>
      </c>
      <c r="G273" s="15"/>
      <c r="H273" s="15"/>
      <c r="I273" s="15">
        <f>500+'[1]táj.2.'!I273</f>
        <v>500</v>
      </c>
      <c r="J273" s="15"/>
      <c r="K273" s="15"/>
      <c r="L273" s="15"/>
      <c r="M273" s="15"/>
      <c r="N273" s="15"/>
      <c r="O273" s="15"/>
      <c r="P273" s="15"/>
      <c r="Q273" s="15">
        <f>SUM(G273:P273)</f>
        <v>500</v>
      </c>
    </row>
    <row r="274" spans="1:17" ht="13.5" customHeight="1">
      <c r="A274" s="101"/>
      <c r="B274" s="101"/>
      <c r="C274" s="224"/>
      <c r="D274" s="103" t="s">
        <v>823</v>
      </c>
      <c r="E274" s="130">
        <v>1</v>
      </c>
      <c r="F274" s="712">
        <v>151802</v>
      </c>
      <c r="G274" s="15"/>
      <c r="H274" s="15"/>
      <c r="I274" s="15">
        <f>1000+'[1]táj.2.'!I274</f>
        <v>1000</v>
      </c>
      <c r="J274" s="15"/>
      <c r="K274" s="15"/>
      <c r="L274" s="15"/>
      <c r="M274" s="15"/>
      <c r="N274" s="15"/>
      <c r="O274" s="15"/>
      <c r="P274" s="15"/>
      <c r="Q274" s="15">
        <f>SUM(G274:P274)</f>
        <v>1000</v>
      </c>
    </row>
    <row r="275" spans="1:17" ht="13.5" customHeight="1">
      <c r="A275" s="101"/>
      <c r="B275" s="101"/>
      <c r="C275" s="224"/>
      <c r="D275" s="103" t="s">
        <v>310</v>
      </c>
      <c r="E275" s="130"/>
      <c r="F275" s="749"/>
      <c r="G275" s="15"/>
      <c r="H275" s="108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3.5" customHeight="1">
      <c r="A276" s="101"/>
      <c r="B276" s="101"/>
      <c r="C276" s="224"/>
      <c r="D276" s="103" t="s">
        <v>1231</v>
      </c>
      <c r="E276" s="102">
        <v>1</v>
      </c>
      <c r="F276" s="712">
        <v>151201</v>
      </c>
      <c r="G276" s="15"/>
      <c r="H276" s="15"/>
      <c r="I276" s="15">
        <f>177275+'[1]táj.2.'!I276</f>
        <v>177275</v>
      </c>
      <c r="J276" s="15"/>
      <c r="K276" s="15"/>
      <c r="L276" s="15"/>
      <c r="M276" s="15"/>
      <c r="N276" s="15"/>
      <c r="O276" s="15"/>
      <c r="P276" s="15"/>
      <c r="Q276" s="15">
        <f aca="true" t="shared" si="16" ref="Q276:Q281">SUM(G276:P276)</f>
        <v>177275</v>
      </c>
    </row>
    <row r="277" spans="1:17" ht="13.5" customHeight="1">
      <c r="A277" s="101"/>
      <c r="B277" s="101"/>
      <c r="C277" s="224"/>
      <c r="D277" s="103" t="s">
        <v>129</v>
      </c>
      <c r="E277" s="102">
        <v>2</v>
      </c>
      <c r="F277" s="712">
        <v>151203</v>
      </c>
      <c r="G277" s="15"/>
      <c r="H277" s="15"/>
      <c r="I277" s="15">
        <f>7356+'[1]táj.2.'!I277</f>
        <v>7356</v>
      </c>
      <c r="J277" s="15"/>
      <c r="K277" s="15"/>
      <c r="L277" s="15"/>
      <c r="M277" s="15"/>
      <c r="N277" s="15"/>
      <c r="O277" s="15"/>
      <c r="P277" s="15"/>
      <c r="Q277" s="15">
        <f t="shared" si="16"/>
        <v>7356</v>
      </c>
    </row>
    <row r="278" spans="1:17" ht="13.5" customHeight="1">
      <c r="A278" s="101"/>
      <c r="B278" s="101"/>
      <c r="C278" s="224"/>
      <c r="D278" s="103" t="s">
        <v>30</v>
      </c>
      <c r="E278" s="130">
        <v>1</v>
      </c>
      <c r="F278" s="712">
        <v>151204</v>
      </c>
      <c r="G278" s="15"/>
      <c r="H278" s="15"/>
      <c r="I278" s="15">
        <f>1000+'[1]táj.2.'!I278</f>
        <v>1000</v>
      </c>
      <c r="J278" s="15"/>
      <c r="K278" s="15"/>
      <c r="L278" s="15"/>
      <c r="M278" s="15"/>
      <c r="N278" s="15"/>
      <c r="O278" s="15"/>
      <c r="P278" s="15"/>
      <c r="Q278" s="15">
        <f t="shared" si="16"/>
        <v>1000</v>
      </c>
    </row>
    <row r="279" spans="1:17" ht="13.5" customHeight="1">
      <c r="A279" s="101"/>
      <c r="B279" s="101"/>
      <c r="C279" s="224"/>
      <c r="D279" s="103" t="s">
        <v>33</v>
      </c>
      <c r="E279" s="130">
        <v>1</v>
      </c>
      <c r="F279" s="712">
        <v>151202</v>
      </c>
      <c r="G279" s="15"/>
      <c r="H279" s="15"/>
      <c r="I279" s="15">
        <f>29455+'[1]táj.2.'!I279</f>
        <v>29455</v>
      </c>
      <c r="J279" s="15"/>
      <c r="K279" s="15"/>
      <c r="L279" s="15"/>
      <c r="M279" s="15"/>
      <c r="N279" s="15"/>
      <c r="O279" s="15"/>
      <c r="P279" s="15"/>
      <c r="Q279" s="15">
        <f t="shared" si="16"/>
        <v>29455</v>
      </c>
    </row>
    <row r="280" spans="1:17" ht="13.5" customHeight="1">
      <c r="A280" s="101"/>
      <c r="B280" s="101"/>
      <c r="C280" s="224"/>
      <c r="D280" s="103" t="s">
        <v>34</v>
      </c>
      <c r="E280" s="130">
        <v>1</v>
      </c>
      <c r="F280" s="712">
        <v>151205</v>
      </c>
      <c r="G280" s="15"/>
      <c r="H280" s="15"/>
      <c r="I280" s="15">
        <f>1000+'[1]táj.2.'!I280</f>
        <v>1000</v>
      </c>
      <c r="J280" s="15"/>
      <c r="K280" s="15"/>
      <c r="L280" s="15"/>
      <c r="M280" s="15"/>
      <c r="N280" s="15"/>
      <c r="O280" s="15"/>
      <c r="P280" s="15"/>
      <c r="Q280" s="15">
        <f t="shared" si="16"/>
        <v>1000</v>
      </c>
    </row>
    <row r="281" spans="1:17" ht="13.5" customHeight="1">
      <c r="A281" s="101"/>
      <c r="B281" s="101"/>
      <c r="C281" s="224"/>
      <c r="D281" s="103" t="s">
        <v>311</v>
      </c>
      <c r="E281" s="130">
        <v>1</v>
      </c>
      <c r="F281" s="712">
        <v>151902</v>
      </c>
      <c r="G281" s="15">
        <f>1500+'[1]táj.2.'!G281</f>
        <v>1500</v>
      </c>
      <c r="H281" s="15">
        <f>400+'[1]táj.2.'!H281</f>
        <v>400</v>
      </c>
      <c r="I281" s="15">
        <f>4200+'[1]táj.2.'!I281</f>
        <v>4200</v>
      </c>
      <c r="J281" s="15"/>
      <c r="K281" s="15">
        <f>2700+'[1]táj.2.'!K281</f>
        <v>2700</v>
      </c>
      <c r="L281" s="15"/>
      <c r="M281" s="15"/>
      <c r="N281" s="15"/>
      <c r="O281" s="15"/>
      <c r="P281" s="15"/>
      <c r="Q281" s="15">
        <f t="shared" si="16"/>
        <v>8800</v>
      </c>
    </row>
    <row r="282" spans="1:17" ht="15" customHeight="1">
      <c r="A282" s="101"/>
      <c r="B282" s="101"/>
      <c r="C282" s="224"/>
      <c r="D282" s="196" t="s">
        <v>343</v>
      </c>
      <c r="E282" s="756"/>
      <c r="F282" s="757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9" ht="24.75" customHeight="1">
      <c r="A283" s="101"/>
      <c r="B283" s="101"/>
      <c r="C283" s="224"/>
      <c r="D283" s="196" t="s">
        <v>240</v>
      </c>
      <c r="E283" s="758">
        <v>2</v>
      </c>
      <c r="F283" s="759">
        <v>151910</v>
      </c>
      <c r="G283" s="15"/>
      <c r="H283" s="15"/>
      <c r="I283" s="15">
        <f>116332+'[1]táj.2.'!I283</f>
        <v>116332</v>
      </c>
      <c r="J283" s="15"/>
      <c r="K283" s="15"/>
      <c r="L283" s="15"/>
      <c r="M283" s="15"/>
      <c r="N283" s="15"/>
      <c r="O283" s="15"/>
      <c r="P283" s="15"/>
      <c r="Q283" s="15">
        <f>SUM(G283:P283)</f>
        <v>116332</v>
      </c>
      <c r="R283" s="20"/>
      <c r="S283" s="20"/>
    </row>
    <row r="284" spans="1:19" ht="15" customHeight="1">
      <c r="A284" s="101"/>
      <c r="B284" s="101"/>
      <c r="C284" s="224"/>
      <c r="D284" s="196" t="s">
        <v>870</v>
      </c>
      <c r="E284" s="758"/>
      <c r="F284" s="760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20"/>
      <c r="S284" s="20"/>
    </row>
    <row r="285" spans="1:19" ht="24.75" customHeight="1">
      <c r="A285" s="101"/>
      <c r="B285" s="101"/>
      <c r="C285" s="224"/>
      <c r="D285" s="196" t="s">
        <v>643</v>
      </c>
      <c r="E285" s="758">
        <v>1</v>
      </c>
      <c r="F285" s="759">
        <v>152915</v>
      </c>
      <c r="G285" s="15"/>
      <c r="H285" s="15"/>
      <c r="I285" s="15">
        <f>6200+'[1]táj.2.'!I285</f>
        <v>6200</v>
      </c>
      <c r="J285" s="15"/>
      <c r="K285" s="15"/>
      <c r="L285" s="15"/>
      <c r="M285" s="15"/>
      <c r="N285" s="15"/>
      <c r="O285" s="15"/>
      <c r="P285" s="15"/>
      <c r="Q285" s="15">
        <f>SUM(G285:P285)</f>
        <v>6200</v>
      </c>
      <c r="R285" s="20"/>
      <c r="S285" s="20"/>
    </row>
    <row r="286" spans="1:17" ht="13.5" customHeight="1">
      <c r="A286" s="101"/>
      <c r="B286" s="101"/>
      <c r="C286" s="224"/>
      <c r="D286" s="103" t="s">
        <v>312</v>
      </c>
      <c r="E286" s="130"/>
      <c r="F286" s="749"/>
      <c r="G286" s="15"/>
      <c r="H286" s="108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3.5" customHeight="1">
      <c r="A287" s="101"/>
      <c r="B287" s="101"/>
      <c r="C287" s="224"/>
      <c r="D287" s="103" t="s">
        <v>1271</v>
      </c>
      <c r="E287" s="102">
        <v>1</v>
      </c>
      <c r="F287" s="712">
        <v>151704</v>
      </c>
      <c r="G287" s="15"/>
      <c r="H287" s="15"/>
      <c r="I287" s="15"/>
      <c r="J287" s="15"/>
      <c r="K287" s="15">
        <f>250+'[1]táj.2.'!K287</f>
        <v>250</v>
      </c>
      <c r="L287" s="15"/>
      <c r="M287" s="15"/>
      <c r="N287" s="15"/>
      <c r="O287" s="15"/>
      <c r="P287" s="15"/>
      <c r="Q287" s="15">
        <f>SUM(G287:P287)</f>
        <v>250</v>
      </c>
    </row>
    <row r="288" spans="1:17" ht="12.75" customHeight="1">
      <c r="A288" s="91"/>
      <c r="B288" s="91"/>
      <c r="C288" s="221"/>
      <c r="D288" s="109" t="s">
        <v>222</v>
      </c>
      <c r="E288" s="95"/>
      <c r="F288" s="95"/>
      <c r="G288" s="99">
        <f aca="true" t="shared" si="17" ref="G288:Q288">SUM(G213:G287)</f>
        <v>1500</v>
      </c>
      <c r="H288" s="99">
        <f t="shared" si="17"/>
        <v>400</v>
      </c>
      <c r="I288" s="99">
        <f t="shared" si="17"/>
        <v>1334163</v>
      </c>
      <c r="J288" s="99">
        <f t="shared" si="17"/>
        <v>0</v>
      </c>
      <c r="K288" s="99">
        <f t="shared" si="17"/>
        <v>38093</v>
      </c>
      <c r="L288" s="99">
        <f t="shared" si="17"/>
        <v>305</v>
      </c>
      <c r="M288" s="99">
        <f t="shared" si="17"/>
        <v>0</v>
      </c>
      <c r="N288" s="99">
        <f t="shared" si="17"/>
        <v>0</v>
      </c>
      <c r="O288" s="99">
        <f t="shared" si="17"/>
        <v>0</v>
      </c>
      <c r="P288" s="99">
        <f t="shared" si="17"/>
        <v>0</v>
      </c>
      <c r="Q288" s="99">
        <f t="shared" si="17"/>
        <v>1374461</v>
      </c>
    </row>
    <row r="289" spans="1:17" ht="12.75" customHeight="1">
      <c r="A289" s="110"/>
      <c r="B289" s="110"/>
      <c r="C289" s="110"/>
      <c r="D289" s="761" t="s">
        <v>1381</v>
      </c>
      <c r="E289" s="102"/>
      <c r="F289" s="749"/>
      <c r="G289" s="111"/>
      <c r="H289" s="111"/>
      <c r="I289" s="111"/>
      <c r="J289" s="111"/>
      <c r="K289" s="111"/>
      <c r="L289" s="112"/>
      <c r="M289" s="112"/>
      <c r="N289" s="112"/>
      <c r="O289" s="111"/>
      <c r="P289" s="111"/>
      <c r="Q289" s="112"/>
    </row>
    <row r="290" spans="1:17" ht="12.75" customHeight="1">
      <c r="A290" s="110"/>
      <c r="B290" s="110"/>
      <c r="C290" s="110" t="s">
        <v>1055</v>
      </c>
      <c r="D290" s="762" t="s">
        <v>382</v>
      </c>
      <c r="E290" s="102"/>
      <c r="F290" s="749"/>
      <c r="G290" s="111"/>
      <c r="H290" s="111"/>
      <c r="I290" s="111"/>
      <c r="J290" s="111"/>
      <c r="K290" s="111"/>
      <c r="L290" s="112"/>
      <c r="M290" s="112"/>
      <c r="N290" s="112"/>
      <c r="O290" s="111"/>
      <c r="P290" s="111"/>
      <c r="Q290" s="112"/>
    </row>
    <row r="291" spans="1:17" ht="12.75" customHeight="1">
      <c r="A291" s="110"/>
      <c r="B291" s="110"/>
      <c r="C291" s="115" t="s">
        <v>1099</v>
      </c>
      <c r="D291" s="418" t="s">
        <v>1074</v>
      </c>
      <c r="E291" s="102"/>
      <c r="F291" s="712">
        <v>152116</v>
      </c>
      <c r="G291" s="112"/>
      <c r="H291" s="112"/>
      <c r="I291" s="112"/>
      <c r="J291" s="112"/>
      <c r="K291" s="112"/>
      <c r="L291" s="112">
        <f>2000+'[1]táj.2.'!L291</f>
        <v>2000</v>
      </c>
      <c r="M291" s="112"/>
      <c r="N291" s="112"/>
      <c r="O291" s="112"/>
      <c r="P291" s="112"/>
      <c r="Q291" s="112">
        <f aca="true" t="shared" si="18" ref="Q291:Q301">SUM(G291:P291)</f>
        <v>2000</v>
      </c>
    </row>
    <row r="292" spans="1:17" ht="21.75" customHeight="1">
      <c r="A292" s="110"/>
      <c r="B292" s="110"/>
      <c r="C292" s="115" t="s">
        <v>1104</v>
      </c>
      <c r="D292" s="419" t="s">
        <v>1075</v>
      </c>
      <c r="E292" s="102"/>
      <c r="F292" s="712">
        <v>152122</v>
      </c>
      <c r="G292" s="112"/>
      <c r="H292" s="112"/>
      <c r="I292" s="112"/>
      <c r="J292" s="112"/>
      <c r="K292" s="112"/>
      <c r="L292" s="112">
        <f>1500+'[1]táj.2.'!L292</f>
        <v>1500</v>
      </c>
      <c r="M292" s="112"/>
      <c r="N292" s="112"/>
      <c r="O292" s="112"/>
      <c r="P292" s="112"/>
      <c r="Q292" s="112">
        <f t="shared" si="18"/>
        <v>1500</v>
      </c>
    </row>
    <row r="293" spans="1:17" ht="24.75" customHeight="1">
      <c r="A293" s="110"/>
      <c r="B293" s="110"/>
      <c r="C293" s="115" t="s">
        <v>1105</v>
      </c>
      <c r="D293" s="419" t="s">
        <v>390</v>
      </c>
      <c r="E293" s="102"/>
      <c r="F293" s="712">
        <v>152114</v>
      </c>
      <c r="G293" s="112"/>
      <c r="H293" s="112"/>
      <c r="I293" s="112"/>
      <c r="J293" s="112"/>
      <c r="K293" s="112"/>
      <c r="L293" s="112">
        <f>1500+'[1]táj.2.'!L293</f>
        <v>1500</v>
      </c>
      <c r="M293" s="112"/>
      <c r="N293" s="112"/>
      <c r="O293" s="112"/>
      <c r="P293" s="112"/>
      <c r="Q293" s="112">
        <f t="shared" si="18"/>
        <v>1500</v>
      </c>
    </row>
    <row r="294" spans="1:17" ht="12.75" customHeight="1">
      <c r="A294" s="110"/>
      <c r="B294" s="110"/>
      <c r="C294" s="115" t="s">
        <v>1106</v>
      </c>
      <c r="D294" s="446" t="s">
        <v>1080</v>
      </c>
      <c r="E294" s="102"/>
      <c r="F294" s="712">
        <v>152109</v>
      </c>
      <c r="G294" s="112"/>
      <c r="H294" s="112"/>
      <c r="I294" s="112"/>
      <c r="J294" s="112"/>
      <c r="K294" s="112"/>
      <c r="L294" s="112">
        <f>2000+'[1]táj.2.'!L294</f>
        <v>2000</v>
      </c>
      <c r="M294" s="112"/>
      <c r="N294" s="112"/>
      <c r="O294" s="112"/>
      <c r="P294" s="112"/>
      <c r="Q294" s="112">
        <f t="shared" si="18"/>
        <v>2000</v>
      </c>
    </row>
    <row r="295" spans="1:17" ht="12.75" customHeight="1">
      <c r="A295" s="110"/>
      <c r="B295" s="110"/>
      <c r="C295" s="115" t="s">
        <v>1107</v>
      </c>
      <c r="D295" s="448" t="s">
        <v>1220</v>
      </c>
      <c r="E295" s="102"/>
      <c r="F295" s="763">
        <v>152103</v>
      </c>
      <c r="G295" s="112"/>
      <c r="H295" s="112"/>
      <c r="I295" s="112"/>
      <c r="J295" s="112"/>
      <c r="K295" s="112"/>
      <c r="L295" s="112">
        <f>2000+'[1]táj.2.'!L295</f>
        <v>2000</v>
      </c>
      <c r="M295" s="112"/>
      <c r="N295" s="112"/>
      <c r="O295" s="112"/>
      <c r="P295" s="112"/>
      <c r="Q295" s="112">
        <f t="shared" si="18"/>
        <v>2000</v>
      </c>
    </row>
    <row r="296" spans="1:17" ht="12.75" customHeight="1">
      <c r="A296" s="110"/>
      <c r="B296" s="110"/>
      <c r="C296" s="115" t="s">
        <v>1176</v>
      </c>
      <c r="D296" s="448" t="s">
        <v>214</v>
      </c>
      <c r="E296" s="102"/>
      <c r="F296" s="90">
        <v>152123</v>
      </c>
      <c r="G296" s="112"/>
      <c r="H296" s="112"/>
      <c r="I296" s="112"/>
      <c r="J296" s="112"/>
      <c r="K296" s="112"/>
      <c r="L296" s="112">
        <f>3000+'[1]táj.2.'!L296</f>
        <v>3000</v>
      </c>
      <c r="M296" s="112"/>
      <c r="N296" s="112"/>
      <c r="O296" s="112"/>
      <c r="P296" s="112"/>
      <c r="Q296" s="112">
        <f t="shared" si="18"/>
        <v>3000</v>
      </c>
    </row>
    <row r="297" spans="1:17" ht="24.75" customHeight="1">
      <c r="A297" s="110"/>
      <c r="B297" s="110"/>
      <c r="C297" s="115" t="s">
        <v>1177</v>
      </c>
      <c r="D297" s="447" t="s">
        <v>1100</v>
      </c>
      <c r="E297" s="102"/>
      <c r="F297" s="90">
        <v>151114</v>
      </c>
      <c r="G297" s="112"/>
      <c r="H297" s="112"/>
      <c r="I297" s="112"/>
      <c r="J297" s="112"/>
      <c r="K297" s="112"/>
      <c r="L297" s="112"/>
      <c r="M297" s="112">
        <f>4000+'[1]táj.2.'!M297</f>
        <v>4000</v>
      </c>
      <c r="N297" s="112"/>
      <c r="O297" s="112"/>
      <c r="P297" s="112"/>
      <c r="Q297" s="112">
        <f t="shared" si="18"/>
        <v>4000</v>
      </c>
    </row>
    <row r="298" spans="1:17" ht="21.75" customHeight="1">
      <c r="A298" s="110"/>
      <c r="B298" s="110"/>
      <c r="C298" s="115" t="s">
        <v>739</v>
      </c>
      <c r="D298" s="420" t="s">
        <v>1101</v>
      </c>
      <c r="E298" s="102"/>
      <c r="F298" s="90">
        <v>154112</v>
      </c>
      <c r="G298" s="112"/>
      <c r="H298" s="112"/>
      <c r="I298" s="112"/>
      <c r="J298" s="112"/>
      <c r="K298" s="112"/>
      <c r="L298" s="112"/>
      <c r="M298" s="112">
        <f>2000+'[1]táj.2.'!M298</f>
        <v>2000</v>
      </c>
      <c r="N298" s="112"/>
      <c r="O298" s="112"/>
      <c r="P298" s="112"/>
      <c r="Q298" s="15">
        <f t="shared" si="18"/>
        <v>2000</v>
      </c>
    </row>
    <row r="299" spans="1:17" ht="12.75" customHeight="1">
      <c r="A299" s="110"/>
      <c r="B299" s="110"/>
      <c r="C299" s="115" t="s">
        <v>740</v>
      </c>
      <c r="D299" s="418" t="s">
        <v>215</v>
      </c>
      <c r="E299" s="102"/>
      <c r="F299" s="90">
        <v>151115</v>
      </c>
      <c r="G299" s="112"/>
      <c r="H299" s="112"/>
      <c r="I299" s="112"/>
      <c r="J299" s="112"/>
      <c r="K299" s="112"/>
      <c r="L299" s="112"/>
      <c r="M299" s="112">
        <f>4000+'[1]táj.2.'!M299</f>
        <v>4000</v>
      </c>
      <c r="N299" s="112"/>
      <c r="O299" s="112"/>
      <c r="P299" s="112"/>
      <c r="Q299" s="15">
        <f t="shared" si="18"/>
        <v>4000</v>
      </c>
    </row>
    <row r="300" spans="1:17" ht="22.5" customHeight="1">
      <c r="A300" s="110"/>
      <c r="B300" s="110"/>
      <c r="C300" s="115" t="s">
        <v>741</v>
      </c>
      <c r="D300" s="418" t="s">
        <v>1102</v>
      </c>
      <c r="E300" s="102"/>
      <c r="F300" s="90">
        <v>154113</v>
      </c>
      <c r="G300" s="112"/>
      <c r="H300" s="112"/>
      <c r="I300" s="112"/>
      <c r="J300" s="112"/>
      <c r="K300" s="112"/>
      <c r="L300" s="112"/>
      <c r="M300" s="112">
        <f>2000+'[1]táj.2.'!M300</f>
        <v>2000</v>
      </c>
      <c r="N300" s="112"/>
      <c r="O300" s="112"/>
      <c r="P300" s="112"/>
      <c r="Q300" s="15">
        <f t="shared" si="18"/>
        <v>2000</v>
      </c>
    </row>
    <row r="301" spans="1:17" ht="24" customHeight="1">
      <c r="A301" s="110"/>
      <c r="B301" s="110"/>
      <c r="C301" s="115" t="s">
        <v>742</v>
      </c>
      <c r="D301" s="447" t="s">
        <v>1103</v>
      </c>
      <c r="E301" s="102"/>
      <c r="F301" s="90">
        <v>151116</v>
      </c>
      <c r="G301" s="112"/>
      <c r="H301" s="112"/>
      <c r="I301" s="112"/>
      <c r="J301" s="112"/>
      <c r="K301" s="112"/>
      <c r="L301" s="112"/>
      <c r="M301" s="112">
        <f>10000+'[1]táj.2.'!M301</f>
        <v>10000</v>
      </c>
      <c r="N301" s="112"/>
      <c r="O301" s="112"/>
      <c r="P301" s="112"/>
      <c r="Q301" s="112">
        <f t="shared" si="18"/>
        <v>10000</v>
      </c>
    </row>
    <row r="302" spans="1:17" ht="12.75" customHeight="1">
      <c r="A302" s="110"/>
      <c r="B302" s="110"/>
      <c r="C302" s="115"/>
      <c r="D302" s="14" t="s">
        <v>72</v>
      </c>
      <c r="E302" s="102"/>
      <c r="F302" s="749"/>
      <c r="G302" s="112"/>
      <c r="H302" s="111"/>
      <c r="I302" s="111"/>
      <c r="J302" s="111"/>
      <c r="K302" s="111"/>
      <c r="L302" s="112"/>
      <c r="M302" s="112"/>
      <c r="N302" s="112"/>
      <c r="O302" s="111"/>
      <c r="P302" s="111"/>
      <c r="Q302" s="112"/>
    </row>
    <row r="303" spans="1:17" ht="15.75" customHeight="1">
      <c r="A303" s="110"/>
      <c r="B303" s="110"/>
      <c r="C303" s="115" t="s">
        <v>854</v>
      </c>
      <c r="D303" s="103" t="s">
        <v>77</v>
      </c>
      <c r="E303" s="102"/>
      <c r="F303" s="90">
        <v>152120</v>
      </c>
      <c r="G303" s="112"/>
      <c r="H303" s="112"/>
      <c r="I303" s="112"/>
      <c r="J303" s="112"/>
      <c r="K303" s="112"/>
      <c r="L303" s="112">
        <f>15500+'[1]táj.2.'!L303</f>
        <v>15500</v>
      </c>
      <c r="M303" s="112"/>
      <c r="N303" s="112"/>
      <c r="O303" s="112"/>
      <c r="P303" s="112"/>
      <c r="Q303" s="112">
        <f aca="true" t="shared" si="19" ref="Q303:Q310">SUM(G303:P303)</f>
        <v>15500</v>
      </c>
    </row>
    <row r="304" spans="1:17" ht="15" customHeight="1">
      <c r="A304" s="110"/>
      <c r="B304" s="110"/>
      <c r="C304" s="115" t="s">
        <v>855</v>
      </c>
      <c r="D304" s="103" t="s">
        <v>78</v>
      </c>
      <c r="E304" s="102"/>
      <c r="F304" s="712">
        <v>152121</v>
      </c>
      <c r="G304" s="112"/>
      <c r="H304" s="112"/>
      <c r="I304" s="112"/>
      <c r="J304" s="112"/>
      <c r="K304" s="112"/>
      <c r="L304" s="112">
        <f>991+'[1]táj.2.'!L304</f>
        <v>991</v>
      </c>
      <c r="M304" s="112"/>
      <c r="N304" s="112"/>
      <c r="O304" s="112"/>
      <c r="P304" s="112"/>
      <c r="Q304" s="112">
        <f t="shared" si="19"/>
        <v>991</v>
      </c>
    </row>
    <row r="305" spans="1:17" ht="25.5" customHeight="1">
      <c r="A305" s="110"/>
      <c r="B305" s="110"/>
      <c r="C305" s="115" t="s">
        <v>856</v>
      </c>
      <c r="D305" s="764" t="s">
        <v>494</v>
      </c>
      <c r="E305" s="102"/>
      <c r="F305" s="712">
        <v>152105</v>
      </c>
      <c r="G305" s="112"/>
      <c r="H305" s="112"/>
      <c r="I305" s="112"/>
      <c r="J305" s="112"/>
      <c r="K305" s="112"/>
      <c r="L305" s="112">
        <f>18326+'[1]táj.2.'!L305</f>
        <v>18326</v>
      </c>
      <c r="M305" s="112"/>
      <c r="N305" s="112"/>
      <c r="O305" s="112"/>
      <c r="P305" s="112"/>
      <c r="Q305" s="112">
        <f t="shared" si="19"/>
        <v>18326</v>
      </c>
    </row>
    <row r="306" spans="1:17" ht="16.5" customHeight="1">
      <c r="A306" s="110"/>
      <c r="B306" s="110"/>
      <c r="C306" s="115" t="s">
        <v>857</v>
      </c>
      <c r="D306" s="765" t="s">
        <v>918</v>
      </c>
      <c r="E306" s="102"/>
      <c r="F306" s="712">
        <v>154108</v>
      </c>
      <c r="G306" s="112"/>
      <c r="H306" s="112"/>
      <c r="I306" s="112"/>
      <c r="J306" s="112"/>
      <c r="K306" s="112"/>
      <c r="L306" s="112">
        <f>2000+'[1]táj.2.'!L306</f>
        <v>2000</v>
      </c>
      <c r="M306" s="112"/>
      <c r="N306" s="112"/>
      <c r="O306" s="112"/>
      <c r="P306" s="112"/>
      <c r="Q306" s="112">
        <f t="shared" si="19"/>
        <v>2000</v>
      </c>
    </row>
    <row r="307" spans="1:17" ht="16.5" customHeight="1">
      <c r="A307" s="110"/>
      <c r="B307" s="110"/>
      <c r="C307" s="115" t="s">
        <v>270</v>
      </c>
      <c r="D307" s="766" t="s">
        <v>917</v>
      </c>
      <c r="E307" s="102"/>
      <c r="F307" s="712">
        <v>154107</v>
      </c>
      <c r="G307" s="112"/>
      <c r="H307" s="112"/>
      <c r="I307" s="112"/>
      <c r="J307" s="112"/>
      <c r="K307" s="112"/>
      <c r="L307" s="112">
        <f>4000+'[1]táj.2.'!L307</f>
        <v>4000</v>
      </c>
      <c r="M307" s="112"/>
      <c r="N307" s="112"/>
      <c r="O307" s="112"/>
      <c r="P307" s="112"/>
      <c r="Q307" s="112">
        <f t="shared" si="19"/>
        <v>4000</v>
      </c>
    </row>
    <row r="308" spans="1:17" ht="27" customHeight="1">
      <c r="A308" s="110"/>
      <c r="B308" s="110"/>
      <c r="C308" s="115" t="s">
        <v>1073</v>
      </c>
      <c r="D308" s="767" t="s">
        <v>216</v>
      </c>
      <c r="E308" s="102"/>
      <c r="F308" s="712">
        <v>152108</v>
      </c>
      <c r="G308" s="112"/>
      <c r="H308" s="112"/>
      <c r="I308" s="112"/>
      <c r="J308" s="112"/>
      <c r="K308" s="112"/>
      <c r="L308" s="112">
        <f>6700+'[1]táj.2.'!L308</f>
        <v>6700</v>
      </c>
      <c r="M308" s="112"/>
      <c r="N308" s="112"/>
      <c r="O308" s="112"/>
      <c r="P308" s="112"/>
      <c r="Q308" s="15">
        <f t="shared" si="19"/>
        <v>6700</v>
      </c>
    </row>
    <row r="309" spans="1:17" ht="37.5" customHeight="1">
      <c r="A309" s="110"/>
      <c r="B309" s="110"/>
      <c r="C309" s="115" t="s">
        <v>729</v>
      </c>
      <c r="D309" s="181" t="s">
        <v>1239</v>
      </c>
      <c r="E309" s="102"/>
      <c r="F309" s="90">
        <v>152117</v>
      </c>
      <c r="G309" s="112"/>
      <c r="H309" s="112"/>
      <c r="I309" s="112"/>
      <c r="J309" s="112"/>
      <c r="K309" s="112"/>
      <c r="L309" s="112"/>
      <c r="M309" s="112">
        <f>246380+'[1]táj.2.'!M309</f>
        <v>246380</v>
      </c>
      <c r="N309" s="112"/>
      <c r="O309" s="112"/>
      <c r="P309" s="112"/>
      <c r="Q309" s="112">
        <f t="shared" si="19"/>
        <v>246380</v>
      </c>
    </row>
    <row r="310" spans="1:17" ht="36" customHeight="1">
      <c r="A310" s="110"/>
      <c r="B310" s="110"/>
      <c r="C310" s="115" t="s">
        <v>743</v>
      </c>
      <c r="D310" s="181" t="s">
        <v>1238</v>
      </c>
      <c r="E310" s="102"/>
      <c r="F310" s="90">
        <v>152117</v>
      </c>
      <c r="G310" s="112"/>
      <c r="H310" s="112"/>
      <c r="I310" s="112"/>
      <c r="J310" s="112"/>
      <c r="K310" s="112"/>
      <c r="L310" s="112"/>
      <c r="M310" s="112"/>
      <c r="N310" s="112">
        <f>194000+'[1]táj.2.'!N310</f>
        <v>194000</v>
      </c>
      <c r="O310" s="112"/>
      <c r="P310" s="112"/>
      <c r="Q310" s="112">
        <f t="shared" si="19"/>
        <v>194000</v>
      </c>
    </row>
    <row r="311" spans="1:17" ht="12.75" customHeight="1">
      <c r="A311" s="110"/>
      <c r="B311" s="110"/>
      <c r="C311" s="110">
        <v>2</v>
      </c>
      <c r="D311" s="768" t="s">
        <v>760</v>
      </c>
      <c r="E311" s="102"/>
      <c r="F311" s="749"/>
      <c r="G311" s="112"/>
      <c r="H311" s="111"/>
      <c r="I311" s="111"/>
      <c r="J311" s="111"/>
      <c r="K311" s="111"/>
      <c r="L311" s="112"/>
      <c r="M311" s="112"/>
      <c r="N311" s="112"/>
      <c r="O311" s="111"/>
      <c r="P311" s="111"/>
      <c r="Q311" s="112"/>
    </row>
    <row r="312" spans="1:17" ht="12.75" customHeight="1">
      <c r="A312" s="110"/>
      <c r="B312" s="110"/>
      <c r="C312" s="115" t="s">
        <v>847</v>
      </c>
      <c r="D312" s="418" t="s">
        <v>1077</v>
      </c>
      <c r="E312" s="102"/>
      <c r="F312" s="712">
        <v>152201</v>
      </c>
      <c r="G312" s="112"/>
      <c r="H312" s="112"/>
      <c r="I312" s="112"/>
      <c r="J312" s="112"/>
      <c r="K312" s="112"/>
      <c r="L312" s="112">
        <f>2000+'[1]táj.2.'!L312</f>
        <v>2000</v>
      </c>
      <c r="M312" s="112"/>
      <c r="N312" s="112"/>
      <c r="O312" s="112"/>
      <c r="P312" s="112"/>
      <c r="Q312" s="112">
        <f>SUM(G312:P312)</f>
        <v>2000</v>
      </c>
    </row>
    <row r="313" spans="1:17" ht="12.75" customHeight="1">
      <c r="A313" s="110"/>
      <c r="B313" s="110"/>
      <c r="C313" s="115" t="s">
        <v>1076</v>
      </c>
      <c r="D313" s="418" t="s">
        <v>1078</v>
      </c>
      <c r="E313" s="102"/>
      <c r="F313" s="90">
        <v>152205</v>
      </c>
      <c r="G313" s="112"/>
      <c r="H313" s="112"/>
      <c r="I313" s="112"/>
      <c r="J313" s="112"/>
      <c r="K313" s="112"/>
      <c r="L313" s="112">
        <f>17000+'[1]táj.2.'!L313</f>
        <v>17000</v>
      </c>
      <c r="M313" s="112"/>
      <c r="N313" s="112"/>
      <c r="O313" s="112"/>
      <c r="P313" s="112"/>
      <c r="Q313" s="112">
        <f>SUM(G313:P313)</f>
        <v>17000</v>
      </c>
    </row>
    <row r="314" spans="1:17" ht="12.75" customHeight="1">
      <c r="A314" s="110"/>
      <c r="B314" s="110"/>
      <c r="C314" s="110"/>
      <c r="D314" s="14" t="s">
        <v>72</v>
      </c>
      <c r="E314" s="102"/>
      <c r="F314" s="712"/>
      <c r="G314" s="112"/>
      <c r="H314" s="111"/>
      <c r="I314" s="111"/>
      <c r="J314" s="111"/>
      <c r="K314" s="111"/>
      <c r="L314" s="112"/>
      <c r="M314" s="112"/>
      <c r="N314" s="112"/>
      <c r="O314" s="111"/>
      <c r="P314" s="111"/>
      <c r="Q314" s="112"/>
    </row>
    <row r="315" spans="1:17" ht="25.5" customHeight="1">
      <c r="A315" s="110"/>
      <c r="B315" s="110"/>
      <c r="C315" s="115" t="s">
        <v>79</v>
      </c>
      <c r="D315" s="181" t="s">
        <v>744</v>
      </c>
      <c r="E315" s="102"/>
      <c r="F315" s="712">
        <v>152203</v>
      </c>
      <c r="G315" s="112"/>
      <c r="H315" s="112"/>
      <c r="I315" s="112"/>
      <c r="J315" s="112"/>
      <c r="K315" s="112"/>
      <c r="L315" s="112"/>
      <c r="M315" s="112"/>
      <c r="N315" s="112">
        <f>92577+'[1]táj.2.'!N315</f>
        <v>92577</v>
      </c>
      <c r="O315" s="112"/>
      <c r="P315" s="112"/>
      <c r="Q315" s="112">
        <f>SUM(G315:P315)</f>
        <v>92577</v>
      </c>
    </row>
    <row r="316" spans="1:17" ht="23.25" customHeight="1">
      <c r="A316" s="110"/>
      <c r="B316" s="110"/>
      <c r="C316" s="115" t="s">
        <v>81</v>
      </c>
      <c r="D316" s="181" t="s">
        <v>80</v>
      </c>
      <c r="E316" s="102"/>
      <c r="F316" s="712">
        <v>152204</v>
      </c>
      <c r="G316" s="112"/>
      <c r="H316" s="112"/>
      <c r="I316" s="112"/>
      <c r="J316" s="112"/>
      <c r="K316" s="112"/>
      <c r="L316" s="112"/>
      <c r="M316" s="112"/>
      <c r="N316" s="112">
        <f>341840+'[1]táj.2.'!N316</f>
        <v>341840</v>
      </c>
      <c r="O316" s="112"/>
      <c r="P316" s="112"/>
      <c r="Q316" s="112">
        <f>SUM(G316:P316)</f>
        <v>341840</v>
      </c>
    </row>
    <row r="317" spans="1:17" ht="12.75" customHeight="1">
      <c r="A317" s="110"/>
      <c r="B317" s="110"/>
      <c r="C317" s="110" t="s">
        <v>1056</v>
      </c>
      <c r="D317" s="769" t="s">
        <v>761</v>
      </c>
      <c r="E317" s="102"/>
      <c r="F317" s="749"/>
      <c r="G317" s="112"/>
      <c r="H317" s="111"/>
      <c r="I317" s="111"/>
      <c r="J317" s="111"/>
      <c r="K317" s="111"/>
      <c r="L317" s="112"/>
      <c r="M317" s="112"/>
      <c r="N317" s="112"/>
      <c r="O317" s="111"/>
      <c r="P317" s="111"/>
      <c r="Q317" s="112"/>
    </row>
    <row r="318" spans="1:17" ht="12.75" customHeight="1">
      <c r="A318" s="110"/>
      <c r="B318" s="110"/>
      <c r="C318" s="115" t="s">
        <v>1082</v>
      </c>
      <c r="D318" s="420" t="s">
        <v>1086</v>
      </c>
      <c r="E318" s="102"/>
      <c r="F318" s="90">
        <v>152316</v>
      </c>
      <c r="G318" s="112"/>
      <c r="H318" s="112"/>
      <c r="I318" s="112"/>
      <c r="J318" s="112"/>
      <c r="K318" s="112"/>
      <c r="L318" s="112">
        <f>800+'[1]táj.2.'!L318</f>
        <v>800</v>
      </c>
      <c r="M318" s="112"/>
      <c r="N318" s="112"/>
      <c r="O318" s="112"/>
      <c r="P318" s="112"/>
      <c r="Q318" s="112">
        <f aca="true" t="shared" si="20" ref="Q318:Q324">SUM(G318:P318)</f>
        <v>800</v>
      </c>
    </row>
    <row r="319" spans="1:17" ht="12.75" customHeight="1">
      <c r="A319" s="110"/>
      <c r="B319" s="110"/>
      <c r="C319" s="115" t="s">
        <v>1093</v>
      </c>
      <c r="D319" s="420" t="s">
        <v>1087</v>
      </c>
      <c r="E319" s="102"/>
      <c r="F319" s="90">
        <v>152320</v>
      </c>
      <c r="G319" s="112"/>
      <c r="H319" s="112"/>
      <c r="I319" s="112"/>
      <c r="J319" s="112"/>
      <c r="K319" s="112"/>
      <c r="L319" s="112">
        <f>150+'[1]táj.2.'!L319</f>
        <v>150</v>
      </c>
      <c r="M319" s="112"/>
      <c r="N319" s="112"/>
      <c r="O319" s="112"/>
      <c r="P319" s="112"/>
      <c r="Q319" s="112">
        <f t="shared" si="20"/>
        <v>150</v>
      </c>
    </row>
    <row r="320" spans="1:17" ht="12.75" customHeight="1">
      <c r="A320" s="110"/>
      <c r="B320" s="110"/>
      <c r="C320" s="115" t="s">
        <v>1094</v>
      </c>
      <c r="D320" s="770" t="s">
        <v>1088</v>
      </c>
      <c r="E320" s="102"/>
      <c r="F320" s="90">
        <v>152321</v>
      </c>
      <c r="G320" s="112"/>
      <c r="H320" s="112"/>
      <c r="I320" s="112"/>
      <c r="J320" s="112"/>
      <c r="K320" s="112"/>
      <c r="L320" s="112">
        <f>800+'[1]táj.2.'!L320</f>
        <v>800</v>
      </c>
      <c r="M320" s="112"/>
      <c r="N320" s="112"/>
      <c r="O320" s="112"/>
      <c r="P320" s="112"/>
      <c r="Q320" s="112">
        <f t="shared" si="20"/>
        <v>800</v>
      </c>
    </row>
    <row r="321" spans="1:17" ht="12.75" customHeight="1">
      <c r="A321" s="110"/>
      <c r="B321" s="110"/>
      <c r="C321" s="115" t="s">
        <v>1095</v>
      </c>
      <c r="D321" s="771" t="s">
        <v>1089</v>
      </c>
      <c r="E321" s="102"/>
      <c r="F321" s="90">
        <v>152322</v>
      </c>
      <c r="G321" s="112"/>
      <c r="H321" s="112"/>
      <c r="I321" s="112"/>
      <c r="J321" s="112"/>
      <c r="K321" s="112"/>
      <c r="L321" s="112">
        <f>700+'[1]táj.2.'!L321</f>
        <v>700</v>
      </c>
      <c r="M321" s="112"/>
      <c r="N321" s="112"/>
      <c r="O321" s="112"/>
      <c r="P321" s="112"/>
      <c r="Q321" s="112">
        <f t="shared" si="20"/>
        <v>700</v>
      </c>
    </row>
    <row r="322" spans="1:17" ht="12.75" customHeight="1">
      <c r="A322" s="110"/>
      <c r="B322" s="110"/>
      <c r="C322" s="115" t="s">
        <v>1096</v>
      </c>
      <c r="D322" s="772" t="s">
        <v>1090</v>
      </c>
      <c r="E322" s="102"/>
      <c r="F322" s="90">
        <v>152323</v>
      </c>
      <c r="G322" s="112"/>
      <c r="H322" s="112"/>
      <c r="I322" s="112"/>
      <c r="J322" s="112"/>
      <c r="K322" s="112"/>
      <c r="L322" s="112">
        <f>2800+'[1]táj.2.'!L322</f>
        <v>2800</v>
      </c>
      <c r="M322" s="112"/>
      <c r="N322" s="112"/>
      <c r="O322" s="112"/>
      <c r="P322" s="112"/>
      <c r="Q322" s="112">
        <f t="shared" si="20"/>
        <v>2800</v>
      </c>
    </row>
    <row r="323" spans="1:17" ht="12.75" customHeight="1">
      <c r="A323" s="110"/>
      <c r="B323" s="110"/>
      <c r="C323" s="115" t="s">
        <v>1097</v>
      </c>
      <c r="D323" s="772" t="s">
        <v>1091</v>
      </c>
      <c r="E323" s="102"/>
      <c r="F323" s="90">
        <v>152319</v>
      </c>
      <c r="G323" s="112"/>
      <c r="H323" s="112"/>
      <c r="I323" s="112"/>
      <c r="J323" s="112"/>
      <c r="K323" s="112"/>
      <c r="L323" s="112">
        <f>691+'[1]táj.2.'!L323</f>
        <v>691</v>
      </c>
      <c r="M323" s="112"/>
      <c r="N323" s="112"/>
      <c r="O323" s="112"/>
      <c r="P323" s="112"/>
      <c r="Q323" s="112">
        <f t="shared" si="20"/>
        <v>691</v>
      </c>
    </row>
    <row r="324" spans="1:17" ht="12.75" customHeight="1">
      <c r="A324" s="110"/>
      <c r="B324" s="110"/>
      <c r="C324" s="115" t="s">
        <v>1098</v>
      </c>
      <c r="D324" s="772" t="s">
        <v>1092</v>
      </c>
      <c r="E324" s="102"/>
      <c r="F324" s="90">
        <v>152324</v>
      </c>
      <c r="G324" s="112"/>
      <c r="H324" s="112"/>
      <c r="I324" s="112"/>
      <c r="J324" s="112"/>
      <c r="K324" s="112"/>
      <c r="L324" s="112">
        <f>150+'[1]táj.2.'!L324</f>
        <v>150</v>
      </c>
      <c r="M324" s="112"/>
      <c r="N324" s="112"/>
      <c r="O324" s="112"/>
      <c r="P324" s="112"/>
      <c r="Q324" s="112">
        <f t="shared" si="20"/>
        <v>150</v>
      </c>
    </row>
    <row r="325" spans="1:17" ht="12.75" customHeight="1">
      <c r="A325" s="110"/>
      <c r="B325" s="110"/>
      <c r="C325" s="110"/>
      <c r="D325" s="14" t="s">
        <v>72</v>
      </c>
      <c r="E325" s="102"/>
      <c r="F325" s="749"/>
      <c r="G325" s="112"/>
      <c r="H325" s="111"/>
      <c r="I325" s="111"/>
      <c r="J325" s="111"/>
      <c r="K325" s="111"/>
      <c r="L325" s="112"/>
      <c r="M325" s="112"/>
      <c r="N325" s="112"/>
      <c r="O325" s="111"/>
      <c r="P325" s="111"/>
      <c r="Q325" s="112"/>
    </row>
    <row r="326" spans="1:17" ht="12.75" customHeight="1">
      <c r="A326" s="110"/>
      <c r="B326" s="110"/>
      <c r="C326" s="115" t="s">
        <v>921</v>
      </c>
      <c r="D326" s="103" t="s">
        <v>920</v>
      </c>
      <c r="E326" s="102"/>
      <c r="F326" s="712">
        <v>152315</v>
      </c>
      <c r="G326" s="112"/>
      <c r="H326" s="112"/>
      <c r="I326" s="112"/>
      <c r="J326" s="112"/>
      <c r="K326" s="112"/>
      <c r="L326" s="112">
        <f>11765+'[1]táj.2.'!L326</f>
        <v>11765</v>
      </c>
      <c r="M326" s="112"/>
      <c r="N326" s="112"/>
      <c r="O326" s="112"/>
      <c r="P326" s="112"/>
      <c r="Q326" s="112">
        <f>SUM(G326:P326)</f>
        <v>11765</v>
      </c>
    </row>
    <row r="327" spans="1:17" ht="12.75" customHeight="1">
      <c r="A327" s="110"/>
      <c r="B327" s="110"/>
      <c r="C327" s="110" t="s">
        <v>1057</v>
      </c>
      <c r="D327" s="773" t="s">
        <v>97</v>
      </c>
      <c r="E327" s="102"/>
      <c r="F327" s="749"/>
      <c r="G327" s="112"/>
      <c r="H327" s="111"/>
      <c r="I327" s="111"/>
      <c r="J327" s="111"/>
      <c r="K327" s="111"/>
      <c r="L327" s="112"/>
      <c r="M327" s="112"/>
      <c r="N327" s="112"/>
      <c r="O327" s="111"/>
      <c r="P327" s="111"/>
      <c r="Q327" s="112"/>
    </row>
    <row r="328" spans="1:17" ht="12.75" customHeight="1">
      <c r="A328" s="110"/>
      <c r="B328" s="110"/>
      <c r="C328" s="115" t="s">
        <v>1059</v>
      </c>
      <c r="D328" s="447" t="s">
        <v>1348</v>
      </c>
      <c r="E328" s="102"/>
      <c r="F328" s="90">
        <v>152443</v>
      </c>
      <c r="G328" s="112"/>
      <c r="H328" s="112"/>
      <c r="I328" s="112"/>
      <c r="J328" s="112"/>
      <c r="K328" s="112"/>
      <c r="L328" s="112">
        <f>1200+'[1]táj.2.'!L328</f>
        <v>1200</v>
      </c>
      <c r="M328" s="112"/>
      <c r="N328" s="112"/>
      <c r="O328" s="112"/>
      <c r="P328" s="112"/>
      <c r="Q328" s="112">
        <f aca="true" t="shared" si="21" ref="Q328:Q368">SUM(G328:P328)</f>
        <v>1200</v>
      </c>
    </row>
    <row r="329" spans="1:17" ht="12.75" customHeight="1">
      <c r="A329" s="110"/>
      <c r="B329" s="110"/>
      <c r="C329" s="115" t="s">
        <v>1272</v>
      </c>
      <c r="D329" s="774" t="s">
        <v>592</v>
      </c>
      <c r="E329" s="102"/>
      <c r="F329" s="90">
        <v>152444</v>
      </c>
      <c r="G329" s="112"/>
      <c r="H329" s="112"/>
      <c r="I329" s="112"/>
      <c r="J329" s="112"/>
      <c r="K329" s="112"/>
      <c r="L329" s="112">
        <f>2000+'[1]táj.2.'!L329</f>
        <v>2000</v>
      </c>
      <c r="M329" s="112"/>
      <c r="N329" s="112"/>
      <c r="O329" s="112"/>
      <c r="P329" s="112"/>
      <c r="Q329" s="112">
        <f t="shared" si="21"/>
        <v>2000</v>
      </c>
    </row>
    <row r="330" spans="1:17" ht="12.75" customHeight="1">
      <c r="A330" s="110"/>
      <c r="B330" s="110"/>
      <c r="C330" s="115" t="s">
        <v>1168</v>
      </c>
      <c r="D330" s="418" t="s">
        <v>1079</v>
      </c>
      <c r="E330" s="102"/>
      <c r="F330" s="90">
        <v>152445</v>
      </c>
      <c r="G330" s="112"/>
      <c r="H330" s="112"/>
      <c r="I330" s="112"/>
      <c r="J330" s="112"/>
      <c r="K330" s="112"/>
      <c r="L330" s="112">
        <f>34000+'[1]táj.2.'!L330</f>
        <v>34000</v>
      </c>
      <c r="M330" s="112"/>
      <c r="N330" s="112"/>
      <c r="O330" s="112"/>
      <c r="P330" s="112"/>
      <c r="Q330" s="112">
        <f t="shared" si="21"/>
        <v>34000</v>
      </c>
    </row>
    <row r="331" spans="1:17" ht="12.75" customHeight="1">
      <c r="A331" s="110"/>
      <c r="B331" s="110"/>
      <c r="C331" s="115" t="s">
        <v>1169</v>
      </c>
      <c r="D331" s="103" t="s">
        <v>1306</v>
      </c>
      <c r="E331" s="102"/>
      <c r="F331" s="90">
        <v>152446</v>
      </c>
      <c r="G331" s="112"/>
      <c r="H331" s="112"/>
      <c r="I331" s="112"/>
      <c r="J331" s="112"/>
      <c r="K331" s="112"/>
      <c r="L331" s="112">
        <f>9348+'[1]táj.2.'!L331</f>
        <v>9348</v>
      </c>
      <c r="M331" s="112"/>
      <c r="N331" s="112"/>
      <c r="O331" s="112"/>
      <c r="P331" s="112"/>
      <c r="Q331" s="112">
        <f t="shared" si="21"/>
        <v>9348</v>
      </c>
    </row>
    <row r="332" spans="1:17" ht="12.75" customHeight="1">
      <c r="A332" s="110"/>
      <c r="B332" s="110"/>
      <c r="C332" s="115" t="s">
        <v>1170</v>
      </c>
      <c r="D332" s="775" t="s">
        <v>1349</v>
      </c>
      <c r="E332" s="102"/>
      <c r="F332" s="90">
        <v>154401</v>
      </c>
      <c r="G332" s="112"/>
      <c r="H332" s="112"/>
      <c r="I332" s="112"/>
      <c r="J332" s="112"/>
      <c r="K332" s="112"/>
      <c r="L332" s="112"/>
      <c r="M332" s="112">
        <f>6000+'[1]táj.2.'!M332</f>
        <v>6000</v>
      </c>
      <c r="N332" s="112"/>
      <c r="O332" s="112"/>
      <c r="P332" s="112"/>
      <c r="Q332" s="112">
        <f t="shared" si="21"/>
        <v>6000</v>
      </c>
    </row>
    <row r="333" spans="1:17" ht="12.75" customHeight="1">
      <c r="A333" s="110"/>
      <c r="B333" s="110"/>
      <c r="C333" s="115" t="s">
        <v>1171</v>
      </c>
      <c r="D333" s="776" t="s">
        <v>1350</v>
      </c>
      <c r="E333" s="102"/>
      <c r="F333" s="90">
        <v>154402</v>
      </c>
      <c r="G333" s="112"/>
      <c r="H333" s="112"/>
      <c r="I333" s="112"/>
      <c r="J333" s="112"/>
      <c r="K333" s="112"/>
      <c r="L333" s="112"/>
      <c r="M333" s="112">
        <f>1000+'[1]táj.2.'!M333</f>
        <v>1000</v>
      </c>
      <c r="N333" s="112"/>
      <c r="O333" s="112"/>
      <c r="P333" s="112"/>
      <c r="Q333" s="112">
        <f t="shared" si="21"/>
        <v>1000</v>
      </c>
    </row>
    <row r="334" spans="1:17" ht="12.75" customHeight="1">
      <c r="A334" s="110"/>
      <c r="B334" s="110"/>
      <c r="C334" s="115" t="s">
        <v>1172</v>
      </c>
      <c r="D334" s="421" t="s">
        <v>1365</v>
      </c>
      <c r="E334" s="102"/>
      <c r="F334" s="90">
        <v>154403</v>
      </c>
      <c r="G334" s="112"/>
      <c r="H334" s="112"/>
      <c r="I334" s="112"/>
      <c r="J334" s="112"/>
      <c r="K334" s="112"/>
      <c r="L334" s="112"/>
      <c r="M334" s="112">
        <f>10000+'[1]táj.2.'!M334</f>
        <v>10000</v>
      </c>
      <c r="N334" s="112"/>
      <c r="O334" s="112"/>
      <c r="P334" s="112"/>
      <c r="Q334" s="112">
        <f t="shared" si="21"/>
        <v>10000</v>
      </c>
    </row>
    <row r="335" spans="1:17" ht="12.75" customHeight="1">
      <c r="A335" s="110"/>
      <c r="B335" s="110"/>
      <c r="C335" s="115" t="s">
        <v>1173</v>
      </c>
      <c r="D335" s="776" t="s">
        <v>1351</v>
      </c>
      <c r="E335" s="102"/>
      <c r="F335" s="90">
        <v>154404</v>
      </c>
      <c r="G335" s="112"/>
      <c r="H335" s="112"/>
      <c r="I335" s="112"/>
      <c r="J335" s="112"/>
      <c r="K335" s="112"/>
      <c r="L335" s="112"/>
      <c r="M335" s="112">
        <f>1000+'[1]táj.2.'!M335</f>
        <v>1000</v>
      </c>
      <c r="N335" s="112"/>
      <c r="O335" s="112"/>
      <c r="P335" s="112"/>
      <c r="Q335" s="112">
        <f t="shared" si="21"/>
        <v>1000</v>
      </c>
    </row>
    <row r="336" spans="1:17" ht="12.75" customHeight="1">
      <c r="A336" s="110"/>
      <c r="B336" s="110"/>
      <c r="C336" s="115" t="s">
        <v>1174</v>
      </c>
      <c r="D336" s="776" t="s">
        <v>1352</v>
      </c>
      <c r="E336" s="102"/>
      <c r="F336" s="90">
        <v>154405</v>
      </c>
      <c r="G336" s="112"/>
      <c r="H336" s="112"/>
      <c r="I336" s="112"/>
      <c r="J336" s="112"/>
      <c r="K336" s="112"/>
      <c r="L336" s="112"/>
      <c r="M336" s="112">
        <f>8000+'[1]táj.2.'!M336</f>
        <v>8000</v>
      </c>
      <c r="N336" s="112"/>
      <c r="O336" s="112"/>
      <c r="P336" s="112"/>
      <c r="Q336" s="112">
        <f t="shared" si="21"/>
        <v>8000</v>
      </c>
    </row>
    <row r="337" spans="1:17" ht="12.75" customHeight="1">
      <c r="A337" s="110"/>
      <c r="B337" s="110"/>
      <c r="C337" s="115" t="s">
        <v>1175</v>
      </c>
      <c r="D337" s="776" t="s">
        <v>1353</v>
      </c>
      <c r="E337" s="102"/>
      <c r="F337" s="90">
        <v>154406</v>
      </c>
      <c r="G337" s="112"/>
      <c r="H337" s="112"/>
      <c r="I337" s="112"/>
      <c r="J337" s="112"/>
      <c r="K337" s="112"/>
      <c r="L337" s="112"/>
      <c r="M337" s="112">
        <f>2000+'[1]táj.2.'!M337</f>
        <v>2000</v>
      </c>
      <c r="N337" s="112"/>
      <c r="O337" s="112"/>
      <c r="P337" s="112"/>
      <c r="Q337" s="112">
        <f t="shared" si="21"/>
        <v>2000</v>
      </c>
    </row>
    <row r="338" spans="1:17" ht="21" customHeight="1">
      <c r="A338" s="110"/>
      <c r="B338" s="110"/>
      <c r="C338" s="115" t="s">
        <v>1189</v>
      </c>
      <c r="D338" s="776" t="s">
        <v>1354</v>
      </c>
      <c r="E338" s="102"/>
      <c r="F338" s="90">
        <v>154407</v>
      </c>
      <c r="G338" s="112"/>
      <c r="H338" s="112"/>
      <c r="I338" s="112"/>
      <c r="J338" s="112"/>
      <c r="K338" s="112"/>
      <c r="L338" s="112"/>
      <c r="M338" s="112">
        <f>2000+'[1]táj.2.'!M338</f>
        <v>2000</v>
      </c>
      <c r="N338" s="112"/>
      <c r="O338" s="112"/>
      <c r="P338" s="112"/>
      <c r="Q338" s="112">
        <f t="shared" si="21"/>
        <v>2000</v>
      </c>
    </row>
    <row r="339" spans="1:17" ht="12.75" customHeight="1">
      <c r="A339" s="110"/>
      <c r="B339" s="110"/>
      <c r="C339" s="115" t="s">
        <v>1190</v>
      </c>
      <c r="D339" s="776" t="s">
        <v>1305</v>
      </c>
      <c r="E339" s="102"/>
      <c r="F339" s="90">
        <v>154408</v>
      </c>
      <c r="G339" s="112"/>
      <c r="H339" s="112"/>
      <c r="I339" s="112"/>
      <c r="J339" s="112"/>
      <c r="K339" s="112"/>
      <c r="L339" s="112"/>
      <c r="M339" s="112">
        <f>2000+'[1]táj.2.'!M339</f>
        <v>2000</v>
      </c>
      <c r="N339" s="112"/>
      <c r="O339" s="112"/>
      <c r="P339" s="112"/>
      <c r="Q339" s="112">
        <f t="shared" si="21"/>
        <v>2000</v>
      </c>
    </row>
    <row r="340" spans="1:17" ht="12.75" customHeight="1">
      <c r="A340" s="110"/>
      <c r="B340" s="110"/>
      <c r="C340" s="115" t="s">
        <v>1191</v>
      </c>
      <c r="D340" s="776" t="s">
        <v>1355</v>
      </c>
      <c r="E340" s="102"/>
      <c r="F340" s="90">
        <v>154409</v>
      </c>
      <c r="G340" s="112"/>
      <c r="H340" s="112"/>
      <c r="I340" s="112"/>
      <c r="J340" s="112"/>
      <c r="K340" s="112"/>
      <c r="L340" s="112"/>
      <c r="M340" s="112">
        <f>3000+'[1]táj.2.'!M340</f>
        <v>3000</v>
      </c>
      <c r="N340" s="112"/>
      <c r="O340" s="112"/>
      <c r="P340" s="112"/>
      <c r="Q340" s="112">
        <f t="shared" si="21"/>
        <v>3000</v>
      </c>
    </row>
    <row r="341" spans="1:17" ht="12.75" customHeight="1">
      <c r="A341" s="110"/>
      <c r="B341" s="110"/>
      <c r="C341" s="115" t="s">
        <v>1192</v>
      </c>
      <c r="D341" s="776" t="s">
        <v>275</v>
      </c>
      <c r="E341" s="102"/>
      <c r="F341" s="90">
        <v>154485</v>
      </c>
      <c r="G341" s="112"/>
      <c r="H341" s="112"/>
      <c r="I341" s="112"/>
      <c r="J341" s="112"/>
      <c r="K341" s="112"/>
      <c r="L341" s="112"/>
      <c r="M341" s="112">
        <f>10000+'[1]táj.2.'!M341</f>
        <v>10000</v>
      </c>
      <c r="N341" s="112"/>
      <c r="O341" s="112"/>
      <c r="P341" s="112"/>
      <c r="Q341" s="112">
        <f t="shared" si="21"/>
        <v>10000</v>
      </c>
    </row>
    <row r="342" spans="1:17" ht="12.75" customHeight="1">
      <c r="A342" s="110"/>
      <c r="B342" s="110"/>
      <c r="C342" s="115" t="s">
        <v>1193</v>
      </c>
      <c r="D342" s="777" t="s">
        <v>887</v>
      </c>
      <c r="E342" s="102"/>
      <c r="F342" s="90">
        <v>154492</v>
      </c>
      <c r="G342" s="112"/>
      <c r="H342" s="112"/>
      <c r="I342" s="112"/>
      <c r="J342" s="112"/>
      <c r="K342" s="112"/>
      <c r="L342" s="112"/>
      <c r="M342" s="112">
        <f>4000+'[1]táj.2.'!M342</f>
        <v>4000</v>
      </c>
      <c r="N342" s="112"/>
      <c r="O342" s="112"/>
      <c r="P342" s="112"/>
      <c r="Q342" s="112">
        <f t="shared" si="21"/>
        <v>4000</v>
      </c>
    </row>
    <row r="343" spans="1:17" ht="12.75" customHeight="1">
      <c r="A343" s="110"/>
      <c r="B343" s="110"/>
      <c r="C343" s="115" t="s">
        <v>1194</v>
      </c>
      <c r="D343" s="418" t="s">
        <v>134</v>
      </c>
      <c r="E343" s="102"/>
      <c r="F343" s="90">
        <v>154410</v>
      </c>
      <c r="G343" s="112"/>
      <c r="H343" s="112"/>
      <c r="I343" s="112"/>
      <c r="J343" s="112"/>
      <c r="K343" s="112"/>
      <c r="L343" s="112"/>
      <c r="M343" s="112">
        <f>1000+'[1]táj.2.'!M343</f>
        <v>1000</v>
      </c>
      <c r="N343" s="112"/>
      <c r="O343" s="112"/>
      <c r="P343" s="112"/>
      <c r="Q343" s="112">
        <f t="shared" si="21"/>
        <v>1000</v>
      </c>
    </row>
    <row r="344" spans="1:17" ht="12.75" customHeight="1">
      <c r="A344" s="110"/>
      <c r="B344" s="110"/>
      <c r="C344" s="115" t="s">
        <v>1195</v>
      </c>
      <c r="D344" s="418" t="s">
        <v>1356</v>
      </c>
      <c r="E344" s="102"/>
      <c r="F344" s="90">
        <v>154411</v>
      </c>
      <c r="G344" s="112"/>
      <c r="H344" s="112"/>
      <c r="I344" s="112"/>
      <c r="J344" s="112"/>
      <c r="K344" s="112"/>
      <c r="L344" s="112"/>
      <c r="M344" s="112">
        <f>5000+'[1]táj.2.'!M344</f>
        <v>5000</v>
      </c>
      <c r="N344" s="112"/>
      <c r="O344" s="112"/>
      <c r="P344" s="112"/>
      <c r="Q344" s="112">
        <f t="shared" si="21"/>
        <v>5000</v>
      </c>
    </row>
    <row r="345" spans="1:17" ht="15.75" customHeight="1">
      <c r="A345" s="110"/>
      <c r="B345" s="110"/>
      <c r="C345" s="115" t="s">
        <v>1196</v>
      </c>
      <c r="D345" s="776" t="s">
        <v>391</v>
      </c>
      <c r="E345" s="102"/>
      <c r="F345" s="90">
        <v>154412</v>
      </c>
      <c r="G345" s="112"/>
      <c r="H345" s="112"/>
      <c r="I345" s="112"/>
      <c r="J345" s="112"/>
      <c r="K345" s="112"/>
      <c r="L345" s="112"/>
      <c r="M345" s="112">
        <f>10000+'[1]táj.2.'!M345</f>
        <v>10000</v>
      </c>
      <c r="N345" s="112"/>
      <c r="O345" s="112"/>
      <c r="P345" s="112"/>
      <c r="Q345" s="112">
        <f t="shared" si="21"/>
        <v>10000</v>
      </c>
    </row>
    <row r="346" spans="1:23" ht="12.75" customHeight="1">
      <c r="A346" s="110"/>
      <c r="B346" s="110"/>
      <c r="C346" s="115" t="s">
        <v>1197</v>
      </c>
      <c r="D346" s="778" t="s">
        <v>593</v>
      </c>
      <c r="E346" s="102"/>
      <c r="F346" s="90">
        <v>154413</v>
      </c>
      <c r="G346" s="112"/>
      <c r="H346" s="112"/>
      <c r="I346" s="112"/>
      <c r="J346" s="112"/>
      <c r="K346" s="112"/>
      <c r="L346" s="112"/>
      <c r="M346" s="112">
        <f>2000+'[1]táj.2.'!M346</f>
        <v>2000</v>
      </c>
      <c r="N346" s="112"/>
      <c r="O346" s="112"/>
      <c r="P346" s="112"/>
      <c r="Q346" s="112">
        <f t="shared" si="21"/>
        <v>2000</v>
      </c>
      <c r="W346" s="112"/>
    </row>
    <row r="347" spans="1:23" ht="12.75" customHeight="1">
      <c r="A347" s="110"/>
      <c r="B347" s="110"/>
      <c r="C347" s="115" t="s">
        <v>1198</v>
      </c>
      <c r="D347" s="778" t="s">
        <v>1357</v>
      </c>
      <c r="E347" s="102"/>
      <c r="F347" s="90">
        <v>154414</v>
      </c>
      <c r="G347" s="112"/>
      <c r="H347" s="112"/>
      <c r="I347" s="112"/>
      <c r="J347" s="112"/>
      <c r="K347" s="112"/>
      <c r="L347" s="112"/>
      <c r="M347" s="112">
        <f>500+'[1]táj.2.'!M347</f>
        <v>500</v>
      </c>
      <c r="N347" s="112"/>
      <c r="O347" s="112"/>
      <c r="P347" s="112"/>
      <c r="Q347" s="112">
        <f t="shared" si="21"/>
        <v>500</v>
      </c>
      <c r="W347" s="112"/>
    </row>
    <row r="348" spans="1:23" ht="12.75" customHeight="1">
      <c r="A348" s="110"/>
      <c r="B348" s="110"/>
      <c r="C348" s="115" t="s">
        <v>1199</v>
      </c>
      <c r="D348" s="778" t="s">
        <v>1358</v>
      </c>
      <c r="E348" s="102"/>
      <c r="F348" s="90">
        <v>154416</v>
      </c>
      <c r="G348" s="112"/>
      <c r="H348" s="112"/>
      <c r="I348" s="112"/>
      <c r="J348" s="112"/>
      <c r="K348" s="112"/>
      <c r="L348" s="112"/>
      <c r="M348" s="112">
        <f>1800+'[1]táj.2.'!M348</f>
        <v>1800</v>
      </c>
      <c r="N348" s="112"/>
      <c r="O348" s="112"/>
      <c r="P348" s="112"/>
      <c r="Q348" s="112">
        <f t="shared" si="21"/>
        <v>1800</v>
      </c>
      <c r="W348" s="112"/>
    </row>
    <row r="349" spans="1:23" ht="12.75" customHeight="1">
      <c r="A349" s="110"/>
      <c r="B349" s="110"/>
      <c r="C349" s="115" t="s">
        <v>1200</v>
      </c>
      <c r="D349" s="778" t="s">
        <v>1359</v>
      </c>
      <c r="E349" s="102"/>
      <c r="F349" s="90">
        <v>154417</v>
      </c>
      <c r="G349" s="112"/>
      <c r="H349" s="112"/>
      <c r="I349" s="112"/>
      <c r="J349" s="112"/>
      <c r="K349" s="112"/>
      <c r="L349" s="112"/>
      <c r="M349" s="112">
        <f>3500+'[1]táj.2.'!M349</f>
        <v>3500</v>
      </c>
      <c r="N349" s="112"/>
      <c r="O349" s="112"/>
      <c r="P349" s="112"/>
      <c r="Q349" s="112">
        <f t="shared" si="21"/>
        <v>3500</v>
      </c>
      <c r="W349" s="112"/>
    </row>
    <row r="350" spans="1:23" ht="21" customHeight="1">
      <c r="A350" s="110"/>
      <c r="B350" s="110"/>
      <c r="C350" s="115" t="s">
        <v>1201</v>
      </c>
      <c r="D350" s="778" t="s">
        <v>1360</v>
      </c>
      <c r="E350" s="102"/>
      <c r="F350" s="90">
        <v>154418</v>
      </c>
      <c r="G350" s="112"/>
      <c r="H350" s="112"/>
      <c r="I350" s="112"/>
      <c r="J350" s="112"/>
      <c r="K350" s="112"/>
      <c r="L350" s="112"/>
      <c r="M350" s="112">
        <f>1500+'[1]táj.2.'!M350</f>
        <v>1500</v>
      </c>
      <c r="N350" s="112"/>
      <c r="O350" s="112"/>
      <c r="P350" s="112"/>
      <c r="Q350" s="112">
        <f t="shared" si="21"/>
        <v>1500</v>
      </c>
      <c r="W350" s="112"/>
    </row>
    <row r="351" spans="1:23" ht="12.75" customHeight="1">
      <c r="A351" s="110"/>
      <c r="B351" s="110"/>
      <c r="C351" s="115" t="s">
        <v>1202</v>
      </c>
      <c r="D351" s="778" t="s">
        <v>1361</v>
      </c>
      <c r="E351" s="102"/>
      <c r="F351" s="90">
        <v>155410</v>
      </c>
      <c r="G351" s="112"/>
      <c r="H351" s="112"/>
      <c r="I351" s="112"/>
      <c r="J351" s="112"/>
      <c r="K351" s="112"/>
      <c r="L351" s="112"/>
      <c r="M351" s="112">
        <f>2000+'[1]táj.2.'!M351</f>
        <v>2000</v>
      </c>
      <c r="N351" s="112"/>
      <c r="O351" s="112"/>
      <c r="P351" s="112"/>
      <c r="Q351" s="112">
        <f t="shared" si="21"/>
        <v>2000</v>
      </c>
      <c r="W351" s="112"/>
    </row>
    <row r="352" spans="1:23" ht="12.75" customHeight="1">
      <c r="A352" s="110"/>
      <c r="B352" s="110"/>
      <c r="C352" s="115" t="s">
        <v>1203</v>
      </c>
      <c r="D352" s="778" t="s">
        <v>1362</v>
      </c>
      <c r="E352" s="102"/>
      <c r="F352" s="90">
        <v>154419</v>
      </c>
      <c r="G352" s="112"/>
      <c r="H352" s="112"/>
      <c r="I352" s="112"/>
      <c r="J352" s="112"/>
      <c r="K352" s="112"/>
      <c r="L352" s="112"/>
      <c r="M352" s="112">
        <f>3000+'[1]táj.2.'!M352</f>
        <v>3000</v>
      </c>
      <c r="N352" s="112"/>
      <c r="O352" s="112"/>
      <c r="P352" s="112"/>
      <c r="Q352" s="112">
        <f t="shared" si="21"/>
        <v>3000</v>
      </c>
      <c r="W352" s="112"/>
    </row>
    <row r="353" spans="1:23" ht="12.75" customHeight="1">
      <c r="A353" s="110"/>
      <c r="B353" s="110"/>
      <c r="C353" s="115" t="s">
        <v>1204</v>
      </c>
      <c r="D353" s="778" t="s">
        <v>1363</v>
      </c>
      <c r="E353" s="102"/>
      <c r="F353" s="712">
        <v>155416</v>
      </c>
      <c r="G353" s="112"/>
      <c r="H353" s="112"/>
      <c r="I353" s="112"/>
      <c r="J353" s="112"/>
      <c r="K353" s="112"/>
      <c r="L353" s="112"/>
      <c r="M353" s="112">
        <f>500+'[1]táj.2.'!M353</f>
        <v>500</v>
      </c>
      <c r="N353" s="112"/>
      <c r="O353" s="112"/>
      <c r="P353" s="112"/>
      <c r="Q353" s="112">
        <f t="shared" si="21"/>
        <v>500</v>
      </c>
      <c r="W353" s="112"/>
    </row>
    <row r="354" spans="1:23" ht="12.75" customHeight="1">
      <c r="A354" s="110"/>
      <c r="B354" s="110"/>
      <c r="C354" s="115" t="s">
        <v>1205</v>
      </c>
      <c r="D354" s="778" t="s">
        <v>1364</v>
      </c>
      <c r="E354" s="102"/>
      <c r="F354" s="90">
        <v>154420</v>
      </c>
      <c r="G354" s="112"/>
      <c r="H354" s="112"/>
      <c r="I354" s="112"/>
      <c r="J354" s="112"/>
      <c r="K354" s="112"/>
      <c r="L354" s="112"/>
      <c r="M354" s="112">
        <f>1500+'[1]táj.2.'!M354</f>
        <v>1500</v>
      </c>
      <c r="N354" s="112"/>
      <c r="O354" s="112"/>
      <c r="P354" s="112"/>
      <c r="Q354" s="112">
        <f t="shared" si="21"/>
        <v>1500</v>
      </c>
      <c r="W354" s="112"/>
    </row>
    <row r="355" spans="1:23" ht="12.75" customHeight="1">
      <c r="A355" s="110"/>
      <c r="B355" s="110"/>
      <c r="C355" s="115" t="s">
        <v>1206</v>
      </c>
      <c r="D355" s="418" t="s">
        <v>1366</v>
      </c>
      <c r="E355" s="102"/>
      <c r="F355" s="712">
        <v>155436</v>
      </c>
      <c r="G355" s="112"/>
      <c r="H355" s="112"/>
      <c r="I355" s="112"/>
      <c r="J355" s="112"/>
      <c r="K355" s="112"/>
      <c r="L355" s="112"/>
      <c r="M355" s="112">
        <f>4000+'[1]táj.2.'!M355</f>
        <v>4000</v>
      </c>
      <c r="N355" s="112"/>
      <c r="O355" s="112"/>
      <c r="P355" s="112"/>
      <c r="Q355" s="112">
        <f t="shared" si="21"/>
        <v>4000</v>
      </c>
      <c r="W355" s="272"/>
    </row>
    <row r="356" spans="1:23" ht="21.75" customHeight="1">
      <c r="A356" s="110"/>
      <c r="B356" s="110"/>
      <c r="C356" s="115" t="s">
        <v>1207</v>
      </c>
      <c r="D356" s="776" t="s">
        <v>1367</v>
      </c>
      <c r="E356" s="102"/>
      <c r="F356" s="90">
        <v>154421</v>
      </c>
      <c r="G356" s="112"/>
      <c r="H356" s="112"/>
      <c r="I356" s="112"/>
      <c r="J356" s="112"/>
      <c r="K356" s="112"/>
      <c r="L356" s="112"/>
      <c r="M356" s="112">
        <f>5000+'[1]táj.2.'!M356</f>
        <v>5000</v>
      </c>
      <c r="N356" s="112"/>
      <c r="O356" s="112"/>
      <c r="P356" s="112"/>
      <c r="Q356" s="112">
        <f t="shared" si="21"/>
        <v>5000</v>
      </c>
      <c r="W356" s="272"/>
    </row>
    <row r="357" spans="1:23" ht="12.75" customHeight="1">
      <c r="A357" s="110"/>
      <c r="B357" s="110"/>
      <c r="C357" s="115" t="s">
        <v>1208</v>
      </c>
      <c r="D357" s="776" t="s">
        <v>1368</v>
      </c>
      <c r="E357" s="102"/>
      <c r="F357" s="90">
        <v>154476</v>
      </c>
      <c r="G357" s="112"/>
      <c r="H357" s="112"/>
      <c r="I357" s="112"/>
      <c r="J357" s="112"/>
      <c r="K357" s="112"/>
      <c r="L357" s="112"/>
      <c r="M357" s="112">
        <f>4000+'[1]táj.2.'!M357</f>
        <v>4000</v>
      </c>
      <c r="N357" s="112"/>
      <c r="O357" s="112"/>
      <c r="P357" s="112"/>
      <c r="Q357" s="112">
        <f t="shared" si="21"/>
        <v>4000</v>
      </c>
      <c r="W357" s="272"/>
    </row>
    <row r="358" spans="1:23" ht="21.75" customHeight="1">
      <c r="A358" s="110"/>
      <c r="B358" s="110"/>
      <c r="C358" s="115" t="s">
        <v>1209</v>
      </c>
      <c r="D358" s="778" t="s">
        <v>1369</v>
      </c>
      <c r="E358" s="102"/>
      <c r="F358" s="90">
        <v>154422</v>
      </c>
      <c r="G358" s="112"/>
      <c r="H358" s="112"/>
      <c r="I358" s="112"/>
      <c r="J358" s="112"/>
      <c r="K358" s="112"/>
      <c r="L358" s="112"/>
      <c r="M358" s="112">
        <f>5000+'[1]táj.2.'!M358</f>
        <v>5000</v>
      </c>
      <c r="N358" s="112"/>
      <c r="O358" s="112"/>
      <c r="P358" s="112"/>
      <c r="Q358" s="112">
        <f t="shared" si="21"/>
        <v>5000</v>
      </c>
      <c r="W358" s="272"/>
    </row>
    <row r="359" spans="1:23" ht="12.75" customHeight="1">
      <c r="A359" s="110"/>
      <c r="B359" s="110"/>
      <c r="C359" s="115" t="s">
        <v>1210</v>
      </c>
      <c r="D359" s="778" t="s">
        <v>1370</v>
      </c>
      <c r="E359" s="102"/>
      <c r="F359" s="90">
        <v>155420</v>
      </c>
      <c r="G359" s="112"/>
      <c r="H359" s="112"/>
      <c r="I359" s="112"/>
      <c r="J359" s="112"/>
      <c r="K359" s="112"/>
      <c r="L359" s="112"/>
      <c r="M359" s="112">
        <f>2000+'[1]táj.2.'!M359</f>
        <v>2000</v>
      </c>
      <c r="N359" s="112"/>
      <c r="O359" s="112"/>
      <c r="P359" s="112"/>
      <c r="Q359" s="112">
        <f t="shared" si="21"/>
        <v>2000</v>
      </c>
      <c r="W359" s="272"/>
    </row>
    <row r="360" spans="1:23" ht="12.75" customHeight="1">
      <c r="A360" s="110"/>
      <c r="B360" s="110"/>
      <c r="C360" s="115" t="s">
        <v>1211</v>
      </c>
      <c r="D360" s="778" t="s">
        <v>1371</v>
      </c>
      <c r="E360" s="102"/>
      <c r="F360" s="90">
        <v>155428</v>
      </c>
      <c r="G360" s="112"/>
      <c r="H360" s="112"/>
      <c r="I360" s="112"/>
      <c r="J360" s="112"/>
      <c r="K360" s="112"/>
      <c r="L360" s="112"/>
      <c r="M360" s="112">
        <f>2000+'[1]táj.2.'!M360</f>
        <v>2000</v>
      </c>
      <c r="N360" s="112"/>
      <c r="O360" s="112"/>
      <c r="P360" s="112"/>
      <c r="Q360" s="112">
        <f t="shared" si="21"/>
        <v>2000</v>
      </c>
      <c r="W360" s="272"/>
    </row>
    <row r="361" spans="1:23" ht="21" customHeight="1">
      <c r="A361" s="110"/>
      <c r="B361" s="110"/>
      <c r="C361" s="115" t="s">
        <v>1212</v>
      </c>
      <c r="D361" s="778" t="s">
        <v>1372</v>
      </c>
      <c r="E361" s="102"/>
      <c r="F361" s="90">
        <v>155432</v>
      </c>
      <c r="G361" s="112"/>
      <c r="H361" s="112"/>
      <c r="I361" s="112"/>
      <c r="J361" s="112"/>
      <c r="K361" s="112"/>
      <c r="L361" s="112"/>
      <c r="M361" s="112">
        <f>4000+'[1]táj.2.'!M361</f>
        <v>4000</v>
      </c>
      <c r="N361" s="112"/>
      <c r="O361" s="112"/>
      <c r="P361" s="112"/>
      <c r="Q361" s="112">
        <f t="shared" si="21"/>
        <v>4000</v>
      </c>
      <c r="W361" s="272"/>
    </row>
    <row r="362" spans="1:23" ht="12.75" customHeight="1">
      <c r="A362" s="110"/>
      <c r="B362" s="110"/>
      <c r="C362" s="115" t="s">
        <v>1213</v>
      </c>
      <c r="D362" s="778" t="s">
        <v>1373</v>
      </c>
      <c r="E362" s="102"/>
      <c r="F362" s="90">
        <v>155435</v>
      </c>
      <c r="G362" s="112"/>
      <c r="H362" s="112"/>
      <c r="I362" s="112"/>
      <c r="J362" s="112"/>
      <c r="K362" s="112"/>
      <c r="L362" s="112"/>
      <c r="M362" s="112">
        <f>1400+'[1]táj.2.'!M362</f>
        <v>1400</v>
      </c>
      <c r="N362" s="112"/>
      <c r="O362" s="112"/>
      <c r="P362" s="112"/>
      <c r="Q362" s="112">
        <f t="shared" si="21"/>
        <v>1400</v>
      </c>
      <c r="W362" s="272"/>
    </row>
    <row r="363" spans="1:23" ht="20.25" customHeight="1">
      <c r="A363" s="110"/>
      <c r="B363" s="110"/>
      <c r="C363" s="115" t="s">
        <v>1214</v>
      </c>
      <c r="D363" s="778" t="s">
        <v>1374</v>
      </c>
      <c r="E363" s="102"/>
      <c r="F363" s="90">
        <v>154423</v>
      </c>
      <c r="G363" s="112"/>
      <c r="H363" s="112"/>
      <c r="I363" s="112"/>
      <c r="J363" s="112"/>
      <c r="K363" s="112"/>
      <c r="L363" s="112"/>
      <c r="M363" s="112">
        <f>1500+'[1]táj.2.'!M363</f>
        <v>1500</v>
      </c>
      <c r="N363" s="112"/>
      <c r="O363" s="112"/>
      <c r="P363" s="112"/>
      <c r="Q363" s="112">
        <f t="shared" si="21"/>
        <v>1500</v>
      </c>
      <c r="W363" s="272"/>
    </row>
    <row r="364" spans="1:23" ht="12.75" customHeight="1">
      <c r="A364" s="110"/>
      <c r="B364" s="110"/>
      <c r="C364" s="115" t="s">
        <v>1215</v>
      </c>
      <c r="D364" s="778" t="s">
        <v>1375</v>
      </c>
      <c r="E364" s="102"/>
      <c r="F364" s="90">
        <v>154424</v>
      </c>
      <c r="G364" s="112"/>
      <c r="H364" s="112"/>
      <c r="I364" s="112"/>
      <c r="J364" s="112"/>
      <c r="K364" s="112"/>
      <c r="L364" s="112"/>
      <c r="M364" s="112">
        <f>4000+'[1]táj.2.'!M364</f>
        <v>4000</v>
      </c>
      <c r="N364" s="112"/>
      <c r="O364" s="112"/>
      <c r="P364" s="112"/>
      <c r="Q364" s="112">
        <f t="shared" si="21"/>
        <v>4000</v>
      </c>
      <c r="W364" s="272"/>
    </row>
    <row r="365" spans="1:23" ht="21" customHeight="1">
      <c r="A365" s="110"/>
      <c r="B365" s="110"/>
      <c r="C365" s="115" t="s">
        <v>745</v>
      </c>
      <c r="D365" s="778" t="s">
        <v>1234</v>
      </c>
      <c r="E365" s="102"/>
      <c r="F365" s="90">
        <v>154425</v>
      </c>
      <c r="G365" s="112"/>
      <c r="H365" s="112"/>
      <c r="I365" s="112"/>
      <c r="J365" s="112"/>
      <c r="K365" s="112"/>
      <c r="L365" s="112"/>
      <c r="M365" s="112">
        <f>1500+'[1]táj.2.'!M365</f>
        <v>1500</v>
      </c>
      <c r="N365" s="112"/>
      <c r="O365" s="112"/>
      <c r="P365" s="112"/>
      <c r="Q365" s="112">
        <f t="shared" si="21"/>
        <v>1500</v>
      </c>
      <c r="W365" s="272"/>
    </row>
    <row r="366" spans="1:23" ht="12.75" customHeight="1">
      <c r="A366" s="110"/>
      <c r="B366" s="110"/>
      <c r="C366" s="115" t="s">
        <v>746</v>
      </c>
      <c r="D366" s="778" t="s">
        <v>1235</v>
      </c>
      <c r="E366" s="102"/>
      <c r="F366" s="90">
        <v>154426</v>
      </c>
      <c r="G366" s="112"/>
      <c r="H366" s="112"/>
      <c r="I366" s="112"/>
      <c r="J366" s="112"/>
      <c r="K366" s="112"/>
      <c r="L366" s="112"/>
      <c r="M366" s="112">
        <f>1000+'[1]táj.2.'!M366</f>
        <v>1000</v>
      </c>
      <c r="N366" s="112"/>
      <c r="O366" s="112"/>
      <c r="P366" s="112"/>
      <c r="Q366" s="112">
        <f t="shared" si="21"/>
        <v>1000</v>
      </c>
      <c r="W366" s="272"/>
    </row>
    <row r="367" spans="1:23" ht="12.75" customHeight="1">
      <c r="A367" s="110"/>
      <c r="B367" s="110"/>
      <c r="C367" s="115" t="s">
        <v>747</v>
      </c>
      <c r="D367" s="778" t="s">
        <v>1376</v>
      </c>
      <c r="E367" s="102"/>
      <c r="F367" s="90">
        <v>154427</v>
      </c>
      <c r="G367" s="112"/>
      <c r="H367" s="112"/>
      <c r="I367" s="112"/>
      <c r="J367" s="112"/>
      <c r="K367" s="112"/>
      <c r="L367" s="112"/>
      <c r="M367" s="112">
        <f>1500+'[1]táj.2.'!M367</f>
        <v>1500</v>
      </c>
      <c r="N367" s="112"/>
      <c r="O367" s="112"/>
      <c r="P367" s="112"/>
      <c r="Q367" s="112">
        <f t="shared" si="21"/>
        <v>1500</v>
      </c>
      <c r="W367" s="272"/>
    </row>
    <row r="368" spans="1:23" ht="12.75" customHeight="1">
      <c r="A368" s="110"/>
      <c r="B368" s="110"/>
      <c r="C368" s="115" t="s">
        <v>748</v>
      </c>
      <c r="D368" s="778" t="s">
        <v>1377</v>
      </c>
      <c r="E368" s="102"/>
      <c r="F368" s="90">
        <v>154428</v>
      </c>
      <c r="G368" s="112"/>
      <c r="H368" s="112"/>
      <c r="I368" s="112"/>
      <c r="J368" s="112"/>
      <c r="K368" s="112"/>
      <c r="L368" s="112"/>
      <c r="M368" s="112">
        <f>500+'[1]táj.2.'!M368</f>
        <v>500</v>
      </c>
      <c r="N368" s="112"/>
      <c r="O368" s="112"/>
      <c r="P368" s="112"/>
      <c r="Q368" s="112">
        <f t="shared" si="21"/>
        <v>500</v>
      </c>
      <c r="W368" s="272"/>
    </row>
    <row r="369" spans="1:17" ht="12.75" customHeight="1">
      <c r="A369" s="110"/>
      <c r="B369" s="110"/>
      <c r="C369" s="110"/>
      <c r="D369" s="14" t="s">
        <v>72</v>
      </c>
      <c r="E369" s="102"/>
      <c r="F369" s="749"/>
      <c r="G369" s="112"/>
      <c r="H369" s="111"/>
      <c r="I369" s="111"/>
      <c r="J369" s="111"/>
      <c r="K369" s="111"/>
      <c r="L369" s="112"/>
      <c r="M369" s="112"/>
      <c r="N369" s="112"/>
      <c r="O369" s="111"/>
      <c r="P369" s="111"/>
      <c r="Q369" s="112"/>
    </row>
    <row r="370" spans="1:17" ht="17.25" customHeight="1">
      <c r="A370" s="110"/>
      <c r="B370" s="110"/>
      <c r="C370" s="115" t="s">
        <v>850</v>
      </c>
      <c r="D370" s="238" t="s">
        <v>834</v>
      </c>
      <c r="E370" s="102"/>
      <c r="F370" s="712">
        <v>152406</v>
      </c>
      <c r="G370" s="112"/>
      <c r="H370" s="112"/>
      <c r="I370" s="112"/>
      <c r="J370" s="112"/>
      <c r="K370" s="112"/>
      <c r="L370" s="112">
        <f>5001+'[1]táj.2.'!L370</f>
        <v>5001</v>
      </c>
      <c r="M370" s="112"/>
      <c r="N370" s="112"/>
      <c r="O370" s="112"/>
      <c r="P370" s="112"/>
      <c r="Q370" s="112">
        <f aca="true" t="shared" si="22" ref="Q370:Q384">SUM(G370:P370)</f>
        <v>5001</v>
      </c>
    </row>
    <row r="371" spans="1:17" ht="25.5" customHeight="1">
      <c r="A371" s="110"/>
      <c r="B371" s="110"/>
      <c r="C371" s="115" t="s">
        <v>851</v>
      </c>
      <c r="D371" s="238" t="s">
        <v>885</v>
      </c>
      <c r="E371" s="102"/>
      <c r="F371" s="712">
        <v>152405</v>
      </c>
      <c r="G371" s="112"/>
      <c r="H371" s="112"/>
      <c r="I371" s="112"/>
      <c r="J371" s="112"/>
      <c r="K371" s="112"/>
      <c r="L371" s="112">
        <f>16376+'[1]táj.2.'!L371</f>
        <v>16376</v>
      </c>
      <c r="M371" s="112"/>
      <c r="N371" s="112"/>
      <c r="O371" s="112"/>
      <c r="P371" s="112"/>
      <c r="Q371" s="112">
        <f t="shared" si="22"/>
        <v>16376</v>
      </c>
    </row>
    <row r="372" spans="1:17" ht="12.75" customHeight="1">
      <c r="A372" s="110"/>
      <c r="B372" s="110"/>
      <c r="C372" s="115" t="s">
        <v>852</v>
      </c>
      <c r="D372" s="103" t="s">
        <v>82</v>
      </c>
      <c r="E372" s="102"/>
      <c r="F372" s="712">
        <v>152442</v>
      </c>
      <c r="G372" s="112"/>
      <c r="H372" s="112"/>
      <c r="I372" s="112"/>
      <c r="J372" s="112"/>
      <c r="K372" s="112"/>
      <c r="L372" s="112">
        <f>1000+'[1]táj.2.'!L372</f>
        <v>1000</v>
      </c>
      <c r="M372" s="112"/>
      <c r="N372" s="112"/>
      <c r="O372" s="112"/>
      <c r="P372" s="112"/>
      <c r="Q372" s="112">
        <f t="shared" si="22"/>
        <v>1000</v>
      </c>
    </row>
    <row r="373" spans="1:17" ht="12.75" customHeight="1">
      <c r="A373" s="110"/>
      <c r="B373" s="110"/>
      <c r="C373" s="115" t="s">
        <v>276</v>
      </c>
      <c r="D373" s="103" t="s">
        <v>83</v>
      </c>
      <c r="E373" s="102"/>
      <c r="F373" s="712">
        <v>152401</v>
      </c>
      <c r="G373" s="112"/>
      <c r="H373" s="112"/>
      <c r="I373" s="112"/>
      <c r="J373" s="112"/>
      <c r="K373" s="112"/>
      <c r="L373" s="112">
        <f>5507+'[1]táj.2.'!L373</f>
        <v>5507</v>
      </c>
      <c r="M373" s="112"/>
      <c r="N373" s="112"/>
      <c r="O373" s="112"/>
      <c r="P373" s="112"/>
      <c r="Q373" s="112">
        <f t="shared" si="22"/>
        <v>5507</v>
      </c>
    </row>
    <row r="374" spans="1:17" ht="12.75" customHeight="1">
      <c r="A374" s="110"/>
      <c r="B374" s="110"/>
      <c r="C374" s="115" t="s">
        <v>277</v>
      </c>
      <c r="D374" s="103" t="s">
        <v>495</v>
      </c>
      <c r="E374" s="102"/>
      <c r="F374" s="712">
        <v>152431</v>
      </c>
      <c r="G374" s="112"/>
      <c r="H374" s="112"/>
      <c r="I374" s="112"/>
      <c r="J374" s="112"/>
      <c r="K374" s="112"/>
      <c r="L374" s="112">
        <f>1570+'[1]táj.2.'!L374</f>
        <v>1570</v>
      </c>
      <c r="M374" s="112"/>
      <c r="N374" s="112"/>
      <c r="O374" s="112"/>
      <c r="P374" s="112"/>
      <c r="Q374" s="112">
        <f t="shared" si="22"/>
        <v>1570</v>
      </c>
    </row>
    <row r="375" spans="1:17" ht="12.75" customHeight="1">
      <c r="A375" s="110"/>
      <c r="B375" s="110"/>
      <c r="C375" s="115" t="s">
        <v>278</v>
      </c>
      <c r="D375" s="103" t="s">
        <v>836</v>
      </c>
      <c r="E375" s="102"/>
      <c r="F375" s="712">
        <v>154463</v>
      </c>
      <c r="G375" s="112"/>
      <c r="H375" s="112"/>
      <c r="I375" s="112"/>
      <c r="J375" s="112"/>
      <c r="K375" s="112"/>
      <c r="L375" s="112"/>
      <c r="M375" s="112">
        <f>18061+'[1]táj.2.'!M375</f>
        <v>18061</v>
      </c>
      <c r="N375" s="112"/>
      <c r="O375" s="112"/>
      <c r="P375" s="112"/>
      <c r="Q375" s="112">
        <f t="shared" si="22"/>
        <v>18061</v>
      </c>
    </row>
    <row r="376" spans="1:17" ht="12.75" customHeight="1">
      <c r="A376" s="110"/>
      <c r="B376" s="110"/>
      <c r="C376" s="115" t="s">
        <v>279</v>
      </c>
      <c r="D376" s="103" t="s">
        <v>886</v>
      </c>
      <c r="E376" s="102"/>
      <c r="F376" s="712">
        <v>154482</v>
      </c>
      <c r="G376" s="112"/>
      <c r="H376" s="112"/>
      <c r="I376" s="112"/>
      <c r="J376" s="112"/>
      <c r="K376" s="112"/>
      <c r="L376" s="112"/>
      <c r="M376" s="112">
        <f>18967+'[1]táj.2.'!M376</f>
        <v>18967</v>
      </c>
      <c r="N376" s="112"/>
      <c r="O376" s="112"/>
      <c r="P376" s="112"/>
      <c r="Q376" s="112">
        <f t="shared" si="22"/>
        <v>18967</v>
      </c>
    </row>
    <row r="377" spans="1:17" ht="12.75" customHeight="1">
      <c r="A377" s="110"/>
      <c r="B377" s="110"/>
      <c r="C377" s="115" t="s">
        <v>86</v>
      </c>
      <c r="D377" s="103" t="s">
        <v>833</v>
      </c>
      <c r="E377" s="102"/>
      <c r="F377" s="712">
        <v>154420</v>
      </c>
      <c r="G377" s="112"/>
      <c r="H377" s="112"/>
      <c r="I377" s="112"/>
      <c r="J377" s="112"/>
      <c r="K377" s="112"/>
      <c r="L377" s="112"/>
      <c r="M377" s="112">
        <f>3998+'[1]táj.2.'!M377</f>
        <v>3998</v>
      </c>
      <c r="N377" s="112"/>
      <c r="O377" s="112"/>
      <c r="P377" s="112"/>
      <c r="Q377" s="112">
        <f t="shared" si="22"/>
        <v>3998</v>
      </c>
    </row>
    <row r="378" spans="1:17" ht="12.75" customHeight="1">
      <c r="A378" s="110"/>
      <c r="B378" s="110"/>
      <c r="C378" s="115" t="s">
        <v>87</v>
      </c>
      <c r="D378" s="103" t="s">
        <v>888</v>
      </c>
      <c r="E378" s="102"/>
      <c r="F378" s="712">
        <v>155423</v>
      </c>
      <c r="G378" s="112"/>
      <c r="H378" s="112"/>
      <c r="I378" s="112"/>
      <c r="J378" s="112"/>
      <c r="K378" s="112"/>
      <c r="L378" s="112"/>
      <c r="M378" s="112">
        <f>6702+'[1]táj.2.'!M378</f>
        <v>6702</v>
      </c>
      <c r="N378" s="112"/>
      <c r="O378" s="112"/>
      <c r="P378" s="112"/>
      <c r="Q378" s="112">
        <f t="shared" si="22"/>
        <v>6702</v>
      </c>
    </row>
    <row r="379" spans="1:17" ht="12.75" customHeight="1">
      <c r="A379" s="110"/>
      <c r="B379" s="110"/>
      <c r="C379" s="115" t="s">
        <v>88</v>
      </c>
      <c r="D379" s="103" t="s">
        <v>889</v>
      </c>
      <c r="E379" s="102"/>
      <c r="F379" s="712">
        <v>155425</v>
      </c>
      <c r="G379" s="112"/>
      <c r="H379" s="112"/>
      <c r="I379" s="112"/>
      <c r="J379" s="112"/>
      <c r="K379" s="112"/>
      <c r="L379" s="112"/>
      <c r="M379" s="112">
        <f>3114+'[1]táj.2.'!M379</f>
        <v>3114</v>
      </c>
      <c r="N379" s="112"/>
      <c r="O379" s="112"/>
      <c r="P379" s="112"/>
      <c r="Q379" s="112">
        <f t="shared" si="22"/>
        <v>3114</v>
      </c>
    </row>
    <row r="380" spans="1:17" ht="23.25" customHeight="1">
      <c r="A380" s="110"/>
      <c r="B380" s="110"/>
      <c r="C380" s="115" t="s">
        <v>89</v>
      </c>
      <c r="D380" s="779" t="s">
        <v>464</v>
      </c>
      <c r="E380" s="102"/>
      <c r="F380" s="712">
        <v>155431</v>
      </c>
      <c r="G380" s="112"/>
      <c r="H380" s="112"/>
      <c r="I380" s="112"/>
      <c r="J380" s="112"/>
      <c r="K380" s="112"/>
      <c r="L380" s="112"/>
      <c r="M380" s="112">
        <f>2188+'[1]táj.2.'!M380</f>
        <v>2188</v>
      </c>
      <c r="N380" s="112"/>
      <c r="O380" s="112"/>
      <c r="P380" s="112"/>
      <c r="Q380" s="112">
        <f t="shared" si="22"/>
        <v>2188</v>
      </c>
    </row>
    <row r="381" spans="1:17" ht="25.5" customHeight="1">
      <c r="A381" s="110"/>
      <c r="B381" s="110"/>
      <c r="C381" s="115" t="s">
        <v>90</v>
      </c>
      <c r="D381" s="239" t="s">
        <v>1236</v>
      </c>
      <c r="E381" s="102"/>
      <c r="F381" s="712">
        <v>155432</v>
      </c>
      <c r="G381" s="112"/>
      <c r="H381" s="112"/>
      <c r="I381" s="112"/>
      <c r="J381" s="112"/>
      <c r="K381" s="112"/>
      <c r="L381" s="112"/>
      <c r="M381" s="112">
        <f>1969+'[1]táj.2.'!M381</f>
        <v>1969</v>
      </c>
      <c r="N381" s="112"/>
      <c r="O381" s="112"/>
      <c r="P381" s="112"/>
      <c r="Q381" s="112">
        <f t="shared" si="22"/>
        <v>1969</v>
      </c>
    </row>
    <row r="382" spans="1:17" ht="12.75" customHeight="1">
      <c r="A382" s="110"/>
      <c r="B382" s="110"/>
      <c r="C382" s="115" t="s">
        <v>749</v>
      </c>
      <c r="D382" s="240" t="s">
        <v>465</v>
      </c>
      <c r="E382" s="102"/>
      <c r="F382" s="712">
        <v>155433</v>
      </c>
      <c r="G382" s="112"/>
      <c r="H382" s="112"/>
      <c r="I382" s="112"/>
      <c r="J382" s="112"/>
      <c r="K382" s="112"/>
      <c r="L382" s="112"/>
      <c r="M382" s="112">
        <f>7725+'[1]táj.2.'!M382</f>
        <v>7725</v>
      </c>
      <c r="N382" s="112"/>
      <c r="O382" s="112"/>
      <c r="P382" s="112"/>
      <c r="Q382" s="112">
        <f t="shared" si="22"/>
        <v>7725</v>
      </c>
    </row>
    <row r="383" spans="1:17" ht="12.75" customHeight="1">
      <c r="A383" s="110"/>
      <c r="B383" s="110"/>
      <c r="C383" s="115" t="s">
        <v>750</v>
      </c>
      <c r="D383" s="103" t="s">
        <v>1237</v>
      </c>
      <c r="E383" s="102"/>
      <c r="F383" s="712">
        <v>154500</v>
      </c>
      <c r="G383" s="112"/>
      <c r="H383" s="112"/>
      <c r="I383" s="112"/>
      <c r="J383" s="112"/>
      <c r="K383" s="112"/>
      <c r="L383" s="112"/>
      <c r="M383" s="112">
        <f>1500+'[1]táj.2.'!M383</f>
        <v>1500</v>
      </c>
      <c r="N383" s="112"/>
      <c r="O383" s="112"/>
      <c r="P383" s="112"/>
      <c r="Q383" s="112">
        <f t="shared" si="22"/>
        <v>1500</v>
      </c>
    </row>
    <row r="384" spans="1:17" ht="27" customHeight="1">
      <c r="A384" s="110"/>
      <c r="B384" s="110"/>
      <c r="C384" s="115" t="s">
        <v>751</v>
      </c>
      <c r="D384" s="181" t="s">
        <v>885</v>
      </c>
      <c r="E384" s="102"/>
      <c r="F384" s="712">
        <v>152405</v>
      </c>
      <c r="G384" s="112"/>
      <c r="H384" s="112"/>
      <c r="I384" s="112"/>
      <c r="J384" s="112"/>
      <c r="K384" s="112"/>
      <c r="L384" s="112"/>
      <c r="M384" s="112">
        <f>2413+'[1]táj.2.'!M384</f>
        <v>2413</v>
      </c>
      <c r="N384" s="112"/>
      <c r="O384" s="112"/>
      <c r="P384" s="112"/>
      <c r="Q384" s="112">
        <f t="shared" si="22"/>
        <v>2413</v>
      </c>
    </row>
    <row r="385" spans="1:17" ht="12.75" customHeight="1">
      <c r="A385" s="110"/>
      <c r="B385" s="110"/>
      <c r="C385" s="110" t="s">
        <v>1010</v>
      </c>
      <c r="D385" s="768" t="s">
        <v>379</v>
      </c>
      <c r="E385" s="102"/>
      <c r="F385" s="749"/>
      <c r="G385" s="112"/>
      <c r="H385" s="111"/>
      <c r="I385" s="111"/>
      <c r="J385" s="111"/>
      <c r="K385" s="111"/>
      <c r="L385" s="112"/>
      <c r="M385" s="112"/>
      <c r="N385" s="112"/>
      <c r="O385" s="111"/>
      <c r="P385" s="111"/>
      <c r="Q385" s="112"/>
    </row>
    <row r="386" spans="1:17" ht="12.75" customHeight="1">
      <c r="A386" s="110"/>
      <c r="B386" s="110"/>
      <c r="C386" s="115" t="s">
        <v>1007</v>
      </c>
      <c r="D386" s="14" t="s">
        <v>1029</v>
      </c>
      <c r="E386" s="102"/>
      <c r="F386" s="90">
        <v>152908</v>
      </c>
      <c r="G386" s="112"/>
      <c r="H386" s="112"/>
      <c r="I386" s="112"/>
      <c r="J386" s="112"/>
      <c r="K386" s="112"/>
      <c r="L386" s="112">
        <f>9000+'[1]táj.2.'!L386</f>
        <v>9000</v>
      </c>
      <c r="M386" s="112"/>
      <c r="N386" s="112"/>
      <c r="O386" s="112"/>
      <c r="P386" s="112"/>
      <c r="Q386" s="112">
        <f aca="true" t="shared" si="23" ref="Q386:Q400">SUM(G386:P386)</f>
        <v>9000</v>
      </c>
    </row>
    <row r="387" spans="1:23" ht="12.75" customHeight="1">
      <c r="A387" s="110"/>
      <c r="B387" s="110"/>
      <c r="C387" s="115" t="s">
        <v>371</v>
      </c>
      <c r="D387" s="418" t="s">
        <v>1378</v>
      </c>
      <c r="E387" s="102"/>
      <c r="F387" s="712">
        <v>162921</v>
      </c>
      <c r="G387" s="112"/>
      <c r="H387" s="112"/>
      <c r="I387" s="112"/>
      <c r="J387" s="112"/>
      <c r="K387" s="112"/>
      <c r="L387" s="112">
        <f>1000+'[1]táj.2.'!L387</f>
        <v>1000</v>
      </c>
      <c r="M387" s="112"/>
      <c r="N387" s="112"/>
      <c r="O387" s="112"/>
      <c r="P387" s="112"/>
      <c r="Q387" s="112">
        <f t="shared" si="23"/>
        <v>1000</v>
      </c>
      <c r="W387" s="112"/>
    </row>
    <row r="388" spans="1:23" ht="12.75" customHeight="1">
      <c r="A388" s="110"/>
      <c r="B388" s="110"/>
      <c r="C388" s="115" t="s">
        <v>1183</v>
      </c>
      <c r="D388" s="418" t="s">
        <v>1379</v>
      </c>
      <c r="E388" s="102"/>
      <c r="F388" s="90">
        <v>152924</v>
      </c>
      <c r="G388" s="112"/>
      <c r="H388" s="112"/>
      <c r="I388" s="112"/>
      <c r="J388" s="112"/>
      <c r="K388" s="112"/>
      <c r="L388" s="112">
        <f>1000+'[1]táj.2.'!L388</f>
        <v>1000</v>
      </c>
      <c r="M388" s="112"/>
      <c r="N388" s="112"/>
      <c r="O388" s="112"/>
      <c r="P388" s="112"/>
      <c r="Q388" s="112">
        <f t="shared" si="23"/>
        <v>1000</v>
      </c>
      <c r="W388" s="112"/>
    </row>
    <row r="389" spans="1:23" ht="12.75" customHeight="1">
      <c r="A389" s="110"/>
      <c r="B389" s="110"/>
      <c r="C389" s="115" t="s">
        <v>372</v>
      </c>
      <c r="D389" s="418" t="s">
        <v>1388</v>
      </c>
      <c r="E389" s="102"/>
      <c r="F389" s="90">
        <v>152925</v>
      </c>
      <c r="G389" s="112"/>
      <c r="H389" s="112"/>
      <c r="I389" s="112"/>
      <c r="J389" s="112"/>
      <c r="K389" s="112"/>
      <c r="L389" s="112"/>
      <c r="M389" s="112"/>
      <c r="N389" s="112">
        <f>0+'[1]táj.2.'!N389</f>
        <v>1000</v>
      </c>
      <c r="O389" s="112"/>
      <c r="P389" s="112"/>
      <c r="Q389" s="112">
        <f t="shared" si="23"/>
        <v>1000</v>
      </c>
      <c r="W389" s="112"/>
    </row>
    <row r="390" spans="1:23" ht="12.75" customHeight="1">
      <c r="A390" s="110"/>
      <c r="B390" s="110"/>
      <c r="C390" s="115" t="s">
        <v>1031</v>
      </c>
      <c r="D390" s="418" t="s">
        <v>1389</v>
      </c>
      <c r="E390" s="102"/>
      <c r="F390" s="90">
        <v>152926</v>
      </c>
      <c r="G390" s="112"/>
      <c r="H390" s="112"/>
      <c r="I390" s="112"/>
      <c r="J390" s="112"/>
      <c r="K390" s="112"/>
      <c r="L390" s="112">
        <f>1000+'[1]táj.2.'!L390</f>
        <v>1000</v>
      </c>
      <c r="M390" s="112"/>
      <c r="N390" s="112"/>
      <c r="O390" s="112"/>
      <c r="P390" s="112"/>
      <c r="Q390" s="112">
        <f t="shared" si="23"/>
        <v>1000</v>
      </c>
      <c r="W390" s="112"/>
    </row>
    <row r="391" spans="1:23" ht="12.75" customHeight="1">
      <c r="A391" s="110"/>
      <c r="B391" s="110"/>
      <c r="C391" s="115" t="s">
        <v>1032</v>
      </c>
      <c r="D391" s="418" t="s">
        <v>594</v>
      </c>
      <c r="E391" s="102"/>
      <c r="F391" s="90">
        <v>152505</v>
      </c>
      <c r="G391" s="112"/>
      <c r="H391" s="112"/>
      <c r="I391" s="112"/>
      <c r="J391" s="112"/>
      <c r="K391" s="112"/>
      <c r="L391" s="112">
        <f>400+'[1]táj.2.'!L391</f>
        <v>400</v>
      </c>
      <c r="M391" s="112"/>
      <c r="N391" s="112"/>
      <c r="O391" s="112"/>
      <c r="P391" s="112"/>
      <c r="Q391" s="112">
        <f t="shared" si="23"/>
        <v>400</v>
      </c>
      <c r="W391" s="112"/>
    </row>
    <row r="392" spans="1:23" ht="12.75" customHeight="1">
      <c r="A392" s="110"/>
      <c r="B392" s="110"/>
      <c r="C392" s="115" t="s">
        <v>1184</v>
      </c>
      <c r="D392" s="418" t="s">
        <v>130</v>
      </c>
      <c r="E392" s="102"/>
      <c r="F392" s="90">
        <v>152909</v>
      </c>
      <c r="G392" s="112"/>
      <c r="H392" s="112"/>
      <c r="I392" s="112"/>
      <c r="J392" s="112"/>
      <c r="K392" s="112"/>
      <c r="L392" s="112">
        <f>1000+'[1]táj.2.'!L392</f>
        <v>1000</v>
      </c>
      <c r="M392" s="112"/>
      <c r="N392" s="112"/>
      <c r="O392" s="112"/>
      <c r="P392" s="112"/>
      <c r="Q392" s="112">
        <f t="shared" si="23"/>
        <v>1000</v>
      </c>
      <c r="W392" s="112"/>
    </row>
    <row r="393" spans="1:23" ht="12.75" customHeight="1">
      <c r="A393" s="110"/>
      <c r="B393" s="110"/>
      <c r="C393" s="115" t="s">
        <v>1185</v>
      </c>
      <c r="D393" s="418" t="s">
        <v>1390</v>
      </c>
      <c r="E393" s="102"/>
      <c r="F393" s="90">
        <v>152927</v>
      </c>
      <c r="G393" s="112"/>
      <c r="H393" s="112"/>
      <c r="I393" s="112"/>
      <c r="J393" s="112"/>
      <c r="K393" s="112"/>
      <c r="L393" s="112">
        <f>500+'[1]táj.2.'!L393</f>
        <v>500</v>
      </c>
      <c r="M393" s="112"/>
      <c r="N393" s="112"/>
      <c r="O393" s="112"/>
      <c r="P393" s="112"/>
      <c r="Q393" s="112">
        <f t="shared" si="23"/>
        <v>500</v>
      </c>
      <c r="W393" s="112"/>
    </row>
    <row r="394" spans="1:23" ht="27.75" customHeight="1">
      <c r="A394" s="110"/>
      <c r="B394" s="110"/>
      <c r="C394" s="115" t="s">
        <v>1186</v>
      </c>
      <c r="D394" s="418" t="s">
        <v>1391</v>
      </c>
      <c r="E394" s="102"/>
      <c r="F394" s="90">
        <v>152502</v>
      </c>
      <c r="G394" s="112"/>
      <c r="H394" s="112"/>
      <c r="I394" s="112"/>
      <c r="J394" s="112"/>
      <c r="K394" s="112"/>
      <c r="L394" s="112">
        <f>500+'[1]táj.2.'!L394</f>
        <v>500</v>
      </c>
      <c r="M394" s="112"/>
      <c r="N394" s="112"/>
      <c r="O394" s="112"/>
      <c r="P394" s="112"/>
      <c r="Q394" s="112">
        <f t="shared" si="23"/>
        <v>500</v>
      </c>
      <c r="W394" s="112"/>
    </row>
    <row r="395" spans="1:23" ht="26.25" customHeight="1">
      <c r="A395" s="110"/>
      <c r="B395" s="110"/>
      <c r="C395" s="115" t="s">
        <v>1187</v>
      </c>
      <c r="D395" s="780" t="s">
        <v>1392</v>
      </c>
      <c r="E395" s="102"/>
      <c r="F395" s="90">
        <v>152503</v>
      </c>
      <c r="G395" s="112"/>
      <c r="H395" s="112"/>
      <c r="I395" s="112"/>
      <c r="J395" s="112"/>
      <c r="K395" s="112"/>
      <c r="L395" s="112">
        <f>500+'[1]táj.2.'!L395</f>
        <v>500</v>
      </c>
      <c r="M395" s="112"/>
      <c r="N395" s="112"/>
      <c r="O395" s="112"/>
      <c r="P395" s="112"/>
      <c r="Q395" s="112">
        <f t="shared" si="23"/>
        <v>500</v>
      </c>
      <c r="W395" s="112"/>
    </row>
    <row r="396" spans="1:17" ht="18" customHeight="1">
      <c r="A396" s="110"/>
      <c r="B396" s="110"/>
      <c r="C396" s="115" t="s">
        <v>1188</v>
      </c>
      <c r="D396" s="448" t="s">
        <v>1394</v>
      </c>
      <c r="E396" s="102"/>
      <c r="F396" s="712">
        <v>154504</v>
      </c>
      <c r="G396" s="112"/>
      <c r="H396" s="112"/>
      <c r="I396" s="112"/>
      <c r="J396" s="112"/>
      <c r="K396" s="112"/>
      <c r="L396" s="112"/>
      <c r="M396" s="112">
        <f>3000+'[1]táj.2.'!M396</f>
        <v>3000</v>
      </c>
      <c r="N396" s="112"/>
      <c r="O396" s="112"/>
      <c r="P396" s="112"/>
      <c r="Q396" s="112">
        <f t="shared" si="23"/>
        <v>3000</v>
      </c>
    </row>
    <row r="397" spans="1:17" ht="15.75" customHeight="1">
      <c r="A397" s="110"/>
      <c r="B397" s="110"/>
      <c r="C397" s="115" t="s">
        <v>752</v>
      </c>
      <c r="D397" s="447" t="s">
        <v>1395</v>
      </c>
      <c r="E397" s="102"/>
      <c r="F397" s="712">
        <v>154511</v>
      </c>
      <c r="G397" s="112"/>
      <c r="H397" s="112"/>
      <c r="I397" s="112"/>
      <c r="J397" s="112"/>
      <c r="K397" s="112"/>
      <c r="L397" s="112"/>
      <c r="M397" s="112">
        <f>3000+'[1]táj.2.'!M397</f>
        <v>3000</v>
      </c>
      <c r="N397" s="112"/>
      <c r="O397" s="112"/>
      <c r="P397" s="112"/>
      <c r="Q397" s="112">
        <f t="shared" si="23"/>
        <v>3000</v>
      </c>
    </row>
    <row r="398" spans="1:17" ht="16.5" customHeight="1">
      <c r="A398" s="110"/>
      <c r="B398" s="110"/>
      <c r="C398" s="115" t="s">
        <v>753</v>
      </c>
      <c r="D398" s="776" t="s">
        <v>1396</v>
      </c>
      <c r="E398" s="102"/>
      <c r="F398" s="90">
        <v>154901</v>
      </c>
      <c r="G398" s="112"/>
      <c r="H398" s="112"/>
      <c r="I398" s="112"/>
      <c r="J398" s="112"/>
      <c r="K398" s="112"/>
      <c r="L398" s="112"/>
      <c r="M398" s="112">
        <f>1500+'[1]táj.2.'!M398</f>
        <v>1500</v>
      </c>
      <c r="N398" s="112"/>
      <c r="O398" s="112"/>
      <c r="P398" s="112"/>
      <c r="Q398" s="112">
        <f t="shared" si="23"/>
        <v>1500</v>
      </c>
    </row>
    <row r="399" spans="1:17" ht="17.25" customHeight="1">
      <c r="A399" s="110"/>
      <c r="B399" s="110"/>
      <c r="C399" s="115" t="s">
        <v>754</v>
      </c>
      <c r="D399" s="418" t="s">
        <v>1397</v>
      </c>
      <c r="E399" s="102"/>
      <c r="F399" s="712">
        <v>152523</v>
      </c>
      <c r="G399" s="112"/>
      <c r="H399" s="112"/>
      <c r="I399" s="112"/>
      <c r="J399" s="112"/>
      <c r="K399" s="112"/>
      <c r="L399" s="112"/>
      <c r="M399" s="112">
        <f>600+'[1]táj.2.'!M399</f>
        <v>600</v>
      </c>
      <c r="N399" s="112"/>
      <c r="O399" s="112"/>
      <c r="P399" s="112"/>
      <c r="Q399" s="112">
        <f t="shared" si="23"/>
        <v>600</v>
      </c>
    </row>
    <row r="400" spans="1:17" ht="20.25" customHeight="1">
      <c r="A400" s="110"/>
      <c r="B400" s="110"/>
      <c r="C400" s="115" t="s">
        <v>755</v>
      </c>
      <c r="D400" s="418" t="s">
        <v>1398</v>
      </c>
      <c r="E400" s="102"/>
      <c r="F400" s="712">
        <v>154505</v>
      </c>
      <c r="G400" s="112"/>
      <c r="H400" s="112"/>
      <c r="I400" s="112"/>
      <c r="J400" s="112"/>
      <c r="K400" s="112"/>
      <c r="L400" s="112"/>
      <c r="M400" s="112">
        <f>1000+'[1]táj.2.'!M400</f>
        <v>500</v>
      </c>
      <c r="N400" s="112"/>
      <c r="O400" s="112"/>
      <c r="P400" s="112"/>
      <c r="Q400" s="112">
        <f t="shared" si="23"/>
        <v>500</v>
      </c>
    </row>
    <row r="401" spans="1:17" ht="12.75" customHeight="1">
      <c r="A401" s="110"/>
      <c r="B401" s="110"/>
      <c r="C401" s="110"/>
      <c r="D401" s="14" t="s">
        <v>72</v>
      </c>
      <c r="E401" s="102"/>
      <c r="F401" s="749"/>
      <c r="G401" s="112"/>
      <c r="H401" s="111"/>
      <c r="I401" s="111"/>
      <c r="J401" s="111"/>
      <c r="K401" s="111"/>
      <c r="L401" s="112"/>
      <c r="M401" s="112"/>
      <c r="N401" s="112"/>
      <c r="O401" s="111"/>
      <c r="P401" s="111"/>
      <c r="Q401" s="112"/>
    </row>
    <row r="402" spans="1:17" ht="12.75" customHeight="1">
      <c r="A402" s="110"/>
      <c r="B402" s="110"/>
      <c r="C402" s="115" t="s">
        <v>492</v>
      </c>
      <c r="D402" s="224" t="s">
        <v>924</v>
      </c>
      <c r="E402" s="102"/>
      <c r="F402" s="712">
        <v>152504</v>
      </c>
      <c r="G402" s="112"/>
      <c r="H402" s="112"/>
      <c r="I402" s="112"/>
      <c r="J402" s="112"/>
      <c r="K402" s="112"/>
      <c r="L402" s="112">
        <f>494+'[1]táj.2.'!L402</f>
        <v>494</v>
      </c>
      <c r="M402" s="112"/>
      <c r="N402" s="112"/>
      <c r="O402" s="112"/>
      <c r="P402" s="112"/>
      <c r="Q402" s="112">
        <f aca="true" t="shared" si="24" ref="Q402:Q412">SUM(G402:P402)</f>
        <v>494</v>
      </c>
    </row>
    <row r="403" spans="1:17" ht="25.5" customHeight="1">
      <c r="A403" s="110"/>
      <c r="B403" s="110"/>
      <c r="C403" s="115" t="s">
        <v>497</v>
      </c>
      <c r="D403" s="162" t="s">
        <v>926</v>
      </c>
      <c r="E403" s="102"/>
      <c r="F403" s="712">
        <v>152524</v>
      </c>
      <c r="G403" s="112"/>
      <c r="H403" s="112"/>
      <c r="I403" s="112"/>
      <c r="J403" s="112"/>
      <c r="K403" s="112"/>
      <c r="L403" s="112">
        <f>1000+'[1]táj.2.'!L403</f>
        <v>1000</v>
      </c>
      <c r="M403" s="112"/>
      <c r="N403" s="112"/>
      <c r="O403" s="112"/>
      <c r="P403" s="112"/>
      <c r="Q403" s="112">
        <f t="shared" si="24"/>
        <v>1000</v>
      </c>
    </row>
    <row r="404" spans="1:17" ht="12.75" customHeight="1">
      <c r="A404" s="110"/>
      <c r="B404" s="110"/>
      <c r="C404" s="115" t="s">
        <v>498</v>
      </c>
      <c r="D404" s="103" t="s">
        <v>1005</v>
      </c>
      <c r="E404" s="102"/>
      <c r="F404" s="712">
        <v>152529</v>
      </c>
      <c r="G404" s="112"/>
      <c r="H404" s="112"/>
      <c r="I404" s="112"/>
      <c r="J404" s="112"/>
      <c r="K404" s="112"/>
      <c r="L404" s="112">
        <f>2947+'[1]táj.2.'!L404</f>
        <v>2947</v>
      </c>
      <c r="M404" s="112"/>
      <c r="N404" s="112"/>
      <c r="O404" s="112"/>
      <c r="P404" s="112"/>
      <c r="Q404" s="112">
        <f t="shared" si="24"/>
        <v>2947</v>
      </c>
    </row>
    <row r="405" spans="1:17" ht="25.5" customHeight="1">
      <c r="A405" s="110"/>
      <c r="B405" s="110"/>
      <c r="C405" s="115" t="s">
        <v>838</v>
      </c>
      <c r="D405" s="765" t="s">
        <v>1027</v>
      </c>
      <c r="E405" s="102"/>
      <c r="F405" s="712">
        <v>152531</v>
      </c>
      <c r="G405" s="112"/>
      <c r="H405" s="112"/>
      <c r="I405" s="112"/>
      <c r="J405" s="112"/>
      <c r="K405" s="112"/>
      <c r="L405" s="112">
        <f>345+'[1]táj.2.'!L405</f>
        <v>345</v>
      </c>
      <c r="M405" s="112"/>
      <c r="N405" s="112"/>
      <c r="O405" s="112"/>
      <c r="P405" s="112"/>
      <c r="Q405" s="112">
        <f t="shared" si="24"/>
        <v>345</v>
      </c>
    </row>
    <row r="406" spans="1:17" ht="24.75" customHeight="1">
      <c r="A406" s="110"/>
      <c r="B406" s="110"/>
      <c r="C406" s="115" t="s">
        <v>839</v>
      </c>
      <c r="D406" s="766" t="s">
        <v>1028</v>
      </c>
      <c r="E406" s="102"/>
      <c r="F406" s="712">
        <v>152532</v>
      </c>
      <c r="G406" s="112"/>
      <c r="H406" s="112"/>
      <c r="I406" s="112"/>
      <c r="J406" s="112"/>
      <c r="K406" s="112"/>
      <c r="L406" s="112">
        <f>3000+'[1]táj.2.'!L406</f>
        <v>3000</v>
      </c>
      <c r="M406" s="112"/>
      <c r="N406" s="112"/>
      <c r="O406" s="112"/>
      <c r="P406" s="112"/>
      <c r="Q406" s="112">
        <f t="shared" si="24"/>
        <v>3000</v>
      </c>
    </row>
    <row r="407" spans="1:17" ht="24.75" customHeight="1">
      <c r="A407" s="110"/>
      <c r="B407" s="110"/>
      <c r="C407" s="115" t="s">
        <v>84</v>
      </c>
      <c r="D407" s="181" t="s">
        <v>1030</v>
      </c>
      <c r="E407" s="102"/>
      <c r="F407" s="712">
        <v>152534</v>
      </c>
      <c r="G407" s="112"/>
      <c r="H407" s="112"/>
      <c r="I407" s="112"/>
      <c r="J407" s="112"/>
      <c r="K407" s="112"/>
      <c r="L407" s="112">
        <f>500+'[1]táj.2.'!L407</f>
        <v>500</v>
      </c>
      <c r="M407" s="112"/>
      <c r="N407" s="112"/>
      <c r="O407" s="112"/>
      <c r="P407" s="112"/>
      <c r="Q407" s="112">
        <f t="shared" si="24"/>
        <v>500</v>
      </c>
    </row>
    <row r="408" spans="1:17" ht="24.75" customHeight="1">
      <c r="A408" s="110"/>
      <c r="B408" s="110"/>
      <c r="C408" s="115" t="s">
        <v>756</v>
      </c>
      <c r="D408" s="781" t="s">
        <v>1275</v>
      </c>
      <c r="E408" s="102"/>
      <c r="F408" s="712">
        <v>152908</v>
      </c>
      <c r="G408" s="112"/>
      <c r="H408" s="112"/>
      <c r="I408" s="112"/>
      <c r="J408" s="112"/>
      <c r="K408" s="112"/>
      <c r="L408" s="112"/>
      <c r="M408" s="112">
        <f>2880+'[1]táj.2.'!M408</f>
        <v>2880</v>
      </c>
      <c r="N408" s="112"/>
      <c r="O408" s="112"/>
      <c r="P408" s="112"/>
      <c r="Q408" s="112">
        <f t="shared" si="24"/>
        <v>2880</v>
      </c>
    </row>
    <row r="409" spans="1:17" ht="15.75" customHeight="1">
      <c r="A409" s="110"/>
      <c r="B409" s="110"/>
      <c r="C409" s="115" t="s">
        <v>757</v>
      </c>
      <c r="D409" s="183" t="s">
        <v>830</v>
      </c>
      <c r="E409" s="102"/>
      <c r="F409" s="712">
        <v>154503</v>
      </c>
      <c r="G409" s="112"/>
      <c r="H409" s="112"/>
      <c r="I409" s="112"/>
      <c r="J409" s="112"/>
      <c r="K409" s="112">
        <f>0+'[1]táj.2.'!K409</f>
        <v>1000</v>
      </c>
      <c r="L409" s="112"/>
      <c r="M409" s="112"/>
      <c r="N409" s="112"/>
      <c r="O409" s="112"/>
      <c r="P409" s="112"/>
      <c r="Q409" s="112">
        <f t="shared" si="24"/>
        <v>1000</v>
      </c>
    </row>
    <row r="410" spans="1:17" ht="14.25" customHeight="1">
      <c r="A410" s="110"/>
      <c r="B410" s="110"/>
      <c r="C410" s="115" t="s">
        <v>758</v>
      </c>
      <c r="D410" s="764" t="s">
        <v>1232</v>
      </c>
      <c r="E410" s="102"/>
      <c r="F410" s="712">
        <v>154508</v>
      </c>
      <c r="G410" s="112"/>
      <c r="H410" s="112"/>
      <c r="I410" s="112"/>
      <c r="J410" s="112"/>
      <c r="K410" s="112"/>
      <c r="L410" s="112"/>
      <c r="M410" s="112">
        <f>500+'[1]táj.2.'!M410</f>
        <v>500</v>
      </c>
      <c r="N410" s="112"/>
      <c r="O410" s="112"/>
      <c r="P410" s="112"/>
      <c r="Q410" s="112">
        <f t="shared" si="24"/>
        <v>500</v>
      </c>
    </row>
    <row r="411" spans="1:17" ht="14.25" customHeight="1">
      <c r="A411" s="110"/>
      <c r="B411" s="110"/>
      <c r="C411" s="115" t="s">
        <v>392</v>
      </c>
      <c r="D411" s="782" t="s">
        <v>919</v>
      </c>
      <c r="E411" s="102"/>
      <c r="F411" s="712">
        <v>152501</v>
      </c>
      <c r="G411" s="112"/>
      <c r="H411" s="112"/>
      <c r="I411" s="112"/>
      <c r="J411" s="112"/>
      <c r="K411" s="112"/>
      <c r="L411" s="112">
        <f>198+'[1]táj.2.'!L411</f>
        <v>198</v>
      </c>
      <c r="M411" s="112"/>
      <c r="N411" s="112"/>
      <c r="O411" s="112"/>
      <c r="P411" s="112"/>
      <c r="Q411" s="15">
        <f t="shared" si="24"/>
        <v>198</v>
      </c>
    </row>
    <row r="412" spans="1:17" ht="14.25" customHeight="1">
      <c r="A412" s="110"/>
      <c r="B412" s="110"/>
      <c r="C412" s="115" t="s">
        <v>393</v>
      </c>
      <c r="D412" s="783" t="s">
        <v>324</v>
      </c>
      <c r="E412" s="102"/>
      <c r="F412" s="712">
        <v>162514</v>
      </c>
      <c r="G412" s="112"/>
      <c r="H412" s="112"/>
      <c r="I412" s="112"/>
      <c r="J412" s="112"/>
      <c r="K412" s="112"/>
      <c r="L412" s="112">
        <f>6000+'[1]táj.2.'!L412</f>
        <v>6000</v>
      </c>
      <c r="M412" s="112"/>
      <c r="N412" s="112"/>
      <c r="O412" s="112"/>
      <c r="P412" s="112"/>
      <c r="Q412" s="15">
        <f t="shared" si="24"/>
        <v>6000</v>
      </c>
    </row>
    <row r="413" spans="1:17" ht="16.5" customHeight="1">
      <c r="A413" s="110"/>
      <c r="B413" s="110"/>
      <c r="C413" s="249" t="s">
        <v>108</v>
      </c>
      <c r="D413" s="784" t="s">
        <v>1014</v>
      </c>
      <c r="E413" s="102"/>
      <c r="F413" s="749"/>
      <c r="G413" s="112"/>
      <c r="H413" s="111"/>
      <c r="I413" s="111"/>
      <c r="J413" s="111"/>
      <c r="K413" s="111"/>
      <c r="L413" s="112"/>
      <c r="M413" s="112"/>
      <c r="N413" s="112"/>
      <c r="O413" s="111"/>
      <c r="P413" s="111"/>
      <c r="Q413" s="112"/>
    </row>
    <row r="414" spans="1:17" ht="24.75" customHeight="1">
      <c r="A414" s="110"/>
      <c r="B414" s="110"/>
      <c r="C414" s="115" t="s">
        <v>1393</v>
      </c>
      <c r="D414" s="776" t="s">
        <v>481</v>
      </c>
      <c r="E414" s="102"/>
      <c r="F414" s="712">
        <v>152915</v>
      </c>
      <c r="G414" s="112"/>
      <c r="H414" s="112"/>
      <c r="I414" s="112"/>
      <c r="J414" s="112"/>
      <c r="K414" s="112"/>
      <c r="L414" s="112">
        <f>2000+'[1]táj.2.'!L414</f>
        <v>2000</v>
      </c>
      <c r="M414" s="112"/>
      <c r="N414" s="112"/>
      <c r="O414" s="112"/>
      <c r="P414" s="112"/>
      <c r="Q414" s="112">
        <f>SUM(L414:P414)</f>
        <v>2000</v>
      </c>
    </row>
    <row r="415" spans="1:17" ht="12.75" customHeight="1">
      <c r="A415" s="110"/>
      <c r="B415" s="110"/>
      <c r="C415" s="110" t="s">
        <v>1015</v>
      </c>
      <c r="D415" s="768" t="s">
        <v>1016</v>
      </c>
      <c r="E415" s="102"/>
      <c r="F415" s="749"/>
      <c r="G415" s="112"/>
      <c r="H415" s="111"/>
      <c r="I415" s="111"/>
      <c r="J415" s="111"/>
      <c r="K415" s="111"/>
      <c r="L415" s="112"/>
      <c r="M415" s="112"/>
      <c r="N415" s="112"/>
      <c r="O415" s="111"/>
      <c r="P415" s="111"/>
      <c r="Q415" s="112"/>
    </row>
    <row r="416" spans="1:17" ht="12.75" customHeight="1">
      <c r="A416" s="110"/>
      <c r="B416" s="110"/>
      <c r="C416" s="110" t="s">
        <v>595</v>
      </c>
      <c r="D416" s="103" t="s">
        <v>596</v>
      </c>
      <c r="E416" s="102"/>
      <c r="F416" s="715">
        <v>154811</v>
      </c>
      <c r="G416" s="112"/>
      <c r="H416" s="111"/>
      <c r="I416" s="111"/>
      <c r="J416" s="111"/>
      <c r="K416" s="111"/>
      <c r="L416" s="112"/>
      <c r="M416" s="112"/>
      <c r="N416" s="112">
        <f>'[1]táj.2.'!N416</f>
        <v>1000</v>
      </c>
      <c r="O416" s="111"/>
      <c r="P416" s="111"/>
      <c r="Q416" s="112">
        <f>SUM(L416:P416)</f>
        <v>1000</v>
      </c>
    </row>
    <row r="417" spans="1:17" ht="12.75" customHeight="1">
      <c r="A417" s="110"/>
      <c r="B417" s="110"/>
      <c r="C417" s="110"/>
      <c r="D417" s="14" t="s">
        <v>72</v>
      </c>
      <c r="E417" s="102"/>
      <c r="F417" s="749"/>
      <c r="G417" s="112"/>
      <c r="H417" s="111"/>
      <c r="I417" s="111"/>
      <c r="J417" s="111"/>
      <c r="K417" s="111"/>
      <c r="L417" s="112"/>
      <c r="M417" s="112"/>
      <c r="N417" s="112"/>
      <c r="O417" s="111"/>
      <c r="P417" s="111"/>
      <c r="Q417" s="112"/>
    </row>
    <row r="418" spans="1:17" ht="12.75" customHeight="1">
      <c r="A418" s="110"/>
      <c r="B418" s="110"/>
      <c r="C418" s="115" t="s">
        <v>1273</v>
      </c>
      <c r="D418" s="103" t="s">
        <v>925</v>
      </c>
      <c r="E418" s="102"/>
      <c r="F418" s="712">
        <v>152801</v>
      </c>
      <c r="G418" s="112"/>
      <c r="H418" s="112"/>
      <c r="I418" s="112"/>
      <c r="J418" s="112"/>
      <c r="K418" s="112"/>
      <c r="L418" s="112">
        <f>8560+'[1]táj.2.'!L418</f>
        <v>8560</v>
      </c>
      <c r="M418" s="112"/>
      <c r="N418" s="112"/>
      <c r="O418" s="112"/>
      <c r="P418" s="112"/>
      <c r="Q418" s="112">
        <f aca="true" t="shared" si="25" ref="Q418:Q423">SUM(G418:P418)</f>
        <v>8560</v>
      </c>
    </row>
    <row r="419" spans="1:17" ht="25.5" customHeight="1">
      <c r="A419" s="110"/>
      <c r="B419" s="110"/>
      <c r="C419" s="115" t="s">
        <v>91</v>
      </c>
      <c r="D419" s="785" t="s">
        <v>1033</v>
      </c>
      <c r="E419" s="102"/>
      <c r="F419" s="712">
        <v>154805</v>
      </c>
      <c r="G419" s="112"/>
      <c r="H419" s="112"/>
      <c r="I419" s="112"/>
      <c r="J419" s="112"/>
      <c r="K419" s="112"/>
      <c r="L419" s="112"/>
      <c r="M419" s="112">
        <f>1000+'[1]táj.2.'!M419</f>
        <v>1000</v>
      </c>
      <c r="N419" s="112"/>
      <c r="O419" s="112"/>
      <c r="P419" s="112"/>
      <c r="Q419" s="112">
        <f t="shared" si="25"/>
        <v>1000</v>
      </c>
    </row>
    <row r="420" spans="1:17" ht="12.75" customHeight="1">
      <c r="A420" s="110"/>
      <c r="B420" s="110"/>
      <c r="C420" s="115" t="s">
        <v>92</v>
      </c>
      <c r="D420" s="785" t="s">
        <v>1034</v>
      </c>
      <c r="E420" s="102"/>
      <c r="F420" s="712">
        <v>154806</v>
      </c>
      <c r="G420" s="112"/>
      <c r="H420" s="112"/>
      <c r="I420" s="112"/>
      <c r="J420" s="112"/>
      <c r="K420" s="112"/>
      <c r="L420" s="112"/>
      <c r="M420" s="112">
        <f>3000+'[1]táj.2.'!M420</f>
        <v>3000</v>
      </c>
      <c r="N420" s="112"/>
      <c r="O420" s="112"/>
      <c r="P420" s="112"/>
      <c r="Q420" s="112">
        <f t="shared" si="25"/>
        <v>3000</v>
      </c>
    </row>
    <row r="421" spans="1:17" ht="12.75" customHeight="1">
      <c r="A421" s="110"/>
      <c r="B421" s="110"/>
      <c r="C421" s="115" t="s">
        <v>93</v>
      </c>
      <c r="D421" s="785" t="s">
        <v>1035</v>
      </c>
      <c r="E421" s="102"/>
      <c r="F421" s="712">
        <v>154807</v>
      </c>
      <c r="G421" s="112"/>
      <c r="H421" s="112"/>
      <c r="I421" s="112"/>
      <c r="J421" s="112"/>
      <c r="K421" s="112"/>
      <c r="L421" s="112"/>
      <c r="M421" s="112">
        <f>4000+'[1]táj.2.'!M421</f>
        <v>4000</v>
      </c>
      <c r="N421" s="112"/>
      <c r="O421" s="112"/>
      <c r="P421" s="112"/>
      <c r="Q421" s="112">
        <f t="shared" si="25"/>
        <v>4000</v>
      </c>
    </row>
    <row r="422" spans="1:17" ht="12.75" customHeight="1">
      <c r="A422" s="110"/>
      <c r="B422" s="110"/>
      <c r="C422" s="115" t="s">
        <v>759</v>
      </c>
      <c r="D422" s="785" t="s">
        <v>1233</v>
      </c>
      <c r="E422" s="102"/>
      <c r="F422" s="90">
        <v>154809</v>
      </c>
      <c r="G422" s="112"/>
      <c r="H422" s="112"/>
      <c r="I422" s="112"/>
      <c r="J422" s="112"/>
      <c r="K422" s="112"/>
      <c r="L422" s="112"/>
      <c r="M422" s="112">
        <f>1557+'[1]táj.2.'!M422</f>
        <v>1557</v>
      </c>
      <c r="N422" s="112"/>
      <c r="O422" s="112"/>
      <c r="P422" s="112"/>
      <c r="Q422" s="112">
        <f t="shared" si="25"/>
        <v>1557</v>
      </c>
    </row>
    <row r="423" spans="1:17" ht="24.75" customHeight="1">
      <c r="A423" s="110"/>
      <c r="B423" s="110"/>
      <c r="C423" s="115" t="s">
        <v>397</v>
      </c>
      <c r="D423" s="786" t="s">
        <v>832</v>
      </c>
      <c r="E423" s="102"/>
      <c r="F423" s="90">
        <v>152805</v>
      </c>
      <c r="G423" s="112"/>
      <c r="H423" s="112"/>
      <c r="I423" s="112"/>
      <c r="J423" s="112"/>
      <c r="K423" s="112"/>
      <c r="L423" s="112">
        <f>3098+'[1]táj.2.'!L423</f>
        <v>3098</v>
      </c>
      <c r="M423" s="112"/>
      <c r="N423" s="112"/>
      <c r="O423" s="112"/>
      <c r="P423" s="112"/>
      <c r="Q423" s="15">
        <f t="shared" si="25"/>
        <v>3098</v>
      </c>
    </row>
    <row r="424" spans="1:17" ht="12.75" customHeight="1">
      <c r="A424" s="110"/>
      <c r="B424" s="110"/>
      <c r="C424" s="110" t="s">
        <v>1017</v>
      </c>
      <c r="D424" s="768" t="s">
        <v>1019</v>
      </c>
      <c r="E424" s="102"/>
      <c r="F424" s="712"/>
      <c r="G424" s="112"/>
      <c r="H424" s="111"/>
      <c r="I424" s="111"/>
      <c r="J424" s="111"/>
      <c r="K424" s="111"/>
      <c r="L424" s="112"/>
      <c r="M424" s="112"/>
      <c r="N424" s="112"/>
      <c r="O424" s="111"/>
      <c r="P424" s="111"/>
      <c r="Q424" s="112"/>
    </row>
    <row r="425" spans="1:17" ht="12.75" customHeight="1">
      <c r="A425" s="110"/>
      <c r="B425" s="110"/>
      <c r="C425" s="115" t="s">
        <v>1018</v>
      </c>
      <c r="D425" s="418" t="s">
        <v>131</v>
      </c>
      <c r="E425" s="102"/>
      <c r="F425" s="90">
        <v>152928</v>
      </c>
      <c r="G425" s="112"/>
      <c r="H425" s="112"/>
      <c r="I425" s="112"/>
      <c r="J425" s="112"/>
      <c r="K425" s="112"/>
      <c r="L425" s="112"/>
      <c r="M425" s="112"/>
      <c r="N425" s="112">
        <f>1000+'[1]táj.2.'!N425</f>
        <v>1000</v>
      </c>
      <c r="O425" s="112"/>
      <c r="P425" s="112"/>
      <c r="Q425" s="112">
        <f>SUM(G425:P425)</f>
        <v>1000</v>
      </c>
    </row>
    <row r="426" spans="1:17" ht="12.75" customHeight="1">
      <c r="A426" s="110"/>
      <c r="B426" s="110"/>
      <c r="C426" s="110"/>
      <c r="D426" s="103" t="s">
        <v>72</v>
      </c>
      <c r="E426" s="102"/>
      <c r="F426" s="712"/>
      <c r="G426" s="112"/>
      <c r="H426" s="111"/>
      <c r="I426" s="111"/>
      <c r="J426" s="111"/>
      <c r="K426" s="111"/>
      <c r="L426" s="112"/>
      <c r="M426" s="112"/>
      <c r="N426" s="112"/>
      <c r="O426" s="111"/>
      <c r="P426" s="111"/>
      <c r="Q426" s="112"/>
    </row>
    <row r="427" spans="1:17" ht="12.75" customHeight="1">
      <c r="A427" s="110"/>
      <c r="B427" s="110"/>
      <c r="C427" s="115" t="s">
        <v>853</v>
      </c>
      <c r="D427" s="103" t="s">
        <v>840</v>
      </c>
      <c r="E427" s="102"/>
      <c r="F427" s="712">
        <v>155418</v>
      </c>
      <c r="G427" s="112"/>
      <c r="H427" s="112"/>
      <c r="I427" s="112"/>
      <c r="J427" s="112"/>
      <c r="K427" s="112"/>
      <c r="L427" s="112">
        <f>2000+'[1]táj.2.'!L427</f>
        <v>2000</v>
      </c>
      <c r="M427" s="112"/>
      <c r="N427" s="112"/>
      <c r="O427" s="112"/>
      <c r="P427" s="112"/>
      <c r="Q427" s="112">
        <f>SUM(G427:P427)</f>
        <v>2000</v>
      </c>
    </row>
    <row r="428" spans="1:17" ht="12.75" customHeight="1">
      <c r="A428" s="110"/>
      <c r="B428" s="110"/>
      <c r="C428" s="115" t="s">
        <v>1276</v>
      </c>
      <c r="D428" s="787" t="s">
        <v>94</v>
      </c>
      <c r="E428" s="102"/>
      <c r="F428" s="712">
        <v>154912</v>
      </c>
      <c r="G428" s="112"/>
      <c r="H428" s="112"/>
      <c r="I428" s="112"/>
      <c r="J428" s="112"/>
      <c r="K428" s="112"/>
      <c r="L428" s="112"/>
      <c r="M428" s="112"/>
      <c r="N428" s="112">
        <f>4000+'[1]táj.2.'!N428</f>
        <v>4000</v>
      </c>
      <c r="O428" s="112"/>
      <c r="P428" s="112"/>
      <c r="Q428" s="112">
        <f>SUM(G428:P428)</f>
        <v>4000</v>
      </c>
    </row>
    <row r="429" spans="1:17" ht="38.25" customHeight="1">
      <c r="A429" s="110"/>
      <c r="B429" s="110"/>
      <c r="C429" s="115" t="s">
        <v>496</v>
      </c>
      <c r="D429" s="747" t="s">
        <v>260</v>
      </c>
      <c r="E429" s="102"/>
      <c r="F429" s="712">
        <v>174903</v>
      </c>
      <c r="G429" s="112"/>
      <c r="H429" s="112"/>
      <c r="I429" s="112"/>
      <c r="J429" s="112"/>
      <c r="K429" s="112"/>
      <c r="L429" s="112"/>
      <c r="M429" s="112"/>
      <c r="N429" s="112">
        <f>8966+'[1]táj.2.'!N429</f>
        <v>8966</v>
      </c>
      <c r="O429" s="112"/>
      <c r="P429" s="112"/>
      <c r="Q429" s="112">
        <f>SUM(G429:P429)</f>
        <v>8966</v>
      </c>
    </row>
    <row r="430" spans="1:17" ht="13.5" customHeight="1">
      <c r="A430" s="91"/>
      <c r="B430" s="91"/>
      <c r="C430" s="221"/>
      <c r="D430" s="94" t="s">
        <v>35</v>
      </c>
      <c r="E430" s="95"/>
      <c r="F430" s="95"/>
      <c r="G430" s="99">
        <f aca="true" t="shared" si="26" ref="G430:Q430">SUM(G288:G429)</f>
        <v>1500</v>
      </c>
      <c r="H430" s="99">
        <f t="shared" si="26"/>
        <v>400</v>
      </c>
      <c r="I430" s="99">
        <f t="shared" si="26"/>
        <v>1334163</v>
      </c>
      <c r="J430" s="99">
        <f t="shared" si="26"/>
        <v>0</v>
      </c>
      <c r="K430" s="99">
        <f t="shared" si="26"/>
        <v>39093</v>
      </c>
      <c r="L430" s="99">
        <f t="shared" si="26"/>
        <v>217722</v>
      </c>
      <c r="M430" s="99">
        <f t="shared" si="26"/>
        <v>475254</v>
      </c>
      <c r="N430" s="99">
        <f t="shared" si="26"/>
        <v>644383</v>
      </c>
      <c r="O430" s="99">
        <f t="shared" si="26"/>
        <v>0</v>
      </c>
      <c r="P430" s="99">
        <f t="shared" si="26"/>
        <v>0</v>
      </c>
      <c r="Q430" s="99">
        <f t="shared" si="26"/>
        <v>2712515</v>
      </c>
    </row>
    <row r="431" spans="1:17" ht="13.5" customHeight="1">
      <c r="A431" s="101">
        <v>1</v>
      </c>
      <c r="B431" s="101">
        <v>16</v>
      </c>
      <c r="C431" s="224"/>
      <c r="D431" s="271" t="s">
        <v>36</v>
      </c>
      <c r="E431" s="102"/>
      <c r="F431" s="749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3.5" customHeight="1">
      <c r="A432" s="101"/>
      <c r="B432" s="101"/>
      <c r="C432" s="224"/>
      <c r="D432" s="616" t="s">
        <v>344</v>
      </c>
      <c r="E432" s="102"/>
      <c r="F432" s="749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3.5" customHeight="1">
      <c r="A433" s="101"/>
      <c r="B433" s="101"/>
      <c r="C433" s="224"/>
      <c r="D433" s="236" t="s">
        <v>705</v>
      </c>
      <c r="E433" s="102">
        <v>2</v>
      </c>
      <c r="F433" s="90">
        <v>161903</v>
      </c>
      <c r="G433" s="15"/>
      <c r="H433" s="15"/>
      <c r="I433" s="15">
        <f>10000+'[1]táj.2.'!I433</f>
        <v>10000</v>
      </c>
      <c r="J433" s="15"/>
      <c r="K433" s="15"/>
      <c r="L433" s="15"/>
      <c r="M433" s="15"/>
      <c r="N433" s="15"/>
      <c r="O433" s="15"/>
      <c r="P433" s="15"/>
      <c r="Q433" s="15">
        <f>SUM(I433:P433)</f>
        <v>10000</v>
      </c>
    </row>
    <row r="434" spans="1:17" ht="24" customHeight="1">
      <c r="A434" s="101"/>
      <c r="B434" s="101"/>
      <c r="C434" s="224"/>
      <c r="D434" s="190" t="s">
        <v>706</v>
      </c>
      <c r="E434" s="102">
        <v>2</v>
      </c>
      <c r="F434" s="90">
        <v>161904</v>
      </c>
      <c r="G434" s="15"/>
      <c r="H434" s="15"/>
      <c r="I434" s="15">
        <f>25000+'[1]táj.2.'!I434</f>
        <v>17500</v>
      </c>
      <c r="J434" s="15"/>
      <c r="K434" s="15"/>
      <c r="L434" s="15"/>
      <c r="M434" s="15"/>
      <c r="N434" s="15"/>
      <c r="O434" s="15"/>
      <c r="P434" s="15"/>
      <c r="Q434" s="15">
        <f>SUM(I434:P434)</f>
        <v>17500</v>
      </c>
    </row>
    <row r="435" spans="1:17" ht="13.5" customHeight="1">
      <c r="A435" s="101"/>
      <c r="B435" s="101"/>
      <c r="C435" s="224"/>
      <c r="D435" s="232" t="s">
        <v>435</v>
      </c>
      <c r="E435" s="102">
        <v>2</v>
      </c>
      <c r="F435" s="712">
        <v>171911</v>
      </c>
      <c r="G435" s="15"/>
      <c r="H435" s="15"/>
      <c r="I435" s="15">
        <f>250+'[1]táj.2.'!I435</f>
        <v>250</v>
      </c>
      <c r="J435" s="15"/>
      <c r="K435" s="15"/>
      <c r="L435" s="15"/>
      <c r="M435" s="15"/>
      <c r="N435" s="15"/>
      <c r="O435" s="15"/>
      <c r="P435" s="15"/>
      <c r="Q435" s="15">
        <f>SUM(I435:P435)</f>
        <v>250</v>
      </c>
    </row>
    <row r="436" spans="1:17" ht="13.5" customHeight="1">
      <c r="A436" s="255"/>
      <c r="B436" s="255"/>
      <c r="C436" s="256"/>
      <c r="D436" s="109" t="s">
        <v>95</v>
      </c>
      <c r="E436" s="208"/>
      <c r="F436" s="788"/>
      <c r="G436" s="209"/>
      <c r="H436" s="209"/>
      <c r="I436" s="209">
        <f>SUM(I433:I435)</f>
        <v>27750</v>
      </c>
      <c r="J436" s="209"/>
      <c r="K436" s="209"/>
      <c r="L436" s="209"/>
      <c r="M436" s="209"/>
      <c r="N436" s="209"/>
      <c r="O436" s="209"/>
      <c r="P436" s="209"/>
      <c r="Q436" s="209">
        <f>SUM(Q433:Q435)</f>
        <v>27750</v>
      </c>
    </row>
    <row r="437" spans="1:17" ht="12.75" customHeight="1">
      <c r="A437" s="101"/>
      <c r="B437" s="101"/>
      <c r="C437" s="224"/>
      <c r="D437" s="129" t="s">
        <v>96</v>
      </c>
      <c r="E437" s="102"/>
      <c r="F437" s="749"/>
      <c r="G437" s="15"/>
      <c r="H437" s="210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12.75" customHeight="1">
      <c r="A438" s="101"/>
      <c r="B438" s="101"/>
      <c r="C438" s="283" t="s">
        <v>1055</v>
      </c>
      <c r="D438" s="762" t="s">
        <v>382</v>
      </c>
      <c r="E438" s="284"/>
      <c r="F438" s="789"/>
      <c r="G438" s="285"/>
      <c r="H438" s="286"/>
      <c r="I438" s="285"/>
      <c r="J438" s="285"/>
      <c r="K438" s="285"/>
      <c r="L438" s="422"/>
      <c r="M438" s="285"/>
      <c r="N438" s="285"/>
      <c r="O438" s="285"/>
      <c r="P438" s="285"/>
      <c r="Q438" s="285"/>
    </row>
    <row r="439" spans="1:17" ht="25.5" customHeight="1">
      <c r="A439" s="101"/>
      <c r="B439" s="101"/>
      <c r="C439" s="401" t="s">
        <v>1099</v>
      </c>
      <c r="D439" s="790" t="s">
        <v>1151</v>
      </c>
      <c r="E439" s="102"/>
      <c r="F439" s="712">
        <v>162112</v>
      </c>
      <c r="G439" s="15"/>
      <c r="H439" s="15"/>
      <c r="I439" s="15"/>
      <c r="J439" s="15"/>
      <c r="K439" s="15"/>
      <c r="L439" s="15">
        <f>5000+'[1]táj.2.'!L439</f>
        <v>5000</v>
      </c>
      <c r="M439" s="15"/>
      <c r="N439" s="15"/>
      <c r="O439" s="15"/>
      <c r="P439" s="15"/>
      <c r="Q439" s="15">
        <f aca="true" t="shared" si="27" ref="Q439:Q444">SUM(G439:P439)</f>
        <v>5000</v>
      </c>
    </row>
    <row r="440" spans="1:17" ht="12.75" customHeight="1">
      <c r="A440" s="101"/>
      <c r="B440" s="101"/>
      <c r="C440" s="401" t="s">
        <v>1104</v>
      </c>
      <c r="D440" s="790" t="s">
        <v>1152</v>
      </c>
      <c r="E440" s="102"/>
      <c r="F440" s="90">
        <v>162107</v>
      </c>
      <c r="G440" s="15"/>
      <c r="H440" s="15"/>
      <c r="I440" s="15"/>
      <c r="J440" s="15"/>
      <c r="K440" s="15"/>
      <c r="L440" s="15">
        <f>10000+'[1]táj.2.'!L440</f>
        <v>10000</v>
      </c>
      <c r="M440" s="15"/>
      <c r="N440" s="15"/>
      <c r="O440" s="15"/>
      <c r="P440" s="15"/>
      <c r="Q440" s="15">
        <f t="shared" si="27"/>
        <v>10000</v>
      </c>
    </row>
    <row r="441" spans="1:17" ht="12.75" customHeight="1">
      <c r="A441" s="101"/>
      <c r="B441" s="101"/>
      <c r="C441" s="401" t="s">
        <v>1105</v>
      </c>
      <c r="D441" s="790" t="s">
        <v>1311</v>
      </c>
      <c r="E441" s="102"/>
      <c r="F441" s="90">
        <v>162408</v>
      </c>
      <c r="G441" s="15"/>
      <c r="H441" s="15"/>
      <c r="I441" s="15"/>
      <c r="J441" s="15"/>
      <c r="K441" s="15"/>
      <c r="L441" s="15">
        <f>15000+'[1]táj.2.'!L441</f>
        <v>15000</v>
      </c>
      <c r="M441" s="15"/>
      <c r="N441" s="15"/>
      <c r="O441" s="15"/>
      <c r="P441" s="15"/>
      <c r="Q441" s="15">
        <f t="shared" si="27"/>
        <v>15000</v>
      </c>
    </row>
    <row r="442" spans="1:17" ht="29.25" customHeight="1">
      <c r="A442" s="101"/>
      <c r="B442" s="101"/>
      <c r="C442" s="401" t="s">
        <v>1106</v>
      </c>
      <c r="D442" s="790" t="s">
        <v>1153</v>
      </c>
      <c r="E442" s="291"/>
      <c r="F442" s="90">
        <v>162709</v>
      </c>
      <c r="G442" s="15"/>
      <c r="H442" s="15"/>
      <c r="I442" s="15"/>
      <c r="J442" s="15"/>
      <c r="K442" s="15"/>
      <c r="L442" s="15">
        <f>1000+'[1]táj.2.'!L442</f>
        <v>1000</v>
      </c>
      <c r="M442" s="15"/>
      <c r="N442" s="15"/>
      <c r="O442" s="15"/>
      <c r="P442" s="15"/>
      <c r="Q442" s="15">
        <f t="shared" si="27"/>
        <v>1000</v>
      </c>
    </row>
    <row r="443" spans="1:17" ht="12.75" customHeight="1">
      <c r="A443" s="101"/>
      <c r="B443" s="101"/>
      <c r="C443" s="401" t="s">
        <v>1107</v>
      </c>
      <c r="D443" s="790" t="s">
        <v>1154</v>
      </c>
      <c r="E443" s="291"/>
      <c r="F443" s="90">
        <v>163010</v>
      </c>
      <c r="G443" s="15"/>
      <c r="H443" s="15"/>
      <c r="I443" s="15"/>
      <c r="J443" s="15"/>
      <c r="K443" s="15"/>
      <c r="L443" s="15">
        <f>500+'[1]táj.2.'!L443</f>
        <v>500</v>
      </c>
      <c r="M443" s="15"/>
      <c r="N443" s="15"/>
      <c r="O443" s="15"/>
      <c r="P443" s="15"/>
      <c r="Q443" s="15">
        <f t="shared" si="27"/>
        <v>500</v>
      </c>
    </row>
    <row r="444" spans="1:17" ht="27" customHeight="1">
      <c r="A444" s="101"/>
      <c r="B444" s="101"/>
      <c r="C444" s="401" t="s">
        <v>1176</v>
      </c>
      <c r="D444" s="790" t="s">
        <v>1164</v>
      </c>
      <c r="E444" s="291"/>
      <c r="F444" s="90">
        <v>163311</v>
      </c>
      <c r="G444" s="15"/>
      <c r="H444" s="15"/>
      <c r="I444" s="15"/>
      <c r="J444" s="15"/>
      <c r="K444" s="15"/>
      <c r="L444" s="15">
        <f>17920+'[1]táj.2.'!L444</f>
        <v>17920</v>
      </c>
      <c r="M444" s="15"/>
      <c r="N444" s="15"/>
      <c r="O444" s="15"/>
      <c r="P444" s="15"/>
      <c r="Q444" s="15">
        <f t="shared" si="27"/>
        <v>17920</v>
      </c>
    </row>
    <row r="445" spans="1:17" ht="12.75" customHeight="1">
      <c r="A445" s="101"/>
      <c r="B445" s="101"/>
      <c r="C445" s="290"/>
      <c r="D445" s="292" t="s">
        <v>72</v>
      </c>
      <c r="E445" s="102"/>
      <c r="F445" s="712"/>
      <c r="G445" s="15"/>
      <c r="H445" s="210"/>
      <c r="I445" s="15"/>
      <c r="J445" s="15"/>
      <c r="K445" s="15"/>
      <c r="L445" s="12"/>
      <c r="M445" s="15"/>
      <c r="N445" s="15"/>
      <c r="O445" s="15"/>
      <c r="P445" s="15"/>
      <c r="Q445" s="15"/>
    </row>
    <row r="446" spans="1:17" ht="25.5" customHeight="1">
      <c r="A446" s="101"/>
      <c r="B446" s="101"/>
      <c r="C446" s="287" t="s">
        <v>854</v>
      </c>
      <c r="D446" s="288" t="s">
        <v>876</v>
      </c>
      <c r="E446" s="289"/>
      <c r="F446" s="712">
        <v>162162</v>
      </c>
      <c r="G446" s="15"/>
      <c r="H446" s="15"/>
      <c r="I446" s="15"/>
      <c r="J446" s="15"/>
      <c r="K446" s="15"/>
      <c r="L446" s="15">
        <f>11400+'[1]táj.2.'!L446</f>
        <v>11400</v>
      </c>
      <c r="M446" s="15"/>
      <c r="N446" s="15"/>
      <c r="O446" s="15"/>
      <c r="P446" s="15"/>
      <c r="Q446" s="172">
        <f>SUM(G446:P446)</f>
        <v>11400</v>
      </c>
    </row>
    <row r="447" spans="1:17" ht="25.5" customHeight="1">
      <c r="A447" s="101"/>
      <c r="B447" s="101"/>
      <c r="C447" s="244" t="s">
        <v>855</v>
      </c>
      <c r="D447" s="182" t="s">
        <v>877</v>
      </c>
      <c r="E447" s="102"/>
      <c r="F447" s="712">
        <v>162160</v>
      </c>
      <c r="G447" s="15"/>
      <c r="H447" s="15"/>
      <c r="I447" s="15"/>
      <c r="J447" s="15"/>
      <c r="K447" s="15"/>
      <c r="L447" s="15">
        <f>32086+'[1]táj.2.'!L447</f>
        <v>32086</v>
      </c>
      <c r="M447" s="15"/>
      <c r="N447" s="15"/>
      <c r="O447" s="15"/>
      <c r="P447" s="15"/>
      <c r="Q447" s="15">
        <f>SUM(G447:P447)</f>
        <v>32086</v>
      </c>
    </row>
    <row r="448" spans="1:17" ht="26.25" customHeight="1">
      <c r="A448" s="101"/>
      <c r="B448" s="101"/>
      <c r="C448" s="244" t="s">
        <v>856</v>
      </c>
      <c r="D448" s="184" t="s">
        <v>931</v>
      </c>
      <c r="E448" s="102"/>
      <c r="F448" s="712">
        <v>152113</v>
      </c>
      <c r="G448" s="15"/>
      <c r="H448" s="15"/>
      <c r="I448" s="15"/>
      <c r="J448" s="15"/>
      <c r="K448" s="15"/>
      <c r="L448" s="15">
        <f>1507+'[1]táj.2.'!L448</f>
        <v>1507</v>
      </c>
      <c r="M448" s="15"/>
      <c r="N448" s="15"/>
      <c r="O448" s="15"/>
      <c r="P448" s="15"/>
      <c r="Q448" s="15">
        <f>SUM(G448:P448)</f>
        <v>1507</v>
      </c>
    </row>
    <row r="449" spans="1:17" ht="12.75" customHeight="1">
      <c r="A449" s="101"/>
      <c r="B449" s="101"/>
      <c r="C449" s="244" t="s">
        <v>857</v>
      </c>
      <c r="D449" s="184" t="s">
        <v>106</v>
      </c>
      <c r="E449" s="102"/>
      <c r="F449" s="712">
        <v>162164</v>
      </c>
      <c r="G449" s="15"/>
      <c r="H449" s="15"/>
      <c r="I449" s="15"/>
      <c r="J449" s="15"/>
      <c r="K449" s="15"/>
      <c r="L449" s="15">
        <f>846+'[1]táj.2.'!L449</f>
        <v>846</v>
      </c>
      <c r="M449" s="15"/>
      <c r="N449" s="15"/>
      <c r="O449" s="15"/>
      <c r="P449" s="15"/>
      <c r="Q449" s="15">
        <f>SUM(G449:P449)</f>
        <v>846</v>
      </c>
    </row>
    <row r="450" spans="1:17" ht="12.75" customHeight="1">
      <c r="A450" s="101"/>
      <c r="B450" s="101"/>
      <c r="C450" s="246" t="s">
        <v>1054</v>
      </c>
      <c r="D450" s="247" t="s">
        <v>653</v>
      </c>
      <c r="E450" s="102"/>
      <c r="F450" s="749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ht="12.75" customHeight="1">
      <c r="A451" s="101"/>
      <c r="B451" s="101"/>
      <c r="C451" s="248" t="s">
        <v>847</v>
      </c>
      <c r="D451" s="735" t="s">
        <v>1156</v>
      </c>
      <c r="E451" s="102"/>
      <c r="F451" s="90">
        <v>162207</v>
      </c>
      <c r="G451" s="15"/>
      <c r="H451" s="15"/>
      <c r="I451" s="15"/>
      <c r="J451" s="15"/>
      <c r="K451" s="15"/>
      <c r="L451" s="15">
        <f>18000+'[1]táj.2.'!L451</f>
        <v>18000</v>
      </c>
      <c r="M451" s="15"/>
      <c r="N451" s="15"/>
      <c r="O451" s="15"/>
      <c r="P451" s="15"/>
      <c r="Q451" s="15">
        <f>SUM(G451:P451)</f>
        <v>18000</v>
      </c>
    </row>
    <row r="452" spans="1:17" ht="12.75" customHeight="1">
      <c r="A452" s="101"/>
      <c r="B452" s="101"/>
      <c r="C452" s="248" t="s">
        <v>1076</v>
      </c>
      <c r="D452" s="735" t="s">
        <v>1158</v>
      </c>
      <c r="E452" s="102"/>
      <c r="F452" s="90">
        <v>162206</v>
      </c>
      <c r="G452" s="15"/>
      <c r="H452" s="15"/>
      <c r="I452" s="15"/>
      <c r="J452" s="15"/>
      <c r="K452" s="15"/>
      <c r="L452" s="15">
        <f>6000+'[1]táj.2.'!L452</f>
        <v>6000</v>
      </c>
      <c r="M452" s="15"/>
      <c r="N452" s="15"/>
      <c r="O452" s="15"/>
      <c r="P452" s="15"/>
      <c r="Q452" s="15">
        <f>SUM(G452:P452)</f>
        <v>6000</v>
      </c>
    </row>
    <row r="453" spans="1:17" ht="12.75" customHeight="1">
      <c r="A453" s="101"/>
      <c r="B453" s="101"/>
      <c r="C453" s="248"/>
      <c r="D453" s="292" t="s">
        <v>72</v>
      </c>
      <c r="E453" s="102"/>
      <c r="F453" s="749"/>
      <c r="G453" s="15"/>
      <c r="H453" s="210"/>
      <c r="I453" s="15"/>
      <c r="J453" s="15"/>
      <c r="K453" s="15"/>
      <c r="L453" s="12"/>
      <c r="M453" s="15"/>
      <c r="N453" s="15"/>
      <c r="O453" s="15"/>
      <c r="P453" s="15"/>
      <c r="Q453" s="15"/>
    </row>
    <row r="454" spans="1:17" ht="38.25" customHeight="1">
      <c r="A454" s="101"/>
      <c r="B454" s="101"/>
      <c r="C454" s="248" t="s">
        <v>79</v>
      </c>
      <c r="D454" s="449" t="s">
        <v>400</v>
      </c>
      <c r="E454" s="102"/>
      <c r="F454" s="712">
        <v>162204</v>
      </c>
      <c r="G454" s="15"/>
      <c r="H454" s="15"/>
      <c r="I454" s="15"/>
      <c r="J454" s="15"/>
      <c r="K454" s="15"/>
      <c r="L454" s="15">
        <f>346+'[1]táj.2.'!L454</f>
        <v>346</v>
      </c>
      <c r="M454" s="15"/>
      <c r="N454" s="15"/>
      <c r="O454" s="15"/>
      <c r="P454" s="15"/>
      <c r="Q454" s="15">
        <f>SUM(G454:P454)</f>
        <v>346</v>
      </c>
    </row>
    <row r="455" spans="1:17" ht="12.75" customHeight="1">
      <c r="A455" s="101"/>
      <c r="B455" s="101"/>
      <c r="C455" s="249" t="s">
        <v>1056</v>
      </c>
      <c r="D455" s="250" t="s">
        <v>670</v>
      </c>
      <c r="E455" s="102"/>
      <c r="F455" s="749"/>
      <c r="G455" s="15"/>
      <c r="H455" s="210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2.75" customHeight="1">
      <c r="A456" s="101"/>
      <c r="B456" s="101"/>
      <c r="C456" s="249"/>
      <c r="D456" s="245" t="s">
        <v>72</v>
      </c>
      <c r="E456" s="102"/>
      <c r="F456" s="749"/>
      <c r="G456" s="15"/>
      <c r="H456" s="210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ht="26.25" customHeight="1">
      <c r="A457" s="101"/>
      <c r="B457" s="101"/>
      <c r="C457" s="248" t="s">
        <v>921</v>
      </c>
      <c r="D457" s="253" t="s">
        <v>135</v>
      </c>
      <c r="E457" s="102" t="s">
        <v>1219</v>
      </c>
      <c r="F457" s="712">
        <v>162973</v>
      </c>
      <c r="G457" s="15"/>
      <c r="H457" s="15"/>
      <c r="I457" s="15">
        <f>10998+'[1]táj.2.'!I457</f>
        <v>10998</v>
      </c>
      <c r="J457" s="15"/>
      <c r="K457" s="15"/>
      <c r="L457" s="15">
        <f>556749+'[1]táj.2.'!L457</f>
        <v>556749</v>
      </c>
      <c r="M457" s="15"/>
      <c r="N457" s="15"/>
      <c r="O457" s="15"/>
      <c r="P457" s="15"/>
      <c r="Q457" s="15">
        <f>SUM(G457:P457)</f>
        <v>567747</v>
      </c>
    </row>
    <row r="458" spans="1:17" ht="28.5" customHeight="1">
      <c r="A458" s="101"/>
      <c r="B458" s="101"/>
      <c r="C458" s="248" t="s">
        <v>922</v>
      </c>
      <c r="D458" s="253" t="s">
        <v>814</v>
      </c>
      <c r="E458" s="102" t="s">
        <v>1219</v>
      </c>
      <c r="F458" s="712">
        <v>162974</v>
      </c>
      <c r="G458" s="15"/>
      <c r="H458" s="15"/>
      <c r="I458" s="15">
        <f>10871+'[1]táj.2.'!I458</f>
        <v>10871</v>
      </c>
      <c r="J458" s="15"/>
      <c r="K458" s="15"/>
      <c r="L458" s="15">
        <f>560854+'[1]táj.2.'!L458</f>
        <v>560854</v>
      </c>
      <c r="M458" s="15"/>
      <c r="N458" s="15"/>
      <c r="O458" s="15"/>
      <c r="P458" s="15"/>
      <c r="Q458" s="15">
        <f>SUM(G458:P458)</f>
        <v>571725</v>
      </c>
    </row>
    <row r="459" spans="1:17" ht="12.75" customHeight="1">
      <c r="A459" s="101"/>
      <c r="B459" s="101"/>
      <c r="C459" s="249" t="s">
        <v>1057</v>
      </c>
      <c r="D459" s="250" t="s">
        <v>1058</v>
      </c>
      <c r="E459" s="102"/>
      <c r="F459" s="749"/>
      <c r="G459" s="15"/>
      <c r="H459" s="210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27.75" customHeight="1">
      <c r="A460" s="101"/>
      <c r="B460" s="101"/>
      <c r="C460" s="251" t="s">
        <v>1059</v>
      </c>
      <c r="D460" s="735" t="s">
        <v>1157</v>
      </c>
      <c r="E460" s="102"/>
      <c r="F460" s="90">
        <v>162412</v>
      </c>
      <c r="G460" s="15"/>
      <c r="H460" s="15"/>
      <c r="I460" s="15"/>
      <c r="J460" s="15"/>
      <c r="K460" s="15"/>
      <c r="L460" s="15">
        <f>79000+'[1]táj.2.'!L460</f>
        <v>79000</v>
      </c>
      <c r="M460" s="15"/>
      <c r="N460" s="15"/>
      <c r="O460" s="15"/>
      <c r="P460" s="15"/>
      <c r="Q460" s="15">
        <f aca="true" t="shared" si="28" ref="Q460:Q468">SUM(G460:P460)</f>
        <v>79000</v>
      </c>
    </row>
    <row r="461" spans="1:17" ht="38.25" customHeight="1">
      <c r="A461" s="101"/>
      <c r="B461" s="101"/>
      <c r="C461" s="251" t="s">
        <v>1272</v>
      </c>
      <c r="D461" s="735" t="s">
        <v>1159</v>
      </c>
      <c r="E461" s="102"/>
      <c r="F461" s="90">
        <v>162457</v>
      </c>
      <c r="G461" s="15"/>
      <c r="H461" s="15"/>
      <c r="I461" s="15"/>
      <c r="J461" s="15"/>
      <c r="K461" s="15"/>
      <c r="L461" s="15">
        <f>6000+'[1]táj.2.'!L461</f>
        <v>6000</v>
      </c>
      <c r="M461" s="15"/>
      <c r="N461" s="15"/>
      <c r="O461" s="15"/>
      <c r="P461" s="15"/>
      <c r="Q461" s="15">
        <f t="shared" si="28"/>
        <v>6000</v>
      </c>
    </row>
    <row r="462" spans="1:17" ht="27.75" customHeight="1">
      <c r="A462" s="101"/>
      <c r="B462" s="101"/>
      <c r="C462" s="251" t="s">
        <v>1168</v>
      </c>
      <c r="D462" s="735" t="s">
        <v>1160</v>
      </c>
      <c r="E462" s="102"/>
      <c r="F462" s="90">
        <v>162413</v>
      </c>
      <c r="G462" s="15"/>
      <c r="H462" s="15"/>
      <c r="I462" s="15"/>
      <c r="J462" s="15"/>
      <c r="K462" s="15"/>
      <c r="L462" s="15">
        <f>25000+'[1]táj.2.'!L462</f>
        <v>25000</v>
      </c>
      <c r="M462" s="15"/>
      <c r="N462" s="15"/>
      <c r="O462" s="15"/>
      <c r="P462" s="15"/>
      <c r="Q462" s="15">
        <f t="shared" si="28"/>
        <v>25000</v>
      </c>
    </row>
    <row r="463" spans="1:17" ht="16.5" customHeight="1">
      <c r="A463" s="101"/>
      <c r="B463" s="101"/>
      <c r="C463" s="251" t="s">
        <v>1169</v>
      </c>
      <c r="D463" s="735" t="s">
        <v>1161</v>
      </c>
      <c r="E463" s="102"/>
      <c r="F463" s="90">
        <v>162414</v>
      </c>
      <c r="G463" s="15"/>
      <c r="H463" s="15"/>
      <c r="I463" s="15"/>
      <c r="J463" s="15"/>
      <c r="K463" s="15"/>
      <c r="L463" s="15">
        <f>4000+'[1]táj.2.'!L463</f>
        <v>4000</v>
      </c>
      <c r="M463" s="15"/>
      <c r="N463" s="15"/>
      <c r="O463" s="15"/>
      <c r="P463" s="15"/>
      <c r="Q463" s="15">
        <f t="shared" si="28"/>
        <v>4000</v>
      </c>
    </row>
    <row r="464" spans="1:17" ht="15" customHeight="1">
      <c r="A464" s="101"/>
      <c r="B464" s="101"/>
      <c r="C464" s="251" t="s">
        <v>1170</v>
      </c>
      <c r="D464" s="735" t="s">
        <v>1163</v>
      </c>
      <c r="E464" s="102"/>
      <c r="F464" s="90">
        <v>162447</v>
      </c>
      <c r="G464" s="15"/>
      <c r="H464" s="15"/>
      <c r="I464" s="15"/>
      <c r="J464" s="15"/>
      <c r="K464" s="15"/>
      <c r="L464" s="15">
        <f>5080+'[1]táj.2.'!L464</f>
        <v>5080</v>
      </c>
      <c r="M464" s="15"/>
      <c r="N464" s="15"/>
      <c r="O464" s="15"/>
      <c r="P464" s="15"/>
      <c r="Q464" s="15">
        <f t="shared" si="28"/>
        <v>5080</v>
      </c>
    </row>
    <row r="465" spans="1:17" ht="27.75" customHeight="1">
      <c r="A465" s="101"/>
      <c r="B465" s="101"/>
      <c r="C465" s="251" t="s">
        <v>1171</v>
      </c>
      <c r="D465" s="735" t="s">
        <v>1165</v>
      </c>
      <c r="E465" s="102"/>
      <c r="F465" s="90">
        <v>162458</v>
      </c>
      <c r="G465" s="15"/>
      <c r="H465" s="15"/>
      <c r="I465" s="15"/>
      <c r="J465" s="15"/>
      <c r="K465" s="15"/>
      <c r="L465" s="15">
        <f>5000+'[1]táj.2.'!L465</f>
        <v>5000</v>
      </c>
      <c r="M465" s="15"/>
      <c r="N465" s="15"/>
      <c r="O465" s="15"/>
      <c r="P465" s="15"/>
      <c r="Q465" s="15">
        <f t="shared" si="28"/>
        <v>5000</v>
      </c>
    </row>
    <row r="466" spans="1:17" ht="12.75" customHeight="1">
      <c r="A466" s="101"/>
      <c r="B466" s="101"/>
      <c r="C466" s="251" t="s">
        <v>1172</v>
      </c>
      <c r="D466" s="735" t="s">
        <v>1166</v>
      </c>
      <c r="E466" s="102"/>
      <c r="F466" s="90">
        <v>162415</v>
      </c>
      <c r="G466" s="15"/>
      <c r="H466" s="15"/>
      <c r="I466" s="15"/>
      <c r="J466" s="15"/>
      <c r="K466" s="15"/>
      <c r="L466" s="15">
        <f>5000+'[1]táj.2.'!L466</f>
        <v>5000</v>
      </c>
      <c r="M466" s="15"/>
      <c r="N466" s="15"/>
      <c r="O466" s="15"/>
      <c r="P466" s="15"/>
      <c r="Q466" s="15">
        <f t="shared" si="28"/>
        <v>5000</v>
      </c>
    </row>
    <row r="467" spans="1:17" ht="12.75" customHeight="1">
      <c r="A467" s="101"/>
      <c r="B467" s="101"/>
      <c r="C467" s="251" t="s">
        <v>1173</v>
      </c>
      <c r="D467" s="735" t="s">
        <v>1167</v>
      </c>
      <c r="E467" s="102"/>
      <c r="F467" s="90">
        <v>162416</v>
      </c>
      <c r="G467" s="15"/>
      <c r="H467" s="15"/>
      <c r="I467" s="15"/>
      <c r="J467" s="15"/>
      <c r="K467" s="15"/>
      <c r="L467" s="15">
        <f>1500+'[1]táj.2.'!L467</f>
        <v>1500</v>
      </c>
      <c r="M467" s="15"/>
      <c r="N467" s="15"/>
      <c r="O467" s="15"/>
      <c r="P467" s="15"/>
      <c r="Q467" s="15">
        <f t="shared" si="28"/>
        <v>1500</v>
      </c>
    </row>
    <row r="468" spans="1:17" ht="12.75" customHeight="1">
      <c r="A468" s="101"/>
      <c r="B468" s="101"/>
      <c r="C468" s="251" t="s">
        <v>1174</v>
      </c>
      <c r="D468" s="735" t="s">
        <v>1162</v>
      </c>
      <c r="E468" s="102"/>
      <c r="F468" s="90">
        <v>154445</v>
      </c>
      <c r="G468" s="15"/>
      <c r="H468" s="15"/>
      <c r="I468" s="15"/>
      <c r="J468" s="15"/>
      <c r="K468" s="15"/>
      <c r="L468" s="15"/>
      <c r="M468" s="15">
        <f>5000+'[1]táj.2.'!M468</f>
        <v>5000</v>
      </c>
      <c r="N468" s="15"/>
      <c r="O468" s="15"/>
      <c r="P468" s="15"/>
      <c r="Q468" s="15">
        <f t="shared" si="28"/>
        <v>5000</v>
      </c>
    </row>
    <row r="469" spans="1:17" ht="12.75" customHeight="1">
      <c r="A469" s="101"/>
      <c r="B469" s="101"/>
      <c r="C469" s="249"/>
      <c r="D469" s="791" t="s">
        <v>72</v>
      </c>
      <c r="E469" s="102"/>
      <c r="F469" s="712"/>
      <c r="G469" s="15"/>
      <c r="H469" s="210"/>
      <c r="I469" s="15"/>
      <c r="J469" s="15"/>
      <c r="K469" s="15"/>
      <c r="L469" s="12"/>
      <c r="M469" s="12"/>
      <c r="N469" s="15"/>
      <c r="O469" s="15"/>
      <c r="P469" s="15"/>
      <c r="Q469" s="15"/>
    </row>
    <row r="470" spans="1:17" ht="12.75" customHeight="1">
      <c r="A470" s="101"/>
      <c r="B470" s="101"/>
      <c r="C470" s="251" t="s">
        <v>850</v>
      </c>
      <c r="D470" s="735" t="s">
        <v>884</v>
      </c>
      <c r="E470" s="102"/>
      <c r="F470" s="712">
        <v>162486</v>
      </c>
      <c r="G470" s="15"/>
      <c r="H470" s="15"/>
      <c r="I470" s="15"/>
      <c r="J470" s="15"/>
      <c r="K470" s="15"/>
      <c r="L470" s="15">
        <f>19539+'[1]táj.2.'!L470</f>
        <v>19539</v>
      </c>
      <c r="M470" s="15"/>
      <c r="N470" s="15"/>
      <c r="O470" s="15"/>
      <c r="P470" s="15"/>
      <c r="Q470" s="15">
        <f>SUM(G470:P470)</f>
        <v>19539</v>
      </c>
    </row>
    <row r="471" spans="1:17" ht="12.75" customHeight="1">
      <c r="A471" s="101"/>
      <c r="B471" s="101"/>
      <c r="C471" s="251" t="s">
        <v>851</v>
      </c>
      <c r="D471" s="735" t="s">
        <v>843</v>
      </c>
      <c r="E471" s="102"/>
      <c r="F471" s="712">
        <v>162475</v>
      </c>
      <c r="G471" s="15"/>
      <c r="H471" s="15"/>
      <c r="I471" s="15"/>
      <c r="J471" s="15"/>
      <c r="K471" s="15"/>
      <c r="L471" s="15">
        <f>30200+'[1]táj.2.'!L471</f>
        <v>30200</v>
      </c>
      <c r="M471" s="15"/>
      <c r="N471" s="15"/>
      <c r="O471" s="15"/>
      <c r="P471" s="15"/>
      <c r="Q471" s="15">
        <f>SUM(G471:P471)</f>
        <v>30200</v>
      </c>
    </row>
    <row r="472" spans="1:17" ht="12.75" customHeight="1">
      <c r="A472" s="101"/>
      <c r="B472" s="101"/>
      <c r="C472" s="251" t="s">
        <v>852</v>
      </c>
      <c r="D472" s="242" t="s">
        <v>1244</v>
      </c>
      <c r="E472" s="102"/>
      <c r="F472" s="712">
        <v>164406</v>
      </c>
      <c r="G472" s="15"/>
      <c r="H472" s="15"/>
      <c r="I472" s="15"/>
      <c r="J472" s="15"/>
      <c r="K472" s="15"/>
      <c r="L472" s="15"/>
      <c r="M472" s="15">
        <f>2000+'[1]táj.2.'!M472</f>
        <v>2000</v>
      </c>
      <c r="N472" s="15"/>
      <c r="O472" s="15"/>
      <c r="P472" s="15"/>
      <c r="Q472" s="15">
        <f>SUM(G472:P472)</f>
        <v>2000</v>
      </c>
    </row>
    <row r="473" spans="1:17" ht="12.75" customHeight="1">
      <c r="A473" s="101"/>
      <c r="B473" s="101"/>
      <c r="C473" s="251" t="s">
        <v>276</v>
      </c>
      <c r="D473" s="241" t="s">
        <v>491</v>
      </c>
      <c r="E473" s="102"/>
      <c r="F473" s="712">
        <v>154472</v>
      </c>
      <c r="G473" s="15"/>
      <c r="H473" s="15"/>
      <c r="I473" s="15"/>
      <c r="J473" s="15"/>
      <c r="K473" s="15"/>
      <c r="L473" s="15"/>
      <c r="M473" s="15">
        <f>1765+'[1]táj.2.'!M473</f>
        <v>1765</v>
      </c>
      <c r="N473" s="15"/>
      <c r="O473" s="15"/>
      <c r="P473" s="15"/>
      <c r="Q473" s="112">
        <f>SUM(G473:P473)</f>
        <v>1765</v>
      </c>
    </row>
    <row r="474" spans="1:17" ht="12.75" customHeight="1">
      <c r="A474" s="101"/>
      <c r="B474" s="101"/>
      <c r="C474" s="249" t="s">
        <v>1010</v>
      </c>
      <c r="D474" s="18" t="s">
        <v>379</v>
      </c>
      <c r="E474" s="102"/>
      <c r="F474" s="749"/>
      <c r="G474" s="15"/>
      <c r="H474" s="210"/>
      <c r="I474" s="15"/>
      <c r="J474" s="15"/>
      <c r="K474" s="15"/>
      <c r="L474" s="12"/>
      <c r="M474" s="12"/>
      <c r="N474" s="15"/>
      <c r="O474" s="15"/>
      <c r="P474" s="15"/>
      <c r="Q474" s="15"/>
    </row>
    <row r="475" spans="1:17" ht="12.75" customHeight="1">
      <c r="A475" s="101"/>
      <c r="B475" s="101"/>
      <c r="C475" s="251" t="s">
        <v>1007</v>
      </c>
      <c r="D475" s="792" t="s">
        <v>1144</v>
      </c>
      <c r="E475" s="102"/>
      <c r="F475" s="90">
        <v>162501</v>
      </c>
      <c r="G475" s="15"/>
      <c r="H475" s="15"/>
      <c r="I475" s="15"/>
      <c r="J475" s="15"/>
      <c r="K475" s="15"/>
      <c r="L475" s="15">
        <f>3000+'[1]táj.2.'!L475</f>
        <v>3000</v>
      </c>
      <c r="M475" s="15"/>
      <c r="N475" s="15"/>
      <c r="O475" s="15"/>
      <c r="P475" s="15"/>
      <c r="Q475" s="15">
        <f>SUM(G475:P475)</f>
        <v>3000</v>
      </c>
    </row>
    <row r="476" spans="1:17" ht="12.75" customHeight="1">
      <c r="A476" s="101"/>
      <c r="B476" s="101"/>
      <c r="C476" s="249"/>
      <c r="D476" s="245" t="s">
        <v>72</v>
      </c>
      <c r="E476" s="102"/>
      <c r="F476" s="749"/>
      <c r="G476" s="15"/>
      <c r="H476" s="210"/>
      <c r="I476" s="15"/>
      <c r="J476" s="15"/>
      <c r="K476" s="15"/>
      <c r="L476" s="12"/>
      <c r="M476" s="12"/>
      <c r="N476" s="15"/>
      <c r="O476" s="15"/>
      <c r="P476" s="15"/>
      <c r="Q476" s="15"/>
    </row>
    <row r="477" spans="1:17" ht="29.25" customHeight="1">
      <c r="A477" s="101"/>
      <c r="B477" s="101"/>
      <c r="C477" s="251" t="s">
        <v>492</v>
      </c>
      <c r="D477" s="243" t="s">
        <v>1274</v>
      </c>
      <c r="E477" s="102"/>
      <c r="F477" s="712">
        <v>164501</v>
      </c>
      <c r="G477" s="15"/>
      <c r="H477" s="15"/>
      <c r="I477" s="15"/>
      <c r="J477" s="15"/>
      <c r="K477" s="15"/>
      <c r="L477" s="15"/>
      <c r="M477" s="15">
        <f>3000+'[1]táj.2.'!M477</f>
        <v>3000</v>
      </c>
      <c r="N477" s="15"/>
      <c r="O477" s="15"/>
      <c r="P477" s="15"/>
      <c r="Q477" s="15">
        <f>SUM(G477:P477)</f>
        <v>3000</v>
      </c>
    </row>
    <row r="478" spans="1:17" ht="12.75" customHeight="1">
      <c r="A478" s="101"/>
      <c r="B478" s="101"/>
      <c r="C478" s="249" t="s">
        <v>1008</v>
      </c>
      <c r="D478" s="250" t="s">
        <v>721</v>
      </c>
      <c r="E478" s="102"/>
      <c r="F478" s="749"/>
      <c r="G478" s="15"/>
      <c r="H478" s="210"/>
      <c r="I478" s="15"/>
      <c r="J478" s="15"/>
      <c r="K478" s="15"/>
      <c r="L478" s="12"/>
      <c r="M478" s="12"/>
      <c r="N478" s="15"/>
      <c r="O478" s="15"/>
      <c r="P478" s="15"/>
      <c r="Q478" s="15"/>
    </row>
    <row r="479" spans="1:17" ht="12.75" customHeight="1">
      <c r="A479" s="101"/>
      <c r="B479" s="101"/>
      <c r="C479" s="251" t="s">
        <v>1009</v>
      </c>
      <c r="D479" s="254" t="s">
        <v>849</v>
      </c>
      <c r="E479" s="102"/>
      <c r="F479" s="712">
        <v>162601</v>
      </c>
      <c r="G479" s="15"/>
      <c r="H479" s="15"/>
      <c r="I479" s="15"/>
      <c r="J479" s="15"/>
      <c r="K479" s="15"/>
      <c r="L479" s="15">
        <f>5000+'[1]táj.2.'!L479</f>
        <v>5000</v>
      </c>
      <c r="M479" s="15"/>
      <c r="N479" s="15"/>
      <c r="O479" s="15"/>
      <c r="P479" s="15"/>
      <c r="Q479" s="15">
        <f>SUM(G479:P479)</f>
        <v>5000</v>
      </c>
    </row>
    <row r="480" spans="1:17" ht="12.75" customHeight="1">
      <c r="A480" s="101"/>
      <c r="B480" s="101"/>
      <c r="C480" s="251" t="s">
        <v>1011</v>
      </c>
      <c r="D480" s="793" t="s">
        <v>408</v>
      </c>
      <c r="E480" s="102"/>
      <c r="F480" s="712">
        <v>162602</v>
      </c>
      <c r="G480" s="15"/>
      <c r="H480" s="15"/>
      <c r="I480" s="15"/>
      <c r="J480" s="15"/>
      <c r="K480" s="15"/>
      <c r="L480" s="15">
        <f>10000+'[1]táj.2.'!L480</f>
        <v>10000</v>
      </c>
      <c r="M480" s="15"/>
      <c r="N480" s="15"/>
      <c r="O480" s="15"/>
      <c r="P480" s="15"/>
      <c r="Q480" s="15">
        <f>SUM(G480:P480)</f>
        <v>10000</v>
      </c>
    </row>
    <row r="481" spans="1:17" ht="12.75" customHeight="1">
      <c r="A481" s="101"/>
      <c r="B481" s="101"/>
      <c r="C481" s="251" t="s">
        <v>1012</v>
      </c>
      <c r="D481" s="794" t="s">
        <v>1181</v>
      </c>
      <c r="E481" s="102"/>
      <c r="F481" s="712">
        <v>162614</v>
      </c>
      <c r="G481" s="15"/>
      <c r="H481" s="15"/>
      <c r="I481" s="15"/>
      <c r="J481" s="15"/>
      <c r="K481" s="15"/>
      <c r="L481" s="15"/>
      <c r="M481" s="15"/>
      <c r="N481" s="15">
        <f>87624+'[1]táj.2.'!N481</f>
        <v>87624</v>
      </c>
      <c r="O481" s="15"/>
      <c r="P481" s="15"/>
      <c r="Q481" s="15">
        <f>SUM(G481:P481)</f>
        <v>87624</v>
      </c>
    </row>
    <row r="482" spans="1:17" ht="12.75" customHeight="1">
      <c r="A482" s="101"/>
      <c r="B482" s="101"/>
      <c r="C482" s="251" t="s">
        <v>407</v>
      </c>
      <c r="D482" s="257" t="s">
        <v>1347</v>
      </c>
      <c r="E482" s="102"/>
      <c r="F482" s="712">
        <v>162451</v>
      </c>
      <c r="G482" s="15"/>
      <c r="H482" s="15"/>
      <c r="I482" s="15"/>
      <c r="J482" s="15"/>
      <c r="K482" s="15"/>
      <c r="L482" s="15">
        <f>10000+'[1]táj.2.'!L482</f>
        <v>10000</v>
      </c>
      <c r="M482" s="15"/>
      <c r="N482" s="15"/>
      <c r="O482" s="15"/>
      <c r="P482" s="15"/>
      <c r="Q482" s="15">
        <f>SUM(G482:P482)</f>
        <v>10000</v>
      </c>
    </row>
    <row r="483" spans="1:17" ht="12.75" customHeight="1">
      <c r="A483" s="101"/>
      <c r="B483" s="101"/>
      <c r="C483" s="251"/>
      <c r="D483" s="245" t="s">
        <v>72</v>
      </c>
      <c r="E483" s="102"/>
      <c r="F483" s="749"/>
      <c r="G483" s="15"/>
      <c r="H483" s="210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ht="24" customHeight="1">
      <c r="A484" s="101"/>
      <c r="B484" s="101"/>
      <c r="C484" s="251" t="s">
        <v>232</v>
      </c>
      <c r="D484" s="205" t="s">
        <v>819</v>
      </c>
      <c r="E484" s="102"/>
      <c r="F484" s="712">
        <v>162606</v>
      </c>
      <c r="G484" s="15"/>
      <c r="H484" s="15"/>
      <c r="I484" s="15">
        <f>35593+'[1]táj.2.'!I484</f>
        <v>35593</v>
      </c>
      <c r="J484" s="15"/>
      <c r="K484" s="15"/>
      <c r="L484" s="15"/>
      <c r="M484" s="15"/>
      <c r="N484" s="15"/>
      <c r="O484" s="15"/>
      <c r="P484" s="15"/>
      <c r="Q484" s="15">
        <f aca="true" t="shared" si="29" ref="Q484:Q499">SUM(G484:P484)</f>
        <v>35593</v>
      </c>
    </row>
    <row r="485" spans="1:17" ht="12.75" customHeight="1">
      <c r="A485" s="101"/>
      <c r="B485" s="101"/>
      <c r="C485" s="297" t="s">
        <v>325</v>
      </c>
      <c r="D485" s="252" t="s">
        <v>845</v>
      </c>
      <c r="E485" s="89"/>
      <c r="F485" s="712">
        <v>162613</v>
      </c>
      <c r="G485" s="15"/>
      <c r="H485" s="15"/>
      <c r="I485" s="15"/>
      <c r="J485" s="15"/>
      <c r="K485" s="15"/>
      <c r="L485" s="15"/>
      <c r="M485" s="15"/>
      <c r="N485" s="15">
        <f>17500+'[1]táj.2.'!N485</f>
        <v>17500</v>
      </c>
      <c r="O485" s="15"/>
      <c r="P485" s="15"/>
      <c r="Q485" s="12">
        <f t="shared" si="29"/>
        <v>17500</v>
      </c>
    </row>
    <row r="486" spans="1:17" ht="26.25" customHeight="1">
      <c r="A486" s="101"/>
      <c r="B486" s="101"/>
      <c r="C486" s="251" t="s">
        <v>327</v>
      </c>
      <c r="D486" s="795" t="s">
        <v>132</v>
      </c>
      <c r="E486" s="102" t="s">
        <v>1219</v>
      </c>
      <c r="F486" s="712">
        <v>162683</v>
      </c>
      <c r="G486" s="15"/>
      <c r="H486" s="15"/>
      <c r="I486" s="15"/>
      <c r="J486" s="15"/>
      <c r="K486" s="15"/>
      <c r="L486" s="15">
        <f>104913+'[1]táj.2.'!L486</f>
        <v>104913</v>
      </c>
      <c r="M486" s="15"/>
      <c r="N486" s="15"/>
      <c r="O486" s="15"/>
      <c r="P486" s="15"/>
      <c r="Q486" s="15">
        <f t="shared" si="29"/>
        <v>104913</v>
      </c>
    </row>
    <row r="487" spans="1:17" ht="12.75" customHeight="1">
      <c r="A487" s="101"/>
      <c r="B487" s="101"/>
      <c r="C487" s="251" t="s">
        <v>328</v>
      </c>
      <c r="D487" s="188" t="s">
        <v>133</v>
      </c>
      <c r="E487" s="102" t="s">
        <v>1219</v>
      </c>
      <c r="F487" s="712">
        <v>162403</v>
      </c>
      <c r="G487" s="15"/>
      <c r="H487" s="15"/>
      <c r="I487" s="15"/>
      <c r="J487" s="15"/>
      <c r="K487" s="15"/>
      <c r="L487" s="15">
        <f>110033+'[1]táj.2.'!L487</f>
        <v>110033</v>
      </c>
      <c r="M487" s="15"/>
      <c r="N487" s="15"/>
      <c r="O487" s="15"/>
      <c r="P487" s="15"/>
      <c r="Q487" s="15">
        <f t="shared" si="29"/>
        <v>110033</v>
      </c>
    </row>
    <row r="488" spans="1:17" ht="12.75" customHeight="1">
      <c r="A488" s="101"/>
      <c r="B488" s="101"/>
      <c r="C488" s="297" t="s">
        <v>329</v>
      </c>
      <c r="D488" s="187" t="s">
        <v>844</v>
      </c>
      <c r="E488" s="102"/>
      <c r="F488" s="712">
        <v>162642</v>
      </c>
      <c r="G488" s="15"/>
      <c r="H488" s="15"/>
      <c r="I488" s="15">
        <f>1250+'[1]táj.2.'!I488</f>
        <v>1250</v>
      </c>
      <c r="J488" s="15"/>
      <c r="K488" s="15"/>
      <c r="L488" s="15">
        <f>6372+'[1]táj.2.'!L488</f>
        <v>6372</v>
      </c>
      <c r="M488" s="15"/>
      <c r="N488" s="15"/>
      <c r="O488" s="15"/>
      <c r="P488" s="15"/>
      <c r="Q488" s="15">
        <f t="shared" si="29"/>
        <v>7622</v>
      </c>
    </row>
    <row r="489" spans="1:17" ht="25.5" customHeight="1">
      <c r="A489" s="101"/>
      <c r="B489" s="101"/>
      <c r="C489" s="297" t="s">
        <v>330</v>
      </c>
      <c r="D489" s="187" t="s">
        <v>257</v>
      </c>
      <c r="E489" s="102"/>
      <c r="F489" s="712">
        <v>162643</v>
      </c>
      <c r="G489" s="15"/>
      <c r="H489" s="15"/>
      <c r="I489" s="15"/>
      <c r="J489" s="15"/>
      <c r="K489" s="15"/>
      <c r="L489" s="15">
        <f>1405+'[1]táj.2.'!L489</f>
        <v>1405</v>
      </c>
      <c r="M489" s="15"/>
      <c r="N489" s="15"/>
      <c r="O489" s="15"/>
      <c r="P489" s="15"/>
      <c r="Q489" s="15">
        <f t="shared" si="29"/>
        <v>1405</v>
      </c>
    </row>
    <row r="490" spans="1:17" ht="26.25" customHeight="1">
      <c r="A490" s="101"/>
      <c r="B490" s="101"/>
      <c r="C490" s="297" t="s">
        <v>499</v>
      </c>
      <c r="D490" s="735" t="s">
        <v>723</v>
      </c>
      <c r="E490" s="102"/>
      <c r="F490" s="712">
        <v>162678</v>
      </c>
      <c r="G490" s="15"/>
      <c r="H490" s="15"/>
      <c r="I490" s="15"/>
      <c r="J490" s="15"/>
      <c r="K490" s="15"/>
      <c r="L490" s="15">
        <f>189230+'[1]táj.2.'!L490</f>
        <v>189230</v>
      </c>
      <c r="M490" s="15"/>
      <c r="N490" s="15"/>
      <c r="O490" s="15"/>
      <c r="P490" s="15"/>
      <c r="Q490" s="15">
        <f t="shared" si="29"/>
        <v>189230</v>
      </c>
    </row>
    <row r="491" spans="1:17" ht="12.75" customHeight="1">
      <c r="A491" s="101"/>
      <c r="B491" s="101"/>
      <c r="C491" s="297" t="s">
        <v>500</v>
      </c>
      <c r="D491" s="259" t="s">
        <v>183</v>
      </c>
      <c r="E491" s="102"/>
      <c r="F491" s="712">
        <v>162672</v>
      </c>
      <c r="G491" s="15"/>
      <c r="H491" s="15"/>
      <c r="I491" s="15"/>
      <c r="J491" s="15"/>
      <c r="K491" s="15"/>
      <c r="L491" s="15">
        <f>26170+'[1]táj.2.'!L491</f>
        <v>26170</v>
      </c>
      <c r="M491" s="15"/>
      <c r="N491" s="15"/>
      <c r="O491" s="15"/>
      <c r="P491" s="15"/>
      <c r="Q491" s="15">
        <f t="shared" si="29"/>
        <v>26170</v>
      </c>
    </row>
    <row r="492" spans="1:17" ht="27.75" customHeight="1">
      <c r="A492" s="101"/>
      <c r="B492" s="101"/>
      <c r="C492" s="297" t="s">
        <v>504</v>
      </c>
      <c r="D492" s="264" t="s">
        <v>501</v>
      </c>
      <c r="E492" s="102"/>
      <c r="F492" s="712">
        <v>162664</v>
      </c>
      <c r="G492" s="15"/>
      <c r="H492" s="15"/>
      <c r="I492" s="15">
        <f>261239+'[1]táj.2.'!I492</f>
        <v>261239</v>
      </c>
      <c r="J492" s="15"/>
      <c r="K492" s="15"/>
      <c r="L492" s="15">
        <f>0+'[1]táj.2.'!L492</f>
        <v>0</v>
      </c>
      <c r="M492" s="15"/>
      <c r="N492" s="15"/>
      <c r="O492" s="15"/>
      <c r="P492" s="15"/>
      <c r="Q492" s="15">
        <f t="shared" si="29"/>
        <v>261239</v>
      </c>
    </row>
    <row r="493" spans="1:17" ht="38.25" customHeight="1">
      <c r="A493" s="101"/>
      <c r="B493" s="101"/>
      <c r="C493" s="297" t="s">
        <v>505</v>
      </c>
      <c r="D493" s="264" t="s">
        <v>502</v>
      </c>
      <c r="E493" s="102"/>
      <c r="F493" s="712">
        <v>162665</v>
      </c>
      <c r="G493" s="15"/>
      <c r="H493" s="15"/>
      <c r="I493" s="15">
        <f>293117+'[1]táj.2.'!I493</f>
        <v>293117</v>
      </c>
      <c r="J493" s="15"/>
      <c r="K493" s="15"/>
      <c r="L493" s="15">
        <f>0+'[1]táj.2.'!L493</f>
        <v>0</v>
      </c>
      <c r="M493" s="15"/>
      <c r="N493" s="15"/>
      <c r="O493" s="15"/>
      <c r="P493" s="15"/>
      <c r="Q493" s="15">
        <f t="shared" si="29"/>
        <v>293117</v>
      </c>
    </row>
    <row r="494" spans="1:17" ht="27.75" customHeight="1">
      <c r="A494" s="101"/>
      <c r="B494" s="101"/>
      <c r="C494" s="297" t="s">
        <v>506</v>
      </c>
      <c r="D494" s="265" t="s">
        <v>503</v>
      </c>
      <c r="E494" s="102"/>
      <c r="F494" s="712">
        <v>162662</v>
      </c>
      <c r="G494" s="15"/>
      <c r="H494" s="15"/>
      <c r="I494" s="15"/>
      <c r="J494" s="15"/>
      <c r="K494" s="15"/>
      <c r="L494" s="15">
        <f>196777+'[1]táj.2.'!L494</f>
        <v>196777</v>
      </c>
      <c r="M494" s="15"/>
      <c r="N494" s="15"/>
      <c r="O494" s="15"/>
      <c r="P494" s="15"/>
      <c r="Q494" s="15">
        <f t="shared" si="29"/>
        <v>196777</v>
      </c>
    </row>
    <row r="495" spans="1:17" ht="40.5" customHeight="1">
      <c r="A495" s="101"/>
      <c r="B495" s="101"/>
      <c r="C495" s="297" t="s">
        <v>507</v>
      </c>
      <c r="D495" s="260" t="s">
        <v>932</v>
      </c>
      <c r="E495" s="102"/>
      <c r="F495" s="712">
        <v>162671</v>
      </c>
      <c r="G495" s="15"/>
      <c r="H495" s="15"/>
      <c r="I495" s="15">
        <f>32978+'[1]táj.2.'!I495</f>
        <v>32978</v>
      </c>
      <c r="J495" s="15"/>
      <c r="K495" s="15"/>
      <c r="L495" s="15">
        <f>411830+'[1]táj.2.'!L495</f>
        <v>411830</v>
      </c>
      <c r="M495" s="15"/>
      <c r="N495" s="15"/>
      <c r="O495" s="15"/>
      <c r="P495" s="15"/>
      <c r="Q495" s="15">
        <f t="shared" si="29"/>
        <v>444808</v>
      </c>
    </row>
    <row r="496" spans="1:17" ht="25.5" customHeight="1">
      <c r="A496" s="101"/>
      <c r="B496" s="101"/>
      <c r="C496" s="297" t="s">
        <v>508</v>
      </c>
      <c r="D496" s="264" t="s">
        <v>203</v>
      </c>
      <c r="E496" s="102"/>
      <c r="F496" s="712">
        <v>162660</v>
      </c>
      <c r="G496" s="15"/>
      <c r="H496" s="15"/>
      <c r="I496" s="15"/>
      <c r="J496" s="15"/>
      <c r="K496" s="15"/>
      <c r="L496" s="15">
        <f>219860+'[1]táj.2.'!L496</f>
        <v>219860</v>
      </c>
      <c r="M496" s="15"/>
      <c r="N496" s="15"/>
      <c r="O496" s="15"/>
      <c r="P496" s="15"/>
      <c r="Q496" s="15">
        <f t="shared" si="29"/>
        <v>219860</v>
      </c>
    </row>
    <row r="497" spans="1:17" ht="12.75" customHeight="1">
      <c r="A497" s="101"/>
      <c r="B497" s="101"/>
      <c r="C497" s="297" t="s">
        <v>842</v>
      </c>
      <c r="D497" s="261" t="s">
        <v>331</v>
      </c>
      <c r="E497" s="102"/>
      <c r="F497" s="712">
        <v>162618</v>
      </c>
      <c r="G497" s="15"/>
      <c r="H497" s="15"/>
      <c r="I497" s="15"/>
      <c r="J497" s="15"/>
      <c r="K497" s="15"/>
      <c r="L497" s="15">
        <f>889+'[1]táj.2.'!L497</f>
        <v>889</v>
      </c>
      <c r="M497" s="15"/>
      <c r="N497" s="15"/>
      <c r="O497" s="15"/>
      <c r="P497" s="15"/>
      <c r="Q497" s="15">
        <f t="shared" si="29"/>
        <v>889</v>
      </c>
    </row>
    <row r="498" spans="1:17" ht="12.75" customHeight="1">
      <c r="A498" s="101"/>
      <c r="B498" s="101"/>
      <c r="C498" s="297" t="s">
        <v>669</v>
      </c>
      <c r="D498" s="262" t="s">
        <v>103</v>
      </c>
      <c r="E498" s="102"/>
      <c r="F498" s="712">
        <v>162653</v>
      </c>
      <c r="G498" s="15"/>
      <c r="H498" s="15"/>
      <c r="I498" s="15"/>
      <c r="J498" s="15"/>
      <c r="K498" s="15"/>
      <c r="L498" s="15">
        <f>191+'[1]táj.2.'!L498</f>
        <v>191</v>
      </c>
      <c r="M498" s="15"/>
      <c r="N498" s="15"/>
      <c r="O498" s="15"/>
      <c r="P498" s="15"/>
      <c r="Q498" s="15">
        <f t="shared" si="29"/>
        <v>191</v>
      </c>
    </row>
    <row r="499" spans="1:17" ht="12.75" customHeight="1">
      <c r="A499" s="101"/>
      <c r="B499" s="101"/>
      <c r="C499" s="297" t="s">
        <v>102</v>
      </c>
      <c r="D499" s="796" t="s">
        <v>98</v>
      </c>
      <c r="E499" s="102"/>
      <c r="F499" s="712">
        <v>164604</v>
      </c>
      <c r="G499" s="15"/>
      <c r="H499" s="15"/>
      <c r="I499" s="15"/>
      <c r="J499" s="15"/>
      <c r="K499" s="15"/>
      <c r="L499" s="15"/>
      <c r="M499" s="15">
        <f>11000+'[1]táj.2.'!M499</f>
        <v>11000</v>
      </c>
      <c r="N499" s="15"/>
      <c r="O499" s="15"/>
      <c r="P499" s="15"/>
      <c r="Q499" s="15">
        <f t="shared" si="29"/>
        <v>11000</v>
      </c>
    </row>
    <row r="500" spans="1:17" ht="12.75" customHeight="1">
      <c r="A500" s="101" t="s">
        <v>1050</v>
      </c>
      <c r="B500" s="101"/>
      <c r="C500" s="249" t="s">
        <v>108</v>
      </c>
      <c r="D500" s="250" t="s">
        <v>1014</v>
      </c>
      <c r="E500" s="102"/>
      <c r="F500" s="749"/>
      <c r="G500" s="15"/>
      <c r="H500" s="210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17" ht="12.75" customHeight="1">
      <c r="A501" s="101"/>
      <c r="B501" s="101"/>
      <c r="C501" s="251"/>
      <c r="D501" s="245" t="s">
        <v>72</v>
      </c>
      <c r="E501" s="102"/>
      <c r="F501" s="749"/>
      <c r="G501" s="15"/>
      <c r="H501" s="210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1:17" ht="25.5" customHeight="1">
      <c r="A502" s="101"/>
      <c r="B502" s="101"/>
      <c r="C502" s="251" t="s">
        <v>373</v>
      </c>
      <c r="D502" s="258" t="s">
        <v>841</v>
      </c>
      <c r="E502" s="102"/>
      <c r="F502" s="712">
        <v>162701</v>
      </c>
      <c r="G502" s="15"/>
      <c r="H502" s="15"/>
      <c r="I502" s="15"/>
      <c r="J502" s="15"/>
      <c r="K502" s="15"/>
      <c r="L502" s="15">
        <f>7600+'[1]táj.2.'!L502</f>
        <v>7600</v>
      </c>
      <c r="M502" s="15"/>
      <c r="N502" s="15"/>
      <c r="O502" s="15"/>
      <c r="P502" s="15"/>
      <c r="Q502" s="15">
        <f>SUM(G502:P502)</f>
        <v>7600</v>
      </c>
    </row>
    <row r="503" spans="1:17" ht="39" customHeight="1">
      <c r="A503" s="101"/>
      <c r="B503" s="101"/>
      <c r="C503" s="251" t="s">
        <v>510</v>
      </c>
      <c r="D503" s="266" t="s">
        <v>509</v>
      </c>
      <c r="E503" s="102"/>
      <c r="F503" s="712">
        <v>162711</v>
      </c>
      <c r="G503" s="15"/>
      <c r="H503" s="15"/>
      <c r="I503" s="15"/>
      <c r="J503" s="15"/>
      <c r="K503" s="15"/>
      <c r="L503" s="15">
        <f>258332+'[1]táj.2.'!L503</f>
        <v>208952</v>
      </c>
      <c r="M503" s="15"/>
      <c r="N503" s="15"/>
      <c r="O503" s="15"/>
      <c r="P503" s="15"/>
      <c r="Q503" s="15">
        <f>SUM(G503:P503)</f>
        <v>208952</v>
      </c>
    </row>
    <row r="504" spans="1:17" ht="50.25" customHeight="1">
      <c r="A504" s="101"/>
      <c r="B504" s="101"/>
      <c r="C504" s="251" t="s">
        <v>109</v>
      </c>
      <c r="D504" s="267" t="s">
        <v>816</v>
      </c>
      <c r="E504" s="102"/>
      <c r="F504" s="712">
        <v>162712</v>
      </c>
      <c r="G504" s="15"/>
      <c r="H504" s="15"/>
      <c r="I504" s="15"/>
      <c r="J504" s="15"/>
      <c r="K504" s="15"/>
      <c r="L504" s="15">
        <f>323744+'[1]táj.2.'!L504</f>
        <v>323744</v>
      </c>
      <c r="M504" s="15"/>
      <c r="N504" s="15"/>
      <c r="O504" s="15"/>
      <c r="P504" s="15"/>
      <c r="Q504" s="15">
        <f>SUM(G504:P504)</f>
        <v>323744</v>
      </c>
    </row>
    <row r="505" spans="1:17" ht="12.75" customHeight="1">
      <c r="A505" s="101"/>
      <c r="B505" s="101"/>
      <c r="C505" s="249" t="s">
        <v>1015</v>
      </c>
      <c r="D505" s="263" t="s">
        <v>1016</v>
      </c>
      <c r="E505" s="102"/>
      <c r="F505" s="749"/>
      <c r="G505" s="15"/>
      <c r="H505" s="210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1:17" ht="12.75" customHeight="1">
      <c r="A506" s="101"/>
      <c r="B506" s="101"/>
      <c r="C506" s="244"/>
      <c r="D506" s="186" t="s">
        <v>72</v>
      </c>
      <c r="E506" s="102"/>
      <c r="F506" s="749"/>
      <c r="G506" s="15"/>
      <c r="H506" s="210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24.75" customHeight="1">
      <c r="A507" s="101"/>
      <c r="B507" s="101"/>
      <c r="C507" s="244" t="s">
        <v>1273</v>
      </c>
      <c r="D507" s="797" t="s">
        <v>1146</v>
      </c>
      <c r="E507" s="102"/>
      <c r="F507" s="712">
        <v>164906</v>
      </c>
      <c r="G507" s="15"/>
      <c r="H507" s="15"/>
      <c r="I507" s="15"/>
      <c r="J507" s="15"/>
      <c r="K507" s="15"/>
      <c r="L507" s="15"/>
      <c r="M507" s="15">
        <f>2468+'[1]táj.2.'!M507</f>
        <v>2468</v>
      </c>
      <c r="N507" s="15"/>
      <c r="O507" s="15"/>
      <c r="P507" s="15"/>
      <c r="Q507" s="15">
        <f>SUM(G507:P507)</f>
        <v>2468</v>
      </c>
    </row>
    <row r="508" spans="1:17" ht="12.75" customHeight="1">
      <c r="A508" s="101"/>
      <c r="B508" s="101"/>
      <c r="C508" s="249" t="s">
        <v>1017</v>
      </c>
      <c r="D508" s="250" t="s">
        <v>1019</v>
      </c>
      <c r="E508" s="102"/>
      <c r="F508" s="749"/>
      <c r="G508" s="15"/>
      <c r="H508" s="210"/>
      <c r="I508" s="15"/>
      <c r="J508" s="15"/>
      <c r="K508" s="15"/>
      <c r="L508" s="12"/>
      <c r="M508" s="12"/>
      <c r="N508" s="15"/>
      <c r="O508" s="15"/>
      <c r="P508" s="15"/>
      <c r="Q508" s="15"/>
    </row>
    <row r="509" spans="1:17" ht="12.75" customHeight="1">
      <c r="A509" s="101"/>
      <c r="B509" s="101"/>
      <c r="C509" s="251" t="s">
        <v>1018</v>
      </c>
      <c r="D509" s="254" t="s">
        <v>136</v>
      </c>
      <c r="E509" s="102"/>
      <c r="F509" s="90">
        <v>162903</v>
      </c>
      <c r="G509" s="15"/>
      <c r="H509" s="15"/>
      <c r="I509" s="15"/>
      <c r="J509" s="15"/>
      <c r="K509" s="15"/>
      <c r="L509" s="15">
        <f>20185+'[1]táj.2.'!L509</f>
        <v>20185</v>
      </c>
      <c r="M509" s="15">
        <f>3954+'[1]táj.2.'!M509</f>
        <v>3954</v>
      </c>
      <c r="N509" s="15"/>
      <c r="O509" s="15"/>
      <c r="P509" s="15"/>
      <c r="Q509" s="15">
        <f aca="true" t="shared" si="30" ref="Q509:Q521">SUM(G509:P509)</f>
        <v>24139</v>
      </c>
    </row>
    <row r="510" spans="1:17" ht="26.25" customHeight="1">
      <c r="A510" s="101"/>
      <c r="B510" s="101"/>
      <c r="C510" s="251" t="s">
        <v>1081</v>
      </c>
      <c r="D510" s="798" t="s">
        <v>1178</v>
      </c>
      <c r="E510" s="102"/>
      <c r="F510" s="90">
        <v>162904</v>
      </c>
      <c r="G510" s="15"/>
      <c r="H510" s="15"/>
      <c r="I510" s="15"/>
      <c r="J510" s="15"/>
      <c r="K510" s="15"/>
      <c r="L510" s="15">
        <f>15000+'[1]táj.2.'!L510</f>
        <v>55000</v>
      </c>
      <c r="M510" s="15"/>
      <c r="N510" s="15"/>
      <c r="O510" s="15"/>
      <c r="P510" s="15"/>
      <c r="Q510" s="15">
        <f t="shared" si="30"/>
        <v>55000</v>
      </c>
    </row>
    <row r="511" spans="1:17" ht="12.75" customHeight="1">
      <c r="A511" s="101"/>
      <c r="B511" s="101"/>
      <c r="C511" s="251" t="s">
        <v>1242</v>
      </c>
      <c r="D511" s="798" t="s">
        <v>1179</v>
      </c>
      <c r="E511" s="102"/>
      <c r="F511" s="90">
        <v>164506</v>
      </c>
      <c r="G511" s="15"/>
      <c r="H511" s="15"/>
      <c r="I511" s="15"/>
      <c r="J511" s="15"/>
      <c r="K511" s="15"/>
      <c r="L511" s="15">
        <f>1200+'[1]táj.2.'!L511</f>
        <v>1200</v>
      </c>
      <c r="M511" s="15"/>
      <c r="N511" s="15"/>
      <c r="O511" s="15"/>
      <c r="P511" s="15"/>
      <c r="Q511" s="15">
        <f t="shared" si="30"/>
        <v>1200</v>
      </c>
    </row>
    <row r="512" spans="1:17" ht="39.75" customHeight="1">
      <c r="A512" s="101"/>
      <c r="B512" s="101"/>
      <c r="C512" s="251" t="s">
        <v>1380</v>
      </c>
      <c r="D512" s="797" t="s">
        <v>1155</v>
      </c>
      <c r="E512" s="89"/>
      <c r="F512" s="90">
        <v>162905</v>
      </c>
      <c r="G512" s="15"/>
      <c r="H512" s="15"/>
      <c r="I512" s="15"/>
      <c r="J512" s="15"/>
      <c r="K512" s="15"/>
      <c r="L512" s="15">
        <f>600+'[1]táj.2.'!L512</f>
        <v>600</v>
      </c>
      <c r="M512" s="15"/>
      <c r="N512" s="15"/>
      <c r="O512" s="15"/>
      <c r="P512" s="15"/>
      <c r="Q512" s="12">
        <f t="shared" si="30"/>
        <v>600</v>
      </c>
    </row>
    <row r="513" spans="1:17" ht="29.25" customHeight="1">
      <c r="A513" s="101"/>
      <c r="B513" s="101"/>
      <c r="C513" s="251" t="s">
        <v>762</v>
      </c>
      <c r="D513" s="799" t="s">
        <v>1296</v>
      </c>
      <c r="E513" s="89"/>
      <c r="F513" s="90">
        <v>172905</v>
      </c>
      <c r="G513" s="15"/>
      <c r="H513" s="15"/>
      <c r="I513" s="15"/>
      <c r="J513" s="15"/>
      <c r="K513" s="15"/>
      <c r="L513" s="15">
        <f>3747+'[1]táj.2.'!L513</f>
        <v>3747</v>
      </c>
      <c r="M513" s="15"/>
      <c r="N513" s="15"/>
      <c r="O513" s="15"/>
      <c r="P513" s="15"/>
      <c r="Q513" s="12">
        <f t="shared" si="30"/>
        <v>3747</v>
      </c>
    </row>
    <row r="514" spans="1:17" ht="17.25" customHeight="1">
      <c r="A514" s="101"/>
      <c r="B514" s="101"/>
      <c r="C514" s="251" t="s">
        <v>763</v>
      </c>
      <c r="D514" s="797" t="s">
        <v>1145</v>
      </c>
      <c r="E514" s="102"/>
      <c r="F514" s="90">
        <v>154908</v>
      </c>
      <c r="G514" s="15"/>
      <c r="H514" s="15"/>
      <c r="I514" s="15"/>
      <c r="J514" s="15"/>
      <c r="K514" s="15"/>
      <c r="L514" s="15"/>
      <c r="M514" s="15">
        <f>1000+'[1]táj.2.'!M514</f>
        <v>1000</v>
      </c>
      <c r="N514" s="15"/>
      <c r="O514" s="15"/>
      <c r="P514" s="15"/>
      <c r="Q514" s="15">
        <f t="shared" si="30"/>
        <v>1000</v>
      </c>
    </row>
    <row r="515" spans="1:17" ht="29.25" customHeight="1">
      <c r="A515" s="101"/>
      <c r="B515" s="101"/>
      <c r="C515" s="251" t="s">
        <v>764</v>
      </c>
      <c r="D515" s="735" t="s">
        <v>1150</v>
      </c>
      <c r="E515" s="102"/>
      <c r="F515" s="90">
        <v>162906</v>
      </c>
      <c r="G515" s="15"/>
      <c r="H515" s="15"/>
      <c r="I515" s="15"/>
      <c r="J515" s="15"/>
      <c r="K515" s="15"/>
      <c r="L515" s="15"/>
      <c r="M515" s="15">
        <f>15000+'[1]táj.2.'!M515</f>
        <v>15000</v>
      </c>
      <c r="N515" s="15"/>
      <c r="O515" s="15"/>
      <c r="P515" s="15"/>
      <c r="Q515" s="15">
        <f t="shared" si="30"/>
        <v>15000</v>
      </c>
    </row>
    <row r="516" spans="1:17" ht="36" customHeight="1">
      <c r="A516" s="101"/>
      <c r="B516" s="101"/>
      <c r="C516" s="251" t="s">
        <v>765</v>
      </c>
      <c r="D516" s="800" t="s">
        <v>151</v>
      </c>
      <c r="E516" s="89"/>
      <c r="F516" s="90">
        <v>174902</v>
      </c>
      <c r="G516" s="15"/>
      <c r="H516" s="15"/>
      <c r="I516" s="15"/>
      <c r="J516" s="15"/>
      <c r="K516" s="15"/>
      <c r="L516" s="15"/>
      <c r="M516" s="15">
        <f>43692+'[1]táj.2.'!M516</f>
        <v>43692</v>
      </c>
      <c r="N516" s="15"/>
      <c r="O516" s="15"/>
      <c r="P516" s="15"/>
      <c r="Q516" s="12">
        <f t="shared" si="30"/>
        <v>43692</v>
      </c>
    </row>
    <row r="517" spans="1:17" ht="15.75" customHeight="1">
      <c r="A517" s="101"/>
      <c r="B517" s="101"/>
      <c r="C517" s="251" t="s">
        <v>766</v>
      </c>
      <c r="D517" s="232" t="s">
        <v>1297</v>
      </c>
      <c r="E517" s="89"/>
      <c r="F517" s="90">
        <v>162907</v>
      </c>
      <c r="G517" s="15"/>
      <c r="H517" s="15"/>
      <c r="I517" s="15"/>
      <c r="J517" s="15"/>
      <c r="K517" s="15"/>
      <c r="L517" s="15"/>
      <c r="M517" s="15">
        <f>10000+'[1]táj.2.'!M517</f>
        <v>10000</v>
      </c>
      <c r="N517" s="15"/>
      <c r="O517" s="15"/>
      <c r="P517" s="15"/>
      <c r="Q517" s="12">
        <f t="shared" si="30"/>
        <v>10000</v>
      </c>
    </row>
    <row r="518" spans="1:17" ht="12.75" customHeight="1">
      <c r="A518" s="101"/>
      <c r="B518" s="101"/>
      <c r="C518" s="249"/>
      <c r="D518" s="186" t="s">
        <v>72</v>
      </c>
      <c r="E518" s="102"/>
      <c r="F518" s="712"/>
      <c r="G518" s="15"/>
      <c r="H518" s="210"/>
      <c r="I518" s="15"/>
      <c r="J518" s="15"/>
      <c r="K518" s="15"/>
      <c r="L518" s="12"/>
      <c r="M518" s="12"/>
      <c r="N518" s="15"/>
      <c r="O518" s="15"/>
      <c r="P518" s="15"/>
      <c r="Q518" s="15">
        <f t="shared" si="30"/>
        <v>0</v>
      </c>
    </row>
    <row r="519" spans="1:17" ht="25.5" customHeight="1">
      <c r="A519" s="101"/>
      <c r="B519" s="101"/>
      <c r="C519" s="251" t="s">
        <v>853</v>
      </c>
      <c r="D519" s="402" t="s">
        <v>879</v>
      </c>
      <c r="E519" s="102"/>
      <c r="F519" s="712">
        <v>162909</v>
      </c>
      <c r="G519" s="15"/>
      <c r="H519" s="15"/>
      <c r="I519" s="15"/>
      <c r="J519" s="15"/>
      <c r="K519" s="15"/>
      <c r="L519" s="15">
        <f>900+'[1]táj.2.'!L519</f>
        <v>900</v>
      </c>
      <c r="M519" s="15"/>
      <c r="N519" s="15"/>
      <c r="O519" s="15"/>
      <c r="P519" s="15"/>
      <c r="Q519" s="15">
        <f t="shared" si="30"/>
        <v>900</v>
      </c>
    </row>
    <row r="520" spans="1:17" ht="14.25" customHeight="1">
      <c r="A520" s="101"/>
      <c r="B520" s="101"/>
      <c r="C520" s="251" t="s">
        <v>1276</v>
      </c>
      <c r="D520" s="402" t="s">
        <v>878</v>
      </c>
      <c r="E520" s="102"/>
      <c r="F520" s="712">
        <v>162901</v>
      </c>
      <c r="G520" s="15"/>
      <c r="H520" s="15"/>
      <c r="I520" s="15"/>
      <c r="J520" s="15"/>
      <c r="K520" s="15"/>
      <c r="L520" s="15">
        <f>27656+'[1]táj.2.'!L520</f>
        <v>27656</v>
      </c>
      <c r="M520" s="15"/>
      <c r="N520" s="15"/>
      <c r="O520" s="15"/>
      <c r="P520" s="15"/>
      <c r="Q520" s="15">
        <f t="shared" si="30"/>
        <v>27656</v>
      </c>
    </row>
    <row r="521" spans="1:17" ht="26.25" customHeight="1">
      <c r="A521" s="101"/>
      <c r="B521" s="101"/>
      <c r="C521" s="251" t="s">
        <v>496</v>
      </c>
      <c r="D521" s="403" t="s">
        <v>880</v>
      </c>
      <c r="E521" s="102"/>
      <c r="F521" s="712">
        <v>162910</v>
      </c>
      <c r="G521" s="15"/>
      <c r="H521" s="15"/>
      <c r="I521" s="15">
        <f>'[1]táj.2.'!I521</f>
        <v>450</v>
      </c>
      <c r="J521" s="15"/>
      <c r="K521" s="15"/>
      <c r="L521" s="15">
        <f>6859+'[1]táj.2.'!L521</f>
        <v>6409</v>
      </c>
      <c r="M521" s="15"/>
      <c r="N521" s="15"/>
      <c r="O521" s="15"/>
      <c r="P521" s="15"/>
      <c r="Q521" s="15">
        <f t="shared" si="30"/>
        <v>6859</v>
      </c>
    </row>
    <row r="522" spans="1:17" ht="12.75" customHeight="1">
      <c r="A522" s="101"/>
      <c r="B522" s="101"/>
      <c r="C522" s="225">
        <v>10</v>
      </c>
      <c r="D522" s="801" t="s">
        <v>724</v>
      </c>
      <c r="E522" s="108"/>
      <c r="F522" s="755"/>
      <c r="G522" s="15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</row>
    <row r="523" spans="1:17" ht="27.75" customHeight="1">
      <c r="A523" s="101"/>
      <c r="B523" s="101"/>
      <c r="C523" s="224" t="s">
        <v>725</v>
      </c>
      <c r="D523" s="299" t="s">
        <v>767</v>
      </c>
      <c r="E523" s="102"/>
      <c r="F523" s="90">
        <v>162684</v>
      </c>
      <c r="G523" s="15"/>
      <c r="H523" s="15"/>
      <c r="I523" s="15"/>
      <c r="J523" s="15"/>
      <c r="K523" s="15"/>
      <c r="L523" s="15">
        <f>40000+'[1]táj.2.'!L523</f>
        <v>40000</v>
      </c>
      <c r="M523" s="15"/>
      <c r="N523" s="15"/>
      <c r="O523" s="15"/>
      <c r="P523" s="15"/>
      <c r="Q523" s="15">
        <f>SUM(G523:P523)</f>
        <v>40000</v>
      </c>
    </row>
    <row r="524" spans="1:17" ht="12.75" customHeight="1">
      <c r="A524" s="91"/>
      <c r="B524" s="91"/>
      <c r="C524" s="221"/>
      <c r="D524" s="94" t="s">
        <v>37</v>
      </c>
      <c r="E524" s="95"/>
      <c r="F524" s="95"/>
      <c r="G524" s="99">
        <f aca="true" t="shared" si="31" ref="G524:Q524">SUM(G436:G523)</f>
        <v>0</v>
      </c>
      <c r="H524" s="99">
        <f t="shared" si="31"/>
        <v>0</v>
      </c>
      <c r="I524" s="99">
        <f t="shared" si="31"/>
        <v>674246</v>
      </c>
      <c r="J524" s="99">
        <f t="shared" si="31"/>
        <v>0</v>
      </c>
      <c r="K524" s="99">
        <f t="shared" si="31"/>
        <v>0</v>
      </c>
      <c r="L524" s="99">
        <f t="shared" si="31"/>
        <v>3409190</v>
      </c>
      <c r="M524" s="99">
        <f t="shared" si="31"/>
        <v>98879</v>
      </c>
      <c r="N524" s="99">
        <f t="shared" si="31"/>
        <v>105124</v>
      </c>
      <c r="O524" s="99">
        <f t="shared" si="31"/>
        <v>0</v>
      </c>
      <c r="P524" s="99">
        <f t="shared" si="31"/>
        <v>0</v>
      </c>
      <c r="Q524" s="99">
        <f t="shared" si="31"/>
        <v>4287439</v>
      </c>
    </row>
    <row r="525" spans="1:17" ht="13.5" customHeight="1">
      <c r="A525" s="101">
        <v>1</v>
      </c>
      <c r="B525" s="101">
        <v>17</v>
      </c>
      <c r="C525" s="224"/>
      <c r="D525" s="18" t="s">
        <v>38</v>
      </c>
      <c r="E525" s="102"/>
      <c r="F525" s="749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1:17" ht="13.5" customHeight="1">
      <c r="A526" s="101"/>
      <c r="B526" s="101"/>
      <c r="C526" s="224"/>
      <c r="D526" s="745" t="s">
        <v>344</v>
      </c>
      <c r="E526" s="132"/>
      <c r="F526" s="715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5"/>
    </row>
    <row r="527" spans="1:17" ht="13.5" customHeight="1">
      <c r="A527" s="101"/>
      <c r="B527" s="101"/>
      <c r="C527" s="224"/>
      <c r="D527" s="13" t="s">
        <v>40</v>
      </c>
      <c r="E527" s="12">
        <v>1</v>
      </c>
      <c r="F527" s="90">
        <v>171905</v>
      </c>
      <c r="G527" s="12"/>
      <c r="H527" s="12"/>
      <c r="I527" s="12">
        <f>4500+'[1]táj.2.'!I527</f>
        <v>4500</v>
      </c>
      <c r="J527" s="12"/>
      <c r="K527" s="12"/>
      <c r="L527" s="12"/>
      <c r="M527" s="12"/>
      <c r="N527" s="12"/>
      <c r="O527" s="12"/>
      <c r="P527" s="12"/>
      <c r="Q527" s="15">
        <f aca="true" t="shared" si="32" ref="Q527:Q536">SUM(G527:P527)</f>
        <v>4500</v>
      </c>
    </row>
    <row r="528" spans="1:17" ht="13.5" customHeight="1">
      <c r="A528" s="101"/>
      <c r="B528" s="101"/>
      <c r="C528" s="224"/>
      <c r="D528" s="13" t="s">
        <v>39</v>
      </c>
      <c r="E528" s="12">
        <v>1</v>
      </c>
      <c r="F528" s="90">
        <v>171903</v>
      </c>
      <c r="G528" s="12"/>
      <c r="H528" s="12"/>
      <c r="I528" s="12">
        <f>2000+'[1]táj.2.'!I528</f>
        <v>2000</v>
      </c>
      <c r="J528" s="12"/>
      <c r="K528" s="12"/>
      <c r="L528" s="12"/>
      <c r="M528" s="12"/>
      <c r="N528" s="12"/>
      <c r="O528" s="12"/>
      <c r="P528" s="12"/>
      <c r="Q528" s="15">
        <f t="shared" si="32"/>
        <v>2000</v>
      </c>
    </row>
    <row r="529" spans="1:17" ht="13.5" customHeight="1">
      <c r="A529" s="101"/>
      <c r="B529" s="101"/>
      <c r="C529" s="224"/>
      <c r="D529" s="13" t="s">
        <v>447</v>
      </c>
      <c r="E529" s="423">
        <v>1</v>
      </c>
      <c r="F529" s="90">
        <v>171920</v>
      </c>
      <c r="G529" s="12"/>
      <c r="H529" s="12"/>
      <c r="I529" s="12">
        <f>6000+'[1]táj.2.'!I529</f>
        <v>6000</v>
      </c>
      <c r="J529" s="12"/>
      <c r="K529" s="12"/>
      <c r="L529" s="12"/>
      <c r="M529" s="12"/>
      <c r="N529" s="12"/>
      <c r="O529" s="12"/>
      <c r="P529" s="12"/>
      <c r="Q529" s="15">
        <f t="shared" si="32"/>
        <v>6000</v>
      </c>
    </row>
    <row r="530" spans="1:17" ht="13.5" customHeight="1">
      <c r="A530" s="101"/>
      <c r="B530" s="101"/>
      <c r="C530" s="224"/>
      <c r="D530" s="180" t="s">
        <v>875</v>
      </c>
      <c r="E530" s="424">
        <v>1</v>
      </c>
      <c r="F530" s="802">
        <v>171940</v>
      </c>
      <c r="G530" s="12"/>
      <c r="H530" s="12"/>
      <c r="I530" s="12">
        <f>600+'[1]táj.2.'!I530</f>
        <v>600</v>
      </c>
      <c r="J530" s="12"/>
      <c r="K530" s="12"/>
      <c r="L530" s="12"/>
      <c r="M530" s="12"/>
      <c r="N530" s="12"/>
      <c r="O530" s="12"/>
      <c r="P530" s="12"/>
      <c r="Q530" s="15">
        <f t="shared" si="32"/>
        <v>600</v>
      </c>
    </row>
    <row r="531" spans="1:17" ht="13.5" customHeight="1">
      <c r="A531" s="101"/>
      <c r="B531" s="101"/>
      <c r="C531" s="224"/>
      <c r="D531" s="180" t="s">
        <v>267</v>
      </c>
      <c r="E531" s="424">
        <v>1</v>
      </c>
      <c r="F531" s="802">
        <v>171956</v>
      </c>
      <c r="G531" s="12"/>
      <c r="H531" s="12"/>
      <c r="I531" s="12">
        <f>4000+'[1]táj.2.'!I531</f>
        <v>4000</v>
      </c>
      <c r="J531" s="12"/>
      <c r="K531" s="12"/>
      <c r="L531" s="12"/>
      <c r="M531" s="12"/>
      <c r="N531" s="12"/>
      <c r="O531" s="12"/>
      <c r="P531" s="12"/>
      <c r="Q531" s="15">
        <f t="shared" si="32"/>
        <v>4000</v>
      </c>
    </row>
    <row r="532" spans="1:17" ht="13.5" customHeight="1">
      <c r="A532" s="101"/>
      <c r="B532" s="101"/>
      <c r="C532" s="224"/>
      <c r="D532" s="180" t="s">
        <v>268</v>
      </c>
      <c r="E532" s="424">
        <v>1</v>
      </c>
      <c r="F532" s="802">
        <v>171958</v>
      </c>
      <c r="G532" s="12"/>
      <c r="H532" s="12"/>
      <c r="I532" s="12">
        <f>2000+'[1]táj.2.'!I532</f>
        <v>2000</v>
      </c>
      <c r="J532" s="12"/>
      <c r="K532" s="12"/>
      <c r="L532" s="12"/>
      <c r="M532" s="12"/>
      <c r="N532" s="12"/>
      <c r="O532" s="12"/>
      <c r="P532" s="12"/>
      <c r="Q532" s="15">
        <f t="shared" si="32"/>
        <v>2000</v>
      </c>
    </row>
    <row r="533" spans="1:17" ht="24.75" customHeight="1">
      <c r="A533" s="101"/>
      <c r="B533" s="101"/>
      <c r="C533" s="224"/>
      <c r="D533" s="180" t="s">
        <v>269</v>
      </c>
      <c r="E533" s="424">
        <v>1</v>
      </c>
      <c r="F533" s="802">
        <v>171959</v>
      </c>
      <c r="G533" s="12"/>
      <c r="H533" s="12"/>
      <c r="I533" s="12">
        <f>2000+'[1]táj.2.'!I533</f>
        <v>2000</v>
      </c>
      <c r="J533" s="12"/>
      <c r="K533" s="12"/>
      <c r="L533" s="12"/>
      <c r="M533" s="12"/>
      <c r="N533" s="12"/>
      <c r="O533" s="12"/>
      <c r="P533" s="12"/>
      <c r="Q533" s="15">
        <f t="shared" si="32"/>
        <v>2000</v>
      </c>
    </row>
    <row r="534" spans="1:17" ht="15" customHeight="1">
      <c r="A534" s="101"/>
      <c r="B534" s="101"/>
      <c r="C534" s="224"/>
      <c r="D534" s="180" t="s">
        <v>273</v>
      </c>
      <c r="E534" s="424">
        <v>1</v>
      </c>
      <c r="F534" s="802">
        <v>171904</v>
      </c>
      <c r="G534" s="12"/>
      <c r="H534" s="12"/>
      <c r="I534" s="12">
        <f>4000+'[1]táj.2.'!I534</f>
        <v>4000</v>
      </c>
      <c r="J534" s="12"/>
      <c r="K534" s="12"/>
      <c r="L534" s="12"/>
      <c r="M534" s="12"/>
      <c r="N534" s="12"/>
      <c r="O534" s="12"/>
      <c r="P534" s="12"/>
      <c r="Q534" s="15">
        <f t="shared" si="32"/>
        <v>4000</v>
      </c>
    </row>
    <row r="535" spans="1:17" ht="13.5" customHeight="1">
      <c r="A535" s="101"/>
      <c r="B535" s="101"/>
      <c r="C535" s="224"/>
      <c r="D535" s="13" t="s">
        <v>1065</v>
      </c>
      <c r="E535" s="12">
        <v>1</v>
      </c>
      <c r="F535" s="90">
        <v>171902</v>
      </c>
      <c r="G535" s="12"/>
      <c r="H535" s="12"/>
      <c r="I535" s="12">
        <f>9000+'[1]táj.2.'!I535</f>
        <v>9000</v>
      </c>
      <c r="J535" s="12"/>
      <c r="K535" s="12"/>
      <c r="L535" s="12"/>
      <c r="M535" s="12"/>
      <c r="N535" s="12"/>
      <c r="O535" s="12"/>
      <c r="P535" s="12"/>
      <c r="Q535" s="15">
        <f t="shared" si="32"/>
        <v>9000</v>
      </c>
    </row>
    <row r="536" spans="1:17" ht="13.5" customHeight="1">
      <c r="A536" s="101"/>
      <c r="B536" s="101"/>
      <c r="C536" s="224"/>
      <c r="D536" s="13" t="s">
        <v>266</v>
      </c>
      <c r="E536" s="12">
        <v>1</v>
      </c>
      <c r="F536" s="90">
        <v>171925</v>
      </c>
      <c r="G536" s="12"/>
      <c r="H536" s="12"/>
      <c r="I536" s="12">
        <f>500+'[1]táj.2.'!I536</f>
        <v>500</v>
      </c>
      <c r="J536" s="12"/>
      <c r="K536" s="12"/>
      <c r="L536" s="12"/>
      <c r="M536" s="12"/>
      <c r="N536" s="12"/>
      <c r="O536" s="12"/>
      <c r="P536" s="12"/>
      <c r="Q536" s="15">
        <f t="shared" si="32"/>
        <v>500</v>
      </c>
    </row>
    <row r="537" spans="1:17" ht="13.5" customHeight="1">
      <c r="A537" s="101"/>
      <c r="B537" s="101"/>
      <c r="C537" s="224"/>
      <c r="D537" s="13" t="s">
        <v>313</v>
      </c>
      <c r="E537" s="12"/>
      <c r="F537" s="90"/>
      <c r="G537" s="12"/>
      <c r="H537" s="12"/>
      <c r="I537" s="12"/>
      <c r="J537" s="126"/>
      <c r="K537" s="126"/>
      <c r="L537" s="12"/>
      <c r="M537" s="12"/>
      <c r="N537" s="12"/>
      <c r="O537" s="12"/>
      <c r="P537" s="12"/>
      <c r="Q537" s="15"/>
    </row>
    <row r="538" spans="1:17" ht="13.5" customHeight="1">
      <c r="A538" s="101"/>
      <c r="B538" s="101"/>
      <c r="C538" s="224"/>
      <c r="D538" s="13" t="s">
        <v>831</v>
      </c>
      <c r="E538" s="12">
        <v>2</v>
      </c>
      <c r="F538" s="90">
        <v>171943</v>
      </c>
      <c r="G538" s="12"/>
      <c r="H538" s="12"/>
      <c r="I538" s="12"/>
      <c r="J538" s="12"/>
      <c r="K538" s="12">
        <f>400+'[1]táj.2.'!K538</f>
        <v>400</v>
      </c>
      <c r="L538" s="12"/>
      <c r="M538" s="12"/>
      <c r="N538" s="12"/>
      <c r="O538" s="12"/>
      <c r="P538" s="12"/>
      <c r="Q538" s="15">
        <f>SUM(G538:P538)</f>
        <v>400</v>
      </c>
    </row>
    <row r="539" spans="1:17" ht="13.5" customHeight="1">
      <c r="A539" s="91"/>
      <c r="B539" s="91"/>
      <c r="C539" s="221"/>
      <c r="D539" s="94" t="s">
        <v>654</v>
      </c>
      <c r="E539" s="95"/>
      <c r="F539" s="95"/>
      <c r="G539" s="99">
        <f aca="true" t="shared" si="33" ref="G539:N539">SUM(G526:G538)</f>
        <v>0</v>
      </c>
      <c r="H539" s="99">
        <f t="shared" si="33"/>
        <v>0</v>
      </c>
      <c r="I539" s="99">
        <f t="shared" si="33"/>
        <v>34600</v>
      </c>
      <c r="J539" s="99">
        <f t="shared" si="33"/>
        <v>0</v>
      </c>
      <c r="K539" s="99">
        <f t="shared" si="33"/>
        <v>400</v>
      </c>
      <c r="L539" s="99">
        <f t="shared" si="33"/>
        <v>0</v>
      </c>
      <c r="M539" s="99">
        <f t="shared" si="33"/>
        <v>0</v>
      </c>
      <c r="N539" s="99">
        <f t="shared" si="33"/>
        <v>0</v>
      </c>
      <c r="O539" s="99"/>
      <c r="P539" s="99">
        <f>SUM(P526:P538)</f>
        <v>0</v>
      </c>
      <c r="Q539" s="99">
        <f>SUM(Q526:Q538)</f>
        <v>35000</v>
      </c>
    </row>
    <row r="540" spans="1:17" ht="13.5" customHeight="1">
      <c r="A540" s="100"/>
      <c r="B540" s="100"/>
      <c r="C540" s="223"/>
      <c r="D540" s="129" t="s">
        <v>726</v>
      </c>
      <c r="E540" s="97"/>
      <c r="F540" s="97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</row>
    <row r="541" spans="1:17" ht="27.75" customHeight="1">
      <c r="A541" s="100"/>
      <c r="B541" s="100"/>
      <c r="C541" s="220" t="s">
        <v>1099</v>
      </c>
      <c r="D541" s="483" t="s">
        <v>727</v>
      </c>
      <c r="E541" s="295"/>
      <c r="F541" s="803">
        <v>174904</v>
      </c>
      <c r="G541" s="112"/>
      <c r="H541" s="112"/>
      <c r="I541" s="112"/>
      <c r="J541" s="112"/>
      <c r="K541" s="112"/>
      <c r="L541" s="112"/>
      <c r="M541" s="112"/>
      <c r="N541" s="112">
        <f>22000+'[1]táj.2.'!N541</f>
        <v>22000</v>
      </c>
      <c r="O541" s="112"/>
      <c r="P541" s="112"/>
      <c r="Q541" s="112">
        <f>SUM(G541:P541)</f>
        <v>22000</v>
      </c>
    </row>
    <row r="542" spans="1:17" ht="13.5" customHeight="1">
      <c r="A542" s="100"/>
      <c r="B542" s="100"/>
      <c r="C542" s="244"/>
      <c r="D542" s="245" t="s">
        <v>72</v>
      </c>
      <c r="E542" s="97"/>
      <c r="F542" s="90"/>
      <c r="G542" s="112"/>
      <c r="H542" s="93"/>
      <c r="I542" s="93"/>
      <c r="J542" s="93"/>
      <c r="K542" s="93"/>
      <c r="L542" s="93"/>
      <c r="M542" s="93"/>
      <c r="N542" s="93"/>
      <c r="O542" s="93"/>
      <c r="P542" s="93"/>
      <c r="Q542" s="112"/>
    </row>
    <row r="543" spans="1:17" ht="13.5" customHeight="1">
      <c r="A543" s="100"/>
      <c r="B543" s="100"/>
      <c r="C543" s="244" t="s">
        <v>374</v>
      </c>
      <c r="D543" s="268" t="s">
        <v>258</v>
      </c>
      <c r="E543" s="97"/>
      <c r="F543" s="90">
        <v>172912</v>
      </c>
      <c r="G543" s="112"/>
      <c r="H543" s="112"/>
      <c r="I543" s="112"/>
      <c r="J543" s="112"/>
      <c r="K543" s="112"/>
      <c r="L543" s="112">
        <f>45000+'[1]táj.2.'!L543</f>
        <v>45000</v>
      </c>
      <c r="M543" s="112"/>
      <c r="N543" s="112"/>
      <c r="O543" s="112"/>
      <c r="P543" s="112"/>
      <c r="Q543" s="112">
        <f aca="true" t="shared" si="34" ref="Q543:Q550">SUM(G543:P543)</f>
        <v>45000</v>
      </c>
    </row>
    <row r="544" spans="1:17" ht="27.75" customHeight="1">
      <c r="A544" s="100"/>
      <c r="B544" s="100"/>
      <c r="C544" s="244" t="s">
        <v>333</v>
      </c>
      <c r="D544" s="804" t="s">
        <v>1266</v>
      </c>
      <c r="E544" s="97"/>
      <c r="F544" s="90">
        <v>172904</v>
      </c>
      <c r="G544" s="112"/>
      <c r="H544" s="112"/>
      <c r="I544" s="112"/>
      <c r="J544" s="112"/>
      <c r="K544" s="112"/>
      <c r="L544" s="112">
        <f>43561+'[1]táj.2.'!L544</f>
        <v>43561</v>
      </c>
      <c r="M544" s="112"/>
      <c r="N544" s="112"/>
      <c r="O544" s="112"/>
      <c r="P544" s="112"/>
      <c r="Q544" s="112">
        <f t="shared" si="34"/>
        <v>43561</v>
      </c>
    </row>
    <row r="545" spans="1:17" ht="14.25" customHeight="1">
      <c r="A545" s="110"/>
      <c r="B545" s="110"/>
      <c r="C545" s="244" t="s">
        <v>334</v>
      </c>
      <c r="D545" s="296" t="s">
        <v>105</v>
      </c>
      <c r="E545" s="269"/>
      <c r="F545" s="803">
        <v>174905</v>
      </c>
      <c r="G545" s="112"/>
      <c r="H545" s="112"/>
      <c r="I545" s="112"/>
      <c r="J545" s="112"/>
      <c r="K545" s="112"/>
      <c r="L545" s="112"/>
      <c r="M545" s="112">
        <f>373+'[1]táj.2.'!M545</f>
        <v>373</v>
      </c>
      <c r="N545" s="112"/>
      <c r="O545" s="112"/>
      <c r="P545" s="112"/>
      <c r="Q545" s="112">
        <f t="shared" si="34"/>
        <v>373</v>
      </c>
    </row>
    <row r="546" spans="1:17" ht="14.25" customHeight="1">
      <c r="A546" s="110"/>
      <c r="B546" s="110"/>
      <c r="C546" s="244" t="s">
        <v>929</v>
      </c>
      <c r="D546" s="805" t="s">
        <v>104</v>
      </c>
      <c r="E546" s="102"/>
      <c r="F546" s="712">
        <v>174908</v>
      </c>
      <c r="G546" s="112"/>
      <c r="H546" s="112"/>
      <c r="I546" s="112"/>
      <c r="J546" s="112"/>
      <c r="K546" s="112"/>
      <c r="L546" s="112"/>
      <c r="M546" s="112"/>
      <c r="N546" s="112">
        <f>520+'[1]táj.2.'!N546</f>
        <v>520</v>
      </c>
      <c r="O546" s="112"/>
      <c r="P546" s="112"/>
      <c r="Q546" s="112">
        <f t="shared" si="34"/>
        <v>520</v>
      </c>
    </row>
    <row r="547" spans="1:17" ht="14.25" customHeight="1">
      <c r="A547" s="110"/>
      <c r="B547" s="110"/>
      <c r="C547" s="244" t="s">
        <v>930</v>
      </c>
      <c r="D547" s="187" t="s">
        <v>648</v>
      </c>
      <c r="E547" s="102"/>
      <c r="F547" s="712">
        <v>162652</v>
      </c>
      <c r="G547" s="112"/>
      <c r="H547" s="112"/>
      <c r="I547" s="112"/>
      <c r="J547" s="112"/>
      <c r="K547" s="112"/>
      <c r="L547" s="112">
        <f>18000+'[1]táj.2.'!L547</f>
        <v>18000</v>
      </c>
      <c r="M547" s="112"/>
      <c r="N547" s="112"/>
      <c r="O547" s="112"/>
      <c r="P547" s="112"/>
      <c r="Q547" s="112">
        <f t="shared" si="34"/>
        <v>18000</v>
      </c>
    </row>
    <row r="548" spans="1:17" ht="14.25" customHeight="1">
      <c r="A548" s="110"/>
      <c r="B548" s="110"/>
      <c r="C548" s="244" t="s">
        <v>394</v>
      </c>
      <c r="D548" s="187" t="s">
        <v>882</v>
      </c>
      <c r="E548" s="102"/>
      <c r="F548" s="712">
        <v>162603</v>
      </c>
      <c r="G548" s="112"/>
      <c r="H548" s="112"/>
      <c r="I548" s="112"/>
      <c r="J548" s="112"/>
      <c r="K548" s="112"/>
      <c r="L548" s="112">
        <f>35000+'[1]táj.2.'!L548</f>
        <v>35000</v>
      </c>
      <c r="M548" s="112"/>
      <c r="N548" s="112"/>
      <c r="O548" s="112"/>
      <c r="P548" s="112"/>
      <c r="Q548" s="112">
        <f t="shared" si="34"/>
        <v>35000</v>
      </c>
    </row>
    <row r="549" spans="1:17" ht="27" customHeight="1">
      <c r="A549" s="110"/>
      <c r="B549" s="110"/>
      <c r="C549" s="244" t="s">
        <v>395</v>
      </c>
      <c r="D549" s="258" t="s">
        <v>883</v>
      </c>
      <c r="E549" s="102"/>
      <c r="F549" s="712">
        <v>162676</v>
      </c>
      <c r="G549" s="112"/>
      <c r="H549" s="112"/>
      <c r="I549" s="112"/>
      <c r="J549" s="112"/>
      <c r="K549" s="112"/>
      <c r="L549" s="112">
        <f>2500+'[1]táj.2.'!L549</f>
        <v>2500</v>
      </c>
      <c r="M549" s="112"/>
      <c r="N549" s="112"/>
      <c r="O549" s="112"/>
      <c r="P549" s="112"/>
      <c r="Q549" s="112">
        <f t="shared" si="34"/>
        <v>2500</v>
      </c>
    </row>
    <row r="550" spans="1:17" ht="14.25" customHeight="1">
      <c r="A550" s="110"/>
      <c r="B550" s="110"/>
      <c r="C550" s="244" t="s">
        <v>396</v>
      </c>
      <c r="D550" s="189" t="s">
        <v>332</v>
      </c>
      <c r="E550" s="102"/>
      <c r="F550" s="712">
        <v>162631</v>
      </c>
      <c r="G550" s="112"/>
      <c r="H550" s="112"/>
      <c r="I550" s="112"/>
      <c r="J550" s="112"/>
      <c r="K550" s="112"/>
      <c r="L550" s="112">
        <f>9000+'[1]táj.2.'!L550</f>
        <v>9000</v>
      </c>
      <c r="M550" s="112"/>
      <c r="N550" s="112"/>
      <c r="O550" s="112"/>
      <c r="P550" s="112"/>
      <c r="Q550" s="112">
        <f t="shared" si="34"/>
        <v>9000</v>
      </c>
    </row>
    <row r="551" spans="1:17" ht="13.5" customHeight="1">
      <c r="A551" s="91"/>
      <c r="B551" s="91"/>
      <c r="C551" s="221"/>
      <c r="D551" s="94" t="s">
        <v>846</v>
      </c>
      <c r="E551" s="95"/>
      <c r="F551" s="806"/>
      <c r="G551" s="99">
        <f aca="true" t="shared" si="35" ref="G551:Q551">SUM(G539:G550)</f>
        <v>0</v>
      </c>
      <c r="H551" s="99">
        <f t="shared" si="35"/>
        <v>0</v>
      </c>
      <c r="I551" s="99">
        <f t="shared" si="35"/>
        <v>34600</v>
      </c>
      <c r="J551" s="99">
        <f t="shared" si="35"/>
        <v>0</v>
      </c>
      <c r="K551" s="99">
        <f t="shared" si="35"/>
        <v>400</v>
      </c>
      <c r="L551" s="99">
        <f t="shared" si="35"/>
        <v>153061</v>
      </c>
      <c r="M551" s="99">
        <f t="shared" si="35"/>
        <v>373</v>
      </c>
      <c r="N551" s="99">
        <f t="shared" si="35"/>
        <v>22520</v>
      </c>
      <c r="O551" s="99">
        <f t="shared" si="35"/>
        <v>0</v>
      </c>
      <c r="P551" s="99">
        <f t="shared" si="35"/>
        <v>0</v>
      </c>
      <c r="Q551" s="99">
        <f t="shared" si="35"/>
        <v>210954</v>
      </c>
    </row>
    <row r="552" spans="1:17" ht="13.5" customHeight="1">
      <c r="A552" s="101">
        <v>1</v>
      </c>
      <c r="B552" s="101">
        <v>18</v>
      </c>
      <c r="C552" s="224"/>
      <c r="D552" s="18" t="s">
        <v>655</v>
      </c>
      <c r="E552" s="17"/>
      <c r="F552" s="17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1:17" ht="13.5" customHeight="1">
      <c r="A553" s="101"/>
      <c r="B553" s="101"/>
      <c r="C553" s="224"/>
      <c r="D553" s="14" t="s">
        <v>344</v>
      </c>
      <c r="E553" s="130"/>
      <c r="F553" s="749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3.5" customHeight="1">
      <c r="A554" s="101"/>
      <c r="B554" s="101"/>
      <c r="C554" s="224"/>
      <c r="D554" s="14" t="s">
        <v>197</v>
      </c>
      <c r="E554" s="12">
        <v>2</v>
      </c>
      <c r="F554" s="90">
        <v>181905</v>
      </c>
      <c r="G554" s="15"/>
      <c r="H554" s="15"/>
      <c r="I554" s="15">
        <f>8000+'[1]táj.2.'!I554</f>
        <v>8000</v>
      </c>
      <c r="J554" s="15"/>
      <c r="K554" s="15"/>
      <c r="L554" s="15"/>
      <c r="M554" s="15"/>
      <c r="N554" s="15"/>
      <c r="O554" s="15"/>
      <c r="P554" s="15"/>
      <c r="Q554" s="15">
        <f>SUM(G554:P554)</f>
        <v>8000</v>
      </c>
    </row>
    <row r="555" spans="1:17" ht="27.75" customHeight="1">
      <c r="A555" s="101"/>
      <c r="B555" s="101"/>
      <c r="C555" s="224"/>
      <c r="D555" s="180" t="s">
        <v>713</v>
      </c>
      <c r="E555" s="12">
        <v>1</v>
      </c>
      <c r="F555" s="90">
        <v>181901</v>
      </c>
      <c r="G555" s="15"/>
      <c r="H555" s="15"/>
      <c r="I555" s="15">
        <f>27650+'[1]táj.2.'!I555</f>
        <v>27650</v>
      </c>
      <c r="J555" s="15"/>
      <c r="K555" s="15"/>
      <c r="L555" s="15"/>
      <c r="M555" s="15"/>
      <c r="N555" s="15"/>
      <c r="O555" s="15"/>
      <c r="P555" s="15"/>
      <c r="Q555" s="15">
        <f>SUM(G555:P555)</f>
        <v>27650</v>
      </c>
    </row>
    <row r="556" spans="1:17" ht="13.5" customHeight="1">
      <c r="A556" s="101"/>
      <c r="B556" s="101"/>
      <c r="C556" s="224"/>
      <c r="D556" s="13" t="s">
        <v>274</v>
      </c>
      <c r="E556" s="12">
        <v>1</v>
      </c>
      <c r="F556" s="90">
        <v>181906</v>
      </c>
      <c r="G556" s="15"/>
      <c r="H556" s="15"/>
      <c r="I556" s="15">
        <f>1397+'[1]táj.2.'!I556</f>
        <v>1397</v>
      </c>
      <c r="J556" s="15"/>
      <c r="K556" s="15"/>
      <c r="L556" s="15"/>
      <c r="M556" s="15"/>
      <c r="N556" s="15"/>
      <c r="O556" s="15"/>
      <c r="P556" s="15"/>
      <c r="Q556" s="15">
        <f>SUM(G556:P556)</f>
        <v>1397</v>
      </c>
    </row>
    <row r="557" spans="1:17" ht="15" customHeight="1">
      <c r="A557" s="101"/>
      <c r="B557" s="101"/>
      <c r="C557" s="224"/>
      <c r="D557" s="714" t="s">
        <v>284</v>
      </c>
      <c r="E557" s="409"/>
      <c r="F557" s="64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24.75" customHeight="1">
      <c r="A558" s="101"/>
      <c r="B558" s="101"/>
      <c r="C558" s="224"/>
      <c r="D558" s="213" t="s">
        <v>657</v>
      </c>
      <c r="E558" s="407">
        <v>1</v>
      </c>
      <c r="F558" s="712">
        <v>181907</v>
      </c>
      <c r="G558" s="15"/>
      <c r="H558" s="15"/>
      <c r="I558" s="15">
        <f>4255+'[1]táj.2.'!I558</f>
        <v>4255</v>
      </c>
      <c r="J558" s="15"/>
      <c r="K558" s="15"/>
      <c r="L558" s="15"/>
      <c r="M558" s="15"/>
      <c r="N558" s="15"/>
      <c r="O558" s="15"/>
      <c r="P558" s="15"/>
      <c r="Q558" s="15">
        <f>SUM(G558:P558)</f>
        <v>4255</v>
      </c>
    </row>
    <row r="559" spans="1:17" ht="12.75" customHeight="1">
      <c r="A559" s="101"/>
      <c r="B559" s="101"/>
      <c r="C559" s="224"/>
      <c r="D559" s="213" t="s">
        <v>1309</v>
      </c>
      <c r="E559" s="407">
        <v>1</v>
      </c>
      <c r="F559" s="712">
        <v>181909</v>
      </c>
      <c r="G559" s="15"/>
      <c r="H559" s="15"/>
      <c r="I559" s="15">
        <f>724+'[1]táj.2.'!I559</f>
        <v>724</v>
      </c>
      <c r="J559" s="15"/>
      <c r="K559" s="15"/>
      <c r="L559" s="15"/>
      <c r="M559" s="15"/>
      <c r="N559" s="15"/>
      <c r="O559" s="15"/>
      <c r="P559" s="15"/>
      <c r="Q559" s="15">
        <f>SUM(G559:P559)</f>
        <v>724</v>
      </c>
    </row>
    <row r="560" spans="1:17" ht="17.25" customHeight="1">
      <c r="A560" s="101"/>
      <c r="B560" s="101"/>
      <c r="C560" s="224"/>
      <c r="D560" s="213" t="s">
        <v>1308</v>
      </c>
      <c r="E560" s="407">
        <v>1</v>
      </c>
      <c r="F560" s="712">
        <v>181913</v>
      </c>
      <c r="G560" s="15"/>
      <c r="H560" s="15"/>
      <c r="I560" s="15">
        <f>300+'[1]táj.2.'!I560</f>
        <v>300</v>
      </c>
      <c r="J560" s="15"/>
      <c r="K560" s="15"/>
      <c r="L560" s="15"/>
      <c r="M560" s="15"/>
      <c r="N560" s="15"/>
      <c r="O560" s="15"/>
      <c r="P560" s="15"/>
      <c r="Q560" s="15">
        <f>SUM(G560:P560)</f>
        <v>300</v>
      </c>
    </row>
    <row r="561" spans="1:17" ht="15" customHeight="1">
      <c r="A561" s="101"/>
      <c r="B561" s="101"/>
      <c r="C561" s="224"/>
      <c r="D561" s="213" t="s">
        <v>314</v>
      </c>
      <c r="E561" s="407"/>
      <c r="F561" s="712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5" customHeight="1">
      <c r="A562" s="101"/>
      <c r="B562" s="101"/>
      <c r="C562" s="224"/>
      <c r="D562" s="213" t="s">
        <v>1401</v>
      </c>
      <c r="E562" s="407">
        <v>1</v>
      </c>
      <c r="F562" s="712">
        <v>181902</v>
      </c>
      <c r="G562" s="15"/>
      <c r="H562" s="15"/>
      <c r="I562" s="15">
        <f>200+'[1]táj.2.'!I562</f>
        <v>200</v>
      </c>
      <c r="J562" s="15"/>
      <c r="K562" s="15"/>
      <c r="L562" s="15"/>
      <c r="M562" s="15"/>
      <c r="N562" s="15"/>
      <c r="O562" s="15"/>
      <c r="P562" s="15"/>
      <c r="Q562" s="15">
        <f>SUM(G562:P562)</f>
        <v>200</v>
      </c>
    </row>
    <row r="563" spans="1:17" ht="13.5" customHeight="1">
      <c r="A563" s="116"/>
      <c r="B563" s="116"/>
      <c r="C563" s="116"/>
      <c r="D563" s="14" t="s">
        <v>1066</v>
      </c>
      <c r="E563" s="15">
        <v>1</v>
      </c>
      <c r="F563" s="712">
        <v>181904</v>
      </c>
      <c r="G563" s="15"/>
      <c r="H563" s="15"/>
      <c r="I563" s="15">
        <f>150+'[1]táj.2.'!I563</f>
        <v>150</v>
      </c>
      <c r="J563" s="15"/>
      <c r="K563" s="15"/>
      <c r="L563" s="15"/>
      <c r="M563" s="15"/>
      <c r="N563" s="15"/>
      <c r="O563" s="15"/>
      <c r="P563" s="15"/>
      <c r="Q563" s="15">
        <f>SUM(G563:P563)</f>
        <v>150</v>
      </c>
    </row>
    <row r="564" spans="1:17" ht="15" customHeight="1">
      <c r="A564" s="99"/>
      <c r="B564" s="99"/>
      <c r="C564" s="94"/>
      <c r="D564" s="94" t="s">
        <v>1243</v>
      </c>
      <c r="E564" s="95"/>
      <c r="F564" s="95"/>
      <c r="G564" s="99"/>
      <c r="H564" s="99"/>
      <c r="I564" s="99">
        <f aca="true" t="shared" si="36" ref="I564:N564">SUM(I552:I563)</f>
        <v>42676</v>
      </c>
      <c r="J564" s="99">
        <f t="shared" si="36"/>
        <v>0</v>
      </c>
      <c r="K564" s="99">
        <f t="shared" si="36"/>
        <v>0</v>
      </c>
      <c r="L564" s="99">
        <f t="shared" si="36"/>
        <v>0</v>
      </c>
      <c r="M564" s="99">
        <f t="shared" si="36"/>
        <v>0</v>
      </c>
      <c r="N564" s="99">
        <f t="shared" si="36"/>
        <v>0</v>
      </c>
      <c r="O564" s="99"/>
      <c r="P564" s="99">
        <f>SUM(P552:P563)</f>
        <v>0</v>
      </c>
      <c r="Q564" s="99">
        <f>SUM(Q552:Q563)</f>
        <v>42676</v>
      </c>
    </row>
    <row r="565" spans="1:17" ht="15" customHeight="1">
      <c r="A565" s="93"/>
      <c r="B565" s="93"/>
      <c r="C565" s="207"/>
      <c r="D565" s="270" t="s">
        <v>728</v>
      </c>
      <c r="E565" s="97"/>
      <c r="F565" s="97"/>
      <c r="G565" s="93"/>
      <c r="H565" s="93"/>
      <c r="I565" s="93"/>
      <c r="J565" s="93"/>
      <c r="K565" s="93"/>
      <c r="L565" s="12"/>
      <c r="M565" s="12"/>
      <c r="N565" s="12"/>
      <c r="O565" s="12"/>
      <c r="P565" s="12"/>
      <c r="Q565" s="12"/>
    </row>
    <row r="566" spans="1:17" ht="15" customHeight="1">
      <c r="A566" s="93"/>
      <c r="B566" s="93"/>
      <c r="C566" s="223" t="s">
        <v>1099</v>
      </c>
      <c r="D566" s="113" t="s">
        <v>1182</v>
      </c>
      <c r="E566" s="97"/>
      <c r="F566" s="90">
        <v>182903</v>
      </c>
      <c r="G566" s="12"/>
      <c r="H566" s="12"/>
      <c r="I566" s="12"/>
      <c r="J566" s="12"/>
      <c r="K566" s="12"/>
      <c r="L566" s="12">
        <f>700+'[1]táj.2.'!L566</f>
        <v>700</v>
      </c>
      <c r="M566" s="12"/>
      <c r="N566" s="12"/>
      <c r="O566" s="12"/>
      <c r="P566" s="12"/>
      <c r="Q566" s="12">
        <f>SUM(G566:P566)</f>
        <v>700</v>
      </c>
    </row>
    <row r="567" spans="1:17" ht="15" customHeight="1">
      <c r="A567" s="93"/>
      <c r="B567" s="93"/>
      <c r="C567" s="223"/>
      <c r="D567" s="113" t="s">
        <v>647</v>
      </c>
      <c r="E567" s="97"/>
      <c r="F567" s="90"/>
      <c r="G567" s="12"/>
      <c r="H567" s="93"/>
      <c r="I567" s="93"/>
      <c r="J567" s="93"/>
      <c r="K567" s="93"/>
      <c r="L567" s="12"/>
      <c r="M567" s="12"/>
      <c r="N567" s="12"/>
      <c r="O567" s="12"/>
      <c r="P567" s="12"/>
      <c r="Q567" s="12"/>
    </row>
    <row r="568" spans="1:17" ht="15" customHeight="1">
      <c r="A568" s="93"/>
      <c r="B568" s="93"/>
      <c r="C568" s="223" t="s">
        <v>854</v>
      </c>
      <c r="D568" s="791" t="s">
        <v>1024</v>
      </c>
      <c r="E568" s="97"/>
      <c r="F568" s="90">
        <v>182904</v>
      </c>
      <c r="G568" s="12"/>
      <c r="H568" s="12"/>
      <c r="I568" s="12"/>
      <c r="J568" s="12"/>
      <c r="K568" s="12"/>
      <c r="L568" s="12">
        <f>500+'[1]táj.2.'!L568</f>
        <v>500</v>
      </c>
      <c r="M568" s="12"/>
      <c r="N568" s="12"/>
      <c r="O568" s="12"/>
      <c r="P568" s="12"/>
      <c r="Q568" s="12">
        <f>SUM(L568:P568)</f>
        <v>500</v>
      </c>
    </row>
    <row r="569" spans="1:17" ht="15" customHeight="1">
      <c r="A569" s="99"/>
      <c r="B569" s="99"/>
      <c r="C569" s="94"/>
      <c r="D569" s="94" t="s">
        <v>1403</v>
      </c>
      <c r="E569" s="95"/>
      <c r="F569" s="95"/>
      <c r="G569" s="99">
        <f aca="true" t="shared" si="37" ref="G569:Q569">SUM(G564:G568)</f>
        <v>0</v>
      </c>
      <c r="H569" s="99">
        <f t="shared" si="37"/>
        <v>0</v>
      </c>
      <c r="I569" s="99">
        <f t="shared" si="37"/>
        <v>42676</v>
      </c>
      <c r="J569" s="99">
        <f t="shared" si="37"/>
        <v>0</v>
      </c>
      <c r="K569" s="99">
        <f t="shared" si="37"/>
        <v>0</v>
      </c>
      <c r="L569" s="99">
        <f t="shared" si="37"/>
        <v>1200</v>
      </c>
      <c r="M569" s="99">
        <f t="shared" si="37"/>
        <v>0</v>
      </c>
      <c r="N569" s="99">
        <f t="shared" si="37"/>
        <v>0</v>
      </c>
      <c r="O569" s="99">
        <f t="shared" si="37"/>
        <v>0</v>
      </c>
      <c r="P569" s="99">
        <f t="shared" si="37"/>
        <v>0</v>
      </c>
      <c r="Q569" s="99">
        <f t="shared" si="37"/>
        <v>43876</v>
      </c>
    </row>
    <row r="570" spans="1:17" ht="15" customHeight="1">
      <c r="A570" s="101">
        <v>1</v>
      </c>
      <c r="B570" s="101">
        <v>19</v>
      </c>
      <c r="C570" s="224"/>
      <c r="D570" s="18" t="s">
        <v>1404</v>
      </c>
      <c r="E570" s="102"/>
      <c r="F570" s="749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5" customHeight="1">
      <c r="A571" s="101"/>
      <c r="B571" s="101"/>
      <c r="C571" s="224"/>
      <c r="D571" s="103" t="s">
        <v>315</v>
      </c>
      <c r="E571" s="130"/>
      <c r="F571" s="749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5" customHeight="1">
      <c r="A572" s="101"/>
      <c r="B572" s="101"/>
      <c r="C572" s="224"/>
      <c r="D572" s="14" t="s">
        <v>709</v>
      </c>
      <c r="E572" s="407">
        <v>1</v>
      </c>
      <c r="F572" s="712">
        <v>191101</v>
      </c>
      <c r="G572" s="15"/>
      <c r="H572" s="15"/>
      <c r="I572" s="15">
        <f>10000+'[1]táj.2.'!I572</f>
        <v>10000</v>
      </c>
      <c r="J572" s="15"/>
      <c r="K572" s="15"/>
      <c r="L572" s="15"/>
      <c r="M572" s="15"/>
      <c r="N572" s="15"/>
      <c r="O572" s="15"/>
      <c r="P572" s="15"/>
      <c r="Q572" s="15">
        <f>SUM(G572:P572)</f>
        <v>10000</v>
      </c>
    </row>
    <row r="573" spans="1:17" ht="15" customHeight="1">
      <c r="A573" s="101"/>
      <c r="B573" s="101"/>
      <c r="C573" s="224"/>
      <c r="D573" s="714" t="s">
        <v>284</v>
      </c>
      <c r="E573" s="409"/>
      <c r="F573" s="719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5" customHeight="1">
      <c r="A574" s="101"/>
      <c r="B574" s="101"/>
      <c r="C574" s="224"/>
      <c r="D574" s="14" t="s">
        <v>0</v>
      </c>
      <c r="E574" s="407">
        <v>1</v>
      </c>
      <c r="F574" s="712">
        <v>191102</v>
      </c>
      <c r="G574" s="15"/>
      <c r="H574" s="15"/>
      <c r="I574" s="15">
        <f>20000+'[1]táj.2.'!I574</f>
        <v>20000</v>
      </c>
      <c r="J574" s="15"/>
      <c r="K574" s="15"/>
      <c r="L574" s="15"/>
      <c r="M574" s="15"/>
      <c r="N574" s="15"/>
      <c r="O574" s="15"/>
      <c r="P574" s="15"/>
      <c r="Q574" s="15">
        <f>SUM(G574:P574)</f>
        <v>20000</v>
      </c>
    </row>
    <row r="575" spans="1:17" ht="15" customHeight="1">
      <c r="A575" s="101"/>
      <c r="B575" s="101"/>
      <c r="C575" s="224"/>
      <c r="D575" s="14" t="s">
        <v>1</v>
      </c>
      <c r="E575" s="15">
        <v>1</v>
      </c>
      <c r="F575" s="712">
        <v>191103</v>
      </c>
      <c r="G575" s="15"/>
      <c r="H575" s="15"/>
      <c r="I575" s="15">
        <f>238762+'[1]táj.2.'!I575</f>
        <v>238762</v>
      </c>
      <c r="J575" s="15"/>
      <c r="K575" s="15"/>
      <c r="L575" s="15"/>
      <c r="M575" s="15"/>
      <c r="N575" s="15"/>
      <c r="O575" s="15"/>
      <c r="P575" s="15"/>
      <c r="Q575" s="15">
        <f>SUM(G575:P575)</f>
        <v>238762</v>
      </c>
    </row>
    <row r="576" spans="1:17" ht="15" customHeight="1">
      <c r="A576" s="101"/>
      <c r="B576" s="101"/>
      <c r="C576" s="224"/>
      <c r="D576" s="14" t="s">
        <v>3</v>
      </c>
      <c r="E576" s="15">
        <v>1</v>
      </c>
      <c r="F576" s="712">
        <v>191105</v>
      </c>
      <c r="G576" s="15"/>
      <c r="H576" s="15"/>
      <c r="I576" s="15">
        <f>2900+'[1]táj.2.'!I576</f>
        <v>2900</v>
      </c>
      <c r="J576" s="15"/>
      <c r="K576" s="15"/>
      <c r="L576" s="15"/>
      <c r="M576" s="15"/>
      <c r="N576" s="15"/>
      <c r="O576" s="15"/>
      <c r="P576" s="15"/>
      <c r="Q576" s="15">
        <f>SUM(G576:P576)</f>
        <v>2900</v>
      </c>
    </row>
    <row r="577" spans="1:17" ht="15" customHeight="1">
      <c r="A577" s="101"/>
      <c r="B577" s="101"/>
      <c r="C577" s="224"/>
      <c r="D577" s="14" t="s">
        <v>402</v>
      </c>
      <c r="E577" s="15">
        <v>1</v>
      </c>
      <c r="F577" s="712">
        <v>196901</v>
      </c>
      <c r="G577" s="15"/>
      <c r="H577" s="15"/>
      <c r="I577" s="15">
        <f>400+'[1]táj.2.'!I577</f>
        <v>400</v>
      </c>
      <c r="J577" s="15"/>
      <c r="K577" s="15"/>
      <c r="L577" s="15"/>
      <c r="M577" s="15"/>
      <c r="N577" s="15">
        <f>4600+'[1]táj.2.'!N577</f>
        <v>4600</v>
      </c>
      <c r="O577" s="15"/>
      <c r="P577" s="15"/>
      <c r="Q577" s="15">
        <f>SUM(G577:P577)</f>
        <v>5000</v>
      </c>
    </row>
    <row r="578" spans="1:17" ht="15" customHeight="1">
      <c r="A578" s="101"/>
      <c r="B578" s="101"/>
      <c r="C578" s="224"/>
      <c r="D578" s="14" t="s">
        <v>344</v>
      </c>
      <c r="E578" s="15"/>
      <c r="F578" s="235"/>
      <c r="G578" s="15"/>
      <c r="H578" s="15"/>
      <c r="I578" s="12"/>
      <c r="J578" s="15"/>
      <c r="K578" s="15"/>
      <c r="L578" s="15"/>
      <c r="M578" s="15"/>
      <c r="N578" s="15"/>
      <c r="O578" s="15"/>
      <c r="P578" s="15"/>
      <c r="Q578" s="15"/>
    </row>
    <row r="579" spans="1:17" ht="15" customHeight="1">
      <c r="A579" s="101"/>
      <c r="B579" s="101"/>
      <c r="C579" s="224"/>
      <c r="D579" s="14" t="s">
        <v>2</v>
      </c>
      <c r="E579" s="15">
        <v>1</v>
      </c>
      <c r="F579" s="712">
        <v>191104</v>
      </c>
      <c r="G579" s="15"/>
      <c r="H579" s="15"/>
      <c r="I579" s="15">
        <f>5000+'[1]táj.2.'!I579</f>
        <v>5000</v>
      </c>
      <c r="J579" s="15"/>
      <c r="K579" s="15"/>
      <c r="L579" s="15"/>
      <c r="M579" s="15"/>
      <c r="N579" s="15"/>
      <c r="O579" s="15"/>
      <c r="P579" s="15"/>
      <c r="Q579" s="15">
        <f>SUM(G579:P579)</f>
        <v>5000</v>
      </c>
    </row>
    <row r="580" spans="1:17" ht="13.5" customHeight="1">
      <c r="A580" s="101"/>
      <c r="B580" s="101"/>
      <c r="C580" s="224"/>
      <c r="D580" s="113" t="s">
        <v>317</v>
      </c>
      <c r="E580" s="15"/>
      <c r="F580" s="23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3.5" customHeight="1">
      <c r="A581" s="101"/>
      <c r="B581" s="101"/>
      <c r="C581" s="224"/>
      <c r="D581" s="14" t="s">
        <v>224</v>
      </c>
      <c r="E581" s="15">
        <v>2</v>
      </c>
      <c r="F581" s="712">
        <v>191109</v>
      </c>
      <c r="G581" s="15"/>
      <c r="H581" s="15"/>
      <c r="I581" s="15"/>
      <c r="J581" s="15"/>
      <c r="K581" s="15">
        <f>3500+'[1]táj.2.'!K581</f>
        <v>3500</v>
      </c>
      <c r="L581" s="15"/>
      <c r="M581" s="15"/>
      <c r="N581" s="15"/>
      <c r="O581" s="15"/>
      <c r="P581" s="15"/>
      <c r="Q581" s="15">
        <f>SUM(G581:P581)</f>
        <v>3500</v>
      </c>
    </row>
    <row r="582" spans="1:17" ht="13.5" customHeight="1">
      <c r="A582" s="101"/>
      <c r="B582" s="101"/>
      <c r="C582" s="224"/>
      <c r="D582" s="14" t="s">
        <v>318</v>
      </c>
      <c r="E582" s="15"/>
      <c r="F582" s="235"/>
      <c r="G582" s="15"/>
      <c r="H582" s="12"/>
      <c r="I582" s="12"/>
      <c r="J582" s="12"/>
      <c r="K582" s="12"/>
      <c r="L582" s="15"/>
      <c r="M582" s="15"/>
      <c r="N582" s="15"/>
      <c r="O582" s="15"/>
      <c r="P582" s="15"/>
      <c r="Q582" s="15"/>
    </row>
    <row r="583" spans="1:17" ht="13.5" customHeight="1">
      <c r="A583" s="101"/>
      <c r="B583" s="101"/>
      <c r="C583" s="224"/>
      <c r="D583" s="14" t="s">
        <v>6</v>
      </c>
      <c r="E583" s="15">
        <v>2</v>
      </c>
      <c r="F583" s="712">
        <v>191401</v>
      </c>
      <c r="G583" s="15"/>
      <c r="H583" s="15"/>
      <c r="I583" s="15"/>
      <c r="J583" s="15"/>
      <c r="K583" s="15">
        <f>3000+'[1]táj.2.'!K583</f>
        <v>3000</v>
      </c>
      <c r="L583" s="15"/>
      <c r="M583" s="15"/>
      <c r="N583" s="15"/>
      <c r="O583" s="15"/>
      <c r="P583" s="15"/>
      <c r="Q583" s="15">
        <f>SUM(G583:P583)</f>
        <v>3000</v>
      </c>
    </row>
    <row r="584" spans="1:17" ht="15" customHeight="1">
      <c r="A584" s="101"/>
      <c r="B584" s="101"/>
      <c r="C584" s="224"/>
      <c r="D584" s="714" t="s">
        <v>284</v>
      </c>
      <c r="E584" s="409"/>
      <c r="F584" s="719"/>
      <c r="G584" s="15"/>
      <c r="H584" s="12"/>
      <c r="I584" s="12"/>
      <c r="J584" s="12"/>
      <c r="K584" s="12"/>
      <c r="L584" s="15"/>
      <c r="M584" s="15"/>
      <c r="N584" s="15"/>
      <c r="O584" s="15"/>
      <c r="P584" s="15"/>
      <c r="Q584" s="15"/>
    </row>
    <row r="585" spans="1:17" ht="24.75" customHeight="1">
      <c r="A585" s="101"/>
      <c r="B585" s="101"/>
      <c r="C585" s="224"/>
      <c r="D585" s="162" t="s">
        <v>1023</v>
      </c>
      <c r="E585" s="407">
        <v>1</v>
      </c>
      <c r="F585" s="712">
        <v>191905</v>
      </c>
      <c r="G585" s="15"/>
      <c r="H585" s="15"/>
      <c r="I585" s="15"/>
      <c r="J585" s="15"/>
      <c r="K585" s="15">
        <f>361379+'[1]táj.2.'!K585</f>
        <v>362129</v>
      </c>
      <c r="L585" s="15"/>
      <c r="M585" s="15"/>
      <c r="N585" s="15"/>
      <c r="O585" s="15"/>
      <c r="P585" s="15"/>
      <c r="Q585" s="15">
        <f>SUM(G585:P585)</f>
        <v>362129</v>
      </c>
    </row>
    <row r="586" spans="1:17" ht="24.75" customHeight="1">
      <c r="A586" s="101"/>
      <c r="B586" s="101"/>
      <c r="C586" s="224"/>
      <c r="D586" s="213" t="s">
        <v>597</v>
      </c>
      <c r="E586" s="407">
        <v>1</v>
      </c>
      <c r="F586" s="90">
        <v>191128</v>
      </c>
      <c r="G586" s="15"/>
      <c r="H586" s="15"/>
      <c r="I586" s="15"/>
      <c r="J586" s="15"/>
      <c r="K586" s="15">
        <f>'[1]táj.2.'!K586</f>
        <v>4167</v>
      </c>
      <c r="L586" s="15"/>
      <c r="M586" s="15"/>
      <c r="N586" s="15"/>
      <c r="O586" s="15"/>
      <c r="P586" s="15"/>
      <c r="Q586" s="15">
        <f>SUM(G586:P586)</f>
        <v>4167</v>
      </c>
    </row>
    <row r="587" spans="1:17" ht="13.5" customHeight="1">
      <c r="A587" s="101"/>
      <c r="B587" s="101"/>
      <c r="C587" s="224"/>
      <c r="D587" s="14" t="s">
        <v>319</v>
      </c>
      <c r="E587" s="407"/>
      <c r="F587" s="23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3.5" customHeight="1">
      <c r="A588" s="101"/>
      <c r="B588" s="101"/>
      <c r="C588" s="224"/>
      <c r="D588" s="14" t="s">
        <v>406</v>
      </c>
      <c r="E588" s="15">
        <v>2</v>
      </c>
      <c r="F588" s="712">
        <v>191151</v>
      </c>
      <c r="G588" s="15"/>
      <c r="H588" s="15"/>
      <c r="I588" s="15"/>
      <c r="J588" s="15"/>
      <c r="K588" s="15">
        <f>50000+'[1]táj.2.'!K588</f>
        <v>50000</v>
      </c>
      <c r="L588" s="15"/>
      <c r="M588" s="15"/>
      <c r="N588" s="15"/>
      <c r="O588" s="15"/>
      <c r="P588" s="15"/>
      <c r="Q588" s="15">
        <f>SUM(G588:P588)</f>
        <v>50000</v>
      </c>
    </row>
    <row r="589" spans="1:17" ht="15" customHeight="1">
      <c r="A589" s="101"/>
      <c r="B589" s="101"/>
      <c r="C589" s="224"/>
      <c r="D589" s="714" t="s">
        <v>284</v>
      </c>
      <c r="E589" s="409"/>
      <c r="F589" s="719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3.5" customHeight="1">
      <c r="A590" s="101"/>
      <c r="B590" s="101"/>
      <c r="C590" s="224"/>
      <c r="D590" s="14" t="s">
        <v>710</v>
      </c>
      <c r="E590" s="15">
        <v>1</v>
      </c>
      <c r="F590" s="712">
        <v>191121</v>
      </c>
      <c r="G590" s="15"/>
      <c r="H590" s="15"/>
      <c r="I590" s="15">
        <f>13000+'[1]táj.2.'!I590</f>
        <v>13000</v>
      </c>
      <c r="J590" s="15"/>
      <c r="K590" s="15"/>
      <c r="L590" s="15"/>
      <c r="M590" s="15"/>
      <c r="N590" s="15"/>
      <c r="O590" s="15"/>
      <c r="P590" s="15"/>
      <c r="Q590" s="15">
        <f>SUM(G590:P590)</f>
        <v>13000</v>
      </c>
    </row>
    <row r="591" spans="1:17" ht="13.5" customHeight="1">
      <c r="A591" s="101"/>
      <c r="B591" s="101"/>
      <c r="C591" s="224"/>
      <c r="D591" s="14" t="s">
        <v>345</v>
      </c>
      <c r="E591" s="407"/>
      <c r="F591" s="23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24.75" customHeight="1">
      <c r="A592" s="101"/>
      <c r="B592" s="101"/>
      <c r="C592" s="224"/>
      <c r="D592" s="213" t="s">
        <v>1267</v>
      </c>
      <c r="E592" s="409">
        <v>2</v>
      </c>
      <c r="F592" s="645">
        <v>191142</v>
      </c>
      <c r="G592" s="15"/>
      <c r="H592" s="15"/>
      <c r="I592" s="15"/>
      <c r="J592" s="15"/>
      <c r="K592" s="15">
        <f>1000+'[1]táj.2.'!K592</f>
        <v>1000</v>
      </c>
      <c r="L592" s="15"/>
      <c r="M592" s="15"/>
      <c r="N592" s="15"/>
      <c r="O592" s="15"/>
      <c r="P592" s="15"/>
      <c r="Q592" s="15">
        <f>SUM(G592:P592)</f>
        <v>1000</v>
      </c>
    </row>
    <row r="593" spans="1:17" ht="21.75" customHeight="1">
      <c r="A593" s="101"/>
      <c r="B593" s="101"/>
      <c r="C593" s="224"/>
      <c r="D593" s="213" t="s">
        <v>1268</v>
      </c>
      <c r="E593" s="409">
        <v>2</v>
      </c>
      <c r="F593" s="645">
        <v>191154</v>
      </c>
      <c r="G593" s="15"/>
      <c r="H593" s="15"/>
      <c r="I593" s="15"/>
      <c r="J593" s="15"/>
      <c r="K593" s="15">
        <f>2000+'[1]táj.2.'!K593</f>
        <v>2000</v>
      </c>
      <c r="L593" s="15"/>
      <c r="M593" s="15"/>
      <c r="N593" s="15"/>
      <c r="O593" s="15"/>
      <c r="P593" s="15"/>
      <c r="Q593" s="15">
        <f>SUM(G593:P593)</f>
        <v>2000</v>
      </c>
    </row>
    <row r="594" spans="1:17" ht="13.5" customHeight="1">
      <c r="A594" s="101"/>
      <c r="B594" s="101"/>
      <c r="C594" s="224"/>
      <c r="D594" s="14" t="s">
        <v>320</v>
      </c>
      <c r="E594" s="407"/>
      <c r="F594" s="712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3.5" customHeight="1">
      <c r="A595" s="101"/>
      <c r="B595" s="101"/>
      <c r="C595" s="224"/>
      <c r="D595" s="213" t="s">
        <v>403</v>
      </c>
      <c r="E595" s="413">
        <v>1</v>
      </c>
      <c r="F595" s="652">
        <v>191129</v>
      </c>
      <c r="G595" s="15"/>
      <c r="H595" s="15"/>
      <c r="I595" s="15"/>
      <c r="J595" s="15"/>
      <c r="K595" s="15">
        <f>150000+'[1]táj.2.'!K595</f>
        <v>150000</v>
      </c>
      <c r="L595" s="15"/>
      <c r="M595" s="15"/>
      <c r="N595" s="15"/>
      <c r="O595" s="15"/>
      <c r="P595" s="15"/>
      <c r="Q595" s="15">
        <f>SUM(G595:P595)</f>
        <v>150000</v>
      </c>
    </row>
    <row r="596" spans="1:17" ht="24.75" customHeight="1">
      <c r="A596" s="101"/>
      <c r="B596" s="101"/>
      <c r="C596" s="224"/>
      <c r="D596" s="213" t="s">
        <v>321</v>
      </c>
      <c r="E596" s="409"/>
      <c r="F596" s="719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21.75" customHeight="1">
      <c r="A597" s="101"/>
      <c r="B597" s="101"/>
      <c r="C597" s="224"/>
      <c r="D597" s="213" t="s">
        <v>7</v>
      </c>
      <c r="E597" s="409">
        <v>1</v>
      </c>
      <c r="F597" s="645">
        <v>191152</v>
      </c>
      <c r="G597" s="15"/>
      <c r="H597" s="15"/>
      <c r="I597" s="15">
        <f>22050+'[1]táj.2.'!I597</f>
        <v>22050</v>
      </c>
      <c r="J597" s="15"/>
      <c r="K597" s="15"/>
      <c r="L597" s="15"/>
      <c r="M597" s="15"/>
      <c r="N597" s="15"/>
      <c r="O597" s="15"/>
      <c r="P597" s="15"/>
      <c r="Q597" s="15">
        <f>SUM(G597:P597)</f>
        <v>22050</v>
      </c>
    </row>
    <row r="598" spans="1:17" ht="13.5" customHeight="1">
      <c r="A598" s="101"/>
      <c r="B598" s="101"/>
      <c r="C598" s="224"/>
      <c r="D598" s="103" t="s">
        <v>308</v>
      </c>
      <c r="E598" s="407"/>
      <c r="F598" s="712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13.5" customHeight="1">
      <c r="A599" s="101"/>
      <c r="B599" s="101"/>
      <c r="C599" s="224"/>
      <c r="D599" s="14" t="s">
        <v>24</v>
      </c>
      <c r="E599" s="15">
        <v>2</v>
      </c>
      <c r="F599" s="712">
        <v>191801</v>
      </c>
      <c r="G599" s="15"/>
      <c r="H599" s="15"/>
      <c r="I599" s="15"/>
      <c r="J599" s="15"/>
      <c r="K599" s="15">
        <f>39240+'[1]táj.2.'!K599</f>
        <v>39240</v>
      </c>
      <c r="L599" s="15"/>
      <c r="M599" s="15"/>
      <c r="N599" s="15"/>
      <c r="O599" s="15"/>
      <c r="P599" s="15"/>
      <c r="Q599" s="15">
        <f>SUM(G599:P599)</f>
        <v>39240</v>
      </c>
    </row>
    <row r="600" spans="1:17" ht="13.5" customHeight="1">
      <c r="A600" s="91"/>
      <c r="B600" s="91"/>
      <c r="C600" s="221"/>
      <c r="D600" s="94" t="s">
        <v>25</v>
      </c>
      <c r="E600" s="95"/>
      <c r="F600" s="95"/>
      <c r="G600" s="99">
        <f aca="true" t="shared" si="38" ref="G600:Q600">SUM(G570:G599)</f>
        <v>0</v>
      </c>
      <c r="H600" s="99">
        <f t="shared" si="38"/>
        <v>0</v>
      </c>
      <c r="I600" s="99">
        <f t="shared" si="38"/>
        <v>312112</v>
      </c>
      <c r="J600" s="99">
        <f t="shared" si="38"/>
        <v>0</v>
      </c>
      <c r="K600" s="99">
        <f t="shared" si="38"/>
        <v>615036</v>
      </c>
      <c r="L600" s="99">
        <f t="shared" si="38"/>
        <v>0</v>
      </c>
      <c r="M600" s="99">
        <f t="shared" si="38"/>
        <v>0</v>
      </c>
      <c r="N600" s="99">
        <f t="shared" si="38"/>
        <v>4600</v>
      </c>
      <c r="O600" s="99">
        <f t="shared" si="38"/>
        <v>0</v>
      </c>
      <c r="P600" s="99">
        <f t="shared" si="38"/>
        <v>0</v>
      </c>
      <c r="Q600" s="99">
        <f t="shared" si="38"/>
        <v>931748</v>
      </c>
    </row>
    <row r="601" spans="1:17" ht="13.5" customHeight="1">
      <c r="A601" s="107"/>
      <c r="B601" s="107"/>
      <c r="C601" s="225"/>
      <c r="D601" s="14" t="s">
        <v>722</v>
      </c>
      <c r="E601" s="102"/>
      <c r="F601" s="749"/>
      <c r="G601" s="16"/>
      <c r="H601" s="16"/>
      <c r="I601" s="16"/>
      <c r="J601" s="15"/>
      <c r="K601" s="15"/>
      <c r="L601" s="16"/>
      <c r="M601" s="16"/>
      <c r="N601" s="15"/>
      <c r="O601" s="15"/>
      <c r="P601" s="16"/>
      <c r="Q601" s="15"/>
    </row>
    <row r="602" spans="1:17" ht="13.5" customHeight="1">
      <c r="A602" s="107"/>
      <c r="B602" s="107"/>
      <c r="C602" s="225"/>
      <c r="D602" s="14"/>
      <c r="E602" s="102"/>
      <c r="F602" s="749"/>
      <c r="G602" s="16"/>
      <c r="H602" s="16"/>
      <c r="I602" s="16"/>
      <c r="J602" s="15"/>
      <c r="K602" s="15"/>
      <c r="L602" s="15"/>
      <c r="M602" s="15"/>
      <c r="N602" s="15"/>
      <c r="O602" s="15"/>
      <c r="P602" s="16"/>
      <c r="Q602" s="15"/>
    </row>
    <row r="603" spans="1:17" ht="13.5" customHeight="1">
      <c r="A603" s="91"/>
      <c r="B603" s="91"/>
      <c r="C603" s="221"/>
      <c r="D603" s="94" t="s">
        <v>1051</v>
      </c>
      <c r="E603" s="95"/>
      <c r="F603" s="95"/>
      <c r="G603" s="99">
        <f aca="true" t="shared" si="39" ref="G603:Q603">SUM(G600:G602)</f>
        <v>0</v>
      </c>
      <c r="H603" s="99">
        <f t="shared" si="39"/>
        <v>0</v>
      </c>
      <c r="I603" s="99">
        <f t="shared" si="39"/>
        <v>312112</v>
      </c>
      <c r="J603" s="99">
        <f t="shared" si="39"/>
        <v>0</v>
      </c>
      <c r="K603" s="99">
        <f t="shared" si="39"/>
        <v>615036</v>
      </c>
      <c r="L603" s="99">
        <f t="shared" si="39"/>
        <v>0</v>
      </c>
      <c r="M603" s="99">
        <f t="shared" si="39"/>
        <v>0</v>
      </c>
      <c r="N603" s="99">
        <f t="shared" si="39"/>
        <v>4600</v>
      </c>
      <c r="O603" s="99">
        <f t="shared" si="39"/>
        <v>0</v>
      </c>
      <c r="P603" s="99">
        <f t="shared" si="39"/>
        <v>0</v>
      </c>
      <c r="Q603" s="99">
        <f t="shared" si="39"/>
        <v>931748</v>
      </c>
    </row>
    <row r="604" spans="1:17" ht="18.75" customHeight="1">
      <c r="A604" s="100">
        <v>1</v>
      </c>
      <c r="B604" s="100">
        <v>20</v>
      </c>
      <c r="C604" s="223"/>
      <c r="D604" s="215" t="s">
        <v>284</v>
      </c>
      <c r="E604" s="130"/>
      <c r="F604" s="749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</row>
    <row r="605" spans="1:17" ht="13.5" customHeight="1">
      <c r="A605" s="91"/>
      <c r="B605" s="91"/>
      <c r="C605" s="221"/>
      <c r="D605" s="94" t="s">
        <v>264</v>
      </c>
      <c r="E605" s="95"/>
      <c r="F605" s="95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>
        <f>SUM(G605:P605)</f>
        <v>0</v>
      </c>
    </row>
    <row r="606" spans="1:17" ht="13.5" customHeight="1">
      <c r="A606" s="110">
        <v>1</v>
      </c>
      <c r="B606" s="110" t="s">
        <v>26</v>
      </c>
      <c r="C606" s="226"/>
      <c r="D606" s="117" t="s">
        <v>1300</v>
      </c>
      <c r="E606" s="114"/>
      <c r="F606" s="114"/>
      <c r="G606" s="111"/>
      <c r="H606" s="111"/>
      <c r="I606" s="108"/>
      <c r="J606" s="111"/>
      <c r="K606" s="111"/>
      <c r="L606" s="111"/>
      <c r="M606" s="111"/>
      <c r="N606" s="111"/>
      <c r="O606" s="111"/>
      <c r="P606" s="111"/>
      <c r="Q606" s="111"/>
    </row>
    <row r="607" spans="1:17" ht="13.5" customHeight="1">
      <c r="A607" s="110"/>
      <c r="B607" s="110"/>
      <c r="C607" s="226"/>
      <c r="D607" s="714" t="s">
        <v>284</v>
      </c>
      <c r="E607" s="130"/>
      <c r="F607" s="749"/>
      <c r="G607" s="111"/>
      <c r="H607" s="111"/>
      <c r="I607" s="108"/>
      <c r="J607" s="111"/>
      <c r="K607" s="111"/>
      <c r="L607" s="111"/>
      <c r="M607" s="111"/>
      <c r="N607" s="111"/>
      <c r="O607" s="111"/>
      <c r="P607" s="111"/>
      <c r="Q607" s="111"/>
    </row>
    <row r="608" spans="1:17" ht="13.5" customHeight="1">
      <c r="A608" s="110"/>
      <c r="B608" s="110"/>
      <c r="C608" s="226"/>
      <c r="D608" s="113" t="s">
        <v>137</v>
      </c>
      <c r="E608" s="112">
        <v>2</v>
      </c>
      <c r="F608" s="763">
        <v>221901</v>
      </c>
      <c r="G608" s="140">
        <f>1600+'[1]táj.2.'!G608</f>
        <v>1600</v>
      </c>
      <c r="H608" s="140">
        <f>2000+'[1]táj.2.'!H608</f>
        <v>2000</v>
      </c>
      <c r="I608" s="140">
        <f>20661+'[1]táj.2.'!I608</f>
        <v>20661</v>
      </c>
      <c r="J608" s="140"/>
      <c r="K608" s="140">
        <f>1200+'[1]táj.2.'!K608</f>
        <v>1200</v>
      </c>
      <c r="L608" s="140"/>
      <c r="M608" s="140"/>
      <c r="N608" s="140"/>
      <c r="O608" s="140"/>
      <c r="P608" s="140"/>
      <c r="Q608" s="112">
        <f aca="true" t="shared" si="40" ref="Q608:Q618">SUM(G608:P608)</f>
        <v>25461</v>
      </c>
    </row>
    <row r="609" spans="1:17" ht="13.5" customHeight="1">
      <c r="A609" s="110"/>
      <c r="B609" s="110"/>
      <c r="C609" s="226"/>
      <c r="D609" s="88" t="s">
        <v>1250</v>
      </c>
      <c r="E609" s="137">
        <v>1</v>
      </c>
      <c r="F609" s="90">
        <v>221912</v>
      </c>
      <c r="G609" s="140"/>
      <c r="H609" s="140"/>
      <c r="I609" s="140">
        <f>5045+'[1]táj.2.'!I609</f>
        <v>5045</v>
      </c>
      <c r="J609" s="140"/>
      <c r="K609" s="140">
        <f>2000+'[1]táj.2.'!K609</f>
        <v>2000</v>
      </c>
      <c r="L609" s="140"/>
      <c r="M609" s="140"/>
      <c r="N609" s="140"/>
      <c r="O609" s="140"/>
      <c r="P609" s="140"/>
      <c r="Q609" s="112">
        <f t="shared" si="40"/>
        <v>7045</v>
      </c>
    </row>
    <row r="610" spans="1:17" ht="13.5" customHeight="1">
      <c r="A610" s="110"/>
      <c r="B610" s="110"/>
      <c r="C610" s="226"/>
      <c r="D610" s="88" t="s">
        <v>824</v>
      </c>
      <c r="E610" s="137">
        <v>2</v>
      </c>
      <c r="F610" s="90">
        <v>221916</v>
      </c>
      <c r="G610" s="140"/>
      <c r="H610" s="140"/>
      <c r="I610" s="140"/>
      <c r="J610" s="140"/>
      <c r="K610" s="140">
        <f>8000+'[1]táj.2.'!K610</f>
        <v>8000</v>
      </c>
      <c r="L610" s="140"/>
      <c r="M610" s="140"/>
      <c r="N610" s="140"/>
      <c r="O610" s="140"/>
      <c r="P610" s="140"/>
      <c r="Q610" s="112">
        <f t="shared" si="40"/>
        <v>8000</v>
      </c>
    </row>
    <row r="611" spans="1:17" ht="13.5" customHeight="1">
      <c r="A611" s="110"/>
      <c r="B611" s="110"/>
      <c r="C611" s="226"/>
      <c r="D611" s="88" t="s">
        <v>70</v>
      </c>
      <c r="E611" s="137">
        <v>2</v>
      </c>
      <c r="F611" s="90">
        <v>221903</v>
      </c>
      <c r="G611" s="140"/>
      <c r="H611" s="140"/>
      <c r="I611" s="140">
        <f>1964+'[1]táj.2.'!I611</f>
        <v>1964</v>
      </c>
      <c r="J611" s="140"/>
      <c r="K611" s="140"/>
      <c r="L611" s="140"/>
      <c r="M611" s="140"/>
      <c r="N611" s="140"/>
      <c r="O611" s="140"/>
      <c r="P611" s="140"/>
      <c r="Q611" s="112">
        <f t="shared" si="40"/>
        <v>1964</v>
      </c>
    </row>
    <row r="612" spans="1:17" ht="13.5" customHeight="1">
      <c r="A612" s="110"/>
      <c r="B612" s="110"/>
      <c r="C612" s="226"/>
      <c r="D612" s="13" t="s">
        <v>1241</v>
      </c>
      <c r="E612" s="137">
        <v>1</v>
      </c>
      <c r="F612" s="90">
        <v>221950</v>
      </c>
      <c r="G612" s="140">
        <f>98295+'[1]táj.2.'!G612</f>
        <v>98295</v>
      </c>
      <c r="H612" s="140">
        <f>26540+'[1]táj.2.'!H612</f>
        <v>26540</v>
      </c>
      <c r="I612" s="140">
        <f>1330+'[1]táj.2.'!I612</f>
        <v>1330</v>
      </c>
      <c r="J612" s="140"/>
      <c r="K612" s="140"/>
      <c r="L612" s="140"/>
      <c r="M612" s="140"/>
      <c r="N612" s="140"/>
      <c r="O612" s="140"/>
      <c r="P612" s="140"/>
      <c r="Q612" s="112">
        <f t="shared" si="40"/>
        <v>126165</v>
      </c>
    </row>
    <row r="613" spans="1:17" ht="13.5" customHeight="1">
      <c r="A613" s="110"/>
      <c r="B613" s="110"/>
      <c r="C613" s="226"/>
      <c r="D613" s="13" t="s">
        <v>707</v>
      </c>
      <c r="E613" s="137">
        <v>2</v>
      </c>
      <c r="F613" s="90">
        <v>221904</v>
      </c>
      <c r="G613" s="140"/>
      <c r="H613" s="140"/>
      <c r="I613" s="140">
        <f>2000+'[1]táj.2.'!I613</f>
        <v>2000</v>
      </c>
      <c r="J613" s="140"/>
      <c r="K613" s="140"/>
      <c r="L613" s="140"/>
      <c r="M613" s="140"/>
      <c r="N613" s="140"/>
      <c r="O613" s="140"/>
      <c r="P613" s="140"/>
      <c r="Q613" s="112">
        <f t="shared" si="40"/>
        <v>2000</v>
      </c>
    </row>
    <row r="614" spans="1:17" ht="13.5" customHeight="1">
      <c r="A614" s="110"/>
      <c r="B614" s="110"/>
      <c r="C614" s="226"/>
      <c r="D614" s="14" t="s">
        <v>138</v>
      </c>
      <c r="E614" s="15">
        <v>2</v>
      </c>
      <c r="F614" s="712">
        <v>221922</v>
      </c>
      <c r="G614" s="140"/>
      <c r="H614" s="140"/>
      <c r="I614" s="140">
        <f>5000+'[1]táj.2.'!I614</f>
        <v>5000</v>
      </c>
      <c r="J614" s="140"/>
      <c r="K614" s="140"/>
      <c r="L614" s="140"/>
      <c r="M614" s="140"/>
      <c r="N614" s="140"/>
      <c r="O614" s="140"/>
      <c r="P614" s="140"/>
      <c r="Q614" s="112">
        <f t="shared" si="40"/>
        <v>5000</v>
      </c>
    </row>
    <row r="615" spans="1:17" ht="13.5" customHeight="1">
      <c r="A615" s="110"/>
      <c r="B615" s="110"/>
      <c r="C615" s="226"/>
      <c r="D615" s="14" t="s">
        <v>139</v>
      </c>
      <c r="E615" s="407">
        <v>2</v>
      </c>
      <c r="F615" s="90">
        <v>191139</v>
      </c>
      <c r="G615" s="140"/>
      <c r="H615" s="140"/>
      <c r="I615" s="140">
        <f>0+'[1]táj.2.'!I615</f>
        <v>0</v>
      </c>
      <c r="J615" s="140"/>
      <c r="K615" s="140">
        <f>4000+'[1]táj.2.'!K615</f>
        <v>4000</v>
      </c>
      <c r="L615" s="140"/>
      <c r="M615" s="140"/>
      <c r="N615" s="140"/>
      <c r="O615" s="140"/>
      <c r="P615" s="140"/>
      <c r="Q615" s="112">
        <f t="shared" si="40"/>
        <v>4000</v>
      </c>
    </row>
    <row r="616" spans="1:17" ht="13.5" customHeight="1">
      <c r="A616" s="110"/>
      <c r="B616" s="110"/>
      <c r="C616" s="226"/>
      <c r="D616" s="14" t="s">
        <v>107</v>
      </c>
      <c r="E616" s="407">
        <v>2</v>
      </c>
      <c r="F616" s="90">
        <v>221926</v>
      </c>
      <c r="G616" s="140"/>
      <c r="H616" s="140"/>
      <c r="I616" s="140">
        <f>7000+'[1]táj.2.'!I616</f>
        <v>4795</v>
      </c>
      <c r="J616" s="140"/>
      <c r="K616" s="140"/>
      <c r="L616" s="140"/>
      <c r="M616" s="140"/>
      <c r="N616" s="140"/>
      <c r="O616" s="140"/>
      <c r="P616" s="140"/>
      <c r="Q616" s="112">
        <f t="shared" si="40"/>
        <v>4795</v>
      </c>
    </row>
    <row r="617" spans="1:17" ht="13.5" customHeight="1">
      <c r="A617" s="110"/>
      <c r="B617" s="110"/>
      <c r="C617" s="226"/>
      <c r="D617" s="14" t="s">
        <v>708</v>
      </c>
      <c r="E617" s="407">
        <v>2</v>
      </c>
      <c r="F617" s="90">
        <v>221927</v>
      </c>
      <c r="G617" s="140"/>
      <c r="H617" s="140"/>
      <c r="I617" s="140">
        <f>2000+'[1]táj.2.'!I617</f>
        <v>2000</v>
      </c>
      <c r="J617" s="140"/>
      <c r="K617" s="140"/>
      <c r="L617" s="140"/>
      <c r="M617" s="140"/>
      <c r="N617" s="140"/>
      <c r="O617" s="140"/>
      <c r="P617" s="140"/>
      <c r="Q617" s="112">
        <f t="shared" si="40"/>
        <v>2000</v>
      </c>
    </row>
    <row r="618" spans="1:17" ht="13.5" customHeight="1">
      <c r="A618" s="110"/>
      <c r="B618" s="110"/>
      <c r="C618" s="226"/>
      <c r="D618" s="14" t="s">
        <v>1299</v>
      </c>
      <c r="E618" s="407">
        <v>2</v>
      </c>
      <c r="F618" s="90">
        <v>221928</v>
      </c>
      <c r="G618" s="140"/>
      <c r="H618" s="140"/>
      <c r="I618" s="140"/>
      <c r="J618" s="140"/>
      <c r="K618" s="140">
        <f>23000+'[1]táj.2.'!K618</f>
        <v>23000</v>
      </c>
      <c r="L618" s="140"/>
      <c r="M618" s="140"/>
      <c r="N618" s="140"/>
      <c r="O618" s="140"/>
      <c r="P618" s="140"/>
      <c r="Q618" s="112">
        <f t="shared" si="40"/>
        <v>23000</v>
      </c>
    </row>
    <row r="619" spans="1:17" ht="13.5" customHeight="1">
      <c r="A619" s="110"/>
      <c r="B619" s="110"/>
      <c r="C619" s="226"/>
      <c r="D619" s="14" t="s">
        <v>316</v>
      </c>
      <c r="E619" s="407"/>
      <c r="F619" s="712"/>
      <c r="G619" s="140"/>
      <c r="H619" s="15"/>
      <c r="I619" s="12"/>
      <c r="J619" s="12"/>
      <c r="K619" s="12"/>
      <c r="L619" s="15"/>
      <c r="M619" s="15"/>
      <c r="N619" s="15"/>
      <c r="O619" s="15"/>
      <c r="P619" s="15"/>
      <c r="Q619" s="15"/>
    </row>
    <row r="620" spans="1:17" ht="13.5" customHeight="1">
      <c r="A620" s="110"/>
      <c r="B620" s="110"/>
      <c r="C620" s="226"/>
      <c r="D620" s="14" t="s">
        <v>1068</v>
      </c>
      <c r="E620" s="15">
        <v>2</v>
      </c>
      <c r="F620" s="712">
        <v>191301</v>
      </c>
      <c r="G620" s="140"/>
      <c r="H620" s="140"/>
      <c r="I620" s="140"/>
      <c r="J620" s="140"/>
      <c r="K620" s="140">
        <f>33000+'[1]táj.2.'!K620</f>
        <v>33000</v>
      </c>
      <c r="L620" s="140"/>
      <c r="M620" s="140"/>
      <c r="N620" s="140"/>
      <c r="O620" s="140"/>
      <c r="P620" s="140"/>
      <c r="Q620" s="15">
        <f>SUM(G620:P620)</f>
        <v>33000</v>
      </c>
    </row>
    <row r="621" spans="1:17" ht="13.5" customHeight="1">
      <c r="A621" s="110"/>
      <c r="B621" s="110"/>
      <c r="C621" s="226"/>
      <c r="D621" s="14" t="s">
        <v>4</v>
      </c>
      <c r="E621" s="15">
        <v>2</v>
      </c>
      <c r="F621" s="712">
        <v>191302</v>
      </c>
      <c r="G621" s="140"/>
      <c r="H621" s="140"/>
      <c r="I621" s="140">
        <f>8000+'[1]táj.2.'!I621</f>
        <v>8000</v>
      </c>
      <c r="J621" s="140"/>
      <c r="K621" s="140"/>
      <c r="L621" s="140"/>
      <c r="M621" s="140"/>
      <c r="N621" s="140"/>
      <c r="O621" s="140"/>
      <c r="P621" s="140"/>
      <c r="Q621" s="15">
        <f>SUM(G621:P621)</f>
        <v>8000</v>
      </c>
    </row>
    <row r="622" spans="1:17" ht="13.5" customHeight="1">
      <c r="A622" s="110"/>
      <c r="B622" s="110"/>
      <c r="C622" s="226"/>
      <c r="D622" s="14" t="s">
        <v>346</v>
      </c>
      <c r="E622" s="407"/>
      <c r="F622" s="712"/>
      <c r="G622" s="140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1:17" ht="13.5" customHeight="1">
      <c r="A623" s="110"/>
      <c r="B623" s="110"/>
      <c r="C623" s="226"/>
      <c r="D623" s="14" t="s">
        <v>5</v>
      </c>
      <c r="E623" s="15">
        <v>2</v>
      </c>
      <c r="F623" s="712">
        <v>191110</v>
      </c>
      <c r="G623" s="140"/>
      <c r="H623" s="140"/>
      <c r="I623" s="140">
        <f>10000+'[1]táj.2.'!I623</f>
        <v>10000</v>
      </c>
      <c r="J623" s="140"/>
      <c r="K623" s="140"/>
      <c r="L623" s="140"/>
      <c r="M623" s="140"/>
      <c r="N623" s="140"/>
      <c r="O623" s="140"/>
      <c r="P623" s="140"/>
      <c r="Q623" s="15">
        <f>SUM(G623:P623)</f>
        <v>10000</v>
      </c>
    </row>
    <row r="624" spans="1:17" ht="13.5" customHeight="1">
      <c r="A624" s="110"/>
      <c r="B624" s="110"/>
      <c r="C624" s="226"/>
      <c r="D624" s="88" t="s">
        <v>306</v>
      </c>
      <c r="E624" s="137"/>
      <c r="F624" s="90"/>
      <c r="G624" s="140"/>
      <c r="H624" s="112"/>
      <c r="I624" s="12"/>
      <c r="J624" s="112"/>
      <c r="K624" s="112"/>
      <c r="L624" s="127"/>
      <c r="M624" s="127"/>
      <c r="N624" s="127"/>
      <c r="O624" s="127"/>
      <c r="P624" s="127"/>
      <c r="Q624" s="112"/>
    </row>
    <row r="625" spans="1:17" ht="13.5" customHeight="1">
      <c r="A625" s="110"/>
      <c r="B625" s="110"/>
      <c r="C625" s="226"/>
      <c r="D625" s="213" t="s">
        <v>448</v>
      </c>
      <c r="E625" s="425">
        <v>2</v>
      </c>
      <c r="F625" s="645">
        <v>221951</v>
      </c>
      <c r="G625" s="140"/>
      <c r="H625" s="140"/>
      <c r="I625" s="140"/>
      <c r="J625" s="140"/>
      <c r="K625" s="140">
        <f>10000+'[1]táj.2.'!K625</f>
        <v>10000</v>
      </c>
      <c r="L625" s="140"/>
      <c r="M625" s="140"/>
      <c r="N625" s="140"/>
      <c r="O625" s="140"/>
      <c r="P625" s="140"/>
      <c r="Q625" s="15">
        <f>SUM(G625:P625)</f>
        <v>10000</v>
      </c>
    </row>
    <row r="626" spans="1:17" ht="13.5" customHeight="1">
      <c r="A626" s="110"/>
      <c r="B626" s="110"/>
      <c r="C626" s="227"/>
      <c r="D626" s="293" t="s">
        <v>1072</v>
      </c>
      <c r="E626" s="137">
        <v>2</v>
      </c>
      <c r="F626" s="90" t="s">
        <v>598</v>
      </c>
      <c r="G626" s="140"/>
      <c r="H626" s="140"/>
      <c r="I626" s="140">
        <f>27066+'[1]táj.2.'!I626</f>
        <v>27066</v>
      </c>
      <c r="J626" s="140"/>
      <c r="K626" s="140"/>
      <c r="L626" s="140"/>
      <c r="M626" s="140"/>
      <c r="N626" s="140"/>
      <c r="O626" s="140"/>
      <c r="P626" s="140"/>
      <c r="Q626" s="112">
        <f>SUM(G626:P626)</f>
        <v>27066</v>
      </c>
    </row>
    <row r="627" spans="1:17" ht="13.5" customHeight="1">
      <c r="A627" s="110"/>
      <c r="B627" s="110"/>
      <c r="C627" s="226"/>
      <c r="D627" s="88" t="s">
        <v>335</v>
      </c>
      <c r="E627" s="137"/>
      <c r="F627" s="90"/>
      <c r="G627" s="140"/>
      <c r="H627" s="112"/>
      <c r="I627" s="112"/>
      <c r="J627" s="112"/>
      <c r="K627" s="112"/>
      <c r="L627" s="127"/>
      <c r="M627" s="127"/>
      <c r="N627" s="127"/>
      <c r="O627" s="127"/>
      <c r="P627" s="127"/>
      <c r="Q627" s="112"/>
    </row>
    <row r="628" spans="1:17" ht="13.5" customHeight="1">
      <c r="A628" s="110"/>
      <c r="B628" s="110"/>
      <c r="C628" s="226"/>
      <c r="D628" s="88" t="s">
        <v>865</v>
      </c>
      <c r="E628" s="137">
        <v>2</v>
      </c>
      <c r="F628" s="90">
        <v>221929</v>
      </c>
      <c r="G628" s="140"/>
      <c r="H628" s="140"/>
      <c r="I628" s="140"/>
      <c r="J628" s="140"/>
      <c r="K628" s="140">
        <f>17250+'[1]táj.2.'!K628</f>
        <v>17250</v>
      </c>
      <c r="L628" s="140"/>
      <c r="M628" s="140"/>
      <c r="N628" s="140"/>
      <c r="O628" s="140"/>
      <c r="P628" s="140"/>
      <c r="Q628" s="112">
        <f>SUM(G628:P628)</f>
        <v>17250</v>
      </c>
    </row>
    <row r="629" spans="1:17" ht="13.5" customHeight="1">
      <c r="A629" s="110"/>
      <c r="B629" s="110"/>
      <c r="C629" s="228"/>
      <c r="D629" s="88" t="s">
        <v>1240</v>
      </c>
      <c r="E629" s="137"/>
      <c r="F629" s="90"/>
      <c r="G629" s="140"/>
      <c r="H629" s="112"/>
      <c r="I629" s="112"/>
      <c r="J629" s="112"/>
      <c r="K629" s="112"/>
      <c r="L629" s="127"/>
      <c r="M629" s="127"/>
      <c r="N629" s="127"/>
      <c r="O629" s="127"/>
      <c r="P629" s="127"/>
      <c r="Q629" s="112"/>
    </row>
    <row r="630" spans="1:17" ht="13.5" customHeight="1">
      <c r="A630" s="110"/>
      <c r="B630" s="110"/>
      <c r="C630" s="228"/>
      <c r="D630" s="88" t="s">
        <v>1399</v>
      </c>
      <c r="E630" s="137">
        <v>1</v>
      </c>
      <c r="F630" s="90">
        <v>221909</v>
      </c>
      <c r="G630" s="140"/>
      <c r="H630" s="140"/>
      <c r="I630" s="140"/>
      <c r="J630" s="140"/>
      <c r="K630" s="140">
        <f>38512+'[1]táj.2.'!K630</f>
        <v>24583</v>
      </c>
      <c r="L630" s="140"/>
      <c r="M630" s="140"/>
      <c r="N630" s="140"/>
      <c r="O630" s="140"/>
      <c r="P630" s="140"/>
      <c r="Q630" s="112">
        <f>SUM(G630:P630)</f>
        <v>24583</v>
      </c>
    </row>
    <row r="631" spans="1:17" ht="13.5" customHeight="1">
      <c r="A631" s="110"/>
      <c r="B631" s="110"/>
      <c r="C631" s="226"/>
      <c r="D631" s="88" t="s">
        <v>1400</v>
      </c>
      <c r="E631" s="137">
        <v>1</v>
      </c>
      <c r="F631" s="90">
        <v>221913</v>
      </c>
      <c r="G631" s="140"/>
      <c r="H631" s="140"/>
      <c r="I631" s="140">
        <f>28373+'[1]táj.2.'!I631</f>
        <v>35873</v>
      </c>
      <c r="J631" s="140"/>
      <c r="K631" s="140"/>
      <c r="L631" s="140"/>
      <c r="M631" s="140"/>
      <c r="N631" s="140"/>
      <c r="O631" s="140"/>
      <c r="P631" s="140"/>
      <c r="Q631" s="112">
        <f>SUM(G631:P631)</f>
        <v>35873</v>
      </c>
    </row>
    <row r="632" spans="1:17" ht="24.75" customHeight="1">
      <c r="A632" s="110"/>
      <c r="B632" s="110"/>
      <c r="C632" s="226"/>
      <c r="D632" s="807" t="s">
        <v>825</v>
      </c>
      <c r="E632" s="137">
        <v>2</v>
      </c>
      <c r="F632" s="90">
        <v>221914</v>
      </c>
      <c r="G632" s="140"/>
      <c r="H632" s="140"/>
      <c r="I632" s="140"/>
      <c r="J632" s="140"/>
      <c r="K632" s="140">
        <f>5000+'[1]táj.2.'!K632</f>
        <v>5000</v>
      </c>
      <c r="L632" s="140"/>
      <c r="M632" s="140"/>
      <c r="N632" s="140"/>
      <c r="O632" s="140"/>
      <c r="P632" s="140"/>
      <c r="Q632" s="112">
        <f>SUM(G632:P632)</f>
        <v>5000</v>
      </c>
    </row>
    <row r="633" spans="1:17" ht="14.25" customHeight="1">
      <c r="A633" s="110"/>
      <c r="B633" s="110"/>
      <c r="C633" s="226"/>
      <c r="D633" s="807" t="s">
        <v>140</v>
      </c>
      <c r="E633" s="137">
        <v>2</v>
      </c>
      <c r="F633" s="90">
        <v>221930</v>
      </c>
      <c r="G633" s="140"/>
      <c r="H633" s="140"/>
      <c r="I633" s="140">
        <f>500+'[1]táj.2.'!I633</f>
        <v>500</v>
      </c>
      <c r="J633" s="140"/>
      <c r="K633" s="140"/>
      <c r="L633" s="140"/>
      <c r="M633" s="140"/>
      <c r="N633" s="140"/>
      <c r="O633" s="140"/>
      <c r="P633" s="140"/>
      <c r="Q633" s="112">
        <f>SUM(G633:P633)</f>
        <v>500</v>
      </c>
    </row>
    <row r="634" spans="1:17" ht="15" customHeight="1">
      <c r="A634" s="110"/>
      <c r="B634" s="110"/>
      <c r="C634" s="226"/>
      <c r="D634" s="807" t="s">
        <v>404</v>
      </c>
      <c r="E634" s="137">
        <v>2</v>
      </c>
      <c r="F634" s="90">
        <v>221931</v>
      </c>
      <c r="G634" s="140"/>
      <c r="H634" s="140"/>
      <c r="I634" s="140">
        <f>500+'[1]táj.2.'!I634</f>
        <v>500</v>
      </c>
      <c r="J634" s="140"/>
      <c r="K634" s="140"/>
      <c r="L634" s="140"/>
      <c r="M634" s="140"/>
      <c r="N634" s="140"/>
      <c r="O634" s="140"/>
      <c r="P634" s="140"/>
      <c r="Q634" s="112">
        <f>SUM(G634:P634)</f>
        <v>500</v>
      </c>
    </row>
    <row r="635" spans="1:17" ht="13.5" customHeight="1">
      <c r="A635" s="91"/>
      <c r="B635" s="91"/>
      <c r="C635" s="221"/>
      <c r="D635" s="109" t="s">
        <v>541</v>
      </c>
      <c r="E635" s="119"/>
      <c r="F635" s="119"/>
      <c r="G635" s="120">
        <f aca="true" t="shared" si="41" ref="G635:Q635">SUM(G608:G634)</f>
        <v>99895</v>
      </c>
      <c r="H635" s="120">
        <f t="shared" si="41"/>
        <v>28540</v>
      </c>
      <c r="I635" s="120">
        <f t="shared" si="41"/>
        <v>124734</v>
      </c>
      <c r="J635" s="120">
        <f t="shared" si="41"/>
        <v>0</v>
      </c>
      <c r="K635" s="120">
        <f t="shared" si="41"/>
        <v>128033</v>
      </c>
      <c r="L635" s="120">
        <f t="shared" si="41"/>
        <v>0</v>
      </c>
      <c r="M635" s="120">
        <f t="shared" si="41"/>
        <v>0</v>
      </c>
      <c r="N635" s="120">
        <f t="shared" si="41"/>
        <v>0</v>
      </c>
      <c r="O635" s="120">
        <f t="shared" si="41"/>
        <v>0</v>
      </c>
      <c r="P635" s="120">
        <f t="shared" si="41"/>
        <v>0</v>
      </c>
      <c r="Q635" s="120">
        <f t="shared" si="41"/>
        <v>381202</v>
      </c>
    </row>
    <row r="636" spans="1:17" ht="13.5" customHeight="1">
      <c r="A636" s="100"/>
      <c r="B636" s="100"/>
      <c r="C636" s="223"/>
      <c r="D636" s="808" t="s">
        <v>722</v>
      </c>
      <c r="E636" s="399"/>
      <c r="F636" s="399"/>
      <c r="G636" s="400"/>
      <c r="H636" s="400"/>
      <c r="I636" s="400"/>
      <c r="J636" s="400"/>
      <c r="K636" s="400"/>
      <c r="L636" s="400"/>
      <c r="M636" s="400"/>
      <c r="N636" s="400"/>
      <c r="O636" s="400"/>
      <c r="P636" s="400"/>
      <c r="Q636" s="400"/>
    </row>
    <row r="637" spans="1:17" ht="13.5" customHeight="1">
      <c r="A637" s="110"/>
      <c r="B637" s="110"/>
      <c r="C637" s="226" t="s">
        <v>1099</v>
      </c>
      <c r="D637" s="257" t="s">
        <v>1346</v>
      </c>
      <c r="E637" s="102"/>
      <c r="F637" s="712">
        <v>222904</v>
      </c>
      <c r="G637" s="15"/>
      <c r="H637" s="15"/>
      <c r="I637" s="15"/>
      <c r="J637" s="15"/>
      <c r="K637" s="15"/>
      <c r="L637" s="15"/>
      <c r="M637" s="15"/>
      <c r="N637" s="15">
        <f>10000+'[1]táj.2.'!N637</f>
        <v>10000</v>
      </c>
      <c r="O637" s="15"/>
      <c r="P637" s="15"/>
      <c r="Q637" s="15">
        <f>SUM(G637:P637)</f>
        <v>10000</v>
      </c>
    </row>
    <row r="638" spans="1:152" s="122" customFormat="1" ht="13.5" customHeight="1">
      <c r="A638" s="91"/>
      <c r="B638" s="91"/>
      <c r="C638" s="221"/>
      <c r="D638" s="94" t="s">
        <v>1304</v>
      </c>
      <c r="E638" s="95"/>
      <c r="F638" s="95"/>
      <c r="G638" s="99">
        <f aca="true" t="shared" si="42" ref="G638:N638">SUM(G635:G637)</f>
        <v>99895</v>
      </c>
      <c r="H638" s="99">
        <f t="shared" si="42"/>
        <v>28540</v>
      </c>
      <c r="I638" s="99">
        <f t="shared" si="42"/>
        <v>124734</v>
      </c>
      <c r="J638" s="99">
        <f t="shared" si="42"/>
        <v>0</v>
      </c>
      <c r="K638" s="99">
        <f t="shared" si="42"/>
        <v>128033</v>
      </c>
      <c r="L638" s="99">
        <f t="shared" si="42"/>
        <v>0</v>
      </c>
      <c r="M638" s="99">
        <f t="shared" si="42"/>
        <v>0</v>
      </c>
      <c r="N638" s="99">
        <f t="shared" si="42"/>
        <v>10000</v>
      </c>
      <c r="O638" s="99"/>
      <c r="P638" s="99">
        <f>SUM(P635:P637)</f>
        <v>0</v>
      </c>
      <c r="Q638" s="99">
        <f>SUM(Q635:Q637)</f>
        <v>391202</v>
      </c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121"/>
      <c r="AZ638" s="121"/>
      <c r="BA638" s="121"/>
      <c r="BB638" s="121"/>
      <c r="BC638" s="121"/>
      <c r="BD638" s="121"/>
      <c r="BE638" s="121"/>
      <c r="BF638" s="121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21"/>
      <c r="BS638" s="121"/>
      <c r="BT638" s="121"/>
      <c r="BU638" s="121"/>
      <c r="BV638" s="121"/>
      <c r="BW638" s="121"/>
      <c r="BX638" s="121"/>
      <c r="BY638" s="121"/>
      <c r="BZ638" s="121"/>
      <c r="CA638" s="121"/>
      <c r="CB638" s="121"/>
      <c r="CC638" s="121"/>
      <c r="CD638" s="121"/>
      <c r="CE638" s="121"/>
      <c r="CF638" s="121"/>
      <c r="CG638" s="121"/>
      <c r="CH638" s="121"/>
      <c r="CI638" s="121"/>
      <c r="CJ638" s="121"/>
      <c r="CK638" s="121"/>
      <c r="CL638" s="121"/>
      <c r="CM638" s="121"/>
      <c r="CN638" s="121"/>
      <c r="CO638" s="121"/>
      <c r="CP638" s="121"/>
      <c r="CQ638" s="121"/>
      <c r="CR638" s="121"/>
      <c r="CS638" s="121"/>
      <c r="CT638" s="121"/>
      <c r="CU638" s="121"/>
      <c r="CV638" s="121"/>
      <c r="CW638" s="121"/>
      <c r="CX638" s="121"/>
      <c r="CY638" s="121"/>
      <c r="CZ638" s="121"/>
      <c r="DA638" s="121"/>
      <c r="DB638" s="121"/>
      <c r="DC638" s="121"/>
      <c r="DD638" s="121"/>
      <c r="DE638" s="121"/>
      <c r="DF638" s="121"/>
      <c r="DG638" s="121"/>
      <c r="DH638" s="121"/>
      <c r="DI638" s="121"/>
      <c r="DJ638" s="121"/>
      <c r="DK638" s="121"/>
      <c r="DL638" s="121"/>
      <c r="DM638" s="121"/>
      <c r="DN638" s="121"/>
      <c r="DO638" s="121"/>
      <c r="DP638" s="121"/>
      <c r="DQ638" s="121"/>
      <c r="DR638" s="121"/>
      <c r="DS638" s="121"/>
      <c r="DT638" s="121"/>
      <c r="DU638" s="121"/>
      <c r="DV638" s="121"/>
      <c r="DW638" s="121"/>
      <c r="DX638" s="121"/>
      <c r="DY638" s="121"/>
      <c r="DZ638" s="121"/>
      <c r="EA638" s="121"/>
      <c r="EB638" s="121"/>
      <c r="EC638" s="121"/>
      <c r="ED638" s="121"/>
      <c r="EE638" s="121"/>
      <c r="EF638" s="121"/>
      <c r="EG638" s="121"/>
      <c r="EH638" s="121"/>
      <c r="EI638" s="121"/>
      <c r="EJ638" s="121"/>
      <c r="EK638" s="121"/>
      <c r="EL638" s="121"/>
      <c r="EM638" s="121"/>
      <c r="EN638" s="121"/>
      <c r="EO638" s="121"/>
      <c r="EP638" s="121"/>
      <c r="EQ638" s="121"/>
      <c r="ER638" s="121"/>
      <c r="ES638" s="121"/>
      <c r="ET638" s="121"/>
      <c r="EU638" s="121"/>
      <c r="EV638" s="121"/>
    </row>
    <row r="639" spans="1:17" ht="13.5" customHeight="1">
      <c r="A639" s="107">
        <v>1</v>
      </c>
      <c r="B639" s="107">
        <v>30</v>
      </c>
      <c r="C639" s="225"/>
      <c r="D639" s="18" t="s">
        <v>322</v>
      </c>
      <c r="E639" s="102"/>
      <c r="F639" s="749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1:17" ht="13.5" customHeight="1">
      <c r="A640" s="107"/>
      <c r="B640" s="107">
        <v>31</v>
      </c>
      <c r="C640" s="225"/>
      <c r="D640" s="18" t="s">
        <v>862</v>
      </c>
      <c r="E640" s="17"/>
      <c r="F640" s="712">
        <v>331901</v>
      </c>
      <c r="G640" s="16"/>
      <c r="H640" s="16"/>
      <c r="I640" s="16"/>
      <c r="J640" s="16"/>
      <c r="K640" s="15">
        <f>5000+'[1]táj.2.'!K640</f>
        <v>5000</v>
      </c>
      <c r="L640" s="16"/>
      <c r="M640" s="16"/>
      <c r="N640" s="16"/>
      <c r="O640" s="16"/>
      <c r="P640" s="15"/>
      <c r="Q640" s="15">
        <f>SUM(G640:P640)</f>
        <v>5000</v>
      </c>
    </row>
    <row r="641" spans="1:17" ht="13.5" customHeight="1">
      <c r="A641" s="101"/>
      <c r="B641" s="101">
        <v>32</v>
      </c>
      <c r="C641" s="224"/>
      <c r="D641" s="18" t="s">
        <v>1283</v>
      </c>
      <c r="E641" s="102"/>
      <c r="F641" s="737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1:17" ht="13.5" customHeight="1">
      <c r="A642" s="101"/>
      <c r="B642" s="101"/>
      <c r="C642" s="224"/>
      <c r="D642" s="14" t="s">
        <v>863</v>
      </c>
      <c r="E642" s="15">
        <v>1</v>
      </c>
      <c r="F642" s="712">
        <v>321907</v>
      </c>
      <c r="G642" s="15"/>
      <c r="H642" s="15"/>
      <c r="I642" s="15"/>
      <c r="J642" s="15"/>
      <c r="K642" s="15">
        <f>29383+'[1]táj.2.'!K642</f>
        <v>29383</v>
      </c>
      <c r="L642" s="15"/>
      <c r="M642" s="15"/>
      <c r="N642" s="15"/>
      <c r="O642" s="15"/>
      <c r="P642" s="15"/>
      <c r="Q642" s="15">
        <f>SUM(G642:P642)</f>
        <v>29383</v>
      </c>
    </row>
    <row r="643" spans="1:17" ht="12.75" customHeight="1">
      <c r="A643" s="104"/>
      <c r="B643" s="104"/>
      <c r="C643" s="104"/>
      <c r="D643" s="294" t="s">
        <v>261</v>
      </c>
      <c r="E643" s="106">
        <v>1</v>
      </c>
      <c r="F643" s="809">
        <v>321903</v>
      </c>
      <c r="G643" s="104"/>
      <c r="H643" s="104"/>
      <c r="I643" s="106"/>
      <c r="J643" s="105"/>
      <c r="K643" s="15">
        <f>20000+'[1]táj.2.'!K643</f>
        <v>20000</v>
      </c>
      <c r="L643" s="104"/>
      <c r="M643" s="104"/>
      <c r="N643" s="104"/>
      <c r="O643" s="104"/>
      <c r="P643" s="158"/>
      <c r="Q643" s="15">
        <f>SUM(G643:P643)</f>
        <v>20000</v>
      </c>
    </row>
    <row r="644" spans="1:17" ht="13.5" customHeight="1">
      <c r="A644" s="101"/>
      <c r="B644" s="101"/>
      <c r="C644" s="224"/>
      <c r="D644" s="14" t="s">
        <v>262</v>
      </c>
      <c r="E644" s="407">
        <v>1</v>
      </c>
      <c r="F644" s="712">
        <v>321908</v>
      </c>
      <c r="G644" s="15"/>
      <c r="H644" s="15"/>
      <c r="I644" s="15"/>
      <c r="J644" s="15"/>
      <c r="K644" s="15">
        <f>20000+'[1]táj.2.'!K644</f>
        <v>19771</v>
      </c>
      <c r="L644" s="15"/>
      <c r="M644" s="15"/>
      <c r="N644" s="15"/>
      <c r="O644" s="15"/>
      <c r="P644" s="15"/>
      <c r="Q644" s="15">
        <f>SUM(G644:P644)</f>
        <v>19771</v>
      </c>
    </row>
    <row r="645" spans="1:17" ht="24.75" customHeight="1">
      <c r="A645" s="101"/>
      <c r="B645" s="101"/>
      <c r="C645" s="224"/>
      <c r="D645" s="213" t="s">
        <v>347</v>
      </c>
      <c r="E645" s="409">
        <v>1</v>
      </c>
      <c r="F645" s="645">
        <v>321926</v>
      </c>
      <c r="G645" s="15"/>
      <c r="H645" s="15"/>
      <c r="I645" s="15"/>
      <c r="J645" s="15"/>
      <c r="K645" s="15">
        <f>100158+'[1]táj.2.'!K645</f>
        <v>100158</v>
      </c>
      <c r="L645" s="15"/>
      <c r="M645" s="15"/>
      <c r="N645" s="15"/>
      <c r="O645" s="15"/>
      <c r="P645" s="15"/>
      <c r="Q645" s="15">
        <f>SUM(G645:P645)</f>
        <v>100158</v>
      </c>
    </row>
    <row r="646" spans="1:17" ht="18" customHeight="1">
      <c r="A646" s="101"/>
      <c r="B646" s="101"/>
      <c r="C646" s="224"/>
      <c r="D646" s="181" t="s">
        <v>302</v>
      </c>
      <c r="E646" s="409">
        <v>1</v>
      </c>
      <c r="F646" s="645">
        <v>321911</v>
      </c>
      <c r="G646" s="15"/>
      <c r="H646" s="15"/>
      <c r="I646" s="15"/>
      <c r="J646" s="15"/>
      <c r="K646" s="15">
        <f>50000+'[1]táj.2.'!K646</f>
        <v>50000</v>
      </c>
      <c r="L646" s="15"/>
      <c r="M646" s="15"/>
      <c r="N646" s="15"/>
      <c r="O646" s="15"/>
      <c r="P646" s="15"/>
      <c r="Q646" s="15">
        <f>SUM(G646:P646)</f>
        <v>50000</v>
      </c>
    </row>
    <row r="647" spans="1:17" ht="28.5" customHeight="1">
      <c r="A647" s="101"/>
      <c r="B647" s="101"/>
      <c r="C647" s="224"/>
      <c r="D647" s="214" t="s">
        <v>1386</v>
      </c>
      <c r="E647" s="409"/>
      <c r="F647" s="64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1:17" ht="13.5" customHeight="1">
      <c r="A648" s="101"/>
      <c r="B648" s="101"/>
      <c r="C648" s="224"/>
      <c r="D648" s="13" t="s">
        <v>43</v>
      </c>
      <c r="E648" s="423">
        <v>2</v>
      </c>
      <c r="F648" s="90">
        <v>321953</v>
      </c>
      <c r="G648" s="15"/>
      <c r="H648" s="15"/>
      <c r="I648" s="15"/>
      <c r="J648" s="15"/>
      <c r="K648" s="15">
        <f>4005+'[1]táj.2.'!K648</f>
        <v>4005</v>
      </c>
      <c r="L648" s="15"/>
      <c r="M648" s="15"/>
      <c r="N648" s="15"/>
      <c r="O648" s="15"/>
      <c r="P648" s="15"/>
      <c r="Q648" s="15">
        <f>SUM(G648:P648)</f>
        <v>4005</v>
      </c>
    </row>
    <row r="649" spans="1:17" ht="13.5" customHeight="1">
      <c r="A649" s="101"/>
      <c r="B649" s="101"/>
      <c r="C649" s="224"/>
      <c r="D649" s="14" t="s">
        <v>907</v>
      </c>
      <c r="E649" s="407">
        <v>2</v>
      </c>
      <c r="F649" s="712">
        <v>321954</v>
      </c>
      <c r="G649" s="15"/>
      <c r="H649" s="15"/>
      <c r="I649" s="15"/>
      <c r="J649" s="15"/>
      <c r="K649" s="15">
        <f>810+'[1]táj.2.'!K649</f>
        <v>810</v>
      </c>
      <c r="L649" s="15"/>
      <c r="M649" s="15"/>
      <c r="N649" s="15"/>
      <c r="O649" s="15"/>
      <c r="P649" s="15"/>
      <c r="Q649" s="15">
        <f>SUM(G649:P649)</f>
        <v>810</v>
      </c>
    </row>
    <row r="650" spans="1:17" ht="13.5" customHeight="1">
      <c r="A650" s="101"/>
      <c r="B650" s="101"/>
      <c r="C650" s="224"/>
      <c r="D650" s="213" t="s">
        <v>42</v>
      </c>
      <c r="E650" s="409">
        <v>2</v>
      </c>
      <c r="F650" s="645">
        <v>321906</v>
      </c>
      <c r="G650" s="15"/>
      <c r="H650" s="15"/>
      <c r="I650" s="15"/>
      <c r="J650" s="15"/>
      <c r="K650" s="15">
        <f>3600+'[1]táj.2.'!K650</f>
        <v>3600</v>
      </c>
      <c r="L650" s="15"/>
      <c r="M650" s="15"/>
      <c r="N650" s="15"/>
      <c r="O650" s="15"/>
      <c r="P650" s="15"/>
      <c r="Q650" s="15">
        <f>SUM(G650:P650)</f>
        <v>3600</v>
      </c>
    </row>
    <row r="651" spans="1:17" ht="24.75" customHeight="1">
      <c r="A651" s="101"/>
      <c r="B651" s="101"/>
      <c r="C651" s="224"/>
      <c r="D651" s="214" t="s">
        <v>1385</v>
      </c>
      <c r="E651" s="409"/>
      <c r="F651" s="64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1:17" ht="13.5" customHeight="1">
      <c r="A652" s="101"/>
      <c r="B652" s="101"/>
      <c r="C652" s="224"/>
      <c r="D652" s="14" t="s">
        <v>143</v>
      </c>
      <c r="E652" s="407">
        <v>2</v>
      </c>
      <c r="F652" s="712">
        <v>321958</v>
      </c>
      <c r="G652" s="15"/>
      <c r="H652" s="15"/>
      <c r="I652" s="15"/>
      <c r="J652" s="15"/>
      <c r="K652" s="15">
        <f>4500+'[1]táj.2.'!K652</f>
        <v>4500</v>
      </c>
      <c r="L652" s="15"/>
      <c r="M652" s="15"/>
      <c r="N652" s="15"/>
      <c r="O652" s="15"/>
      <c r="P652" s="15"/>
      <c r="Q652" s="15">
        <f>SUM(G652:P652)</f>
        <v>4500</v>
      </c>
    </row>
    <row r="653" spans="1:17" ht="13.5" customHeight="1">
      <c r="A653" s="101"/>
      <c r="B653" s="101"/>
      <c r="C653" s="224"/>
      <c r="D653" s="213" t="s">
        <v>1063</v>
      </c>
      <c r="E653" s="409">
        <v>2</v>
      </c>
      <c r="F653" s="645">
        <v>321956</v>
      </c>
      <c r="G653" s="15"/>
      <c r="H653" s="15"/>
      <c r="I653" s="15"/>
      <c r="J653" s="15"/>
      <c r="K653" s="15">
        <f>2000+'[1]táj.2.'!K653</f>
        <v>2000</v>
      </c>
      <c r="L653" s="15"/>
      <c r="M653" s="15"/>
      <c r="N653" s="15"/>
      <c r="O653" s="15"/>
      <c r="P653" s="15"/>
      <c r="Q653" s="15">
        <f>SUM(G653:P653)</f>
        <v>2000</v>
      </c>
    </row>
    <row r="654" spans="1:17" ht="24.75" customHeight="1">
      <c r="A654" s="101"/>
      <c r="B654" s="101"/>
      <c r="C654" s="224"/>
      <c r="D654" s="214" t="s">
        <v>27</v>
      </c>
      <c r="E654" s="409"/>
      <c r="F654" s="64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1:17" ht="13.5" customHeight="1">
      <c r="A655" s="101"/>
      <c r="B655" s="101"/>
      <c r="C655" s="224"/>
      <c r="D655" s="14" t="s">
        <v>28</v>
      </c>
      <c r="E655" s="407">
        <v>2</v>
      </c>
      <c r="F655" s="712">
        <v>321959</v>
      </c>
      <c r="G655" s="15"/>
      <c r="H655" s="15"/>
      <c r="I655" s="15"/>
      <c r="J655" s="15"/>
      <c r="K655" s="15">
        <f>4500+'[1]táj.2.'!K655</f>
        <v>4500</v>
      </c>
      <c r="L655" s="15"/>
      <c r="M655" s="15"/>
      <c r="N655" s="15"/>
      <c r="O655" s="15"/>
      <c r="P655" s="15"/>
      <c r="Q655" s="15">
        <f>SUM(G655:P655)</f>
        <v>4500</v>
      </c>
    </row>
    <row r="656" spans="1:17" ht="25.5" customHeight="1">
      <c r="A656" s="101"/>
      <c r="B656" s="101"/>
      <c r="C656" s="224"/>
      <c r="D656" s="214" t="s">
        <v>1384</v>
      </c>
      <c r="E656" s="409"/>
      <c r="F656" s="64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1:17" ht="15" customHeight="1">
      <c r="A657" s="101"/>
      <c r="B657" s="101"/>
      <c r="C657" s="224"/>
      <c r="D657" s="213" t="s">
        <v>29</v>
      </c>
      <c r="E657" s="409">
        <v>2</v>
      </c>
      <c r="F657" s="645">
        <v>321960</v>
      </c>
      <c r="G657" s="15"/>
      <c r="H657" s="15"/>
      <c r="I657" s="15"/>
      <c r="J657" s="15"/>
      <c r="K657" s="15">
        <f>1980+'[1]táj.2.'!K657</f>
        <v>1980</v>
      </c>
      <c r="L657" s="15"/>
      <c r="M657" s="15"/>
      <c r="N657" s="15"/>
      <c r="O657" s="15"/>
      <c r="P657" s="15"/>
      <c r="Q657" s="15">
        <f>SUM(G657:P657)</f>
        <v>1980</v>
      </c>
    </row>
    <row r="658" spans="1:17" ht="24" customHeight="1">
      <c r="A658" s="101"/>
      <c r="B658" s="101"/>
      <c r="C658" s="224"/>
      <c r="D658" s="216" t="s">
        <v>908</v>
      </c>
      <c r="E658" s="426"/>
      <c r="F658" s="64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1:17" ht="15" customHeight="1">
      <c r="A659" s="101"/>
      <c r="B659" s="101"/>
      <c r="C659" s="224"/>
      <c r="D659" s="196" t="s">
        <v>909</v>
      </c>
      <c r="E659" s="409">
        <v>1</v>
      </c>
      <c r="F659" s="645">
        <v>321961</v>
      </c>
      <c r="G659" s="15"/>
      <c r="H659" s="15"/>
      <c r="I659" s="15"/>
      <c r="J659" s="15"/>
      <c r="K659" s="15">
        <f>1200+'[1]táj.2.'!K659</f>
        <v>1200</v>
      </c>
      <c r="L659" s="15"/>
      <c r="M659" s="15"/>
      <c r="N659" s="15"/>
      <c r="O659" s="15"/>
      <c r="P659" s="15"/>
      <c r="Q659" s="15">
        <f>SUM(G659:P659)</f>
        <v>1200</v>
      </c>
    </row>
    <row r="660" spans="1:17" ht="15" customHeight="1">
      <c r="A660" s="101"/>
      <c r="B660" s="101"/>
      <c r="C660" s="224"/>
      <c r="D660" s="196" t="s">
        <v>1310</v>
      </c>
      <c r="E660" s="409">
        <v>1</v>
      </c>
      <c r="F660" s="645">
        <v>321909</v>
      </c>
      <c r="G660" s="15"/>
      <c r="H660" s="15"/>
      <c r="I660" s="15"/>
      <c r="J660" s="15"/>
      <c r="K660" s="15">
        <f>45000+'[1]táj.2.'!K660</f>
        <v>45000</v>
      </c>
      <c r="L660" s="15"/>
      <c r="M660" s="15"/>
      <c r="N660" s="15"/>
      <c r="O660" s="15"/>
      <c r="P660" s="15"/>
      <c r="Q660" s="15">
        <f>SUM(G660:P660)</f>
        <v>45000</v>
      </c>
    </row>
    <row r="661" spans="1:17" ht="13.5" customHeight="1">
      <c r="A661" s="101"/>
      <c r="B661" s="101"/>
      <c r="C661" s="224"/>
      <c r="D661" s="129" t="s">
        <v>776</v>
      </c>
      <c r="E661" s="15"/>
      <c r="F661" s="712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1:17" ht="13.5" customHeight="1">
      <c r="A662" s="101"/>
      <c r="B662" s="101"/>
      <c r="C662" s="224" t="s">
        <v>1055</v>
      </c>
      <c r="D662" s="810" t="s">
        <v>1147</v>
      </c>
      <c r="E662" s="15"/>
      <c r="F662" s="712">
        <v>324902</v>
      </c>
      <c r="G662" s="15"/>
      <c r="H662" s="15"/>
      <c r="I662" s="15"/>
      <c r="J662" s="15"/>
      <c r="K662" s="15"/>
      <c r="L662" s="15"/>
      <c r="M662" s="15">
        <f>10000+'[1]táj.2.'!M662</f>
        <v>10000</v>
      </c>
      <c r="N662" s="15"/>
      <c r="O662" s="15"/>
      <c r="P662" s="15"/>
      <c r="Q662" s="15">
        <f>SUM(G662:P662)</f>
        <v>10000</v>
      </c>
    </row>
    <row r="663" spans="1:17" ht="13.5" customHeight="1">
      <c r="A663" s="101"/>
      <c r="B663" s="101"/>
      <c r="C663" s="224" t="s">
        <v>1054</v>
      </c>
      <c r="D663" s="300" t="s">
        <v>544</v>
      </c>
      <c r="E663" s="15"/>
      <c r="F663" s="712">
        <v>322902</v>
      </c>
      <c r="G663" s="111"/>
      <c r="H663" s="111"/>
      <c r="I663" s="111"/>
      <c r="J663" s="111"/>
      <c r="K663" s="15"/>
      <c r="L663" s="15">
        <f>51490+'[1]táj.2.'!L663</f>
        <v>51490</v>
      </c>
      <c r="M663" s="15"/>
      <c r="N663" s="112"/>
      <c r="O663" s="111"/>
      <c r="P663" s="111"/>
      <c r="Q663" s="112">
        <f>SUM(G663:P663)</f>
        <v>51490</v>
      </c>
    </row>
    <row r="664" spans="1:17" ht="15.75" customHeight="1">
      <c r="A664" s="91"/>
      <c r="B664" s="91"/>
      <c r="C664" s="221"/>
      <c r="D664" s="94" t="s">
        <v>148</v>
      </c>
      <c r="E664" s="95"/>
      <c r="F664" s="95"/>
      <c r="G664" s="99">
        <f aca="true" t="shared" si="43" ref="G664:Q664">SUM(G639:G663)</f>
        <v>0</v>
      </c>
      <c r="H664" s="99">
        <f t="shared" si="43"/>
        <v>0</v>
      </c>
      <c r="I664" s="99">
        <f t="shared" si="43"/>
        <v>0</v>
      </c>
      <c r="J664" s="99">
        <f t="shared" si="43"/>
        <v>0</v>
      </c>
      <c r="K664" s="99">
        <f t="shared" si="43"/>
        <v>291907</v>
      </c>
      <c r="L664" s="99">
        <f t="shared" si="43"/>
        <v>51490</v>
      </c>
      <c r="M664" s="99">
        <f t="shared" si="43"/>
        <v>10000</v>
      </c>
      <c r="N664" s="99">
        <f t="shared" si="43"/>
        <v>0</v>
      </c>
      <c r="O664" s="99">
        <f t="shared" si="43"/>
        <v>0</v>
      </c>
      <c r="P664" s="99">
        <f t="shared" si="43"/>
        <v>0</v>
      </c>
      <c r="Q664" s="99">
        <f t="shared" si="43"/>
        <v>353397</v>
      </c>
    </row>
    <row r="665" spans="1:17" ht="15.75" customHeight="1">
      <c r="A665" s="91"/>
      <c r="B665" s="91"/>
      <c r="C665" s="221"/>
      <c r="D665" s="811" t="s">
        <v>31</v>
      </c>
      <c r="E665" s="155"/>
      <c r="F665" s="812"/>
      <c r="G665" s="131">
        <f aca="true" t="shared" si="44" ref="G665:Q665">SUM(G42+G196+G212+G430+G524+G551+G569+G603+G605+G638+G664)</f>
        <v>102865</v>
      </c>
      <c r="H665" s="131">
        <f t="shared" si="44"/>
        <v>32045</v>
      </c>
      <c r="I665" s="131">
        <f t="shared" si="44"/>
        <v>2649548</v>
      </c>
      <c r="J665" s="131">
        <f t="shared" si="44"/>
        <v>211954</v>
      </c>
      <c r="K665" s="131">
        <f t="shared" si="44"/>
        <v>1582961</v>
      </c>
      <c r="L665" s="131">
        <f t="shared" si="44"/>
        <v>4972148</v>
      </c>
      <c r="M665" s="131">
        <f t="shared" si="44"/>
        <v>647920</v>
      </c>
      <c r="N665" s="131">
        <f t="shared" si="44"/>
        <v>864685</v>
      </c>
      <c r="O665" s="131">
        <f t="shared" si="44"/>
        <v>0</v>
      </c>
      <c r="P665" s="131">
        <f t="shared" si="44"/>
        <v>0</v>
      </c>
      <c r="Q665" s="131">
        <f t="shared" si="44"/>
        <v>11064126</v>
      </c>
    </row>
    <row r="666" spans="1:17" ht="15.75" customHeight="1">
      <c r="A666" s="87"/>
      <c r="B666" s="87"/>
      <c r="C666" s="87"/>
      <c r="D666" s="711" t="s">
        <v>680</v>
      </c>
      <c r="E666" s="89"/>
      <c r="F666" s="715"/>
      <c r="G666" s="77">
        <f>2924692+'[1]táj.2.'!G666</f>
        <v>2936372</v>
      </c>
      <c r="H666" s="77">
        <f>822605+'[1]táj.2.'!H666</f>
        <v>822287</v>
      </c>
      <c r="I666" s="77">
        <f>2337712+'[1]táj.2.'!I666</f>
        <v>2337985</v>
      </c>
      <c r="J666" s="77">
        <f>0+'[1]táj.2.'!J666</f>
        <v>0</v>
      </c>
      <c r="K666" s="77">
        <f>28756+'[1]táj.2.'!K666</f>
        <v>32414</v>
      </c>
      <c r="L666" s="77">
        <f>54246+'[1]táj.2.'!L666</f>
        <v>54246</v>
      </c>
      <c r="M666" s="77">
        <f>33921+'[1]táj.2.'!M666</f>
        <v>33921</v>
      </c>
      <c r="N666" s="77">
        <f>0+'[1]táj.2.'!N666</f>
        <v>0</v>
      </c>
      <c r="O666" s="77">
        <f>0+'[1]táj.2.'!O666</f>
        <v>0</v>
      </c>
      <c r="P666" s="77">
        <f>0+'[1]táj.2.'!P666</f>
        <v>0</v>
      </c>
      <c r="Q666" s="128">
        <f>SUM(G666:P666)</f>
        <v>6217225</v>
      </c>
    </row>
    <row r="667" spans="1:17" ht="15.75" customHeight="1">
      <c r="A667" s="91"/>
      <c r="B667" s="91"/>
      <c r="C667" s="221"/>
      <c r="D667" s="94" t="s">
        <v>665</v>
      </c>
      <c r="E667" s="154"/>
      <c r="F667" s="154"/>
      <c r="G667" s="48">
        <f aca="true" t="shared" si="45" ref="G667:Q667">SUM(G665:G666)</f>
        <v>3039237</v>
      </c>
      <c r="H667" s="48">
        <f t="shared" si="45"/>
        <v>854332</v>
      </c>
      <c r="I667" s="48">
        <f t="shared" si="45"/>
        <v>4987533</v>
      </c>
      <c r="J667" s="48">
        <f t="shared" si="45"/>
        <v>211954</v>
      </c>
      <c r="K667" s="48">
        <f t="shared" si="45"/>
        <v>1615375</v>
      </c>
      <c r="L667" s="99">
        <f t="shared" si="45"/>
        <v>5026394</v>
      </c>
      <c r="M667" s="99">
        <f t="shared" si="45"/>
        <v>681841</v>
      </c>
      <c r="N667" s="99">
        <f t="shared" si="45"/>
        <v>864685</v>
      </c>
      <c r="O667" s="99">
        <f t="shared" si="45"/>
        <v>0</v>
      </c>
      <c r="P667" s="99">
        <f t="shared" si="45"/>
        <v>0</v>
      </c>
      <c r="Q667" s="99">
        <f t="shared" si="45"/>
        <v>17281351</v>
      </c>
    </row>
    <row r="668" spans="1:17" ht="15.75" customHeight="1">
      <c r="A668" s="146"/>
      <c r="B668" s="146"/>
      <c r="C668" s="146"/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8"/>
      <c r="O668" s="148"/>
      <c r="P668" s="148"/>
      <c r="Q668" s="147"/>
    </row>
    <row r="669" spans="1:17" ht="1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</row>
    <row r="670" spans="1:17" ht="1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</row>
    <row r="671" spans="1:17" ht="1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</row>
    <row r="672" spans="1:17" ht="1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</row>
    <row r="673" spans="1:17" ht="1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KIADÁSI ELŐIRÁNYZATAI
2015. ÉVBEN&amp;R&amp;"Times New Roman CE,Félkövér dőlt"6.a melléklet
Adatok ezer Ft-ban</oddHeader>
    <oddFooter>&amp;LFeladat jellege:
1=kötelező
2=önként vállalt
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L10" sqref="L10"/>
    </sheetView>
  </sheetViews>
  <sheetFormatPr defaultColWidth="9.00390625" defaultRowHeight="12.75"/>
  <cols>
    <col min="1" max="1" width="3.00390625" style="833" customWidth="1"/>
    <col min="2" max="2" width="37.50390625" style="817" customWidth="1"/>
    <col min="3" max="3" width="12.375" style="817" customWidth="1"/>
    <col min="4" max="4" width="10.625" style="817" customWidth="1"/>
    <col min="5" max="5" width="11.875" style="817" customWidth="1"/>
    <col min="6" max="6" width="10.375" style="817" customWidth="1"/>
    <col min="7" max="7" width="8.50390625" style="817" customWidth="1"/>
    <col min="8" max="8" width="11.875" style="817" customWidth="1"/>
    <col min="9" max="9" width="10.50390625" style="817" customWidth="1"/>
    <col min="10" max="10" width="11.625" style="817" customWidth="1"/>
    <col min="11" max="11" width="11.375" style="817" customWidth="1"/>
    <col min="12" max="12" width="12.875" style="817" customWidth="1"/>
    <col min="13" max="13" width="13.125" style="817" customWidth="1"/>
    <col min="14" max="14" width="9.50390625" style="817" customWidth="1"/>
    <col min="15" max="15" width="13.125" style="817" customWidth="1"/>
    <col min="16" max="16384" width="9.375" style="817" customWidth="1"/>
  </cols>
  <sheetData>
    <row r="1" spans="1:15" ht="14.25" customHeight="1">
      <c r="A1" s="813" t="s">
        <v>599</v>
      </c>
      <c r="B1" s="813" t="s">
        <v>600</v>
      </c>
      <c r="C1" s="814" t="s">
        <v>601</v>
      </c>
      <c r="D1" s="814" t="s">
        <v>602</v>
      </c>
      <c r="E1" s="813" t="s">
        <v>441</v>
      </c>
      <c r="F1" s="815"/>
      <c r="G1" s="815"/>
      <c r="H1" s="815"/>
      <c r="I1" s="815"/>
      <c r="J1" s="815"/>
      <c r="K1" s="815"/>
      <c r="L1" s="816" t="s">
        <v>789</v>
      </c>
      <c r="M1" s="815"/>
      <c r="N1" s="815"/>
      <c r="O1" s="813" t="s">
        <v>799</v>
      </c>
    </row>
    <row r="2" spans="1:15" ht="81.75" customHeight="1">
      <c r="A2" s="818"/>
      <c r="B2" s="818"/>
      <c r="C2" s="819"/>
      <c r="D2" s="819"/>
      <c r="E2" s="820" t="s">
        <v>153</v>
      </c>
      <c r="F2" s="820" t="s">
        <v>154</v>
      </c>
      <c r="G2" s="820" t="s">
        <v>155</v>
      </c>
      <c r="H2" s="820" t="s">
        <v>785</v>
      </c>
      <c r="I2" s="820" t="s">
        <v>786</v>
      </c>
      <c r="J2" s="820" t="s">
        <v>787</v>
      </c>
      <c r="K2" s="820" t="s">
        <v>788</v>
      </c>
      <c r="L2" s="820" t="s">
        <v>443</v>
      </c>
      <c r="M2" s="820" t="s">
        <v>1067</v>
      </c>
      <c r="N2" s="820" t="s">
        <v>445</v>
      </c>
      <c r="O2" s="813"/>
    </row>
    <row r="3" spans="1:15" ht="15" customHeight="1">
      <c r="A3" s="821">
        <v>2</v>
      </c>
      <c r="B3" s="822" t="s">
        <v>384</v>
      </c>
      <c r="C3" s="167">
        <v>1181625</v>
      </c>
      <c r="D3" s="167">
        <f>0+'[1]táj.3.'!M3</f>
        <v>128</v>
      </c>
      <c r="E3" s="823"/>
      <c r="F3" s="823"/>
      <c r="G3" s="823"/>
      <c r="H3" s="824">
        <f>14500+'[1]táj.3.'!F3</f>
        <v>14500</v>
      </c>
      <c r="I3" s="824"/>
      <c r="J3" s="824"/>
      <c r="K3" s="824"/>
      <c r="L3" s="824">
        <f>128282+'[1]táj.3.'!J3</f>
        <v>128282</v>
      </c>
      <c r="M3" s="824">
        <f>1038843+'[1]táj.3.'!K3</f>
        <v>1038971</v>
      </c>
      <c r="N3" s="824"/>
      <c r="O3" s="824">
        <f aca="true" t="shared" si="0" ref="O3:O20">SUM(E3:N3)</f>
        <v>1181753</v>
      </c>
    </row>
    <row r="4" spans="1:15" s="825" customFormat="1" ht="16.5" customHeight="1">
      <c r="A4" s="821">
        <v>3</v>
      </c>
      <c r="B4" s="822" t="s">
        <v>323</v>
      </c>
      <c r="C4" s="167">
        <v>1337500</v>
      </c>
      <c r="D4" s="167">
        <f>0+'[1]táj.3.'!M4</f>
        <v>-481</v>
      </c>
      <c r="E4" s="823"/>
      <c r="F4" s="823"/>
      <c r="G4" s="823"/>
      <c r="H4" s="824">
        <f>391789+'[1]táj.3.'!F4</f>
        <v>391789</v>
      </c>
      <c r="I4" s="824"/>
      <c r="J4" s="824"/>
      <c r="K4" s="824"/>
      <c r="L4" s="824">
        <f>140168+'[1]táj.3.'!J4</f>
        <v>140168</v>
      </c>
      <c r="M4" s="824">
        <f>805543+'[1]táj.3.'!K4</f>
        <v>805062</v>
      </c>
      <c r="N4" s="824"/>
      <c r="O4" s="824">
        <f t="shared" si="0"/>
        <v>1337019</v>
      </c>
    </row>
    <row r="5" spans="1:15" s="825" customFormat="1" ht="19.5" customHeight="1">
      <c r="A5" s="821">
        <v>4</v>
      </c>
      <c r="B5" s="822" t="s">
        <v>13</v>
      </c>
      <c r="C5" s="167">
        <v>377182</v>
      </c>
      <c r="D5" s="167">
        <f>0+'[1]táj.3.'!M5</f>
        <v>375</v>
      </c>
      <c r="E5" s="823">
        <f>6624+'[1]táj.3.'!C5</f>
        <v>6624</v>
      </c>
      <c r="F5" s="823"/>
      <c r="G5" s="823"/>
      <c r="H5" s="824">
        <f>101525+'[1]táj.3.'!F5</f>
        <v>101525</v>
      </c>
      <c r="I5" s="824"/>
      <c r="J5" s="824"/>
      <c r="K5" s="824"/>
      <c r="L5" s="824"/>
      <c r="M5" s="824">
        <f>269033+'[1]táj.3.'!K5</f>
        <v>269408</v>
      </c>
      <c r="N5" s="824"/>
      <c r="O5" s="824">
        <f t="shared" si="0"/>
        <v>377557</v>
      </c>
    </row>
    <row r="6" spans="1:15" s="825" customFormat="1" ht="20.25" customHeight="1">
      <c r="A6" s="821">
        <v>5</v>
      </c>
      <c r="B6" s="161" t="s">
        <v>14</v>
      </c>
      <c r="C6" s="77">
        <v>317551</v>
      </c>
      <c r="D6" s="167">
        <f>0+'[1]táj.3.'!M6</f>
        <v>427</v>
      </c>
      <c r="E6" s="823">
        <f>258000+'[1]táj.3.'!C6</f>
        <v>258000</v>
      </c>
      <c r="F6" s="823"/>
      <c r="G6" s="823"/>
      <c r="H6" s="824">
        <f>800+'[1]táj.3.'!F6</f>
        <v>800</v>
      </c>
      <c r="I6" s="824"/>
      <c r="J6" s="824"/>
      <c r="K6" s="824"/>
      <c r="L6" s="824"/>
      <c r="M6" s="824">
        <f>58751+'[1]táj.3.'!K6</f>
        <v>59178</v>
      </c>
      <c r="N6" s="824"/>
      <c r="O6" s="824">
        <f t="shared" si="0"/>
        <v>317978</v>
      </c>
    </row>
    <row r="7" spans="1:15" s="825" customFormat="1" ht="15.75" customHeight="1">
      <c r="A7" s="821">
        <v>6</v>
      </c>
      <c r="B7" s="161" t="s">
        <v>15</v>
      </c>
      <c r="C7" s="77">
        <v>317172</v>
      </c>
      <c r="D7" s="167">
        <f>0+'[1]táj.3.'!M7</f>
        <v>20</v>
      </c>
      <c r="E7" s="823">
        <f>486+'[1]táj.3.'!C7</f>
        <v>486</v>
      </c>
      <c r="F7" s="823"/>
      <c r="G7" s="823"/>
      <c r="H7" s="824">
        <f>32656+'[1]táj.3.'!F7</f>
        <v>32656</v>
      </c>
      <c r="I7" s="824"/>
      <c r="J7" s="824"/>
      <c r="K7" s="824"/>
      <c r="L7" s="824">
        <f>2304+'[1]táj.3.'!J7</f>
        <v>2304</v>
      </c>
      <c r="M7" s="824">
        <f>281726+'[1]táj.3.'!K7</f>
        <v>281746</v>
      </c>
      <c r="N7" s="824"/>
      <c r="O7" s="824">
        <f t="shared" si="0"/>
        <v>317192</v>
      </c>
    </row>
    <row r="8" spans="1:15" s="825" customFormat="1" ht="18.75" customHeight="1">
      <c r="A8" s="821">
        <v>7</v>
      </c>
      <c r="B8" s="161" t="s">
        <v>16</v>
      </c>
      <c r="C8" s="77">
        <v>278344</v>
      </c>
      <c r="D8" s="167">
        <f>0+'[1]táj.3.'!M8</f>
        <v>-65</v>
      </c>
      <c r="E8" s="823">
        <f>692+'[1]táj.3.'!C8</f>
        <v>692</v>
      </c>
      <c r="F8" s="823"/>
      <c r="G8" s="823"/>
      <c r="H8" s="824">
        <f>28802+'[1]táj.3.'!F8</f>
        <v>28802</v>
      </c>
      <c r="I8" s="824"/>
      <c r="J8" s="824"/>
      <c r="K8" s="824"/>
      <c r="L8" s="824">
        <f>2098+'[1]táj.3.'!J8</f>
        <v>2098</v>
      </c>
      <c r="M8" s="824">
        <f>246752+'[1]táj.3.'!K8</f>
        <v>246687</v>
      </c>
      <c r="N8" s="824"/>
      <c r="O8" s="824">
        <f t="shared" si="0"/>
        <v>278279</v>
      </c>
    </row>
    <row r="9" spans="1:15" s="825" customFormat="1" ht="15" customHeight="1">
      <c r="A9" s="821">
        <v>8</v>
      </c>
      <c r="B9" s="161" t="s">
        <v>17</v>
      </c>
      <c r="C9" s="77">
        <v>298081</v>
      </c>
      <c r="D9" s="167">
        <f>0+'[1]táj.3.'!M9</f>
        <v>46</v>
      </c>
      <c r="E9" s="823">
        <f>869+'[1]táj.3.'!C9</f>
        <v>869</v>
      </c>
      <c r="F9" s="823"/>
      <c r="G9" s="823"/>
      <c r="H9" s="824">
        <f>26059+'[1]táj.3.'!F9</f>
        <v>26059</v>
      </c>
      <c r="I9" s="824"/>
      <c r="J9" s="824"/>
      <c r="K9" s="824"/>
      <c r="L9" s="824">
        <f>6902+'[1]táj.3.'!J9</f>
        <v>6902</v>
      </c>
      <c r="M9" s="824">
        <f>264251+'[1]táj.3.'!K9</f>
        <v>264297</v>
      </c>
      <c r="N9" s="824"/>
      <c r="O9" s="824">
        <f t="shared" si="0"/>
        <v>298127</v>
      </c>
    </row>
    <row r="10" spans="1:15" s="825" customFormat="1" ht="19.5" customHeight="1">
      <c r="A10" s="821">
        <v>9</v>
      </c>
      <c r="B10" s="161" t="s">
        <v>18</v>
      </c>
      <c r="C10" s="77">
        <v>283023</v>
      </c>
      <c r="D10" s="167">
        <f>0+'[1]táj.3.'!M10</f>
        <v>47</v>
      </c>
      <c r="E10" s="823">
        <f>337+'[1]táj.3.'!C10</f>
        <v>337</v>
      </c>
      <c r="F10" s="823"/>
      <c r="G10" s="823"/>
      <c r="H10" s="824">
        <f>20630+'[1]táj.3.'!F10</f>
        <v>20630</v>
      </c>
      <c r="I10" s="824"/>
      <c r="J10" s="824"/>
      <c r="K10" s="824"/>
      <c r="L10" s="824"/>
      <c r="M10" s="824">
        <f>262056+'[1]táj.3.'!K10</f>
        <v>262103</v>
      </c>
      <c r="N10" s="824"/>
      <c r="O10" s="824">
        <f t="shared" si="0"/>
        <v>283070</v>
      </c>
    </row>
    <row r="11" spans="1:15" s="825" customFormat="1" ht="27" customHeight="1">
      <c r="A11" s="821">
        <v>10</v>
      </c>
      <c r="B11" s="161" t="s">
        <v>19</v>
      </c>
      <c r="C11" s="826">
        <v>96034</v>
      </c>
      <c r="D11" s="167">
        <f>0+'[1]táj.3.'!M11</f>
        <v>-6569</v>
      </c>
      <c r="E11" s="823">
        <f>3698+'[1]táj.3.'!C11</f>
        <v>3698</v>
      </c>
      <c r="F11" s="823"/>
      <c r="G11" s="823"/>
      <c r="H11" s="824">
        <f>8335+'[1]táj.3.'!F11</f>
        <v>8335</v>
      </c>
      <c r="I11" s="824"/>
      <c r="J11" s="824"/>
      <c r="K11" s="824"/>
      <c r="L11" s="824">
        <f>4000+'[1]táj.3.'!J11</f>
        <v>4000</v>
      </c>
      <c r="M11" s="824">
        <f>80001+'[1]táj.3.'!K11</f>
        <v>73432</v>
      </c>
      <c r="N11" s="824"/>
      <c r="O11" s="824">
        <f t="shared" si="0"/>
        <v>89465</v>
      </c>
    </row>
    <row r="12" spans="1:15" s="825" customFormat="1" ht="20.25" customHeight="1">
      <c r="A12" s="821">
        <v>11</v>
      </c>
      <c r="B12" s="161" t="s">
        <v>1340</v>
      </c>
      <c r="C12" s="77">
        <v>208226</v>
      </c>
      <c r="D12" s="167">
        <f>0+'[1]táj.3.'!M12</f>
        <v>-3596</v>
      </c>
      <c r="E12" s="823">
        <f>16221+'[1]táj.3.'!C12</f>
        <v>16221</v>
      </c>
      <c r="F12" s="823"/>
      <c r="G12" s="823"/>
      <c r="H12" s="824">
        <f>50343+'[1]táj.3.'!F12</f>
        <v>62536</v>
      </c>
      <c r="I12" s="824"/>
      <c r="J12" s="824"/>
      <c r="K12" s="824"/>
      <c r="L12" s="824">
        <f>8089+'[1]táj.3.'!J12</f>
        <v>8089</v>
      </c>
      <c r="M12" s="824">
        <f>128573+'[1]táj.3.'!K12</f>
        <v>117784</v>
      </c>
      <c r="N12" s="824"/>
      <c r="O12" s="824">
        <f t="shared" si="0"/>
        <v>204630</v>
      </c>
    </row>
    <row r="13" spans="1:15" s="825" customFormat="1" ht="30" customHeight="1">
      <c r="A13" s="821">
        <v>12</v>
      </c>
      <c r="B13" s="161" t="s">
        <v>20</v>
      </c>
      <c r="C13" s="826">
        <v>15059</v>
      </c>
      <c r="D13" s="167">
        <f>0+'[1]táj.3.'!M13</f>
        <v>-1</v>
      </c>
      <c r="E13" s="823">
        <f>228+'[1]táj.3.'!C13</f>
        <v>228</v>
      </c>
      <c r="F13" s="823"/>
      <c r="G13" s="823"/>
      <c r="H13" s="824">
        <f>1582+'[1]táj.3.'!F13</f>
        <v>1582</v>
      </c>
      <c r="I13" s="824"/>
      <c r="J13" s="824"/>
      <c r="K13" s="824"/>
      <c r="L13" s="824">
        <f>1041+'[1]táj.3.'!J13</f>
        <v>1041</v>
      </c>
      <c r="M13" s="824">
        <f>12208+'[1]táj.3.'!K13</f>
        <v>12207</v>
      </c>
      <c r="N13" s="824"/>
      <c r="O13" s="824">
        <f t="shared" si="0"/>
        <v>15058</v>
      </c>
    </row>
    <row r="14" spans="1:15" s="825" customFormat="1" ht="15" customHeight="1">
      <c r="A14" s="821">
        <v>13</v>
      </c>
      <c r="B14" s="161" t="s">
        <v>11</v>
      </c>
      <c r="C14" s="77">
        <v>350342</v>
      </c>
      <c r="D14" s="167">
        <f>0+'[1]táj.3.'!M14</f>
        <v>378</v>
      </c>
      <c r="E14" s="823">
        <f>3300+'[1]táj.3.'!C14</f>
        <v>3300</v>
      </c>
      <c r="F14" s="823"/>
      <c r="G14" s="823"/>
      <c r="H14" s="824">
        <f>34596+'[1]táj.3.'!F14</f>
        <v>34596</v>
      </c>
      <c r="I14" s="824"/>
      <c r="J14" s="824"/>
      <c r="K14" s="824"/>
      <c r="L14" s="824">
        <f>2990+'[1]táj.3.'!J14</f>
        <v>2990</v>
      </c>
      <c r="M14" s="824">
        <f>309456+'[1]táj.3.'!K14</f>
        <v>309834</v>
      </c>
      <c r="N14" s="824"/>
      <c r="O14" s="824">
        <f t="shared" si="0"/>
        <v>350720</v>
      </c>
    </row>
    <row r="15" spans="1:15" s="825" customFormat="1" ht="16.5" customHeight="1">
      <c r="A15" s="821">
        <v>14</v>
      </c>
      <c r="B15" s="161" t="s">
        <v>12</v>
      </c>
      <c r="C15" s="77">
        <v>237762</v>
      </c>
      <c r="D15" s="167">
        <f>0+'[1]táj.3.'!M15</f>
        <v>-3808</v>
      </c>
      <c r="E15" s="823"/>
      <c r="F15" s="823"/>
      <c r="G15" s="823"/>
      <c r="H15" s="824">
        <f>107626+'[1]táj.3.'!F15</f>
        <v>107626</v>
      </c>
      <c r="I15" s="824"/>
      <c r="J15" s="824"/>
      <c r="K15" s="824"/>
      <c r="L15" s="824">
        <f>22544+'[1]táj.3.'!J15</f>
        <v>22544</v>
      </c>
      <c r="M15" s="824">
        <f>107592+'[1]táj.3.'!K15</f>
        <v>103784</v>
      </c>
      <c r="N15" s="824"/>
      <c r="O15" s="824">
        <f t="shared" si="0"/>
        <v>233954</v>
      </c>
    </row>
    <row r="16" spans="1:15" s="825" customFormat="1" ht="18" customHeight="1">
      <c r="A16" s="821">
        <v>15</v>
      </c>
      <c r="B16" s="161" t="s">
        <v>21</v>
      </c>
      <c r="C16" s="77">
        <v>585550</v>
      </c>
      <c r="D16" s="167">
        <f>0+'[1]táj.3.'!M16</f>
        <v>2638</v>
      </c>
      <c r="E16" s="823"/>
      <c r="F16" s="823"/>
      <c r="G16" s="823"/>
      <c r="H16" s="824">
        <f>152751+'[1]táj.3.'!F16</f>
        <v>152751</v>
      </c>
      <c r="I16" s="824"/>
      <c r="J16" s="824">
        <f>59000+'[1]táj.3.'!H16</f>
        <v>59000</v>
      </c>
      <c r="K16" s="824"/>
      <c r="L16" s="824">
        <f>29675+'[1]táj.3.'!J16</f>
        <v>29675</v>
      </c>
      <c r="M16" s="824">
        <f>344124+'[1]táj.3.'!K16</f>
        <v>346762</v>
      </c>
      <c r="N16" s="824"/>
      <c r="O16" s="824">
        <f t="shared" si="0"/>
        <v>588188</v>
      </c>
    </row>
    <row r="17" spans="1:15" s="825" customFormat="1" ht="18.75" customHeight="1">
      <c r="A17" s="821">
        <v>16</v>
      </c>
      <c r="B17" s="161" t="s">
        <v>22</v>
      </c>
      <c r="C17" s="77">
        <v>115376</v>
      </c>
      <c r="D17" s="167">
        <f>0+'[1]táj.3.'!M17</f>
        <v>207</v>
      </c>
      <c r="E17" s="823"/>
      <c r="F17" s="823"/>
      <c r="G17" s="823"/>
      <c r="H17" s="824">
        <f>17305+'[1]táj.3.'!F17</f>
        <v>17305</v>
      </c>
      <c r="I17" s="824"/>
      <c r="J17" s="824">
        <f>6000+'[1]táj.3.'!H17</f>
        <v>6000</v>
      </c>
      <c r="K17" s="824"/>
      <c r="L17" s="824">
        <f>19909+'[1]táj.3.'!J17</f>
        <v>19909</v>
      </c>
      <c r="M17" s="824">
        <f>72162+'[1]táj.3.'!K17</f>
        <v>72369</v>
      </c>
      <c r="N17" s="824"/>
      <c r="O17" s="824">
        <f t="shared" si="0"/>
        <v>115583</v>
      </c>
    </row>
    <row r="18" spans="1:15" s="825" customFormat="1" ht="21.75" customHeight="1">
      <c r="A18" s="821">
        <v>17</v>
      </c>
      <c r="B18" s="161" t="s">
        <v>23</v>
      </c>
      <c r="C18" s="77">
        <v>103145</v>
      </c>
      <c r="D18" s="167">
        <f>0+'[1]táj.3.'!M18</f>
        <v>-18</v>
      </c>
      <c r="E18" s="823"/>
      <c r="F18" s="823"/>
      <c r="G18" s="823"/>
      <c r="H18" s="824">
        <f>9498+'[1]táj.3.'!F18</f>
        <v>9498</v>
      </c>
      <c r="I18" s="824"/>
      <c r="J18" s="824"/>
      <c r="K18" s="824"/>
      <c r="L18" s="824">
        <f>17000+'[1]táj.3.'!J18</f>
        <v>17000</v>
      </c>
      <c r="M18" s="824">
        <f>76647+'[1]táj.3.'!K18</f>
        <v>76629</v>
      </c>
      <c r="N18" s="824"/>
      <c r="O18" s="824">
        <f t="shared" si="0"/>
        <v>103127</v>
      </c>
    </row>
    <row r="19" spans="1:15" s="825" customFormat="1" ht="18.75" customHeight="1">
      <c r="A19" s="821">
        <v>18</v>
      </c>
      <c r="B19" s="827" t="s">
        <v>774</v>
      </c>
      <c r="C19" s="828">
        <v>99960</v>
      </c>
      <c r="D19" s="167">
        <f>0+'[1]táj.3.'!M19</f>
        <v>28</v>
      </c>
      <c r="E19" s="823"/>
      <c r="F19" s="823"/>
      <c r="G19" s="823"/>
      <c r="H19" s="824">
        <f>97081+'[1]táj.3.'!F19</f>
        <v>97081</v>
      </c>
      <c r="I19" s="824"/>
      <c r="J19" s="824"/>
      <c r="K19" s="824"/>
      <c r="L19" s="824">
        <f>2879+'[1]táj.3.'!J19</f>
        <v>2879</v>
      </c>
      <c r="M19" s="824">
        <f>0+'[1]táj.3.'!K19</f>
        <v>28</v>
      </c>
      <c r="N19" s="824"/>
      <c r="O19" s="824">
        <f t="shared" si="0"/>
        <v>99988</v>
      </c>
    </row>
    <row r="20" spans="1:15" s="825" customFormat="1" ht="15.75" customHeight="1">
      <c r="A20" s="821">
        <v>19</v>
      </c>
      <c r="B20" s="827" t="s">
        <v>603</v>
      </c>
      <c r="C20" s="828"/>
      <c r="D20" s="167">
        <f>0+'[1]táj.3.'!M20</f>
        <v>25537</v>
      </c>
      <c r="E20" s="823">
        <f>0+'[1]táj.3.'!C20</f>
        <v>3658</v>
      </c>
      <c r="F20" s="823"/>
      <c r="G20" s="823"/>
      <c r="H20" s="824"/>
      <c r="I20" s="824"/>
      <c r="J20" s="824"/>
      <c r="K20" s="824"/>
      <c r="L20" s="824"/>
      <c r="M20" s="824">
        <f>0+'[1]táj.3.'!K20</f>
        <v>21879</v>
      </c>
      <c r="N20" s="167"/>
      <c r="O20" s="824">
        <f t="shared" si="0"/>
        <v>25537</v>
      </c>
    </row>
    <row r="21" spans="1:15" s="825" customFormat="1" ht="24" customHeight="1">
      <c r="A21" s="829"/>
      <c r="B21" s="830" t="s">
        <v>604</v>
      </c>
      <c r="C21" s="831">
        <f aca="true" t="shared" si="1" ref="C21:O21">SUM(C3:C20)</f>
        <v>6201932</v>
      </c>
      <c r="D21" s="831">
        <f t="shared" si="1"/>
        <v>15293</v>
      </c>
      <c r="E21" s="831">
        <f t="shared" si="1"/>
        <v>294113</v>
      </c>
      <c r="F21" s="831">
        <f t="shared" si="1"/>
        <v>0</v>
      </c>
      <c r="G21" s="831">
        <f t="shared" si="1"/>
        <v>0</v>
      </c>
      <c r="H21" s="831">
        <f t="shared" si="1"/>
        <v>1108071</v>
      </c>
      <c r="I21" s="831">
        <f t="shared" si="1"/>
        <v>0</v>
      </c>
      <c r="J21" s="831">
        <f t="shared" si="1"/>
        <v>65000</v>
      </c>
      <c r="K21" s="831">
        <f t="shared" si="1"/>
        <v>0</v>
      </c>
      <c r="L21" s="831">
        <f t="shared" si="1"/>
        <v>387881</v>
      </c>
      <c r="M21" s="831">
        <f t="shared" si="1"/>
        <v>4362160</v>
      </c>
      <c r="N21" s="831">
        <f t="shared" si="1"/>
        <v>0</v>
      </c>
      <c r="O21" s="831">
        <f t="shared" si="1"/>
        <v>6217225</v>
      </c>
    </row>
    <row r="22" s="825" customFormat="1" ht="12.75">
      <c r="A22" s="832"/>
    </row>
    <row r="23" s="825" customFormat="1" ht="12.75">
      <c r="A23" s="832"/>
    </row>
    <row r="24" s="825" customFormat="1" ht="12.75">
      <c r="A24" s="832"/>
    </row>
    <row r="25" s="825" customFormat="1" ht="12.75">
      <c r="A25" s="832"/>
    </row>
    <row r="26" s="825" customFormat="1" ht="12.75">
      <c r="A26" s="832"/>
    </row>
    <row r="27" s="825" customFormat="1" ht="12.75">
      <c r="A27" s="832"/>
    </row>
    <row r="28" s="825" customFormat="1" ht="12.75">
      <c r="A28" s="832"/>
    </row>
    <row r="29" s="825" customFormat="1" ht="12.75">
      <c r="A29" s="832"/>
    </row>
    <row r="30" s="825" customFormat="1" ht="12.75">
      <c r="A30" s="832"/>
    </row>
    <row r="31" s="825" customFormat="1" ht="12.75">
      <c r="A31" s="832"/>
    </row>
    <row r="32" s="825" customFormat="1" ht="12.75">
      <c r="A32" s="832"/>
    </row>
    <row r="33" s="825" customFormat="1" ht="12.75">
      <c r="A33" s="832"/>
    </row>
    <row r="34" s="825" customFormat="1" ht="12.75">
      <c r="A34" s="832"/>
    </row>
    <row r="35" s="825" customFormat="1" ht="12.75">
      <c r="A35" s="832"/>
    </row>
    <row r="36" s="825" customFormat="1" ht="12.75">
      <c r="A36" s="832"/>
    </row>
    <row r="37" s="825" customFormat="1" ht="12.75">
      <c r="A37" s="832"/>
    </row>
    <row r="38" s="825" customFormat="1" ht="12.75">
      <c r="A38" s="832"/>
    </row>
    <row r="39" s="825" customFormat="1" ht="12.75">
      <c r="A39" s="832"/>
    </row>
    <row r="40" s="825" customFormat="1" ht="12.75">
      <c r="A40" s="832"/>
    </row>
    <row r="41" s="825" customFormat="1" ht="12.75">
      <c r="A41" s="832"/>
    </row>
    <row r="42" s="825" customFormat="1" ht="12.75">
      <c r="A42" s="832"/>
    </row>
    <row r="43" s="825" customFormat="1" ht="12.75">
      <c r="A43" s="832"/>
    </row>
    <row r="44" s="825" customFormat="1" ht="12.75">
      <c r="A44" s="832"/>
    </row>
    <row r="45" s="825" customFormat="1" ht="12.75">
      <c r="A45" s="832"/>
    </row>
    <row r="46" s="825" customFormat="1" ht="12.75">
      <c r="A46" s="832"/>
    </row>
    <row r="47" s="825" customFormat="1" ht="12.75">
      <c r="A47" s="832"/>
    </row>
    <row r="48" s="825" customFormat="1" ht="12.75">
      <c r="A48" s="832"/>
    </row>
    <row r="49" s="825" customFormat="1" ht="12.75">
      <c r="A49" s="832"/>
    </row>
    <row r="50" s="825" customFormat="1" ht="12.75">
      <c r="A50" s="832"/>
    </row>
    <row r="51" s="825" customFormat="1" ht="12.75">
      <c r="A51" s="832"/>
    </row>
    <row r="52" s="825" customFormat="1" ht="12.75">
      <c r="A52" s="832"/>
    </row>
    <row r="53" s="825" customFormat="1" ht="12.75">
      <c r="A53" s="832"/>
    </row>
    <row r="54" s="825" customFormat="1" ht="12.75">
      <c r="A54" s="832"/>
    </row>
    <row r="55" s="825" customFormat="1" ht="12.75">
      <c r="A55" s="832"/>
    </row>
    <row r="56" s="825" customFormat="1" ht="12.75">
      <c r="A56" s="832"/>
    </row>
    <row r="57" s="825" customFormat="1" ht="12.75">
      <c r="A57" s="832"/>
    </row>
    <row r="58" s="825" customFormat="1" ht="12.75">
      <c r="A58" s="832"/>
    </row>
    <row r="59" s="825" customFormat="1" ht="12.75">
      <c r="A59" s="832"/>
    </row>
    <row r="60" s="825" customFormat="1" ht="12.75">
      <c r="A60" s="832"/>
    </row>
    <row r="61" s="825" customFormat="1" ht="12.75">
      <c r="A61" s="832"/>
    </row>
    <row r="62" s="825" customFormat="1" ht="12.75">
      <c r="A62" s="832"/>
    </row>
    <row r="63" s="825" customFormat="1" ht="12.75">
      <c r="A63" s="832"/>
    </row>
    <row r="64" s="825" customFormat="1" ht="12.75">
      <c r="A64" s="832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BEVÉTELI ELŐIRÁNYZATAI&amp;R&amp;"Times New Roman,Dőlt"&amp;9
 7.  melléklet
Adatok eFt-ban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Viki</cp:lastModifiedBy>
  <cp:lastPrinted>2015-03-17T07:29:58Z</cp:lastPrinted>
  <dcterms:created xsi:type="dcterms:W3CDTF">2002-12-30T13:12:46Z</dcterms:created>
  <dcterms:modified xsi:type="dcterms:W3CDTF">2015-03-17T07:30:51Z</dcterms:modified>
  <cp:category/>
  <cp:version/>
  <cp:contentType/>
  <cp:contentStatus/>
</cp:coreProperties>
</file>