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'!$A$1:$O$62</definedName>
  </definedNames>
  <calcPr calcId="145621"/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O64" i="1" s="1"/>
  <c r="G64" i="1"/>
  <c r="F64" i="1"/>
  <c r="E64" i="1"/>
  <c r="D64" i="1"/>
  <c r="C64" i="1"/>
  <c r="H64" i="1" s="1"/>
  <c r="L61" i="1"/>
  <c r="O61" i="1" s="1"/>
  <c r="M60" i="1"/>
  <c r="M62" i="1" s="1"/>
  <c r="M63" i="1" s="1"/>
  <c r="L60" i="1"/>
  <c r="L62" i="1" s="1"/>
  <c r="N59" i="1"/>
  <c r="N60" i="1" s="1"/>
  <c r="N62" i="1" s="1"/>
  <c r="N63" i="1" s="1"/>
  <c r="J59" i="1"/>
  <c r="O59" i="1" s="1"/>
  <c r="H59" i="1"/>
  <c r="F59" i="1"/>
  <c r="F60" i="1" s="1"/>
  <c r="F62" i="1" s="1"/>
  <c r="F63" i="1" s="1"/>
  <c r="O58" i="1"/>
  <c r="E58" i="1"/>
  <c r="H58" i="1" s="1"/>
  <c r="K56" i="1"/>
  <c r="J56" i="1"/>
  <c r="O56" i="1" s="1"/>
  <c r="H56" i="1"/>
  <c r="J55" i="1"/>
  <c r="O55" i="1" s="1"/>
  <c r="H55" i="1"/>
  <c r="O54" i="1"/>
  <c r="J54" i="1"/>
  <c r="H54" i="1"/>
  <c r="C54" i="1"/>
  <c r="O53" i="1"/>
  <c r="H53" i="1"/>
  <c r="O52" i="1"/>
  <c r="H52" i="1"/>
  <c r="O51" i="1"/>
  <c r="H51" i="1"/>
  <c r="O49" i="1"/>
  <c r="H49" i="1"/>
  <c r="K47" i="1"/>
  <c r="J47" i="1"/>
  <c r="O47" i="1" s="1"/>
  <c r="H47" i="1"/>
  <c r="K46" i="1"/>
  <c r="J46" i="1"/>
  <c r="O46" i="1" s="1"/>
  <c r="C46" i="1"/>
  <c r="H46" i="1" s="1"/>
  <c r="J45" i="1"/>
  <c r="O45" i="1" s="1"/>
  <c r="C45" i="1"/>
  <c r="H45" i="1" s="1"/>
  <c r="O43" i="1"/>
  <c r="H43" i="1"/>
  <c r="C43" i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K35" i="1"/>
  <c r="J35" i="1"/>
  <c r="O35" i="1" s="1"/>
  <c r="C35" i="1"/>
  <c r="H35" i="1" s="1"/>
  <c r="J34" i="1"/>
  <c r="O34" i="1" s="1"/>
  <c r="H34" i="1"/>
  <c r="O33" i="1"/>
  <c r="J33" i="1"/>
  <c r="H33" i="1"/>
  <c r="K32" i="1"/>
  <c r="J32" i="1"/>
  <c r="O32" i="1" s="1"/>
  <c r="D32" i="1"/>
  <c r="C32" i="1"/>
  <c r="H32" i="1" s="1"/>
  <c r="O30" i="1"/>
  <c r="H30" i="1"/>
  <c r="O29" i="1"/>
  <c r="H29" i="1"/>
  <c r="C29" i="1"/>
  <c r="O28" i="1"/>
  <c r="H28" i="1"/>
  <c r="O27" i="1"/>
  <c r="H27" i="1"/>
  <c r="O25" i="1"/>
  <c r="H25" i="1"/>
  <c r="K24" i="1"/>
  <c r="J24" i="1"/>
  <c r="O24" i="1" s="1"/>
  <c r="H24" i="1"/>
  <c r="O23" i="1"/>
  <c r="H23" i="1"/>
  <c r="K22" i="1"/>
  <c r="J22" i="1"/>
  <c r="O22" i="1" s="1"/>
  <c r="H22" i="1"/>
  <c r="K21" i="1"/>
  <c r="J21" i="1"/>
  <c r="O21" i="1" s="1"/>
  <c r="H21" i="1"/>
  <c r="O20" i="1"/>
  <c r="J20" i="1"/>
  <c r="H20" i="1"/>
  <c r="O19" i="1"/>
  <c r="H19" i="1"/>
  <c r="J17" i="1"/>
  <c r="O17" i="1" s="1"/>
  <c r="H17" i="1"/>
  <c r="O15" i="1"/>
  <c r="G15" i="1"/>
  <c r="H15" i="1" s="1"/>
  <c r="J14" i="1"/>
  <c r="O14" i="1" s="1"/>
  <c r="C14" i="1"/>
  <c r="H14" i="1" s="1"/>
  <c r="J13" i="1"/>
  <c r="O13" i="1" s="1"/>
  <c r="I13" i="1"/>
  <c r="I60" i="1" s="1"/>
  <c r="I62" i="1" s="1"/>
  <c r="I63" i="1" s="1"/>
  <c r="H13" i="1"/>
  <c r="C13" i="1"/>
  <c r="K12" i="1"/>
  <c r="K60" i="1" s="1"/>
  <c r="K62" i="1" s="1"/>
  <c r="K63" i="1" s="1"/>
  <c r="J12" i="1"/>
  <c r="O12" i="1" s="1"/>
  <c r="D12" i="1"/>
  <c r="D60" i="1" s="1"/>
  <c r="D62" i="1" s="1"/>
  <c r="D63" i="1" s="1"/>
  <c r="C12" i="1"/>
  <c r="H12" i="1" s="1"/>
  <c r="O11" i="1"/>
  <c r="H11" i="1"/>
  <c r="O10" i="1"/>
  <c r="O60" i="1" s="1"/>
  <c r="J10" i="1"/>
  <c r="J60" i="1" s="1"/>
  <c r="J62" i="1" s="1"/>
  <c r="J63" i="1" s="1"/>
  <c r="H10" i="1"/>
  <c r="H60" i="1" s="1"/>
  <c r="H62" i="1" s="1"/>
  <c r="H63" i="1" s="1"/>
  <c r="C10" i="1"/>
  <c r="C60" i="1" s="1"/>
  <c r="C62" i="1" s="1"/>
  <c r="C63" i="1" s="1"/>
  <c r="A1" i="1"/>
  <c r="O63" i="1" l="1"/>
  <c r="P60" i="1"/>
  <c r="O62" i="1"/>
  <c r="E60" i="1"/>
  <c r="E62" i="1" s="1"/>
  <c r="E63" i="1" s="1"/>
  <c r="G60" i="1"/>
  <c r="G62" i="1" s="1"/>
  <c r="G63" i="1" s="1"/>
  <c r="L63" i="1"/>
</calcChain>
</file>

<file path=xl/sharedStrings.xml><?xml version="1.0" encoding="utf-8"?>
<sst xmlns="http://schemas.openxmlformats.org/spreadsheetml/2006/main" count="138" uniqueCount="120">
  <si>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</si>
  <si>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</si>
  <si>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</si>
  <si>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</si>
  <si>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</si>
  <si>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</si>
  <si>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</si>
  <si>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</si>
  <si>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</si>
  <si>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</si>
  <si>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</si>
  <si>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</si>
  <si>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</si>
  <si>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</si>
  <si>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</si>
  <si>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</si>
  <si>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</si>
  <si>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</si>
  <si>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</si>
  <si>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</si>
  <si>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</si>
  <si>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</si>
  <si>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</si>
  <si>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</si>
  <si>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</si>
  <si>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</si>
  <si>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</si>
  <si>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</si>
  <si>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</si>
  <si>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</si>
  <si>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</si>
  <si>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</si>
  <si>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</si>
  <si>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</si>
  <si>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</si>
  <si>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</si>
  <si>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</si>
  <si>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</si>
  <si>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</si>
  <si>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</si>
  <si>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</si>
  <si>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</si>
  <si>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</si>
  <si>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</si>
  <si>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</si>
  <si>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</si>
  <si>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</si>
  <si>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</si>
  <si>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</si>
  <si>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</si>
  <si>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</si>
  <si>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</si>
  <si>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</si>
  <si>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</si>
  <si>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</si>
  <si>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</si>
  <si>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</si>
  <si>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</si>
  <si>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</si>
  <si>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</si>
  <si>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</si>
  <si>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</si>
  <si>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</si>
  <si>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</si>
  <si>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</si>
  <si>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</si>
  <si>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</si>
  <si>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</si>
  <si>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</si>
  <si>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</si>
  <si>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</si>
  <si>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</si>
  <si>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</si>
  <si>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</si>
  <si>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</si>
  <si>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</si>
  <si>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</si>
  <si>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</si>
  <si>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</si>
  <si>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</si>
  <si>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</si>
  <si>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</si>
  <si>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</si>
  <si>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</si>
  <si>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</si>
  <si>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</si>
  <si>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</si>
  <si>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</si>
  <si>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</si>
  <si>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</si>
  <si>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</si>
  <si>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</si>
  <si>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</si>
  <si>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</si>
  <si>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</si>
  <si>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</si>
  <si>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9.    Oktatás</t>
  </si>
  <si>
    <t>091140</t>
  </si>
  <si>
    <t>Óvodai nevelés, ellátás működtetési feladatai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</si>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</sst>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3" fontId="10" fillId="0" borderId="0" xfId="2" applyNumberFormat="1" applyFont="1" applyFill="1" applyAlignment="1">
      <alignment horizontal="right"/>
    </xf>
    <xf numFmtId="49" fontId="11" fillId="0" borderId="0" xfId="1" applyNumberFormat="1" applyFont="1" applyAlignment="1">
      <alignment horizontal="center"/>
    </xf>
    <xf numFmtId="0" fontId="2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9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20" fillId="0" borderId="20" xfId="1" applyNumberFormat="1" applyFont="1" applyBorder="1"/>
    <xf numFmtId="3" fontId="20" fillId="0" borderId="3" xfId="1" applyNumberFormat="1" applyFont="1" applyBorder="1"/>
    <xf numFmtId="3" fontId="17" fillId="0" borderId="4" xfId="1" applyNumberFormat="1" applyFont="1" applyBorder="1"/>
    <xf numFmtId="3" fontId="17" fillId="0" borderId="6" xfId="1" applyNumberFormat="1" applyFont="1" applyBorder="1"/>
    <xf numFmtId="3" fontId="20" fillId="0" borderId="21" xfId="1" applyNumberFormat="1" applyFont="1" applyBorder="1"/>
    <xf numFmtId="3" fontId="20" fillId="0" borderId="22" xfId="1" applyNumberFormat="1" applyFont="1" applyBorder="1"/>
    <xf numFmtId="3" fontId="17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20" fillId="0" borderId="28" xfId="1" applyNumberFormat="1" applyFont="1" applyBorder="1"/>
    <xf numFmtId="3" fontId="17" fillId="0" borderId="29" xfId="1" applyNumberFormat="1" applyFont="1" applyBorder="1"/>
    <xf numFmtId="3" fontId="17" fillId="0" borderId="0" xfId="1" applyNumberFormat="1" applyFont="1" applyBorder="1"/>
    <xf numFmtId="3" fontId="21" fillId="0" borderId="28" xfId="1" applyNumberFormat="1" applyFont="1" applyBorder="1"/>
    <xf numFmtId="3" fontId="20" fillId="0" borderId="27" xfId="1" applyNumberFormat="1" applyFont="1" applyFill="1" applyBorder="1"/>
    <xf numFmtId="3" fontId="17" fillId="0" borderId="30" xfId="1" applyNumberFormat="1" applyFont="1" applyBorder="1"/>
    <xf numFmtId="3" fontId="22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20" fillId="0" borderId="33" xfId="1" applyNumberFormat="1" applyFont="1" applyBorder="1"/>
    <xf numFmtId="3" fontId="17" fillId="0" borderId="34" xfId="1" applyNumberFormat="1" applyFont="1" applyBorder="1"/>
    <xf numFmtId="3" fontId="20" fillId="0" borderId="34" xfId="1" applyNumberFormat="1" applyFont="1" applyBorder="1"/>
    <xf numFmtId="3" fontId="17" fillId="0" borderId="35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3" fontId="21" fillId="0" borderId="8" xfId="1" applyNumberFormat="1" applyFont="1" applyBorder="1"/>
    <xf numFmtId="0" fontId="18" fillId="0" borderId="36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20" fillId="0" borderId="38" xfId="1" applyNumberFormat="1" applyFont="1" applyBorder="1"/>
    <xf numFmtId="3" fontId="20" fillId="0" borderId="39" xfId="1" applyNumberFormat="1" applyFont="1" applyBorder="1"/>
    <xf numFmtId="3" fontId="17" fillId="0" borderId="40" xfId="1" applyNumberFormat="1" applyFont="1" applyBorder="1"/>
    <xf numFmtId="3" fontId="23" fillId="0" borderId="6" xfId="1" applyNumberFormat="1" applyFont="1" applyBorder="1"/>
    <xf numFmtId="3" fontId="20" fillId="0" borderId="41" xfId="1" applyNumberFormat="1" applyFont="1" applyBorder="1"/>
    <xf numFmtId="0" fontId="18" fillId="0" borderId="42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3" fillId="0" borderId="0" xfId="1" applyNumberFormat="1" applyFont="1" applyBorder="1"/>
    <xf numFmtId="3" fontId="20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3" fontId="21" fillId="0" borderId="27" xfId="1" applyNumberFormat="1" applyFont="1" applyBorder="1"/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4" fillId="0" borderId="26" xfId="1" applyNumberFormat="1" applyFont="1" applyBorder="1"/>
    <xf numFmtId="3" fontId="24" fillId="0" borderId="27" xfId="1" applyNumberFormat="1" applyFont="1" applyBorder="1"/>
    <xf numFmtId="3" fontId="21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20" fillId="0" borderId="44" xfId="1" applyNumberFormat="1" applyFont="1" applyBorder="1"/>
    <xf numFmtId="0" fontId="18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2" fillId="0" borderId="3" xfId="1" applyNumberFormat="1" applyFont="1" applyBorder="1"/>
    <xf numFmtId="3" fontId="13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3" fillId="0" borderId="6" xfId="1" applyNumberFormat="1" applyFont="1" applyBorder="1"/>
    <xf numFmtId="3" fontId="22" fillId="0" borderId="28" xfId="1" applyNumberFormat="1" applyFont="1" applyBorder="1"/>
    <xf numFmtId="3" fontId="25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2" fillId="0" borderId="34" xfId="1" applyNumberFormat="1" applyFont="1" applyBorder="1"/>
    <xf numFmtId="3" fontId="21" fillId="0" borderId="34" xfId="1" applyNumberFormat="1" applyFont="1" applyBorder="1"/>
    <xf numFmtId="3" fontId="13" fillId="0" borderId="10" xfId="1" applyNumberFormat="1" applyFont="1" applyBorder="1"/>
    <xf numFmtId="3" fontId="22" fillId="0" borderId="44" xfId="1" applyNumberFormat="1" applyFont="1" applyBorder="1"/>
    <xf numFmtId="49" fontId="18" fillId="0" borderId="42" xfId="1" applyNumberFormat="1" applyFont="1" applyBorder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49" fontId="18" fillId="0" borderId="14" xfId="1" applyNumberFormat="1" applyFont="1" applyBorder="1" applyAlignment="1">
      <alignment horizontal="center"/>
    </xf>
    <xf numFmtId="49" fontId="18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3" fontId="21" fillId="0" borderId="2" xfId="1" applyNumberFormat="1" applyFont="1" applyBorder="1"/>
    <xf numFmtId="3" fontId="21" fillId="0" borderId="3" xfId="1" applyNumberFormat="1" applyFont="1" applyBorder="1"/>
    <xf numFmtId="0" fontId="0" fillId="0" borderId="29" xfId="0" applyBorder="1" applyAlignment="1">
      <alignment wrapText="1"/>
    </xf>
    <xf numFmtId="3" fontId="20" fillId="0" borderId="47" xfId="1" applyNumberFormat="1" applyFont="1" applyBorder="1"/>
    <xf numFmtId="3" fontId="17" fillId="0" borderId="28" xfId="1" applyNumberFormat="1" applyFont="1" applyBorder="1"/>
    <xf numFmtId="0" fontId="0" fillId="0" borderId="35" xfId="0" applyBorder="1" applyAlignment="1">
      <alignment wrapText="1"/>
    </xf>
    <xf numFmtId="3" fontId="13" fillId="0" borderId="48" xfId="1" applyNumberFormat="1" applyFont="1" applyBorder="1"/>
    <xf numFmtId="3" fontId="21" fillId="0" borderId="44" xfId="1" applyNumberFormat="1" applyFont="1" applyBorder="1"/>
    <xf numFmtId="3" fontId="17" fillId="0" borderId="13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1" fillId="0" borderId="20" xfId="1" applyNumberFormat="1" applyFont="1" applyBorder="1"/>
    <xf numFmtId="3" fontId="25" fillId="0" borderId="1" xfId="1" applyNumberFormat="1" applyFont="1" applyBorder="1"/>
    <xf numFmtId="3" fontId="21" fillId="0" borderId="18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3" fillId="0" borderId="49" xfId="1" applyNumberFormat="1" applyFont="1" applyBorder="1"/>
    <xf numFmtId="3" fontId="20" fillId="0" borderId="24" xfId="1" applyNumberFormat="1" applyFont="1" applyBorder="1"/>
    <xf numFmtId="3" fontId="16" fillId="0" borderId="6" xfId="1" applyNumberFormat="1" applyFont="1" applyBorder="1"/>
    <xf numFmtId="3" fontId="21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0" fontId="0" fillId="0" borderId="24" xfId="0" quotePrefix="1" applyBorder="1" applyAlignment="1">
      <alignment vertical="center" wrapText="1"/>
    </xf>
    <xf numFmtId="3" fontId="20" fillId="0" borderId="50" xfId="1" applyNumberFormat="1" applyFont="1" applyBorder="1"/>
    <xf numFmtId="3" fontId="17" fillId="0" borderId="8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3" fontId="17" fillId="0" borderId="9" xfId="1" applyNumberFormat="1" applyFont="1" applyBorder="1"/>
    <xf numFmtId="3" fontId="21" fillId="0" borderId="41" xfId="1" applyNumberFormat="1" applyFont="1" applyBorder="1"/>
    <xf numFmtId="3" fontId="20" fillId="0" borderId="7" xfId="1" applyNumberFormat="1" applyFont="1" applyFill="1" applyBorder="1"/>
    <xf numFmtId="3" fontId="21" fillId="0" borderId="50" xfId="1" applyNumberFormat="1" applyFont="1" applyBorder="1"/>
    <xf numFmtId="3" fontId="21" fillId="0" borderId="7" xfId="1" applyNumberFormat="1" applyFont="1" applyBorder="1"/>
    <xf numFmtId="3" fontId="13" fillId="0" borderId="51" xfId="1" applyNumberFormat="1" applyFont="1" applyBorder="1"/>
    <xf numFmtId="3" fontId="20" fillId="0" borderId="38" xfId="1" applyNumberFormat="1" applyFont="1" applyFill="1" applyBorder="1"/>
    <xf numFmtId="3" fontId="20" fillId="0" borderId="39" xfId="1" applyNumberFormat="1" applyFont="1" applyFill="1" applyBorder="1"/>
    <xf numFmtId="3" fontId="20" fillId="0" borderId="50" xfId="1" applyNumberFormat="1" applyFont="1" applyFill="1" applyBorder="1"/>
    <xf numFmtId="0" fontId="16" fillId="0" borderId="37" xfId="1" applyFont="1" applyBorder="1" applyAlignment="1">
      <alignment horizontal="right"/>
    </xf>
    <xf numFmtId="0" fontId="16" fillId="0" borderId="17" xfId="1" applyFont="1" applyBorder="1" applyAlignment="1">
      <alignment horizontal="right"/>
    </xf>
    <xf numFmtId="3" fontId="16" fillId="0" borderId="52" xfId="1" applyNumberFormat="1" applyFont="1" applyBorder="1"/>
    <xf numFmtId="3" fontId="17" fillId="0" borderId="52" xfId="1" applyNumberFormat="1" applyFont="1" applyBorder="1"/>
    <xf numFmtId="3" fontId="16" fillId="0" borderId="2" xfId="1" applyNumberFormat="1" applyFont="1" applyBorder="1"/>
    <xf numFmtId="3" fontId="2" fillId="0" borderId="0" xfId="1" applyNumberFormat="1" applyFont="1"/>
    <xf numFmtId="0" fontId="23" fillId="0" borderId="37" xfId="1" quotePrefix="1" applyFont="1" applyBorder="1" applyAlignment="1">
      <alignment horizontal="right"/>
    </xf>
    <xf numFmtId="0" fontId="23" fillId="0" borderId="17" xfId="1" quotePrefix="1" applyFont="1" applyBorder="1" applyAlignment="1">
      <alignment horizontal="right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16" fillId="0" borderId="0" xfId="1" applyNumberFormat="1" applyFont="1" applyBorder="1"/>
    <xf numFmtId="3" fontId="16" fillId="0" borderId="28" xfId="1" applyNumberFormat="1" applyFont="1" applyBorder="1"/>
    <xf numFmtId="3" fontId="16" fillId="0" borderId="29" xfId="1" applyNumberFormat="1" applyFont="1" applyBorder="1"/>
    <xf numFmtId="3" fontId="16" fillId="0" borderId="33" xfId="1" applyNumberFormat="1" applyFont="1" applyBorder="1"/>
    <xf numFmtId="3" fontId="16" fillId="0" borderId="34" xfId="1" applyNumberFormat="1" applyFont="1" applyBorder="1"/>
    <xf numFmtId="3" fontId="16" fillId="0" borderId="53" xfId="1" applyNumberFormat="1" applyFont="1" applyBorder="1"/>
    <xf numFmtId="3" fontId="16" fillId="0" borderId="35" xfId="1" applyNumberFormat="1" applyFont="1" applyBorder="1"/>
    <xf numFmtId="0" fontId="29" fillId="0" borderId="0" xfId="1" quotePrefix="1" applyFont="1" applyBorder="1"/>
    <xf numFmtId="3" fontId="13" fillId="0" borderId="0" xfId="1" applyNumberFormat="1" applyFont="1" applyBorder="1"/>
    <xf numFmtId="3" fontId="29" fillId="0" borderId="0" xfId="1" applyNumberFormat="1" applyFont="1" applyFill="1" applyBorder="1"/>
    <xf numFmtId="3" fontId="23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  <xf numFmtId="0" fontId="14" fillId="0" borderId="0" xfId="1" applyFont="1"/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Göngyölített 12.13 2 2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1492762052</v>
          </cell>
        </row>
        <row r="18">
          <cell r="C18">
            <v>223283065</v>
          </cell>
        </row>
        <row r="25">
          <cell r="C25">
            <v>39643984</v>
          </cell>
        </row>
        <row r="32">
          <cell r="C32">
            <v>503000000</v>
          </cell>
        </row>
        <row r="40">
          <cell r="C40">
            <v>49402421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733570614</v>
          </cell>
        </row>
        <row r="78">
          <cell r="C78">
            <v>938305086</v>
          </cell>
        </row>
        <row r="81">
          <cell r="C81">
            <v>45672254</v>
          </cell>
        </row>
        <row r="96">
          <cell r="C96">
            <v>875030724</v>
          </cell>
        </row>
        <row r="114">
          <cell r="C114">
            <v>154214482</v>
          </cell>
        </row>
        <row r="117">
          <cell r="C117">
            <v>918724083</v>
          </cell>
        </row>
        <row r="132">
          <cell r="C132">
            <v>726038434</v>
          </cell>
        </row>
        <row r="143">
          <cell r="C143">
            <v>45672254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1512687489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9"/>
  <sheetViews>
    <sheetView tabSelected="1" view="pageBreakPreview" zoomScale="85" zoomScaleNormal="100" zoomScaleSheetLayoutView="85" zoomScalePageLayoutView="85" workbookViewId="0">
      <selection activeCell="A3" sqref="A3:O3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82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CONCATENATE("28. melléklet"," ",[1]ALAPADATOK!A7," ",[1]ALAPADATOK!B7," ",[1]ALAPADATOK!C7," ",[1]ALAPADATOK!D7," ",[1]ALAPADATOK!E7," ",[1]ALAPADATOK!F7," ",[1]ALAPADATOK!G7," ",[1]ALAPADATOK!H7)</f>
        <v>28. melléklet a 21 / 2020. ( IX.25.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 t="shared" ref="H10:H15" si="0">SUM(C10:G10)</f>
        <v>127000</v>
      </c>
      <c r="I10" s="48"/>
      <c r="J10" s="49">
        <f>31040542-347250-638940</f>
        <v>30054352</v>
      </c>
      <c r="K10" s="50">
        <v>2072640</v>
      </c>
      <c r="L10" s="50"/>
      <c r="M10" s="50"/>
      <c r="N10" s="50"/>
      <c r="O10" s="51">
        <f t="shared" ref="O10:O15" si="1">SUM(J10:N10)</f>
        <v>32126992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 t="shared" si="0"/>
        <v>0</v>
      </c>
      <c r="I11" s="48"/>
      <c r="J11" s="56">
        <v>1000000</v>
      </c>
      <c r="K11" s="55"/>
      <c r="L11" s="55"/>
      <c r="M11" s="55"/>
      <c r="N11" s="55"/>
      <c r="O11" s="51">
        <f t="shared" si="1"/>
        <v>1000000</v>
      </c>
      <c r="P11" s="10"/>
    </row>
    <row r="12" spans="1:194" ht="25.5" x14ac:dyDescent="0.2">
      <c r="A12" s="52" t="s">
        <v>30</v>
      </c>
      <c r="B12" s="53" t="s">
        <v>31</v>
      </c>
      <c r="C12" s="54">
        <f>36271956+565200+152604+956791</f>
        <v>37946551</v>
      </c>
      <c r="D12" s="55">
        <f>44304508</f>
        <v>44304508</v>
      </c>
      <c r="E12" s="55"/>
      <c r="F12" s="55"/>
      <c r="G12" s="55"/>
      <c r="H12" s="57">
        <f t="shared" si="0"/>
        <v>82251059</v>
      </c>
      <c r="I12" s="58"/>
      <c r="J12" s="59">
        <f>30612954+565200+152604+956791+17328417+318946+388095</f>
        <v>50323007</v>
      </c>
      <c r="K12" s="55">
        <f>199637534+594360</f>
        <v>200231894</v>
      </c>
      <c r="L12" s="55"/>
      <c r="M12" s="55"/>
      <c r="N12" s="55"/>
      <c r="O12" s="51">
        <f t="shared" si="1"/>
        <v>250554901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0"/>
      <c r="E13" s="55"/>
      <c r="F13" s="55"/>
      <c r="G13" s="55"/>
      <c r="H13" s="57">
        <f t="shared" si="0"/>
        <v>2209000</v>
      </c>
      <c r="I13" s="61" t="e">
        <f>SUM(#REF!)</f>
        <v>#REF!</v>
      </c>
      <c r="J13" s="56">
        <f>7396164+87795+23705-36461-415012</f>
        <v>7056191</v>
      </c>
      <c r="K13" s="55">
        <v>300000</v>
      </c>
      <c r="L13" s="55"/>
      <c r="M13" s="55"/>
      <c r="N13" s="55"/>
      <c r="O13" s="51">
        <f t="shared" si="1"/>
        <v>7356191</v>
      </c>
      <c r="P13" s="10"/>
    </row>
    <row r="14" spans="1:194" ht="25.5" x14ac:dyDescent="0.2">
      <c r="A14" s="52" t="s">
        <v>34</v>
      </c>
      <c r="B14" s="53" t="s">
        <v>35</v>
      </c>
      <c r="C14" s="54">
        <f>1503038688+33216359+12622000+27629700+45672254-62000-27567700+477000+50111619+4495800</f>
        <v>1649633720</v>
      </c>
      <c r="D14" s="62"/>
      <c r="E14" s="55"/>
      <c r="F14" s="62"/>
      <c r="G14" s="62"/>
      <c r="H14" s="57">
        <f t="shared" si="0"/>
        <v>1649633720</v>
      </c>
      <c r="I14" s="48"/>
      <c r="J14" s="56">
        <f>45672254+792176+18509+3737</f>
        <v>46486676</v>
      </c>
      <c r="K14" s="55"/>
      <c r="L14" s="62"/>
      <c r="M14" s="62"/>
      <c r="N14" s="62"/>
      <c r="O14" s="51">
        <f t="shared" si="1"/>
        <v>46486676</v>
      </c>
      <c r="P14" s="10"/>
    </row>
    <row r="15" spans="1:194" ht="13.5" thickBot="1" x14ac:dyDescent="0.25">
      <c r="A15" s="63" t="s">
        <v>36</v>
      </c>
      <c r="B15" s="64" t="s">
        <v>37</v>
      </c>
      <c r="C15" s="65"/>
      <c r="D15" s="66"/>
      <c r="E15" s="67"/>
      <c r="F15" s="67"/>
      <c r="G15" s="67">
        <f>933393998+8179828-3268740</f>
        <v>938305086</v>
      </c>
      <c r="H15" s="68">
        <f t="shared" si="0"/>
        <v>938305086</v>
      </c>
      <c r="I15" s="48"/>
      <c r="J15" s="69">
        <v>526000</v>
      </c>
      <c r="K15" s="70"/>
      <c r="L15" s="71">
        <v>1512687489</v>
      </c>
      <c r="M15" s="70"/>
      <c r="N15" s="70"/>
      <c r="O15" s="51">
        <f t="shared" si="1"/>
        <v>1513213489</v>
      </c>
      <c r="P15" s="10"/>
    </row>
    <row r="16" spans="1:194" ht="14.25" thickBot="1" x14ac:dyDescent="0.3">
      <c r="A16" s="72" t="s">
        <v>38</v>
      </c>
      <c r="B16" s="73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4" t="s">
        <v>39</v>
      </c>
      <c r="B17" s="75" t="s">
        <v>40</v>
      </c>
      <c r="C17" s="76"/>
      <c r="D17" s="77"/>
      <c r="E17" s="77"/>
      <c r="F17" s="77"/>
      <c r="G17" s="77"/>
      <c r="H17" s="78">
        <f>SUM(C17:G17)</f>
        <v>0</v>
      </c>
      <c r="I17" s="79"/>
      <c r="J17" s="80">
        <f>2000</f>
        <v>2000</v>
      </c>
      <c r="K17" s="77"/>
      <c r="L17" s="77"/>
      <c r="M17" s="77"/>
      <c r="N17" s="77"/>
      <c r="O17" s="51">
        <f>SUM(J17:N17)</f>
        <v>2000</v>
      </c>
    </row>
    <row r="18" spans="1:16" s="10" customFormat="1" ht="14.25" thickBot="1" x14ac:dyDescent="0.3">
      <c r="A18" s="81" t="s">
        <v>41</v>
      </c>
      <c r="B18" s="82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3" t="s">
        <v>41</v>
      </c>
    </row>
    <row r="19" spans="1:16" s="10" customFormat="1" x14ac:dyDescent="0.2">
      <c r="A19" s="84" t="s">
        <v>42</v>
      </c>
      <c r="B19" s="85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6"/>
      <c r="J19" s="87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0" customFormat="1" ht="25.5" x14ac:dyDescent="0.2">
      <c r="A20" s="88" t="s">
        <v>44</v>
      </c>
      <c r="B20" s="89" t="s">
        <v>45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6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0" customFormat="1" x14ac:dyDescent="0.2">
      <c r="A21" s="88" t="s">
        <v>46</v>
      </c>
      <c r="B21" s="89" t="s">
        <v>47</v>
      </c>
      <c r="C21" s="54"/>
      <c r="D21" s="55"/>
      <c r="E21" s="55"/>
      <c r="F21" s="55"/>
      <c r="G21" s="55"/>
      <c r="H21" s="57">
        <f t="shared" si="2"/>
        <v>0</v>
      </c>
      <c r="I21" s="86"/>
      <c r="J21" s="59">
        <f>6840212-649147-3071183</f>
        <v>3119882</v>
      </c>
      <c r="K21" s="90">
        <f>30209788-2000000+109147-13000000-438817</f>
        <v>14880118</v>
      </c>
      <c r="L21" s="55"/>
      <c r="M21" s="55"/>
      <c r="N21" s="55"/>
      <c r="O21" s="57">
        <f t="shared" si="3"/>
        <v>18000000</v>
      </c>
    </row>
    <row r="22" spans="1:16" s="10" customFormat="1" ht="25.5" x14ac:dyDescent="0.2">
      <c r="A22" s="88" t="s">
        <v>48</v>
      </c>
      <c r="B22" s="89" t="s">
        <v>49</v>
      </c>
      <c r="C22" s="54"/>
      <c r="D22" s="55"/>
      <c r="E22" s="55"/>
      <c r="F22" s="55"/>
      <c r="G22" s="55"/>
      <c r="H22" s="57">
        <f t="shared" si="2"/>
        <v>0</v>
      </c>
      <c r="I22" s="86"/>
      <c r="J22" s="56">
        <f>402897+6604733</f>
        <v>7007630</v>
      </c>
      <c r="K22" s="55">
        <f>92092353+2000000</f>
        <v>94092353</v>
      </c>
      <c r="L22" s="55"/>
      <c r="M22" s="55"/>
      <c r="N22" s="55"/>
      <c r="O22" s="57">
        <f t="shared" si="3"/>
        <v>101099983</v>
      </c>
    </row>
    <row r="23" spans="1:16" s="10" customFormat="1" ht="25.5" x14ac:dyDescent="0.2">
      <c r="A23" s="91" t="s">
        <v>50</v>
      </c>
      <c r="B23" s="92" t="s">
        <v>51</v>
      </c>
      <c r="C23" s="93"/>
      <c r="D23" s="55">
        <v>6000000</v>
      </c>
      <c r="E23" s="94"/>
      <c r="F23" s="94"/>
      <c r="G23" s="90"/>
      <c r="H23" s="57">
        <f>SUM(C23:G23)</f>
        <v>6000000</v>
      </c>
      <c r="I23" s="95"/>
      <c r="J23" s="59"/>
      <c r="K23" s="55">
        <v>6000000</v>
      </c>
      <c r="L23" s="90"/>
      <c r="M23" s="90"/>
      <c r="N23" s="90"/>
      <c r="O23" s="57">
        <f t="shared" si="3"/>
        <v>6000000</v>
      </c>
    </row>
    <row r="24" spans="1:16" s="10" customFormat="1" ht="25.5" x14ac:dyDescent="0.2">
      <c r="A24" s="88" t="s">
        <v>52</v>
      </c>
      <c r="B24" s="89" t="s">
        <v>53</v>
      </c>
      <c r="C24" s="54"/>
      <c r="D24" s="55"/>
      <c r="E24" s="55"/>
      <c r="F24" s="55"/>
      <c r="G24" s="55"/>
      <c r="H24" s="57">
        <f t="shared" si="2"/>
        <v>0</v>
      </c>
      <c r="I24" s="86"/>
      <c r="J24" s="56">
        <f>3163512+488</f>
        <v>3164000</v>
      </c>
      <c r="K24" s="55">
        <f>5016896+233091-59267</f>
        <v>5190720</v>
      </c>
      <c r="L24" s="55"/>
      <c r="M24" s="55"/>
      <c r="N24" s="55"/>
      <c r="O24" s="57">
        <f t="shared" si="3"/>
        <v>8354720</v>
      </c>
    </row>
    <row r="25" spans="1:16" s="10" customFormat="1" ht="26.25" thickBot="1" x14ac:dyDescent="0.25">
      <c r="A25" s="96" t="s">
        <v>54</v>
      </c>
      <c r="B25" s="97" t="s">
        <v>55</v>
      </c>
      <c r="C25" s="65"/>
      <c r="D25" s="67"/>
      <c r="E25" s="67"/>
      <c r="F25" s="67"/>
      <c r="G25" s="67"/>
      <c r="H25" s="68">
        <f t="shared" si="2"/>
        <v>0</v>
      </c>
      <c r="I25" s="86"/>
      <c r="J25" s="98">
        <v>723900</v>
      </c>
      <c r="K25" s="67">
        <v>1016000</v>
      </c>
      <c r="L25" s="67"/>
      <c r="M25" s="67"/>
      <c r="N25" s="67"/>
      <c r="O25" s="68">
        <f t="shared" si="3"/>
        <v>1739900</v>
      </c>
    </row>
    <row r="26" spans="1:16" ht="14.25" thickBot="1" x14ac:dyDescent="0.3">
      <c r="A26" s="81" t="s">
        <v>56</v>
      </c>
      <c r="B26" s="82"/>
      <c r="C26" s="82"/>
      <c r="D26" s="82"/>
      <c r="E26" s="82"/>
      <c r="F26" s="82"/>
      <c r="G26" s="82"/>
      <c r="H26" s="82"/>
      <c r="I26" s="40"/>
      <c r="J26" s="82"/>
      <c r="K26" s="82"/>
      <c r="L26" s="82"/>
      <c r="M26" s="82"/>
      <c r="N26" s="82"/>
      <c r="O26" s="99"/>
      <c r="P26" s="10"/>
    </row>
    <row r="27" spans="1:16" ht="25.5" x14ac:dyDescent="0.2">
      <c r="A27" s="100" t="s">
        <v>57</v>
      </c>
      <c r="B27" s="101" t="s">
        <v>58</v>
      </c>
      <c r="C27" s="46">
        <v>507601</v>
      </c>
      <c r="D27" s="102"/>
      <c r="E27" s="102"/>
      <c r="F27" s="102"/>
      <c r="G27" s="102"/>
      <c r="H27" s="47">
        <f>SUM(C27:G27)</f>
        <v>507601</v>
      </c>
      <c r="I27" s="103"/>
      <c r="J27" s="87">
        <v>15896113</v>
      </c>
      <c r="K27" s="102"/>
      <c r="L27" s="102"/>
      <c r="M27" s="102"/>
      <c r="N27" s="102"/>
      <c r="O27" s="47">
        <f>SUM(J27:N27)</f>
        <v>15896113</v>
      </c>
      <c r="P27" s="10"/>
    </row>
    <row r="28" spans="1:16" ht="25.5" x14ac:dyDescent="0.2">
      <c r="A28" s="104" t="s">
        <v>59</v>
      </c>
      <c r="B28" s="105" t="s">
        <v>60</v>
      </c>
      <c r="C28" s="55"/>
      <c r="D28" s="55"/>
      <c r="E28" s="55"/>
      <c r="F28" s="55"/>
      <c r="G28" s="55"/>
      <c r="H28" s="57">
        <f>SUM(C28:G28)</f>
        <v>0</v>
      </c>
      <c r="I28" s="106"/>
      <c r="J28" s="107">
        <v>835000</v>
      </c>
      <c r="K28" s="62"/>
      <c r="L28" s="62"/>
      <c r="M28" s="62"/>
      <c r="N28" s="62"/>
      <c r="O28" s="57">
        <f>SUM(J28:N28)</f>
        <v>835000</v>
      </c>
      <c r="P28" s="10"/>
    </row>
    <row r="29" spans="1:16" ht="25.5" x14ac:dyDescent="0.2">
      <c r="A29" s="104" t="s">
        <v>61</v>
      </c>
      <c r="B29" s="105" t="s">
        <v>62</v>
      </c>
      <c r="C29" s="55">
        <f>900000</f>
        <v>900000</v>
      </c>
      <c r="D29" s="62"/>
      <c r="E29" s="90"/>
      <c r="F29" s="62"/>
      <c r="G29" s="62"/>
      <c r="H29" s="57">
        <f>SUM(C29:G29)</f>
        <v>900000</v>
      </c>
      <c r="I29" s="106"/>
      <c r="J29" s="108"/>
      <c r="K29" s="55">
        <v>359410</v>
      </c>
      <c r="L29" s="62"/>
      <c r="M29" s="62"/>
      <c r="N29" s="62"/>
      <c r="O29" s="57">
        <f>SUM(J29:N29)</f>
        <v>359410</v>
      </c>
      <c r="P29" s="10"/>
    </row>
    <row r="30" spans="1:16" ht="26.25" thickBot="1" x14ac:dyDescent="0.25">
      <c r="A30" s="109" t="s">
        <v>63</v>
      </c>
      <c r="B30" s="110" t="s">
        <v>64</v>
      </c>
      <c r="C30" s="67">
        <v>16392698</v>
      </c>
      <c r="D30" s="111">
        <v>2634996</v>
      </c>
      <c r="E30" s="112"/>
      <c r="F30" s="111"/>
      <c r="G30" s="111"/>
      <c r="H30" s="57">
        <f>SUM(C30:G30)</f>
        <v>19027694</v>
      </c>
      <c r="I30" s="113"/>
      <c r="J30" s="114">
        <v>16392698</v>
      </c>
      <c r="K30" s="67">
        <v>2634996</v>
      </c>
      <c r="L30" s="111"/>
      <c r="M30" s="111"/>
      <c r="N30" s="111"/>
      <c r="O30" s="57">
        <f>SUM(J30:N30)</f>
        <v>19027694</v>
      </c>
      <c r="P30" s="10"/>
    </row>
    <row r="31" spans="1:16" ht="14.25" thickBot="1" x14ac:dyDescent="0.3">
      <c r="A31" s="115" t="s">
        <v>65</v>
      </c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10"/>
    </row>
    <row r="32" spans="1:16" ht="25.5" x14ac:dyDescent="0.2">
      <c r="A32" s="100" t="s">
        <v>66</v>
      </c>
      <c r="B32" s="119" t="s">
        <v>67</v>
      </c>
      <c r="C32" s="120">
        <f>36497760+243600-13262610</f>
        <v>23478750</v>
      </c>
      <c r="D32" s="121">
        <f>24124550-2533650</f>
        <v>21590900</v>
      </c>
      <c r="E32" s="45"/>
      <c r="F32" s="46"/>
      <c r="G32" s="46"/>
      <c r="H32" s="47">
        <f>SUM(C32:G32)</f>
        <v>45069650</v>
      </c>
      <c r="I32" s="106"/>
      <c r="J32" s="120">
        <f>64017704+780000+243600-780000-4704803-1270297-2465446-4957064+135000</f>
        <v>50998694</v>
      </c>
      <c r="K32" s="121">
        <f>505446492+780000-780000-1995000-538650</f>
        <v>502912842</v>
      </c>
      <c r="L32" s="46"/>
      <c r="M32" s="46"/>
      <c r="N32" s="46"/>
      <c r="O32" s="47">
        <f>SUM(J32:N32)</f>
        <v>553911536</v>
      </c>
      <c r="P32" s="10"/>
    </row>
    <row r="33" spans="1:16" x14ac:dyDescent="0.2">
      <c r="A33" s="104" t="s">
        <v>68</v>
      </c>
      <c r="B33" s="122" t="s">
        <v>69</v>
      </c>
      <c r="C33" s="49"/>
      <c r="D33" s="50"/>
      <c r="E33" s="123"/>
      <c r="F33" s="50"/>
      <c r="G33" s="50"/>
      <c r="H33" s="51">
        <f>SUM(C33:G33)</f>
        <v>0</v>
      </c>
      <c r="I33" s="106"/>
      <c r="J33" s="49">
        <f>27408638+101600</f>
        <v>27510238</v>
      </c>
      <c r="K33" s="50">
        <v>381000</v>
      </c>
      <c r="L33" s="50"/>
      <c r="M33" s="50"/>
      <c r="N33" s="50"/>
      <c r="O33" s="51">
        <f>SUM(J33:N33)</f>
        <v>27891238</v>
      </c>
      <c r="P33" s="10"/>
    </row>
    <row r="34" spans="1:16" x14ac:dyDescent="0.2">
      <c r="A34" s="104" t="s">
        <v>70</v>
      </c>
      <c r="B34" s="122" t="s">
        <v>71</v>
      </c>
      <c r="C34" s="124"/>
      <c r="D34" s="55"/>
      <c r="E34" s="55"/>
      <c r="F34" s="55"/>
      <c r="G34" s="55"/>
      <c r="H34" s="57">
        <f>SUM(C34:G34)</f>
        <v>0</v>
      </c>
      <c r="I34" s="106"/>
      <c r="J34" s="56">
        <f>190500+15489215</f>
        <v>15679715</v>
      </c>
      <c r="K34" s="55">
        <v>1000000</v>
      </c>
      <c r="L34" s="55"/>
      <c r="M34" s="55"/>
      <c r="N34" s="55"/>
      <c r="O34" s="51">
        <f>SUM(J34:N34)</f>
        <v>16679715</v>
      </c>
      <c r="P34" s="10"/>
    </row>
    <row r="35" spans="1:16" ht="26.25" thickBot="1" x14ac:dyDescent="0.25">
      <c r="A35" s="109" t="s">
        <v>72</v>
      </c>
      <c r="B35" s="125" t="s">
        <v>73</v>
      </c>
      <c r="C35" s="98">
        <f>6393254+1350000+200000+3626117</f>
        <v>11569371</v>
      </c>
      <c r="D35" s="67"/>
      <c r="E35" s="67">
        <v>8000000</v>
      </c>
      <c r="F35" s="67"/>
      <c r="G35" s="67"/>
      <c r="H35" s="68">
        <f>SUM(C35:G35)</f>
        <v>19569371</v>
      </c>
      <c r="I35" s="126"/>
      <c r="J35" s="127">
        <f>49736618+22713471+386400+67620+3626117+208000+36088-520000-236220-63780-360000-97200+5376+216</f>
        <v>75502706</v>
      </c>
      <c r="K35" s="67">
        <f>40233999+400000</f>
        <v>40633999</v>
      </c>
      <c r="L35" s="67"/>
      <c r="M35" s="67"/>
      <c r="N35" s="67"/>
      <c r="O35" s="128">
        <f>SUM(J35:N35)</f>
        <v>116136705</v>
      </c>
      <c r="P35" s="10"/>
    </row>
    <row r="36" spans="1:16" ht="15.75" thickBot="1" x14ac:dyDescent="0.3">
      <c r="A36" s="129" t="s">
        <v>74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1"/>
      <c r="P36" s="10"/>
    </row>
    <row r="37" spans="1:16" x14ac:dyDescent="0.2">
      <c r="A37" s="132" t="s">
        <v>75</v>
      </c>
      <c r="B37" s="133" t="s">
        <v>76</v>
      </c>
      <c r="C37" s="45">
        <v>2768669</v>
      </c>
      <c r="D37" s="134"/>
      <c r="E37" s="134"/>
      <c r="F37" s="134"/>
      <c r="G37" s="134"/>
      <c r="H37" s="47">
        <f t="shared" ref="H37:H43" si="4">SUM(C37:G37)</f>
        <v>2768669</v>
      </c>
      <c r="I37" s="135"/>
      <c r="J37" s="136">
        <f>2768669+36420206+520000+236220+63780+80000</f>
        <v>40088875</v>
      </c>
      <c r="K37" s="46">
        <f>3149606+850394-2400000</f>
        <v>1600000</v>
      </c>
      <c r="L37" s="121"/>
      <c r="M37" s="121"/>
      <c r="N37" s="121"/>
      <c r="O37" s="47">
        <f t="shared" ref="O37:O43" si="5">SUM(J37:N37)</f>
        <v>41688875</v>
      </c>
      <c r="P37" s="10"/>
    </row>
    <row r="38" spans="1:16" x14ac:dyDescent="0.2">
      <c r="A38" s="137" t="s">
        <v>77</v>
      </c>
      <c r="B38" s="138" t="s">
        <v>78</v>
      </c>
      <c r="C38" s="54"/>
      <c r="D38" s="54">
        <v>5200000</v>
      </c>
      <c r="E38" s="54"/>
      <c r="F38" s="54"/>
      <c r="G38" s="54"/>
      <c r="H38" s="57">
        <f>SUM(C38:G38)</f>
        <v>5200000</v>
      </c>
      <c r="I38" s="139"/>
      <c r="J38" s="140">
        <v>45600000</v>
      </c>
      <c r="K38" s="55">
        <v>5200000</v>
      </c>
      <c r="L38" s="55"/>
      <c r="M38" s="55"/>
      <c r="N38" s="55"/>
      <c r="O38" s="51">
        <f>SUM(J38:N38)</f>
        <v>50800000</v>
      </c>
      <c r="P38" s="10"/>
    </row>
    <row r="39" spans="1:16" x14ac:dyDescent="0.2">
      <c r="A39" s="137" t="s">
        <v>79</v>
      </c>
      <c r="B39" s="138" t="s">
        <v>80</v>
      </c>
      <c r="C39" s="54"/>
      <c r="D39" s="55"/>
      <c r="E39" s="55"/>
      <c r="F39" s="55"/>
      <c r="G39" s="55"/>
      <c r="H39" s="57">
        <f t="shared" si="4"/>
        <v>0</v>
      </c>
      <c r="I39" s="106"/>
      <c r="J39" s="56">
        <v>3600000</v>
      </c>
      <c r="K39" s="55"/>
      <c r="L39" s="55"/>
      <c r="M39" s="55"/>
      <c r="N39" s="55"/>
      <c r="O39" s="51">
        <f t="shared" si="5"/>
        <v>3600000</v>
      </c>
      <c r="P39" s="10"/>
    </row>
    <row r="40" spans="1:16" x14ac:dyDescent="0.2">
      <c r="A40" s="137" t="s">
        <v>81</v>
      </c>
      <c r="B40" s="138" t="s">
        <v>82</v>
      </c>
      <c r="C40" s="54"/>
      <c r="D40" s="55"/>
      <c r="E40" s="55"/>
      <c r="F40" s="55"/>
      <c r="G40" s="55"/>
      <c r="H40" s="57">
        <f>SUM(C40:G40)</f>
        <v>0</v>
      </c>
      <c r="I40" s="141"/>
      <c r="J40" s="56">
        <v>18000000</v>
      </c>
      <c r="K40" s="55"/>
      <c r="L40" s="55"/>
      <c r="M40" s="55"/>
      <c r="N40" s="55"/>
      <c r="O40" s="51">
        <f>SUM(J40:N40)</f>
        <v>18000000</v>
      </c>
      <c r="P40" s="10"/>
    </row>
    <row r="41" spans="1:16" ht="25.5" x14ac:dyDescent="0.2">
      <c r="A41" s="137" t="s">
        <v>83</v>
      </c>
      <c r="B41" s="138" t="s">
        <v>84</v>
      </c>
      <c r="C41" s="54"/>
      <c r="D41" s="55"/>
      <c r="E41" s="55"/>
      <c r="F41" s="55"/>
      <c r="G41" s="55"/>
      <c r="H41" s="57">
        <f t="shared" si="4"/>
        <v>0</v>
      </c>
      <c r="I41" s="141"/>
      <c r="J41" s="56"/>
      <c r="K41" s="55"/>
      <c r="L41" s="55"/>
      <c r="M41" s="55"/>
      <c r="N41" s="55"/>
      <c r="O41" s="51">
        <f t="shared" si="5"/>
        <v>0</v>
      </c>
      <c r="P41" s="10"/>
    </row>
    <row r="42" spans="1:16" x14ac:dyDescent="0.2">
      <c r="A42" s="137" t="s">
        <v>85</v>
      </c>
      <c r="B42" s="138" t="s">
        <v>86</v>
      </c>
      <c r="C42" s="54"/>
      <c r="D42" s="90"/>
      <c r="E42" s="90"/>
      <c r="F42" s="90"/>
      <c r="G42" s="90"/>
      <c r="H42" s="57">
        <f>SUM(C42:G42)</f>
        <v>0</v>
      </c>
      <c r="I42" s="142"/>
      <c r="J42" s="56">
        <f>4700000+1269000</f>
        <v>5969000</v>
      </c>
      <c r="K42" s="55">
        <f>100000+27000</f>
        <v>127000</v>
      </c>
      <c r="L42" s="90"/>
      <c r="M42" s="90"/>
      <c r="N42" s="90"/>
      <c r="O42" s="51">
        <f>SUM(J42:N42)</f>
        <v>6096000</v>
      </c>
      <c r="P42" s="10"/>
    </row>
    <row r="43" spans="1:16" ht="26.25" thickBot="1" x14ac:dyDescent="0.25">
      <c r="A43" s="143" t="s">
        <v>87</v>
      </c>
      <c r="B43" s="64" t="s">
        <v>88</v>
      </c>
      <c r="C43" s="65">
        <f>94488+25512</f>
        <v>120000</v>
      </c>
      <c r="D43" s="67"/>
      <c r="E43" s="67"/>
      <c r="F43" s="67"/>
      <c r="G43" s="67"/>
      <c r="H43" s="68">
        <f t="shared" si="4"/>
        <v>120000</v>
      </c>
      <c r="I43" s="113"/>
      <c r="J43" s="98">
        <v>325512</v>
      </c>
      <c r="K43" s="67">
        <v>94488</v>
      </c>
      <c r="L43" s="67"/>
      <c r="M43" s="67"/>
      <c r="N43" s="67"/>
      <c r="O43" s="128">
        <f t="shared" si="5"/>
        <v>420000</v>
      </c>
      <c r="P43" s="10"/>
    </row>
    <row r="44" spans="1:16" ht="14.25" thickBot="1" x14ac:dyDescent="0.3">
      <c r="A44" s="81" t="s">
        <v>89</v>
      </c>
      <c r="B44" s="8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0"/>
    </row>
    <row r="45" spans="1:16" x14ac:dyDescent="0.2">
      <c r="A45" s="144" t="s">
        <v>90</v>
      </c>
      <c r="B45" s="44" t="s">
        <v>91</v>
      </c>
      <c r="C45" s="76">
        <f>635000</f>
        <v>635000</v>
      </c>
      <c r="D45" s="77"/>
      <c r="E45" s="77"/>
      <c r="F45" s="77"/>
      <c r="G45" s="77"/>
      <c r="H45" s="51">
        <f>SUM(C45:G45)</f>
        <v>635000</v>
      </c>
      <c r="I45" s="106"/>
      <c r="J45" s="80">
        <f>6601335+60674</f>
        <v>6662009</v>
      </c>
      <c r="K45" s="77"/>
      <c r="L45" s="77"/>
      <c r="M45" s="77"/>
      <c r="N45" s="77"/>
      <c r="O45" s="51">
        <f>SUM(J45:N45)</f>
        <v>6662009</v>
      </c>
      <c r="P45" s="10"/>
    </row>
    <row r="46" spans="1:16" s="149" customFormat="1" x14ac:dyDescent="0.2">
      <c r="A46" s="145" t="s">
        <v>92</v>
      </c>
      <c r="B46" s="53" t="s">
        <v>93</v>
      </c>
      <c r="C46" s="146">
        <f>400000</f>
        <v>400000</v>
      </c>
      <c r="D46" s="147"/>
      <c r="E46" s="147"/>
      <c r="F46" s="147"/>
      <c r="G46" s="147"/>
      <c r="H46" s="57">
        <f>SUM(C46:G46)</f>
        <v>400000</v>
      </c>
      <c r="I46" s="148"/>
      <c r="J46" s="69">
        <f>407200+34558462+1620969+347250+638940</f>
        <v>37572821</v>
      </c>
      <c r="K46" s="71">
        <f>7901899-1023179</f>
        <v>6878720</v>
      </c>
      <c r="L46" s="70"/>
      <c r="M46" s="70"/>
      <c r="N46" s="70"/>
      <c r="O46" s="51">
        <f>SUM(J46:N46)</f>
        <v>44451541</v>
      </c>
    </row>
    <row r="47" spans="1:16" s="149" customFormat="1" ht="39" thickBot="1" x14ac:dyDescent="0.25">
      <c r="A47" s="143" t="s">
        <v>94</v>
      </c>
      <c r="B47" s="64" t="s">
        <v>95</v>
      </c>
      <c r="C47" s="146">
        <v>62436432</v>
      </c>
      <c r="D47" s="70">
        <v>10218088</v>
      </c>
      <c r="E47" s="147"/>
      <c r="F47" s="147"/>
      <c r="G47" s="147"/>
      <c r="H47" s="150">
        <f>SUM(C47:G47)</f>
        <v>72654520</v>
      </c>
      <c r="I47" s="148"/>
      <c r="J47" s="69">
        <f>9234401+65012000</f>
        <v>74246401</v>
      </c>
      <c r="K47" s="70">
        <f>17650043+1000000+1524000</f>
        <v>20174043</v>
      </c>
      <c r="L47" s="70"/>
      <c r="M47" s="70"/>
      <c r="N47" s="70"/>
      <c r="O47" s="51">
        <f>SUM(J47:N47)</f>
        <v>94420444</v>
      </c>
    </row>
    <row r="48" spans="1:16" s="149" customFormat="1" ht="14.25" thickBot="1" x14ac:dyDescent="0.3">
      <c r="A48" s="81" t="s">
        <v>96</v>
      </c>
      <c r="B48" s="82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  <row r="49" spans="1:16" s="149" customFormat="1" ht="13.5" thickBot="1" x14ac:dyDescent="0.25">
      <c r="A49" s="144" t="s">
        <v>97</v>
      </c>
      <c r="B49" s="44" t="s">
        <v>98</v>
      </c>
      <c r="C49" s="76"/>
      <c r="D49" s="77"/>
      <c r="E49" s="77"/>
      <c r="F49" s="77"/>
      <c r="G49" s="77"/>
      <c r="H49" s="51">
        <f>SUM(C49:G49)</f>
        <v>0</v>
      </c>
      <c r="I49" s="106"/>
      <c r="J49" s="151">
        <v>457200</v>
      </c>
      <c r="K49" s="77"/>
      <c r="L49" s="77"/>
      <c r="M49" s="77"/>
      <c r="N49" s="77"/>
      <c r="O49" s="51">
        <f>SUM(J49:N49)</f>
        <v>457200</v>
      </c>
    </row>
    <row r="50" spans="1:16" ht="14.25" thickBot="1" x14ac:dyDescent="0.3">
      <c r="A50" s="81" t="s">
        <v>99</v>
      </c>
      <c r="B50" s="82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1"/>
      <c r="P50" s="10"/>
    </row>
    <row r="51" spans="1:16" x14ac:dyDescent="0.2">
      <c r="A51" s="144" t="s">
        <v>100</v>
      </c>
      <c r="B51" s="44" t="s">
        <v>101</v>
      </c>
      <c r="C51" s="76"/>
      <c r="D51" s="77"/>
      <c r="E51" s="77"/>
      <c r="F51" s="77"/>
      <c r="G51" s="77"/>
      <c r="H51" s="51">
        <f t="shared" ref="H51:H56" si="6">SUM(C51:G51)</f>
        <v>0</v>
      </c>
      <c r="I51" s="106"/>
      <c r="J51" s="80">
        <v>300000</v>
      </c>
      <c r="K51" s="77"/>
      <c r="L51" s="77"/>
      <c r="M51" s="77"/>
      <c r="N51" s="77"/>
      <c r="O51" s="51">
        <f t="shared" ref="O51:O56" si="7">SUM(J51:N51)</f>
        <v>300000</v>
      </c>
      <c r="P51" s="10"/>
    </row>
    <row r="52" spans="1:16" x14ac:dyDescent="0.2">
      <c r="A52" s="145" t="s">
        <v>102</v>
      </c>
      <c r="B52" s="53" t="s">
        <v>103</v>
      </c>
      <c r="C52" s="146"/>
      <c r="D52" s="70"/>
      <c r="E52" s="70"/>
      <c r="F52" s="70"/>
      <c r="G52" s="70"/>
      <c r="H52" s="57">
        <f t="shared" si="6"/>
        <v>0</v>
      </c>
      <c r="I52" s="106"/>
      <c r="J52" s="69">
        <v>54468561</v>
      </c>
      <c r="K52" s="70"/>
      <c r="L52" s="70"/>
      <c r="M52" s="70"/>
      <c r="N52" s="70"/>
      <c r="O52" s="51">
        <f t="shared" si="7"/>
        <v>54468561</v>
      </c>
      <c r="P52" s="10"/>
    </row>
    <row r="53" spans="1:16" x14ac:dyDescent="0.2">
      <c r="A53" s="145" t="s">
        <v>104</v>
      </c>
      <c r="B53" s="53" t="s">
        <v>105</v>
      </c>
      <c r="C53" s="146"/>
      <c r="D53" s="70"/>
      <c r="E53" s="70"/>
      <c r="F53" s="70"/>
      <c r="G53" s="70"/>
      <c r="H53" s="57">
        <f t="shared" si="6"/>
        <v>0</v>
      </c>
      <c r="I53" s="106"/>
      <c r="J53" s="152">
        <v>270951</v>
      </c>
      <c r="K53" s="70">
        <v>403860</v>
      </c>
      <c r="L53" s="70"/>
      <c r="M53" s="70"/>
      <c r="N53" s="70"/>
      <c r="O53" s="51">
        <f t="shared" si="7"/>
        <v>674811</v>
      </c>
      <c r="P53" s="10"/>
    </row>
    <row r="54" spans="1:16" ht="25.5" x14ac:dyDescent="0.2">
      <c r="A54" s="145" t="s">
        <v>106</v>
      </c>
      <c r="B54" s="53" t="s">
        <v>107</v>
      </c>
      <c r="C54" s="153">
        <f>300000+254000</f>
        <v>554000</v>
      </c>
      <c r="D54" s="70"/>
      <c r="E54" s="70"/>
      <c r="F54" s="70"/>
      <c r="G54" s="70"/>
      <c r="H54" s="57">
        <f t="shared" si="6"/>
        <v>554000</v>
      </c>
      <c r="I54" s="106"/>
      <c r="J54" s="154">
        <f>2417600+254000</f>
        <v>2671600</v>
      </c>
      <c r="K54" s="70">
        <v>2540000</v>
      </c>
      <c r="L54" s="70"/>
      <c r="M54" s="70"/>
      <c r="N54" s="70"/>
      <c r="O54" s="51">
        <f t="shared" si="7"/>
        <v>5211600</v>
      </c>
      <c r="P54" s="10"/>
    </row>
    <row r="55" spans="1:16" ht="26.25" thickBot="1" x14ac:dyDescent="0.25">
      <c r="A55" s="143" t="s">
        <v>108</v>
      </c>
      <c r="B55" s="64" t="s">
        <v>109</v>
      </c>
      <c r="C55" s="146">
        <v>500000</v>
      </c>
      <c r="D55" s="70"/>
      <c r="E55" s="70"/>
      <c r="F55" s="70"/>
      <c r="G55" s="70"/>
      <c r="H55" s="150">
        <f t="shared" si="6"/>
        <v>500000</v>
      </c>
      <c r="I55" s="106"/>
      <c r="J55" s="69">
        <f>61300000+526000-526000</f>
        <v>61300000</v>
      </c>
      <c r="K55" s="70"/>
      <c r="L55" s="70"/>
      <c r="M55" s="70"/>
      <c r="N55" s="70"/>
      <c r="O55" s="51">
        <f t="shared" si="7"/>
        <v>61300000</v>
      </c>
      <c r="P55" s="10"/>
    </row>
    <row r="56" spans="1:16" ht="26.25" thickBot="1" x14ac:dyDescent="0.25">
      <c r="A56" s="143" t="s">
        <v>110</v>
      </c>
      <c r="B56" s="64" t="s">
        <v>111</v>
      </c>
      <c r="C56" s="146"/>
      <c r="D56" s="70"/>
      <c r="E56" s="70"/>
      <c r="F56" s="70"/>
      <c r="G56" s="70"/>
      <c r="H56" s="150">
        <f t="shared" si="6"/>
        <v>0</v>
      </c>
      <c r="I56" s="155"/>
      <c r="J56" s="69">
        <f>243100+691900</f>
        <v>935000</v>
      </c>
      <c r="K56" s="70">
        <f>691900-691900</f>
        <v>0</v>
      </c>
      <c r="L56" s="70"/>
      <c r="M56" s="70"/>
      <c r="N56" s="70"/>
      <c r="O56" s="51">
        <f t="shared" si="7"/>
        <v>935000</v>
      </c>
      <c r="P56" s="10"/>
    </row>
    <row r="57" spans="1:16" ht="14.25" thickBot="1" x14ac:dyDescent="0.3">
      <c r="A57" s="81" t="s">
        <v>112</v>
      </c>
      <c r="B57" s="8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1"/>
      <c r="P57" s="10"/>
    </row>
    <row r="58" spans="1:16" ht="25.5" x14ac:dyDescent="0.2">
      <c r="A58" s="144" t="s">
        <v>113</v>
      </c>
      <c r="B58" s="44" t="s">
        <v>114</v>
      </c>
      <c r="C58" s="156"/>
      <c r="D58" s="77"/>
      <c r="E58" s="77">
        <f>530000000-35000000</f>
        <v>495000000</v>
      </c>
      <c r="F58" s="77"/>
      <c r="G58" s="77"/>
      <c r="H58" s="51">
        <f>SUM(C58:G58)</f>
        <v>495000000</v>
      </c>
      <c r="I58" s="106"/>
      <c r="J58" s="80"/>
      <c r="K58" s="77"/>
      <c r="L58" s="157"/>
      <c r="M58" s="77"/>
      <c r="N58" s="77"/>
      <c r="O58" s="51">
        <f>SUM(J58:N58)</f>
        <v>0</v>
      </c>
      <c r="P58" s="10"/>
    </row>
    <row r="59" spans="1:16" ht="26.25" thickBot="1" x14ac:dyDescent="0.25">
      <c r="A59" s="143" t="s">
        <v>115</v>
      </c>
      <c r="B59" s="64" t="s">
        <v>116</v>
      </c>
      <c r="C59" s="158"/>
      <c r="D59" s="70"/>
      <c r="E59" s="70"/>
      <c r="F59" s="71">
        <f>700000000+44951899-2540000+11503705-3834990-16510000</f>
        <v>733570614</v>
      </c>
      <c r="G59" s="70"/>
      <c r="H59" s="57">
        <f>SUM(C59:G59)</f>
        <v>733570614</v>
      </c>
      <c r="I59" s="106"/>
      <c r="J59" s="154">
        <f>12952927+115837-33711-38350-24077-190500</f>
        <v>12782126</v>
      </c>
      <c r="K59" s="71"/>
      <c r="L59" s="70"/>
      <c r="M59" s="70">
        <v>726038434</v>
      </c>
      <c r="N59" s="71">
        <f>141941068+12273414</f>
        <v>154214482</v>
      </c>
      <c r="O59" s="57">
        <f>SUM(J59:N59)</f>
        <v>893035042</v>
      </c>
      <c r="P59" s="10"/>
    </row>
    <row r="60" spans="1:16" ht="13.5" thickBot="1" x14ac:dyDescent="0.25">
      <c r="A60" s="159" t="s">
        <v>117</v>
      </c>
      <c r="B60" s="160"/>
      <c r="C60" s="161">
        <f t="shared" ref="C60:H60" si="8">SUM(C10:C59)</f>
        <v>1813328792</v>
      </c>
      <c r="D60" s="161">
        <f t="shared" si="8"/>
        <v>89948492</v>
      </c>
      <c r="E60" s="161">
        <f t="shared" si="8"/>
        <v>503000000</v>
      </c>
      <c r="F60" s="161">
        <f t="shared" si="8"/>
        <v>733570614</v>
      </c>
      <c r="G60" s="161">
        <f t="shared" si="8"/>
        <v>938305086</v>
      </c>
      <c r="H60" s="162">
        <f t="shared" si="8"/>
        <v>4078152984</v>
      </c>
      <c r="I60" s="163" t="e">
        <f>SUM(I9:I13,I15:I28,I35:I37,I41:I52,I53:I59)</f>
        <v>#REF!</v>
      </c>
      <c r="J60" s="161">
        <f t="shared" ref="J60:O60" si="9">SUM(J10:J59)</f>
        <v>766488496</v>
      </c>
      <c r="K60" s="161">
        <f t="shared" si="9"/>
        <v>918724083</v>
      </c>
      <c r="L60" s="161">
        <f t="shared" si="9"/>
        <v>1512687489</v>
      </c>
      <c r="M60" s="161">
        <f t="shared" si="9"/>
        <v>726038434</v>
      </c>
      <c r="N60" s="161">
        <f t="shared" si="9"/>
        <v>154214482</v>
      </c>
      <c r="O60" s="161">
        <f t="shared" si="9"/>
        <v>4078152984</v>
      </c>
      <c r="P60" s="164">
        <f>O60-H60</f>
        <v>0</v>
      </c>
    </row>
    <row r="61" spans="1:16" ht="13.5" thickBot="1" x14ac:dyDescent="0.25">
      <c r="A61" s="165" t="s">
        <v>118</v>
      </c>
      <c r="B61" s="166"/>
      <c r="C61" s="167"/>
      <c r="D61" s="168"/>
      <c r="E61" s="168"/>
      <c r="F61" s="168"/>
      <c r="G61" s="168"/>
      <c r="H61" s="57"/>
      <c r="I61" s="169"/>
      <c r="J61" s="170"/>
      <c r="K61" s="55"/>
      <c r="L61" s="55">
        <f>SUM(L58:L59,L51:L55,L45:L47,L37:L43,L33:L35,L27:L29,L17,L10:L15)</f>
        <v>1512687489</v>
      </c>
      <c r="M61" s="168"/>
      <c r="N61" s="168"/>
      <c r="O61" s="171">
        <f>SUM(J61:N61)</f>
        <v>1512687489</v>
      </c>
      <c r="P61" s="164"/>
    </row>
    <row r="62" spans="1:16" ht="13.5" thickBot="1" x14ac:dyDescent="0.25">
      <c r="A62" s="159" t="s">
        <v>119</v>
      </c>
      <c r="B62" s="160"/>
      <c r="C62" s="172">
        <f>C60-C61</f>
        <v>1813328792</v>
      </c>
      <c r="D62" s="173">
        <f t="shared" ref="D62:N62" si="10">D60-D61</f>
        <v>89948492</v>
      </c>
      <c r="E62" s="173">
        <f t="shared" si="10"/>
        <v>503000000</v>
      </c>
      <c r="F62" s="173">
        <f t="shared" si="10"/>
        <v>733570614</v>
      </c>
      <c r="G62" s="173">
        <f t="shared" si="10"/>
        <v>938305086</v>
      </c>
      <c r="H62" s="66">
        <f t="shared" si="10"/>
        <v>4078152984</v>
      </c>
      <c r="I62" s="174" t="e">
        <f t="shared" si="10"/>
        <v>#REF!</v>
      </c>
      <c r="J62" s="172">
        <f t="shared" si="10"/>
        <v>766488496</v>
      </c>
      <c r="K62" s="173">
        <f t="shared" si="10"/>
        <v>918724083</v>
      </c>
      <c r="L62" s="173">
        <f t="shared" si="10"/>
        <v>0</v>
      </c>
      <c r="M62" s="173">
        <f t="shared" si="10"/>
        <v>726038434</v>
      </c>
      <c r="N62" s="173">
        <f t="shared" si="10"/>
        <v>154214482</v>
      </c>
      <c r="O62" s="175">
        <f>O60-O61</f>
        <v>2565465495</v>
      </c>
      <c r="P62" s="164"/>
    </row>
    <row r="63" spans="1:16" x14ac:dyDescent="0.2">
      <c r="B63" s="176"/>
      <c r="C63" s="86">
        <f>C62-C64</f>
        <v>0</v>
      </c>
      <c r="D63" s="86">
        <f t="shared" ref="D63:N63" si="11">D62-D64</f>
        <v>0</v>
      </c>
      <c r="E63" s="86">
        <f t="shared" si="11"/>
        <v>0</v>
      </c>
      <c r="F63" s="86">
        <f t="shared" si="11"/>
        <v>0</v>
      </c>
      <c r="G63" s="86">
        <f t="shared" si="11"/>
        <v>0</v>
      </c>
      <c r="H63" s="86">
        <f t="shared" si="11"/>
        <v>0</v>
      </c>
      <c r="I63" s="86" t="e">
        <f t="shared" si="11"/>
        <v>#REF!</v>
      </c>
      <c r="J63" s="86">
        <f t="shared" si="11"/>
        <v>0</v>
      </c>
      <c r="K63" s="86">
        <f t="shared" si="11"/>
        <v>0</v>
      </c>
      <c r="L63" s="86">
        <f>L61-L64</f>
        <v>0</v>
      </c>
      <c r="M63" s="86">
        <f t="shared" si="11"/>
        <v>0</v>
      </c>
      <c r="N63" s="86">
        <f t="shared" si="11"/>
        <v>0</v>
      </c>
      <c r="O63" s="86">
        <f>O60-O64</f>
        <v>0</v>
      </c>
    </row>
    <row r="64" spans="1:16" x14ac:dyDescent="0.2">
      <c r="B64" s="176"/>
      <c r="C64" s="86">
        <f>'[1]9.1. sz. mell.'!C9+'[1]9.1. sz. mell.'!C18+'[1]9.1. sz. mell.'!C40+'[1]9.1. sz. mell.'!C58+'[1]9.1. sz. mell.'!C81</f>
        <v>1813328792</v>
      </c>
      <c r="D64" s="86">
        <f>'[1]9.1. sz. mell.'!C25+'[1]9.1. sz. mell.'!C52+'[1]9.1. sz. mell.'!C63</f>
        <v>89948492</v>
      </c>
      <c r="E64" s="86">
        <f>'[1]9.1. sz. mell.'!C32</f>
        <v>503000000</v>
      </c>
      <c r="F64" s="86">
        <f>'[1]9.1. sz. mell.'!C69</f>
        <v>733570614</v>
      </c>
      <c r="G64" s="86">
        <f>'[1]9.1. sz. mell.'!C78</f>
        <v>938305086</v>
      </c>
      <c r="H64" s="58">
        <f>SUM(C64:G64)</f>
        <v>4078152984</v>
      </c>
      <c r="I64" s="177"/>
      <c r="J64" s="86">
        <f>'[1]9.1. sz. mell.'!C96-'[1]9.1. sz. mell.'!C114+'[1]9.1. sz. mell.'!C143</f>
        <v>766488496</v>
      </c>
      <c r="K64" s="86">
        <f>'[1]9.1. sz. mell.'!C117</f>
        <v>918724083</v>
      </c>
      <c r="L64" s="178">
        <f>'[1]10.sz.m. int.összesítő'!C16</f>
        <v>1512687489</v>
      </c>
      <c r="M64" s="179">
        <f>'[1]9.1. sz. mell.'!C132</f>
        <v>726038434</v>
      </c>
      <c r="N64" s="179">
        <f>'[1]9.1. sz. mell.'!C114</f>
        <v>154214482</v>
      </c>
      <c r="O64" s="177">
        <f>SUM(J64:N64)</f>
        <v>4078152984</v>
      </c>
    </row>
    <row r="65" spans="2:15" x14ac:dyDescent="0.2">
      <c r="B65" s="176"/>
      <c r="C65" s="86"/>
      <c r="D65" s="86"/>
      <c r="E65" s="86"/>
      <c r="F65" s="86"/>
      <c r="G65" s="86"/>
      <c r="H65" s="58"/>
      <c r="I65" s="177"/>
      <c r="J65" s="180"/>
      <c r="K65" s="86"/>
      <c r="L65" s="181"/>
      <c r="M65" s="86"/>
      <c r="N65" s="86"/>
      <c r="O65" s="177"/>
    </row>
    <row r="66" spans="2:15" x14ac:dyDescent="0.2">
      <c r="B66" s="176"/>
      <c r="C66" s="86"/>
      <c r="D66" s="86"/>
      <c r="E66" s="86"/>
      <c r="F66" s="86"/>
      <c r="G66" s="86"/>
      <c r="H66" s="58"/>
      <c r="I66" s="177"/>
      <c r="J66" s="86"/>
      <c r="K66" s="86"/>
      <c r="L66" s="181"/>
      <c r="M66" s="86"/>
      <c r="N66" s="86"/>
      <c r="O66" s="177"/>
    </row>
    <row r="67" spans="2:15" x14ac:dyDescent="0.2">
      <c r="B67" s="176"/>
      <c r="C67" s="86"/>
      <c r="D67" s="86"/>
      <c r="E67" s="86"/>
      <c r="F67" s="86"/>
      <c r="G67" s="86"/>
      <c r="H67" s="58"/>
      <c r="I67" s="177"/>
      <c r="J67" s="86"/>
      <c r="K67" s="86"/>
      <c r="L67" s="181"/>
      <c r="M67" s="86"/>
      <c r="N67" s="86"/>
      <c r="O67" s="177"/>
    </row>
    <row r="68" spans="2:15" x14ac:dyDescent="0.2">
      <c r="B68" s="176"/>
      <c r="C68" s="86"/>
      <c r="D68" s="86"/>
      <c r="E68" s="86"/>
      <c r="F68" s="86"/>
      <c r="G68" s="86"/>
      <c r="H68" s="58"/>
      <c r="I68" s="177"/>
      <c r="J68" s="86"/>
      <c r="K68" s="86"/>
      <c r="L68" s="181"/>
      <c r="M68" s="86"/>
      <c r="N68" s="86"/>
      <c r="O68" s="177"/>
    </row>
    <row r="69" spans="2:15" x14ac:dyDescent="0.2">
      <c r="B69" s="176"/>
      <c r="C69" s="86"/>
      <c r="D69" s="86"/>
      <c r="E69" s="86"/>
      <c r="F69" s="86"/>
      <c r="G69" s="86"/>
      <c r="H69" s="58"/>
      <c r="I69" s="177"/>
      <c r="J69" s="86"/>
      <c r="K69" s="86"/>
      <c r="L69" s="181"/>
      <c r="M69" s="86"/>
      <c r="N69" s="86"/>
      <c r="O69" s="177"/>
    </row>
  </sheetData>
  <mergeCells count="21">
    <mergeCell ref="A62:B62"/>
    <mergeCell ref="A44:O44"/>
    <mergeCell ref="A48:O48"/>
    <mergeCell ref="A50:O50"/>
    <mergeCell ref="A57:O57"/>
    <mergeCell ref="A60:B60"/>
    <mergeCell ref="A61:B61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2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2020-09-25T07:22:58Z</dcterms:created>
  <dcterms:modified xsi:type="dcterms:W3CDTF">2020-09-25T07:22:58Z</dcterms:modified>
</cp:coreProperties>
</file>