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5147E0BC-E1CA-4424-915C-A9FB9B8C863D}" xr6:coauthVersionLast="40" xr6:coauthVersionMax="40" xr10:uidLastSave="{00000000-0000-0000-0000-000000000000}"/>
  <bookViews>
    <workbookView xWindow="-120" yWindow="-120" windowWidth="20730" windowHeight="11160" xr2:uid="{CDCD689D-510B-490B-A4D0-616EA15239F8}"/>
  </bookViews>
  <sheets>
    <sheet name="4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O25" i="1"/>
  <c r="Q25" i="1" s="1"/>
  <c r="N24" i="1"/>
  <c r="L24" i="1"/>
  <c r="K24" i="1"/>
  <c r="I24" i="1"/>
  <c r="H24" i="1"/>
  <c r="O24" i="1" s="1"/>
  <c r="Q24" i="1" s="1"/>
  <c r="O23" i="1"/>
  <c r="Q23" i="1" s="1"/>
  <c r="J23" i="1"/>
  <c r="I23" i="1"/>
  <c r="H23" i="1"/>
  <c r="N22" i="1"/>
  <c r="M22" i="1"/>
  <c r="L22" i="1"/>
  <c r="J22" i="1"/>
  <c r="O22" i="1" s="1"/>
  <c r="Q22" i="1" s="1"/>
  <c r="I22" i="1"/>
  <c r="H22" i="1"/>
  <c r="N21" i="1"/>
  <c r="M21" i="1"/>
  <c r="L21" i="1"/>
  <c r="J21" i="1"/>
  <c r="I21" i="1"/>
  <c r="F21" i="1"/>
  <c r="O21" i="1" s="1"/>
  <c r="Q21" i="1" s="1"/>
  <c r="N20" i="1"/>
  <c r="M20" i="1"/>
  <c r="L20" i="1"/>
  <c r="K20" i="1"/>
  <c r="I20" i="1"/>
  <c r="G20" i="1"/>
  <c r="O20" i="1" s="1"/>
  <c r="Q20" i="1" s="1"/>
  <c r="N19" i="1"/>
  <c r="M19" i="1"/>
  <c r="I19" i="1"/>
  <c r="H19" i="1"/>
  <c r="O19" i="1" s="1"/>
  <c r="Q19" i="1" s="1"/>
  <c r="N18" i="1"/>
  <c r="M18" i="1"/>
  <c r="L18" i="1"/>
  <c r="K18" i="1"/>
  <c r="J18" i="1"/>
  <c r="I18" i="1"/>
  <c r="H18" i="1"/>
  <c r="H26" i="1" s="1"/>
  <c r="G18" i="1"/>
  <c r="G26" i="1" s="1"/>
  <c r="F18" i="1"/>
  <c r="E18" i="1"/>
  <c r="D18" i="1"/>
  <c r="C18" i="1"/>
  <c r="O18" i="1" s="1"/>
  <c r="Q18" i="1" s="1"/>
  <c r="N17" i="1"/>
  <c r="M17" i="1"/>
  <c r="L17" i="1"/>
  <c r="K17" i="1"/>
  <c r="J17" i="1"/>
  <c r="I17" i="1"/>
  <c r="F17" i="1"/>
  <c r="D17" i="1"/>
  <c r="O17" i="1" s="1"/>
  <c r="Q17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F16" i="1"/>
  <c r="F26" i="1" s="1"/>
  <c r="E16" i="1"/>
  <c r="E26" i="1" s="1"/>
  <c r="D16" i="1"/>
  <c r="O16" i="1" s="1"/>
  <c r="Q16" i="1" s="1"/>
  <c r="Q15" i="1"/>
  <c r="P14" i="1"/>
  <c r="D14" i="1"/>
  <c r="N13" i="1"/>
  <c r="L13" i="1"/>
  <c r="C13" i="1"/>
  <c r="O13" i="1" s="1"/>
  <c r="Q13" i="1" s="1"/>
  <c r="O12" i="1"/>
  <c r="Q12" i="1" s="1"/>
  <c r="N11" i="1"/>
  <c r="M11" i="1"/>
  <c r="L11" i="1"/>
  <c r="K11" i="1"/>
  <c r="I11" i="1"/>
  <c r="H11" i="1"/>
  <c r="O11" i="1" s="1"/>
  <c r="Q11" i="1" s="1"/>
  <c r="O10" i="1"/>
  <c r="Q10" i="1" s="1"/>
  <c r="N9" i="1"/>
  <c r="M9" i="1"/>
  <c r="L9" i="1"/>
  <c r="K9" i="1"/>
  <c r="I9" i="1"/>
  <c r="G9" i="1"/>
  <c r="O9" i="1" s="1"/>
  <c r="Q9" i="1" s="1"/>
  <c r="O8" i="1"/>
  <c r="Q8" i="1" s="1"/>
  <c r="N8" i="1"/>
  <c r="K8" i="1"/>
  <c r="O7" i="1"/>
  <c r="Q7" i="1" s="1"/>
  <c r="N7" i="1"/>
  <c r="M7" i="1"/>
  <c r="H7" i="1"/>
  <c r="N6" i="1"/>
  <c r="L6" i="1"/>
  <c r="K6" i="1"/>
  <c r="I6" i="1"/>
  <c r="H6" i="1"/>
  <c r="H14" i="1" s="1"/>
  <c r="H27" i="1" s="1"/>
  <c r="F6" i="1"/>
  <c r="F14" i="1" s="1"/>
  <c r="F27" i="1" s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E5" i="1"/>
  <c r="E14" i="1" s="1"/>
  <c r="E27" i="1" s="1"/>
  <c r="C26" i="1" l="1"/>
  <c r="O5" i="1"/>
  <c r="Q5" i="1" s="1"/>
  <c r="O6" i="1"/>
  <c r="Q6" i="1" s="1"/>
  <c r="C14" i="1"/>
  <c r="G14" i="1"/>
  <c r="G27" i="1" s="1"/>
  <c r="D26" i="1"/>
  <c r="D27" i="1" s="1"/>
  <c r="O26" i="1" l="1"/>
  <c r="Q26" i="1" s="1"/>
  <c r="C27" i="1"/>
  <c r="O14" i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<sst xmlns="http://schemas.openxmlformats.org/spreadsheetml/2006/main" count="65" uniqueCount="65">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</sst>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3" fontId="3" fillId="0" borderId="0" xfId="1" applyNumberFormat="1" applyFont="1" applyProtection="1">
      <protection locked="0"/>
    </xf>
    <xf numFmtId="0" fontId="1" fillId="0" borderId="0" xfId="1" applyProtection="1">
      <protection locked="0"/>
    </xf>
    <xf numFmtId="0" fontId="1" fillId="0" borderId="0" xfId="1"/>
    <xf numFmtId="0" fontId="4" fillId="0" borderId="0" xfId="0" applyFont="1" applyAlignment="1">
      <alignment horizontal="right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left" vertical="center" indent="1"/>
    </xf>
    <xf numFmtId="0" fontId="7" fillId="0" borderId="5" xfId="1" applyFont="1" applyBorder="1" applyAlignment="1">
      <alignment horizontal="left" vertical="center" indent="1"/>
    </xf>
    <xf numFmtId="0" fontId="7" fillId="0" borderId="6" xfId="1" applyFont="1" applyBorder="1" applyAlignment="1">
      <alignment horizontal="left" vertical="center" indent="1"/>
    </xf>
    <xf numFmtId="0" fontId="7" fillId="0" borderId="7" xfId="1" applyFont="1" applyBorder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wrapText="1" indent="1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8" fillId="0" borderId="10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 applyProtection="1">
      <alignment vertical="center"/>
      <protection locked="0"/>
    </xf>
    <xf numFmtId="0" fontId="6" fillId="0" borderId="13" xfId="1" applyFont="1" applyBorder="1" applyAlignment="1">
      <alignment horizontal="left" vertical="center" indent="1"/>
    </xf>
    <xf numFmtId="0" fontId="6" fillId="0" borderId="14" xfId="1" applyFont="1" applyBorder="1" applyAlignment="1">
      <alignment horizontal="left" vertical="center" wrapText="1" indent="1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8" fillId="0" borderId="15" xfId="1" applyNumberFormat="1" applyFont="1" applyBorder="1" applyAlignment="1">
      <alignment vertical="center"/>
    </xf>
    <xf numFmtId="3" fontId="3" fillId="0" borderId="13" xfId="1" applyNumberFormat="1" applyFont="1" applyBorder="1" applyAlignment="1" applyProtection="1">
      <alignment vertical="center"/>
      <protection locked="0"/>
    </xf>
    <xf numFmtId="3" fontId="3" fillId="0" borderId="15" xfId="1" applyNumberFormat="1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6" fillId="0" borderId="16" xfId="1" applyFont="1" applyBorder="1" applyAlignment="1">
      <alignment horizontal="left" vertical="center" wrapText="1" indent="1"/>
    </xf>
    <xf numFmtId="164" fontId="3" fillId="0" borderId="16" xfId="1" applyNumberFormat="1" applyFont="1" applyBorder="1" applyAlignment="1" applyProtection="1">
      <alignment vertical="center"/>
      <protection locked="0"/>
    </xf>
    <xf numFmtId="0" fontId="6" fillId="0" borderId="14" xfId="1" applyFont="1" applyBorder="1" applyAlignment="1">
      <alignment horizontal="left" vertical="center" indent="1"/>
    </xf>
    <xf numFmtId="164" fontId="9" fillId="0" borderId="15" xfId="1" applyNumberFormat="1" applyFont="1" applyBorder="1" applyAlignment="1">
      <alignment vertical="center"/>
    </xf>
    <xf numFmtId="164" fontId="6" fillId="0" borderId="14" xfId="1" applyNumberFormat="1" applyFont="1" applyBorder="1" applyAlignment="1" applyProtection="1">
      <alignment vertical="center"/>
      <protection locked="0"/>
    </xf>
    <xf numFmtId="3" fontId="3" fillId="0" borderId="17" xfId="1" applyNumberFormat="1" applyFont="1" applyBorder="1" applyAlignment="1" applyProtection="1">
      <alignment vertical="center"/>
      <protection locked="0"/>
    </xf>
    <xf numFmtId="3" fontId="3" fillId="0" borderId="18" xfId="1" applyNumberFormat="1" applyFont="1" applyBorder="1" applyAlignment="1" applyProtection="1">
      <alignment vertical="center"/>
      <protection locked="0"/>
    </xf>
    <xf numFmtId="0" fontId="10" fillId="0" borderId="19" xfId="1" applyFont="1" applyBorder="1" applyAlignment="1">
      <alignment horizontal="left" vertical="center" indent="1"/>
    </xf>
    <xf numFmtId="164" fontId="11" fillId="0" borderId="19" xfId="1" applyNumberFormat="1" applyFont="1" applyBorder="1" applyAlignment="1">
      <alignment vertical="center"/>
    </xf>
    <xf numFmtId="164" fontId="9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1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6" fillId="0" borderId="11" xfId="1" applyFont="1" applyBorder="1" applyAlignment="1">
      <alignment horizontal="left" vertical="center" indent="1"/>
    </xf>
    <xf numFmtId="0" fontId="6" fillId="0" borderId="22" xfId="1" applyFont="1" applyBorder="1" applyAlignment="1">
      <alignment horizontal="left" vertical="center" indent="1"/>
    </xf>
    <xf numFmtId="164" fontId="3" fillId="0" borderId="22" xfId="1" applyNumberFormat="1" applyFont="1" applyBorder="1" applyAlignment="1" applyProtection="1">
      <alignment vertical="center"/>
      <protection locked="0"/>
    </xf>
    <xf numFmtId="164" fontId="8" fillId="0" borderId="12" xfId="1" applyNumberFormat="1" applyFont="1" applyBorder="1" applyAlignment="1">
      <alignment vertical="center"/>
    </xf>
    <xf numFmtId="3" fontId="3" fillId="0" borderId="11" xfId="1" applyNumberFormat="1" applyFont="1" applyBorder="1" applyAlignment="1" applyProtection="1">
      <alignment vertical="center"/>
      <protection locked="0"/>
    </xf>
    <xf numFmtId="0" fontId="11" fillId="0" borderId="4" xfId="1" applyFont="1" applyBorder="1" applyAlignment="1">
      <alignment horizontal="left" vertical="center" indent="1"/>
    </xf>
    <xf numFmtId="0" fontId="10" fillId="0" borderId="19" xfId="1" applyFont="1" applyBorder="1" applyAlignment="1">
      <alignment horizontal="left" indent="1"/>
    </xf>
    <xf numFmtId="164" fontId="11" fillId="0" borderId="19" xfId="1" applyNumberFormat="1" applyFont="1" applyBorder="1"/>
    <xf numFmtId="164" fontId="9" fillId="0" borderId="20" xfId="1" applyNumberFormat="1" applyFont="1" applyBorder="1"/>
    <xf numFmtId="0" fontId="12" fillId="0" borderId="0" xfId="1" applyFont="1"/>
    <xf numFmtId="0" fontId="13" fillId="0" borderId="0" xfId="1" applyFont="1" applyProtection="1">
      <protection locked="0"/>
    </xf>
    <xf numFmtId="0" fontId="2" fillId="0" borderId="0" xfId="1" applyFont="1" applyProtection="1">
      <protection locked="0"/>
    </xf>
  </cellXfs>
  <cellStyles count="2">
    <cellStyle name="Normál" xfId="0" builtinId="0"/>
    <cellStyle name="Normál_SEGEDLETEK" xfId="1" xr:uid="{D0435E10-E2D5-4D2F-B10F-2F899E00B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DBBC-B702-47C4-8A1D-75DACE265D45}">
  <sheetPr codeName="Munka29">
    <tabColor rgb="FF92D050"/>
  </sheetPr>
  <dimension ref="A1:Q82"/>
  <sheetViews>
    <sheetView tabSelected="1" view="pageLayout" topLeftCell="B1" zoomScale="85" zoomScaleNormal="100" zoomScalePageLayoutView="85" workbookViewId="0">
      <selection activeCell="R5" sqref="R5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83203125" style="4" bestFit="1" customWidth="1"/>
    <col min="13" max="13" width="11.6640625" style="4" customWidth="1"/>
    <col min="14" max="14" width="11" style="4" customWidth="1"/>
    <col min="15" max="15" width="12.6640625" style="5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117270000+1508600-28000000</f>
        <v>90778600</v>
      </c>
      <c r="L5" s="18">
        <f>110120000+1508600-28000000</f>
        <v>83628600</v>
      </c>
      <c r="M5" s="18">
        <f>110170000+1508600-28000000</f>
        <v>83678600</v>
      </c>
      <c r="N5" s="18">
        <f>110081468+170000+1508600+522368+3279627-50668000-28480989</f>
        <v>36413074</v>
      </c>
      <c r="O5" s="19">
        <f t="shared" ref="O5:O14" si="0">SUM(C5:N5)</f>
        <v>1170233686</v>
      </c>
      <c r="P5" s="20">
        <v>1170233686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931815+2845500+1954934+2336516</f>
        <v>8068765</v>
      </c>
      <c r="L6" s="24">
        <f>40000000+2845500</f>
        <v>42845500</v>
      </c>
      <c r="M6" s="24">
        <v>2845500</v>
      </c>
      <c r="N6" s="24">
        <f>75636836+2845500-11236604+9028141</f>
        <v>76273873</v>
      </c>
      <c r="O6" s="25">
        <f t="shared" si="0"/>
        <v>279095571</v>
      </c>
      <c r="P6" s="26">
        <v>279095571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>
        <v>322000</v>
      </c>
      <c r="L7" s="30">
        <v>136269</v>
      </c>
      <c r="M7" s="30">
        <f>5866130+48350993</f>
        <v>54217123</v>
      </c>
      <c r="N7" s="30">
        <f>3779393+19431000-10279393</f>
        <v>12931000</v>
      </c>
      <c r="O7" s="25">
        <f t="shared" si="0"/>
        <v>82911198</v>
      </c>
      <c r="P7" s="26">
        <v>82911198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f>120000000+20000000-30000000</f>
        <v>110000000</v>
      </c>
      <c r="L8" s="24">
        <v>5000000</v>
      </c>
      <c r="M8" s="24">
        <v>5000000</v>
      </c>
      <c r="N8" s="24">
        <f>40658000+32000000+58000000-30550000</f>
        <v>100108000</v>
      </c>
      <c r="O8" s="25">
        <f t="shared" si="0"/>
        <v>402108000</v>
      </c>
      <c r="P8" s="26">
        <v>402108000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39421250-1000000-7778817+80000+130141+1003094</f>
        <v>31855668</v>
      </c>
      <c r="L9" s="24">
        <f>38290000+1595250-1000000-7778817+1040220+105000</f>
        <v>32251653</v>
      </c>
      <c r="M9" s="24">
        <f>38390000-1000000-7778818</f>
        <v>29611182</v>
      </c>
      <c r="N9" s="24">
        <f>35514867+4938146-1000000-7778818+268700+1426292-11229128</f>
        <v>22140059</v>
      </c>
      <c r="O9" s="25">
        <f t="shared" si="0"/>
        <v>405741309</v>
      </c>
      <c r="P9" s="26">
        <v>405741309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2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350000+408000-400000</f>
        <v>358000</v>
      </c>
      <c r="J11" s="24">
        <v>250000</v>
      </c>
      <c r="K11" s="24">
        <f>400000-200000</f>
        <v>200000</v>
      </c>
      <c r="L11" s="24">
        <f>300000-100000</f>
        <v>200000</v>
      </c>
      <c r="M11" s="24">
        <f>300000-200000</f>
        <v>100000</v>
      </c>
      <c r="N11" s="24">
        <f>250000-100000</f>
        <v>150000</v>
      </c>
      <c r="O11" s="25">
        <f t="shared" si="0"/>
        <v>4224000</v>
      </c>
      <c r="P11" s="26">
        <v>4224000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2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f>10000000-315732</f>
        <v>9684268</v>
      </c>
      <c r="M13" s="24">
        <v>10000000</v>
      </c>
      <c r="N13" s="24">
        <f>25000000-5819140+41904332</f>
        <v>61085192</v>
      </c>
      <c r="O13" s="32">
        <f t="shared" si="0"/>
        <v>874925122</v>
      </c>
      <c r="P13" s="34">
        <v>874925122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237199742</v>
      </c>
      <c r="J14" s="37">
        <f t="shared" si="2"/>
        <v>210148600</v>
      </c>
      <c r="K14" s="37">
        <f t="shared" si="2"/>
        <v>282490995</v>
      </c>
      <c r="L14" s="37">
        <f t="shared" si="2"/>
        <v>173746290</v>
      </c>
      <c r="M14" s="37">
        <f t="shared" si="2"/>
        <v>200452405</v>
      </c>
      <c r="N14" s="37">
        <f t="shared" si="2"/>
        <v>309101198</v>
      </c>
      <c r="O14" s="38">
        <f t="shared" si="0"/>
        <v>3249571386</v>
      </c>
      <c r="P14" s="39">
        <f>SUM(P5:P13)</f>
        <v>3249571386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 x14ac:dyDescent="0.2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81000000+1281377-4000000</f>
        <v>78281377</v>
      </c>
      <c r="J16" s="44">
        <f>82000000+1281377+1656000-5000000</f>
        <v>79937377</v>
      </c>
      <c r="K16" s="44">
        <f>84100000+1281377+1828292+397090+198000-4000000</f>
        <v>83804759</v>
      </c>
      <c r="L16" s="44">
        <f>81000000+1281377+3871640+2205576-5000000</f>
        <v>83358593</v>
      </c>
      <c r="M16" s="44">
        <f>81000000+1281377+3871640-4000000</f>
        <v>82153017</v>
      </c>
      <c r="N16" s="44">
        <f>81820251+1281376+3871641+1745212-8283453-3886210</f>
        <v>76548817</v>
      </c>
      <c r="O16" s="45">
        <f t="shared" ref="O16:O26" si="3">SUM(C16:N16)</f>
        <v>974200639</v>
      </c>
      <c r="P16" s="46">
        <v>974200639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16720000+271380-800000</f>
        <v>16191380</v>
      </c>
      <c r="J17" s="24">
        <f>17220000+271380+322928-900000</f>
        <v>16914308</v>
      </c>
      <c r="K17" s="24">
        <f>18720000+271380+78423+153131+34749-800000</f>
        <v>18457683</v>
      </c>
      <c r="L17" s="24">
        <f>16720000+271380+647011+332967-900000</f>
        <v>17071358</v>
      </c>
      <c r="M17" s="24">
        <f>16720000+271380+647010-800000</f>
        <v>16838390</v>
      </c>
      <c r="N17" s="24">
        <f>16603347+240061+149150+271372+647011+660210-1878252-765388</f>
        <v>15927511</v>
      </c>
      <c r="O17" s="25">
        <f t="shared" si="3"/>
        <v>205243807</v>
      </c>
      <c r="P17" s="26">
        <v>205243807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f>80000000-8000000</f>
        <v>72000000</v>
      </c>
      <c r="D18" s="24">
        <f>75000000-8000000</f>
        <v>67000000</v>
      </c>
      <c r="E18" s="24">
        <f>77400000+3115000-8000000</f>
        <v>72515000</v>
      </c>
      <c r="F18" s="24">
        <f>83000000+44100-83792-8245+60000+302293-8000000</f>
        <v>75314356</v>
      </c>
      <c r="G18" s="24">
        <f>71000000-36509260+396875-8000000</f>
        <v>26887615</v>
      </c>
      <c r="H18" s="24">
        <f>74000000+396875-8000000</f>
        <v>66396875</v>
      </c>
      <c r="I18" s="24">
        <f>77500000+1585967+64000-838452+396875-8000000</f>
        <v>70708390</v>
      </c>
      <c r="J18" s="24">
        <f>76000000+1585967+1397115+396875-8000000</f>
        <v>71379957</v>
      </c>
      <c r="K18" s="24">
        <f>80500000+1585967+396875+1137089-8000000</f>
        <v>75619931</v>
      </c>
      <c r="L18" s="24">
        <f>76071448+1585967+396875+5148741+1500000-8000000</f>
        <v>76703031</v>
      </c>
      <c r="M18" s="24">
        <f>75300000+1585967+396875+1310000-8000000</f>
        <v>70592842</v>
      </c>
      <c r="N18" s="24">
        <f>70149605+1585964+396875+1000000+835800+798929-9041056</f>
        <v>65726117</v>
      </c>
      <c r="O18" s="25">
        <f t="shared" si="3"/>
        <v>810844114</v>
      </c>
      <c r="P18" s="26">
        <v>810844114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21000000+67507000-480000-23400000</f>
        <v>64627000</v>
      </c>
      <c r="O19" s="25">
        <f t="shared" si="3"/>
        <v>139384000</v>
      </c>
      <c r="P19" s="26">
        <v>139384000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15000000+1500000+40000</f>
        <v>16540000</v>
      </c>
      <c r="L20" s="24">
        <f>20000000+1500000+1756543</f>
        <v>23256543</v>
      </c>
      <c r="M20" s="24">
        <f>15000000+1500000+1756543+295000</f>
        <v>18551543</v>
      </c>
      <c r="N20" s="24">
        <f>12261084+1756544-318287+447438</f>
        <v>14146779</v>
      </c>
      <c r="O20" s="32">
        <f t="shared" si="3"/>
        <v>163812363</v>
      </c>
      <c r="P20" s="26">
        <v>163812363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f>30481603+2789590</f>
        <v>33271193</v>
      </c>
      <c r="M21" s="24">
        <f>15000000+6716258-25228</f>
        <v>21691030</v>
      </c>
      <c r="N21" s="24">
        <f>5000000+25000000+333700-2347734</f>
        <v>27985966</v>
      </c>
      <c r="O21" s="32">
        <f t="shared" si="3"/>
        <v>374710583</v>
      </c>
      <c r="P21" s="26">
        <v>374710583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3000000+3000000-379232</f>
        <v>5620768</v>
      </c>
      <c r="M22" s="24">
        <f>2810962+48165993</f>
        <v>50976955</v>
      </c>
      <c r="N22" s="24">
        <f>2000000+3194292-5144770+34052</f>
        <v>83574</v>
      </c>
      <c r="O22" s="32">
        <f t="shared" si="3"/>
        <v>276110806</v>
      </c>
      <c r="P22" s="26">
        <v>276110806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f>17119005+300000</f>
        <v>17419005</v>
      </c>
      <c r="K23" s="24"/>
      <c r="L23" s="24"/>
      <c r="M23" s="24"/>
      <c r="N23" s="24"/>
      <c r="O23" s="32">
        <f t="shared" si="3"/>
        <v>66620721</v>
      </c>
      <c r="P23" s="26">
        <v>66620721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3900000-2334156+1000000</f>
        <v>2565844</v>
      </c>
      <c r="L24" s="24">
        <f>8100000-146490+2113482-2911045</f>
        <v>7155947</v>
      </c>
      <c r="M24" s="24">
        <v>14246522</v>
      </c>
      <c r="N24" s="24">
        <f>7002661+318287+18762597+9198146+6685617</f>
        <v>41967308</v>
      </c>
      <c r="O24" s="25">
        <f t="shared" si="3"/>
        <v>91990058</v>
      </c>
      <c r="P24" s="26">
        <v>91990058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2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7" t="s">
        <v>61</v>
      </c>
      <c r="B26" s="36" t="s">
        <v>62</v>
      </c>
      <c r="C26" s="37">
        <f t="shared" ref="C26:N26" si="4">SUM(C16:C25)</f>
        <v>215767591</v>
      </c>
      <c r="D26" s="37">
        <f t="shared" si="4"/>
        <v>182213419</v>
      </c>
      <c r="E26" s="37">
        <f t="shared" si="4"/>
        <v>273923251</v>
      </c>
      <c r="F26" s="37">
        <f t="shared" si="4"/>
        <v>203439108</v>
      </c>
      <c r="G26" s="37">
        <f t="shared" si="4"/>
        <v>259737041</v>
      </c>
      <c r="H26" s="37">
        <f t="shared" si="4"/>
        <v>262404629</v>
      </c>
      <c r="I26" s="37">
        <f t="shared" si="4"/>
        <v>313563944</v>
      </c>
      <c r="J26" s="37">
        <f t="shared" si="4"/>
        <v>243982475</v>
      </c>
      <c r="K26" s="37">
        <f t="shared" si="4"/>
        <v>342012448</v>
      </c>
      <c r="L26" s="37">
        <f t="shared" si="4"/>
        <v>281537433</v>
      </c>
      <c r="M26" s="37">
        <f t="shared" si="4"/>
        <v>291855299</v>
      </c>
      <c r="N26" s="37">
        <f t="shared" si="4"/>
        <v>379134748</v>
      </c>
      <c r="O26" s="38">
        <f t="shared" si="3"/>
        <v>3249571386</v>
      </c>
      <c r="P26" s="39">
        <f>SUM(P16:P25)</f>
        <v>3249571386</v>
      </c>
      <c r="Q26" s="40">
        <f t="shared" si="1"/>
        <v>0</v>
      </c>
    </row>
    <row r="27" spans="1:17" ht="16.5" thickBot="1" x14ac:dyDescent="0.3">
      <c r="A27" s="47" t="s">
        <v>63</v>
      </c>
      <c r="B27" s="48" t="s">
        <v>64</v>
      </c>
      <c r="C27" s="49">
        <f t="shared" ref="C27:O27" si="5">C14-C26</f>
        <v>490228234</v>
      </c>
      <c r="D27" s="49">
        <f t="shared" si="5"/>
        <v>41486581</v>
      </c>
      <c r="E27" s="49">
        <f t="shared" si="5"/>
        <v>-3438651</v>
      </c>
      <c r="F27" s="49">
        <f t="shared" si="5"/>
        <v>57340119</v>
      </c>
      <c r="G27" s="49">
        <f t="shared" si="5"/>
        <v>-96912530</v>
      </c>
      <c r="H27" s="49">
        <f t="shared" si="5"/>
        <v>-49756636</v>
      </c>
      <c r="I27" s="49">
        <f t="shared" si="5"/>
        <v>-76364202</v>
      </c>
      <c r="J27" s="49">
        <f t="shared" si="5"/>
        <v>-33833875</v>
      </c>
      <c r="K27" s="49">
        <f t="shared" si="5"/>
        <v>-59521453</v>
      </c>
      <c r="L27" s="49">
        <f t="shared" si="5"/>
        <v>-107791143</v>
      </c>
      <c r="M27" s="49">
        <f t="shared" si="5"/>
        <v>-91402894</v>
      </c>
      <c r="N27" s="49">
        <f t="shared" si="5"/>
        <v>-70033550</v>
      </c>
      <c r="O27" s="50">
        <f t="shared" si="5"/>
        <v>0</v>
      </c>
    </row>
    <row r="28" spans="1:17" x14ac:dyDescent="0.25">
      <c r="A28" s="51"/>
    </row>
    <row r="29" spans="1:17" x14ac:dyDescent="0.25">
      <c r="B29" s="52"/>
      <c r="C29" s="53"/>
      <c r="D29" s="53"/>
      <c r="O29" s="4"/>
    </row>
    <row r="30" spans="1:17" x14ac:dyDescent="0.25">
      <c r="O30" s="4"/>
    </row>
    <row r="31" spans="1:17" x14ac:dyDescent="0.25">
      <c r="O31" s="4"/>
    </row>
    <row r="32" spans="1:17" x14ac:dyDescent="0.25">
      <c r="O32" s="4"/>
    </row>
    <row r="33" spans="15:15" x14ac:dyDescent="0.25">
      <c r="O33" s="4"/>
    </row>
    <row r="34" spans="15:15" x14ac:dyDescent="0.25">
      <c r="O34" s="4"/>
    </row>
    <row r="35" spans="15:15" x14ac:dyDescent="0.25">
      <c r="O35" s="4"/>
    </row>
    <row r="36" spans="15:15" x14ac:dyDescent="0.25">
      <c r="O36" s="4"/>
    </row>
    <row r="37" spans="15:15" x14ac:dyDescent="0.25">
      <c r="O37" s="4"/>
    </row>
    <row r="38" spans="15:15" x14ac:dyDescent="0.25">
      <c r="O38" s="4"/>
    </row>
    <row r="39" spans="15:15" x14ac:dyDescent="0.25">
      <c r="O39" s="4"/>
    </row>
    <row r="40" spans="15:15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7" spans="15:15" x14ac:dyDescent="0.25">
      <c r="O47" s="4"/>
    </row>
    <row r="48" spans="15:15" x14ac:dyDescent="0.25">
      <c r="O48" s="4"/>
    </row>
    <row r="49" spans="15:15" x14ac:dyDescent="0.25">
      <c r="O49" s="4"/>
    </row>
    <row r="50" spans="15:15" x14ac:dyDescent="0.25">
      <c r="O50" s="4"/>
    </row>
    <row r="51" spans="15:15" x14ac:dyDescent="0.25">
      <c r="O51" s="4"/>
    </row>
    <row r="52" spans="15:15" x14ac:dyDescent="0.25">
      <c r="O52" s="4"/>
    </row>
    <row r="53" spans="15:15" x14ac:dyDescent="0.25">
      <c r="O53" s="4"/>
    </row>
    <row r="54" spans="15:15" x14ac:dyDescent="0.25">
      <c r="O54" s="4"/>
    </row>
    <row r="55" spans="15:15" x14ac:dyDescent="0.25">
      <c r="O55" s="4"/>
    </row>
    <row r="56" spans="15:15" x14ac:dyDescent="0.25">
      <c r="O56" s="4"/>
    </row>
    <row r="57" spans="15:15" x14ac:dyDescent="0.25">
      <c r="O57" s="4"/>
    </row>
    <row r="58" spans="15:15" x14ac:dyDescent="0.25">
      <c r="O58" s="4"/>
    </row>
    <row r="59" spans="15:15" x14ac:dyDescent="0.25">
      <c r="O59" s="4"/>
    </row>
    <row r="60" spans="15:15" x14ac:dyDescent="0.25">
      <c r="O60" s="4"/>
    </row>
    <row r="61" spans="15:15" x14ac:dyDescent="0.25">
      <c r="O61" s="4"/>
    </row>
    <row r="62" spans="15:15" x14ac:dyDescent="0.25">
      <c r="O62" s="4"/>
    </row>
    <row r="63" spans="15:15" x14ac:dyDescent="0.25">
      <c r="O63" s="4"/>
    </row>
    <row r="64" spans="15:15" x14ac:dyDescent="0.25">
      <c r="O64" s="4"/>
    </row>
    <row r="65" spans="15:15" x14ac:dyDescent="0.25">
      <c r="O65" s="4"/>
    </row>
    <row r="66" spans="15:15" x14ac:dyDescent="0.25">
      <c r="O66" s="4"/>
    </row>
    <row r="67" spans="15:15" x14ac:dyDescent="0.25">
      <c r="O67" s="4"/>
    </row>
    <row r="68" spans="15:15" x14ac:dyDescent="0.25">
      <c r="O68" s="4"/>
    </row>
    <row r="69" spans="15:15" x14ac:dyDescent="0.25">
      <c r="O69" s="4"/>
    </row>
    <row r="70" spans="15:15" x14ac:dyDescent="0.25">
      <c r="O70" s="4"/>
    </row>
    <row r="71" spans="15:15" x14ac:dyDescent="0.25">
      <c r="O71" s="4"/>
    </row>
    <row r="72" spans="15:15" x14ac:dyDescent="0.25">
      <c r="O72" s="4"/>
    </row>
    <row r="73" spans="15:15" x14ac:dyDescent="0.25">
      <c r="O73" s="4"/>
    </row>
    <row r="74" spans="15:15" x14ac:dyDescent="0.25">
      <c r="O74" s="4"/>
    </row>
    <row r="75" spans="15:15" x14ac:dyDescent="0.25">
      <c r="O75" s="4"/>
    </row>
    <row r="76" spans="15:15" x14ac:dyDescent="0.25">
      <c r="O76" s="4"/>
    </row>
    <row r="77" spans="15:15" x14ac:dyDescent="0.25">
      <c r="O77" s="4"/>
    </row>
    <row r="78" spans="15:15" x14ac:dyDescent="0.25">
      <c r="O78" s="4"/>
    </row>
    <row r="79" spans="15:15" x14ac:dyDescent="0.25">
      <c r="O79" s="4"/>
    </row>
    <row r="80" spans="15:15" x14ac:dyDescent="0.25">
      <c r="O80" s="4"/>
    </row>
    <row r="81" spans="15:15" x14ac:dyDescent="0.25">
      <c r="O81" s="4"/>
    </row>
    <row r="82" spans="15:15" x14ac:dyDescent="0.25">
      <c r="O82" s="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29. melléklet a 6/2019.(II.28.)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2019-02-28T08:50:18Z</dcterms:created>
  <dcterms:modified xsi:type="dcterms:W3CDTF">2019-02-28T08:50:19Z</dcterms:modified>
</cp:coreProperties>
</file>