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N27" i="1"/>
  <c r="M27" i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O26" i="1" s="1"/>
  <c r="Q26" i="1" s="1"/>
  <c r="P25" i="1"/>
  <c r="M25" i="1"/>
  <c r="O25" i="1" s="1"/>
  <c r="Q25" i="1" s="1"/>
  <c r="P24" i="1"/>
  <c r="N24" i="1"/>
  <c r="J24" i="1"/>
  <c r="H24" i="1"/>
  <c r="O24" i="1" s="1"/>
  <c r="Q24" i="1" s="1"/>
  <c r="P23" i="1"/>
  <c r="N23" i="1"/>
  <c r="K23" i="1"/>
  <c r="J23" i="1"/>
  <c r="H23" i="1"/>
  <c r="G23" i="1"/>
  <c r="O23" i="1" s="1"/>
  <c r="Q23" i="1" s="1"/>
  <c r="P22" i="1"/>
  <c r="N22" i="1"/>
  <c r="M22" i="1"/>
  <c r="L22" i="1"/>
  <c r="K22" i="1"/>
  <c r="J22" i="1"/>
  <c r="H22" i="1"/>
  <c r="G22" i="1"/>
  <c r="E22" i="1"/>
  <c r="O22" i="1" s="1"/>
  <c r="Q22" i="1" s="1"/>
  <c r="P21" i="1"/>
  <c r="O21" i="1"/>
  <c r="Q21" i="1" s="1"/>
  <c r="P20" i="1"/>
  <c r="N20" i="1"/>
  <c r="M20" i="1"/>
  <c r="L20" i="1"/>
  <c r="K20" i="1"/>
  <c r="J20" i="1"/>
  <c r="I20" i="1"/>
  <c r="H20" i="1"/>
  <c r="G20" i="1"/>
  <c r="F20" i="1"/>
  <c r="E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D19" i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H16" i="1"/>
  <c r="H29" i="1" s="1"/>
  <c r="P15" i="1"/>
  <c r="N15" i="1"/>
  <c r="M15" i="1"/>
  <c r="O15" i="1" s="1"/>
  <c r="Q15" i="1" s="1"/>
  <c r="C15" i="1"/>
  <c r="C16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N11" i="1"/>
  <c r="M11" i="1"/>
  <c r="L11" i="1"/>
  <c r="K11" i="1"/>
  <c r="I11" i="1"/>
  <c r="G11" i="1"/>
  <c r="F11" i="1"/>
  <c r="F16" i="1" s="1"/>
  <c r="F29" i="1" s="1"/>
  <c r="E11" i="1"/>
  <c r="D11" i="1"/>
  <c r="O11" i="1" s="1"/>
  <c r="Q11" i="1" s="1"/>
  <c r="P10" i="1"/>
  <c r="K10" i="1"/>
  <c r="E10" i="1"/>
  <c r="O10" i="1" s="1"/>
  <c r="Q10" i="1" s="1"/>
  <c r="P9" i="1"/>
  <c r="N9" i="1"/>
  <c r="K9" i="1"/>
  <c r="O9" i="1" s="1"/>
  <c r="Q9" i="1" s="1"/>
  <c r="P8" i="1"/>
  <c r="P16" i="1" s="1"/>
  <c r="N8" i="1"/>
  <c r="N16" i="1" s="1"/>
  <c r="N29" i="1" s="1"/>
  <c r="M8" i="1"/>
  <c r="L8" i="1"/>
  <c r="L16" i="1" s="1"/>
  <c r="L29" i="1" s="1"/>
  <c r="K8" i="1"/>
  <c r="J8" i="1"/>
  <c r="J16" i="1" s="1"/>
  <c r="J29" i="1" s="1"/>
  <c r="F8" i="1"/>
  <c r="O8" i="1" s="1"/>
  <c r="Q8" i="1" s="1"/>
  <c r="P7" i="1"/>
  <c r="N7" i="1"/>
  <c r="M7" i="1"/>
  <c r="M16" i="1" s="1"/>
  <c r="M29" i="1" s="1"/>
  <c r="L7" i="1"/>
  <c r="K7" i="1"/>
  <c r="K16" i="1" s="1"/>
  <c r="K29" i="1" s="1"/>
  <c r="J7" i="1"/>
  <c r="I7" i="1"/>
  <c r="I16" i="1" s="1"/>
  <c r="I29" i="1" s="1"/>
  <c r="H7" i="1"/>
  <c r="G7" i="1"/>
  <c r="G16" i="1" s="1"/>
  <c r="G29" i="1" s="1"/>
  <c r="F7" i="1"/>
  <c r="E7" i="1"/>
  <c r="E16" i="1" s="1"/>
  <c r="E29" i="1" s="1"/>
  <c r="D7" i="1"/>
  <c r="A1" i="1"/>
  <c r="O7" i="1" l="1"/>
  <c r="Q7" i="1" s="1"/>
  <c r="D16" i="1"/>
  <c r="D29" i="1" s="1"/>
  <c r="O18" i="1"/>
  <c r="Q18" i="1" s="1"/>
  <c r="C28" i="1"/>
  <c r="O28" i="1" s="1"/>
  <c r="Q28" i="1" s="1"/>
  <c r="O16" i="1" l="1"/>
  <c r="C29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<sst xmlns="http://schemas.openxmlformats.org/spreadsheetml/2006/main" count="66" uniqueCount="66">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</sst>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11" fillId="0" borderId="10" xfId="1" applyNumberFormat="1" applyFont="1" applyFill="1" applyBorder="1" applyAlignment="1" applyProtection="1">
      <alignment vertical="center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1383553446</v>
          </cell>
        </row>
        <row r="20">
          <cell r="C20">
            <v>341523773</v>
          </cell>
        </row>
        <row r="27">
          <cell r="C27">
            <v>407216446</v>
          </cell>
        </row>
        <row r="34">
          <cell r="C34">
            <v>503000000</v>
          </cell>
        </row>
        <row r="42">
          <cell r="C42">
            <v>384088978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12450000</v>
          </cell>
        </row>
        <row r="94">
          <cell r="C94">
            <v>1836744454</v>
          </cell>
        </row>
        <row r="102">
          <cell r="C102">
            <v>1196140341</v>
          </cell>
        </row>
        <row r="103">
          <cell r="C103">
            <v>221568980</v>
          </cell>
        </row>
        <row r="104">
          <cell r="C104">
            <v>934349993</v>
          </cell>
        </row>
        <row r="105">
          <cell r="C105">
            <v>61300000</v>
          </cell>
        </row>
        <row r="106">
          <cell r="C106">
            <v>204853542</v>
          </cell>
        </row>
        <row r="119">
          <cell r="C119">
            <v>99220782</v>
          </cell>
        </row>
        <row r="123">
          <cell r="C123">
            <v>766819120</v>
          </cell>
        </row>
        <row r="125">
          <cell r="C125">
            <v>531723274</v>
          </cell>
        </row>
        <row r="127">
          <cell r="C127">
            <v>6878720</v>
          </cell>
        </row>
        <row r="161">
          <cell r="C161">
            <v>892865928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>
    <tabColor rgb="FF00B050"/>
  </sheetPr>
  <dimension ref="A1:Q84"/>
  <sheetViews>
    <sheetView tabSelected="1" zoomScalePageLayoutView="85" workbookViewId="0">
      <selection activeCell="I13" sqref="I13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CONCATENATE("28. melléklet"," ",[1]ALAPADATOK!A7," ",[1]ALAPADATOK!B7," ",[1]ALAPADATOK!C7," ",[1]ALAPADATOK!D7," ",[1]ALAPADATOK!E7," ",[1]ALAPADATOK!F7," ",[1]ALAPADATOK!G7," ",[1]ALAPADATOK!H7)</f>
        <v>28. melléklet a 3 / 2021. ( II.25.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11000000+3020000+1150000-1000000</f>
        <v>14170000</v>
      </c>
      <c r="I7" s="21">
        <f>145365964+3020000+1150000+25055810+2247900-1000000</f>
        <v>175839674</v>
      </c>
      <c r="J7" s="21">
        <f>118000000+3020000+1150000+5011162+449580-1000000</f>
        <v>126630742</v>
      </c>
      <c r="K7" s="21">
        <f>130000000+3020000+1150000+5011162+449580-1000000</f>
        <v>138630742</v>
      </c>
      <c r="L7" s="21">
        <f>118000000+3020000+1150000+5011162+449580-1000000</f>
        <v>126630742</v>
      </c>
      <c r="M7" s="21">
        <f>118000000+3020000+1150000+5011162+449580-1000000</f>
        <v>126630742</v>
      </c>
      <c r="N7" s="21">
        <f>116667000+60806310+3016359+1122000+5011161+449580-2804323-99305932-1098351</f>
        <v>83863804</v>
      </c>
      <c r="O7" s="22">
        <f t="shared" ref="O7:O15" si="0">SUM(C7:N7)</f>
        <v>1383553446</v>
      </c>
      <c r="P7" s="23">
        <f>'[1]1.1.sz.mell. '!C11</f>
        <v>1383553446</v>
      </c>
      <c r="Q7" s="24">
        <f t="shared" ref="Q7:Q28" si="1">O7-P7</f>
        <v>0</v>
      </c>
    </row>
    <row r="8" spans="1:17" s="30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>
        <v>3233098</v>
      </c>
      <c r="J8" s="27">
        <f>123000000+1534126+248115</f>
        <v>124782241</v>
      </c>
      <c r="K8" s="27">
        <f>55000000+1534126+248115+557865-8195505</f>
        <v>49144601</v>
      </c>
      <c r="L8" s="27">
        <f>248115</f>
        <v>248115</v>
      </c>
      <c r="M8" s="27">
        <f>42613687+248115</f>
        <v>42861802</v>
      </c>
      <c r="N8" s="27">
        <f>248116+10131751-9811751</f>
        <v>568116</v>
      </c>
      <c r="O8" s="22">
        <f t="shared" si="0"/>
        <v>341523773</v>
      </c>
      <c r="P8" s="28">
        <f>'[1]1.1.sz.mell. '!C20</f>
        <v>341523773</v>
      </c>
      <c r="Q8" s="29">
        <f t="shared" si="1"/>
        <v>0</v>
      </c>
    </row>
    <row r="9" spans="1:17" s="30" customFormat="1" ht="22.5" x14ac:dyDescent="0.2">
      <c r="A9" s="25" t="s">
        <v>24</v>
      </c>
      <c r="B9" s="31" t="s">
        <v>25</v>
      </c>
      <c r="C9" s="32"/>
      <c r="D9" s="32">
        <v>10000000</v>
      </c>
      <c r="E9" s="32"/>
      <c r="F9" s="32"/>
      <c r="G9" s="32">
        <v>15000000</v>
      </c>
      <c r="H9" s="32"/>
      <c r="I9" s="32">
        <v>261850662</v>
      </c>
      <c r="J9" s="32">
        <v>10000000</v>
      </c>
      <c r="K9" s="32">
        <f>22409566-9719732-2432050</f>
        <v>10257784</v>
      </c>
      <c r="L9" s="32"/>
      <c r="M9" s="32"/>
      <c r="N9" s="32">
        <f>100000000+108000</f>
        <v>100108000</v>
      </c>
      <c r="O9" s="22">
        <f t="shared" si="0"/>
        <v>407216446</v>
      </c>
      <c r="P9" s="28">
        <f>'[1]1.1.sz.mell. '!C27</f>
        <v>407216446</v>
      </c>
      <c r="Q9" s="29">
        <f t="shared" si="1"/>
        <v>0</v>
      </c>
    </row>
    <row r="10" spans="1:17" s="30" customFormat="1" ht="14.1" customHeight="1" x14ac:dyDescent="0.2">
      <c r="A10" s="25" t="s">
        <v>26</v>
      </c>
      <c r="B10" s="33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34">
        <f t="shared" si="0"/>
        <v>503000000</v>
      </c>
      <c r="P10" s="28">
        <f>'[1]1.1.sz.mell. '!C34</f>
        <v>503000000</v>
      </c>
      <c r="Q10" s="29">
        <f>O10-P10</f>
        <v>0</v>
      </c>
    </row>
    <row r="11" spans="1:17" s="30" customFormat="1" ht="14.1" customHeight="1" x14ac:dyDescent="0.2">
      <c r="A11" s="25" t="s">
        <v>28</v>
      </c>
      <c r="B11" s="33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f>30000000+50000</f>
        <v>30050000</v>
      </c>
      <c r="L11" s="27">
        <f>25000000+50000</f>
        <v>25050000</v>
      </c>
      <c r="M11" s="27">
        <f>31000000+80000</f>
        <v>31080000</v>
      </c>
      <c r="N11" s="27">
        <f>30000000+74000-8715000+25525800+27926901</f>
        <v>74811701</v>
      </c>
      <c r="O11" s="22">
        <f t="shared" si="0"/>
        <v>384088978</v>
      </c>
      <c r="P11" s="28">
        <f>'[1]1.1.sz.mell. '!C42</f>
        <v>384088978</v>
      </c>
      <c r="Q11" s="29">
        <f t="shared" si="1"/>
        <v>0</v>
      </c>
    </row>
    <row r="12" spans="1:17" s="30" customFormat="1" ht="14.1" customHeight="1" x14ac:dyDescent="0.2">
      <c r="A12" s="25" t="s">
        <v>30</v>
      </c>
      <c r="B12" s="33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34">
        <f t="shared" si="0"/>
        <v>44604508</v>
      </c>
      <c r="P12" s="28">
        <f>'[1]1.1.sz.mell. '!C54</f>
        <v>44604508</v>
      </c>
      <c r="Q12" s="29">
        <f t="shared" si="1"/>
        <v>0</v>
      </c>
    </row>
    <row r="13" spans="1:17" s="30" customFormat="1" ht="14.1" customHeight="1" x14ac:dyDescent="0.2">
      <c r="A13" s="25" t="s">
        <v>32</v>
      </c>
      <c r="B13" s="33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34">
        <f t="shared" si="0"/>
        <v>2539075</v>
      </c>
      <c r="P13" s="28">
        <f>'[1]1.1.sz.mell. '!C60</f>
        <v>2539075</v>
      </c>
      <c r="Q13" s="29">
        <f t="shared" si="1"/>
        <v>0</v>
      </c>
    </row>
    <row r="14" spans="1:17" s="30" customFormat="1" ht="22.5" x14ac:dyDescent="0.2">
      <c r="A14" s="25" t="s">
        <v>34</v>
      </c>
      <c r="B14" s="26" t="s">
        <v>35</v>
      </c>
      <c r="C14" s="27"/>
      <c r="D14" s="27"/>
      <c r="E14" s="27"/>
      <c r="F14" s="27">
        <v>5200000</v>
      </c>
      <c r="G14" s="27">
        <v>6000000</v>
      </c>
      <c r="H14" s="27"/>
      <c r="I14" s="27"/>
      <c r="J14" s="27"/>
      <c r="K14" s="27"/>
      <c r="L14" s="27"/>
      <c r="M14" s="27"/>
      <c r="N14" s="27">
        <v>1250000</v>
      </c>
      <c r="O14" s="34">
        <f t="shared" si="0"/>
        <v>12450000</v>
      </c>
      <c r="P14" s="28">
        <f>'[1]1.1.sz.mell. '!C65</f>
        <v>12450000</v>
      </c>
      <c r="Q14" s="29">
        <f t="shared" si="1"/>
        <v>0</v>
      </c>
    </row>
    <row r="15" spans="1:17" s="30" customFormat="1" ht="14.1" customHeight="1" thickBot="1" x14ac:dyDescent="0.25">
      <c r="A15" s="25" t="s">
        <v>36</v>
      </c>
      <c r="B15" s="33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>
        <v>50000000</v>
      </c>
      <c r="M15" s="35">
        <f>70000000+50000000</f>
        <v>120000000</v>
      </c>
      <c r="N15" s="35">
        <f>70000000-2540000+45672254-8841285-7277710+144012</f>
        <v>97157271</v>
      </c>
      <c r="O15" s="22">
        <f t="shared" si="0"/>
        <v>1836744454</v>
      </c>
      <c r="P15" s="36">
        <f>'[1]1.1.sz.mell. '!C94</f>
        <v>1836744454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215165583</v>
      </c>
      <c r="G16" s="39">
        <f t="shared" si="2"/>
        <v>174206782</v>
      </c>
      <c r="H16" s="39">
        <f t="shared" si="2"/>
        <v>119270000</v>
      </c>
      <c r="I16" s="39">
        <f t="shared" si="2"/>
        <v>564681439</v>
      </c>
      <c r="J16" s="39">
        <f t="shared" si="2"/>
        <v>390612983</v>
      </c>
      <c r="K16" s="39">
        <f t="shared" si="2"/>
        <v>522483127</v>
      </c>
      <c r="L16" s="39">
        <f t="shared" si="2"/>
        <v>206078857</v>
      </c>
      <c r="M16" s="39">
        <f t="shared" si="2"/>
        <v>332772544</v>
      </c>
      <c r="N16" s="39">
        <f t="shared" si="2"/>
        <v>436608400</v>
      </c>
      <c r="O16" s="40">
        <f>SUM(C16:N16)</f>
        <v>4915720680</v>
      </c>
      <c r="P16" s="41">
        <f>SUM(P7:P15)</f>
        <v>4915720680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0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>100000000+2570000+175600</f>
        <v>102745600</v>
      </c>
      <c r="G18" s="46">
        <f>100000000+2570000+175600</f>
        <v>102745600</v>
      </c>
      <c r="H18" s="46">
        <f>100000000+2570000+175600-265990+1000000</f>
        <v>103479610</v>
      </c>
      <c r="I18" s="46">
        <f>100000000+2570000+175600-265990</f>
        <v>102479610</v>
      </c>
      <c r="J18" s="46">
        <f>100000000+2570000+175600-265990+2698245-4324556</f>
        <v>100853299</v>
      </c>
      <c r="K18" s="46">
        <f>100000000+2570000+175600-265990+2698245+483000-4324557</f>
        <v>101336298</v>
      </c>
      <c r="L18" s="46">
        <f>100000000+2570000+175600-265990+2698246-980640-4324556</f>
        <v>99872660</v>
      </c>
      <c r="M18" s="46">
        <f>100000000+2570000+175600-265990+2698246-980640-4324556</f>
        <v>99872660</v>
      </c>
      <c r="N18" s="46">
        <f>100000000+2569241+175315-265990+2698247-980641-457270+180579-4324557-20000</f>
        <v>99574924</v>
      </c>
      <c r="O18" s="22">
        <f t="shared" ref="O18:O28" si="3">SUM(C18:N18)</f>
        <v>1196140341</v>
      </c>
      <c r="P18" s="47">
        <f>'[1]1.1.sz.mell. '!C102</f>
        <v>1196140341</v>
      </c>
      <c r="Q18" s="24">
        <f t="shared" si="1"/>
        <v>0</v>
      </c>
    </row>
    <row r="19" spans="1:17" s="30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19000000+450000+35400+486138-1564154</f>
        <v>18407384</v>
      </c>
      <c r="K19" s="27">
        <f>19000000+450000+35400+486138+74865-1564154</f>
        <v>18482249</v>
      </c>
      <c r="L19" s="27">
        <f>19000000+450000+35400+486138-669017-1564155</f>
        <v>17738366</v>
      </c>
      <c r="M19" s="27">
        <f>19000000+450000+35400+486138-669017-1564154</f>
        <v>17738367</v>
      </c>
      <c r="N19" s="27">
        <f>19000000+448118+35279+486138-669018+457270+25191-1564154+20000</f>
        <v>18238824</v>
      </c>
      <c r="O19" s="22">
        <f t="shared" si="3"/>
        <v>221568980</v>
      </c>
      <c r="P19" s="47">
        <f>'[1]1.1.sz.mell. '!C103</f>
        <v>221568980</v>
      </c>
      <c r="Q19" s="29">
        <f t="shared" si="1"/>
        <v>0</v>
      </c>
    </row>
    <row r="20" spans="1:17" s="30" customFormat="1" ht="14.1" customHeight="1" thickBot="1" x14ac:dyDescent="0.25">
      <c r="A20" s="25" t="s">
        <v>46</v>
      </c>
      <c r="B20" s="33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82000000+32000-500857</f>
        <v>81531143</v>
      </c>
      <c r="J20" s="27">
        <f>82000000+20617402-500000</f>
        <v>102117402</v>
      </c>
      <c r="K20" s="27">
        <f>82000000-1287359-500000</f>
        <v>80212641</v>
      </c>
      <c r="L20" s="27">
        <f>82000000-1287359-500000</f>
        <v>80212641</v>
      </c>
      <c r="M20" s="27">
        <f>82000000-1287359-500000</f>
        <v>80212641</v>
      </c>
      <c r="N20" s="27">
        <f>85000000-649147-1287358+14216853+13830493-13131363-500000</f>
        <v>97479478</v>
      </c>
      <c r="O20" s="22">
        <f t="shared" si="3"/>
        <v>934349993</v>
      </c>
      <c r="P20" s="47">
        <f>'[1]1.1.sz.mell. '!C104</f>
        <v>934349993</v>
      </c>
      <c r="Q20" s="29">
        <f t="shared" si="1"/>
        <v>0</v>
      </c>
    </row>
    <row r="21" spans="1:17" s="30" customFormat="1" ht="14.1" customHeight="1" x14ac:dyDescent="0.2">
      <c r="A21" s="25" t="s">
        <v>48</v>
      </c>
      <c r="B21" s="33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34">
        <f t="shared" si="3"/>
        <v>61300000</v>
      </c>
      <c r="P21" s="47">
        <f>'[1]1.1.sz.mell. '!C105</f>
        <v>61300000</v>
      </c>
      <c r="Q21" s="29">
        <f t="shared" si="1"/>
        <v>0</v>
      </c>
    </row>
    <row r="22" spans="1:17" s="30" customFormat="1" ht="14.1" customHeight="1" x14ac:dyDescent="0.2">
      <c r="A22" s="25" t="s">
        <v>50</v>
      </c>
      <c r="B22" s="33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15000000+347250-2000000</f>
        <v>13347250</v>
      </c>
      <c r="K22" s="27">
        <f>15000000-2000000</f>
        <v>13000000</v>
      </c>
      <c r="L22" s="27">
        <f>16000000-2000000</f>
        <v>14000000</v>
      </c>
      <c r="M22" s="27">
        <f>17000000-2000000</f>
        <v>15000000</v>
      </c>
      <c r="N22" s="27">
        <f>18037958+280317-2099068</f>
        <v>16219207</v>
      </c>
      <c r="O22" s="34">
        <f t="shared" si="3"/>
        <v>204853542</v>
      </c>
      <c r="P22" s="28">
        <f>'[1]1.1.sz.mell. '!C106</f>
        <v>204853542</v>
      </c>
      <c r="Q22" s="29">
        <f t="shared" si="1"/>
        <v>0</v>
      </c>
    </row>
    <row r="23" spans="1:17" s="30" customFormat="1" ht="14.1" customHeight="1" x14ac:dyDescent="0.2">
      <c r="A23" s="25" t="s">
        <v>52</v>
      </c>
      <c r="B23" s="33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150000000+3102460-10000000</f>
        <v>143102460</v>
      </c>
      <c r="K23" s="27">
        <f>100000000-5870867</f>
        <v>94129133</v>
      </c>
      <c r="L23" s="27">
        <v>10000000</v>
      </c>
      <c r="M23" s="27">
        <v>10000000</v>
      </c>
      <c r="N23" s="27">
        <f>5894079-1890853-15125+88550685+2647917</f>
        <v>95186703</v>
      </c>
      <c r="O23" s="22">
        <f t="shared" si="3"/>
        <v>766819120</v>
      </c>
      <c r="P23" s="28">
        <f>'[1]1.1.sz.mell. '!C123</f>
        <v>766819120</v>
      </c>
      <c r="Q23" s="29">
        <f t="shared" si="1"/>
        <v>0</v>
      </c>
    </row>
    <row r="24" spans="1:17" s="30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f>20000000+262957237+1640750+355561</f>
        <v>284953548</v>
      </c>
      <c r="O24" s="22">
        <f t="shared" si="3"/>
        <v>531723274</v>
      </c>
      <c r="P24" s="28">
        <f>'[1]1.1.sz.mell. '!C125</f>
        <v>531723274</v>
      </c>
      <c r="Q24" s="29">
        <f t="shared" si="1"/>
        <v>0</v>
      </c>
    </row>
    <row r="25" spans="1:17" s="30" customFormat="1" ht="14.1" customHeight="1" x14ac:dyDescent="0.2">
      <c r="A25" s="25" t="s">
        <v>56</v>
      </c>
      <c r="B25" s="33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f>3751899-1023179</f>
        <v>2728720</v>
      </c>
      <c r="N25" s="27"/>
      <c r="O25" s="34">
        <f t="shared" si="3"/>
        <v>6878720</v>
      </c>
      <c r="P25" s="28">
        <f>'[1]1.1.sz.mell. '!C127</f>
        <v>6878720</v>
      </c>
      <c r="Q25" s="29">
        <f t="shared" si="1"/>
        <v>0</v>
      </c>
    </row>
    <row r="26" spans="1:17" s="30" customFormat="1" ht="14.1" customHeight="1" x14ac:dyDescent="0.2">
      <c r="A26" s="25" t="s">
        <v>58</v>
      </c>
      <c r="B26" s="33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9000000+770000+2500000-32000-2310772</f>
        <v>9927228</v>
      </c>
      <c r="J26" s="27">
        <f>8000000+770000+2500000-2000000</f>
        <v>9270000</v>
      </c>
      <c r="K26" s="27">
        <f>17740838+770000+2500000+3068354-2000000-5000000</f>
        <v>17079192</v>
      </c>
      <c r="L26" s="27">
        <f>19000000+770000+2500000+3068353-2000000-5000000</f>
        <v>18338353</v>
      </c>
      <c r="M26" s="27">
        <f>19000000+770000+2500000+3068353-15704152-2000000</f>
        <v>7634201</v>
      </c>
      <c r="N26" s="27">
        <f>20000000+744615+2363551+3068354-12075205-2047583-5000000+144012</f>
        <v>7197744</v>
      </c>
      <c r="O26" s="22">
        <f t="shared" si="3"/>
        <v>99220782</v>
      </c>
      <c r="P26" s="28">
        <f>'[1]1.1.sz.mell. '!C119</f>
        <v>99220782</v>
      </c>
      <c r="Q26" s="29">
        <f t="shared" si="1"/>
        <v>0</v>
      </c>
    </row>
    <row r="27" spans="1:17" s="30" customFormat="1" ht="14.1" customHeight="1" thickBot="1" x14ac:dyDescent="0.25">
      <c r="A27" s="25" t="s">
        <v>60</v>
      </c>
      <c r="B27" s="33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>
        <f>50000000+10000000+11155240</f>
        <v>71155240</v>
      </c>
      <c r="N27" s="27">
        <f>70000000+50000000</f>
        <v>120000000</v>
      </c>
      <c r="O27" s="22">
        <f t="shared" si="3"/>
        <v>892865928</v>
      </c>
      <c r="P27" s="36">
        <f>'[1]1.1.sz.mell. '!C161</f>
        <v>892865928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4">SUM(C18:C27)</f>
        <v>363670684</v>
      </c>
      <c r="D28" s="39">
        <f t="shared" si="4"/>
        <v>219361000</v>
      </c>
      <c r="E28" s="39">
        <f t="shared" si="4"/>
        <v>435267912</v>
      </c>
      <c r="F28" s="39">
        <f t="shared" si="4"/>
        <v>305100169</v>
      </c>
      <c r="G28" s="39">
        <f t="shared" si="4"/>
        <v>319767956</v>
      </c>
      <c r="H28" s="39">
        <f t="shared" si="4"/>
        <v>401375559</v>
      </c>
      <c r="I28" s="39">
        <f t="shared" si="4"/>
        <v>429461815</v>
      </c>
      <c r="J28" s="39">
        <f t="shared" si="4"/>
        <v>505121795</v>
      </c>
      <c r="K28" s="39">
        <f t="shared" si="4"/>
        <v>433239513</v>
      </c>
      <c r="L28" s="39">
        <f t="shared" si="4"/>
        <v>414162020</v>
      </c>
      <c r="M28" s="39">
        <f t="shared" si="4"/>
        <v>330341829</v>
      </c>
      <c r="N28" s="39">
        <f t="shared" si="4"/>
        <v>758850428</v>
      </c>
      <c r="O28" s="40">
        <f t="shared" si="3"/>
        <v>4915720680</v>
      </c>
      <c r="P28" s="41">
        <f>SUM(P18:P27)</f>
        <v>4915720680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5">C16-C28</f>
        <v>839016499</v>
      </c>
      <c r="D29" s="50">
        <f t="shared" si="5"/>
        <v>88843000</v>
      </c>
      <c r="E29" s="50">
        <f t="shared" si="5"/>
        <v>7681870</v>
      </c>
      <c r="F29" s="50">
        <f t="shared" si="5"/>
        <v>-89934586</v>
      </c>
      <c r="G29" s="50">
        <f t="shared" si="5"/>
        <v>-145561174</v>
      </c>
      <c r="H29" s="50">
        <f t="shared" si="5"/>
        <v>-282105559</v>
      </c>
      <c r="I29" s="50">
        <f t="shared" si="5"/>
        <v>135219624</v>
      </c>
      <c r="J29" s="50">
        <f t="shared" si="5"/>
        <v>-114508812</v>
      </c>
      <c r="K29" s="50">
        <f t="shared" si="5"/>
        <v>89243614</v>
      </c>
      <c r="L29" s="50">
        <f t="shared" si="5"/>
        <v>-208083163</v>
      </c>
      <c r="M29" s="50">
        <f t="shared" si="5"/>
        <v>2430715</v>
      </c>
      <c r="N29" s="50">
        <f t="shared" si="5"/>
        <v>-322242028</v>
      </c>
      <c r="O29" s="51">
        <f t="shared" si="5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2021-03-03T12:22:58Z</dcterms:created>
  <dcterms:modified xsi:type="dcterms:W3CDTF">2021-03-03T12:22:58Z</dcterms:modified>
</cp:coreProperties>
</file>