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firstSheet="28" activeTab="29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,7,8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Óvoda" sheetId="17" r:id="rId17"/>
    <sheet name="16. Műv. ház" sheetId="18" r:id="rId18"/>
    <sheet name="17. Hivatal" sheetId="19" r:id="rId19"/>
    <sheet name="18. VÜKI" sheetId="20" r:id="rId20"/>
    <sheet name="19 önkormányzat" sheetId="21" r:id="rId21"/>
    <sheet name="20. melléklet" sheetId="22" r:id="rId22"/>
    <sheet name="20.1. melléklet" sheetId="23" r:id="rId23"/>
    <sheet name="20.2.melléklet" sheetId="24" r:id="rId24"/>
    <sheet name="20.3. melléklet" sheetId="25" r:id="rId25"/>
    <sheet name="20.4.mellékelt" sheetId="26" r:id="rId26"/>
    <sheet name="20.5.melléklet" sheetId="27" r:id="rId27"/>
    <sheet name="21 kötelező feladat" sheetId="28" state="hidden" r:id="rId28"/>
    <sheet name="21. céltartalék" sheetId="29" r:id="rId29"/>
    <sheet name="22. EU-s beruh." sheetId="30" r:id="rId30"/>
    <sheet name="ÖNK ÖSSZESITŐ" sheetId="31" r:id="rId31"/>
    <sheet name="Munkalap27" sheetId="32" state="hidden" r:id="rId32"/>
  </sheets>
  <externalReferences>
    <externalReference r:id="rId35"/>
  </externalReferences>
  <definedNames>
    <definedName name="_4__sz__sor_részletezése">#REF!</definedName>
    <definedName name="Excel_BuiltIn__FilterDatabase" localSheetId="21">'20. melléklet'!$A$10:$E$10</definedName>
    <definedName name="Excel_BuiltIn__FilterDatabase" localSheetId="27">NA()</definedName>
    <definedName name="Excel_BuiltIn__FilterDatabase" localSheetId="9">'6,7,8 Melléklet'!$A$12:$I$66</definedName>
    <definedName name="Excel_BuiltIn__FilterDatabase" localSheetId="30">'ÖNK ÖSSZESITŐ'!$A$49:$D$86</definedName>
    <definedName name="Excel_BuiltIn_Print_Area" localSheetId="4">'1. melléklet'!$A$1:$C$58</definedName>
    <definedName name="Excel_BuiltIn_Print_Area" localSheetId="16">'15. Óvoda'!$A$1:$D$73</definedName>
    <definedName name="Excel_BuiltIn_Print_Area" localSheetId="17">'16. Műv. ház'!$A$1:$D$44</definedName>
    <definedName name="Excel_BuiltIn_Print_Area" localSheetId="18">'17. Hivatal'!$A$1:$D$53</definedName>
    <definedName name="Excel_BuiltIn_Print_Area" localSheetId="19">'18. VÜKI'!$A$1:$D$80</definedName>
    <definedName name="Excel_BuiltIn_Print_Area" localSheetId="20">'19 önkormányzat'!$A$1:$D$175</definedName>
    <definedName name="Excel_BuiltIn_Print_Area" localSheetId="0">'2'!$A$1:$A$21</definedName>
    <definedName name="Excel_BuiltIn_Print_Area" localSheetId="21">'20. melléklet'!$A$1:$E$60</definedName>
    <definedName name="Excel_BuiltIn_Print_Area" localSheetId="8">'5. melléklet'!$A$1:$D$237</definedName>
    <definedName name="Excel_BuiltIn_Print_Area" localSheetId="30">'ÖNK ÖSSZESITŐ'!$A$1:$D$107</definedName>
    <definedName name="_xlnm.Print_Titles" localSheetId="27">'21 kötelező feladat'!$1:$3</definedName>
    <definedName name="_xlnm.Print_Titles" localSheetId="8">'5. melléklet'!$5:$11</definedName>
    <definedName name="_xlnm.Print_Titles" localSheetId="30">'ÖNK ÖSSZESITŐ'!$1:$8</definedName>
    <definedName name="_xlnm.Print_Area" localSheetId="4">'1. melléklet'!$A$1:$G$64</definedName>
    <definedName name="_xlnm.Print_Area" localSheetId="11">'10. melléklet'!$A$1:$F$19</definedName>
    <definedName name="_xlnm.Print_Area" localSheetId="12">'11. melléklet'!$A$1:$N$35</definedName>
    <definedName name="_xlnm.Print_Area" localSheetId="1">'12'!$A$1:$B$11</definedName>
    <definedName name="_xlnm.Print_Area" localSheetId="13">'12. melléklet'!$A$1:$H$51</definedName>
    <definedName name="_xlnm.Print_Area" localSheetId="2">'14adóss'!$A$1:$G$30</definedName>
    <definedName name="_xlnm.Print_Area" localSheetId="3">'15 3éves'!$A$1:$E$55</definedName>
    <definedName name="_xlnm.Print_Area" localSheetId="16">'15. Óvoda'!$A$1:$H$74</definedName>
    <definedName name="_xlnm.Print_Area" localSheetId="17">'16. Műv. ház'!$A$1:$H$45</definedName>
    <definedName name="_xlnm.Print_Area" localSheetId="18">'17. Hivatal'!$A$1:$H$54</definedName>
    <definedName name="_xlnm.Print_Area" localSheetId="19">'18. VÜKI'!$A$1:$H$81</definedName>
    <definedName name="_xlnm.Print_Area" localSheetId="20">'19 önkormányzat'!$A$1:$H$175</definedName>
    <definedName name="_xlnm.Print_Area" localSheetId="0">'2'!$A$1:$D$21</definedName>
    <definedName name="_xlnm.Print_Area" localSheetId="5">'2. melléklet'!$A$1:$G$51</definedName>
    <definedName name="_xlnm.Print_Area" localSheetId="21">'20. melléklet'!$A$1:$M$60</definedName>
    <definedName name="_xlnm.Print_Area" localSheetId="26">'20.5.melléklet'!$A$1:$N$72</definedName>
    <definedName name="_xlnm.Print_Area" localSheetId="27">'21 kötelező feladat'!$A$1:$E$23</definedName>
    <definedName name="_xlnm.Print_Area" localSheetId="28">'21. céltartalék'!$A$1:$F$52</definedName>
    <definedName name="_xlnm.Print_Area" localSheetId="29">'22. EU-s beruh.'!$A$1:$E$192</definedName>
    <definedName name="_xlnm.Print_Area" localSheetId="6">'3. melléklet'!$A$1:$G$57</definedName>
    <definedName name="_xlnm.Print_Area" localSheetId="7">'4. melléklet'!$A$1:$G$118</definedName>
    <definedName name="_xlnm.Print_Area" localSheetId="8">'5. melléklet'!$A$1:$H$283</definedName>
    <definedName name="_xlnm.Print_Area" localSheetId="9">'6,7,8 Melléklet'!$A$1:$G$123</definedName>
    <definedName name="_xlnm.Print_Area" localSheetId="30">'ÖNK ÖSSZESITŐ'!$A$1:$H$104</definedName>
  </definedNames>
  <calcPr fullCalcOnLoad="1"/>
</workbook>
</file>

<file path=xl/sharedStrings.xml><?xml version="1.0" encoding="utf-8"?>
<sst xmlns="http://schemas.openxmlformats.org/spreadsheetml/2006/main" count="3906" uniqueCount="1273">
  <si>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</si>
  <si>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</si>
  <si>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</si>
  <si>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</si>
  <si>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</si>
  <si>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</si>
  <si>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</si>
  <si>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</si>
  <si>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</si>
  <si>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</si>
  <si>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</si>
  <si>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</si>
  <si>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</si>
  <si>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</si>
  <si>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</si>
  <si>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</si>
  <si>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</si>
  <si>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</si>
  <si>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</si>
  <si>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</si>
  <si>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</si>
  <si>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</si>
  <si>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</si>
  <si>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</si>
  <si>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</si>
  <si>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</si>
  <si>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</si>
  <si>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</si>
  <si>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</si>
  <si>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</si>
  <si>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</si>
  <si>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</si>
  <si>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</si>
  <si>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</si>
  <si>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</si>
  <si>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</si>
  <si>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</si>
  <si>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</si>
  <si>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</si>
  <si>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</si>
  <si>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</si>
  <si>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</si>
  <si>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</si>
  <si>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</si>
  <si>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</si>
  <si>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</si>
  <si>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</si>
  <si>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</si>
  <si>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</si>
  <si>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</si>
  <si>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</si>
  <si>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</si>
  <si>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</si>
  <si>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</si>
  <si>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</si>
  <si>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</si>
  <si>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</si>
  <si>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</si>
  <si>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</si>
  <si>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</si>
  <si>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</si>
  <si>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</si>
  <si>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</si>
  <si>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</si>
  <si>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</si>
  <si>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</si>
  <si>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</si>
  <si>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</si>
  <si>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</si>
  <si>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</si>
  <si>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</si>
  <si>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</si>
  <si>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</si>
  <si>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</si>
  <si>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</si>
  <si>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</si>
  <si>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</si>
  <si>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</si>
  <si>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</si>
  <si>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</si>
  <si>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</si>
  <si>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</si>
  <si>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</si>
  <si>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</si>
  <si>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</si>
  <si>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</si>
  <si>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</si>
  <si>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</si>
  <si>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</si>
  <si>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</si>
  <si>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</si>
  <si>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</si>
  <si>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</si>
  <si>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</si>
  <si>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</si>
  <si>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</si>
  <si>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</si>
  <si>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</si>
  <si>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</si>
  <si>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</si>
  <si>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</si>
  <si>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</si>
  <si>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</si>
  <si>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</si>
  <si>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</si>
  <si>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</si>
  <si>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</si>
  <si>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</si>
  <si>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</si>
  <si>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</si>
  <si>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</si>
  <si>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</si>
  <si>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</si>
  <si>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</si>
  <si>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</si>
  <si>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</si>
  <si>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</si>
  <si>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</si>
  <si>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</si>
  <si>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</si>
  <si>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</si>
  <si>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</si>
  <si>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</si>
  <si>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</si>
  <si>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</si>
  <si>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</si>
  <si>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</si>
  <si>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</si>
  <si>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</si>
  <si>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</si>
  <si>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</si>
  <si>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</si>
  <si>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</si>
  <si>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</si>
  <si>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</si>
  <si>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</si>
  <si>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</si>
  <si>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</si>
  <si>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</si>
  <si>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</si>
  <si>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</si>
  <si>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</si>
  <si>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</si>
  <si>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</si>
  <si>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</si>
  <si>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</si>
  <si>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</si>
  <si>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</si>
  <si>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</si>
  <si>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</si>
  <si>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</si>
  <si>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</si>
  <si>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</si>
  <si>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</si>
  <si>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</si>
  <si>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</si>
  <si>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</si>
  <si>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</si>
  <si>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</si>
  <si>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</si>
  <si>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</si>
  <si>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</si>
  <si>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</si>
  <si>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</si>
  <si>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</si>
  <si>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</si>
  <si>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</si>
  <si>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</si>
  <si>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</si>
  <si>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</si>
  <si>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</si>
  <si>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</si>
  <si>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</si>
  <si>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</si>
  <si>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</si>
  <si>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</si>
  <si>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</si>
  <si>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</si>
  <si>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</si>
  <si>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</si>
  <si>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</si>
  <si>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</si>
  <si>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</si>
  <si>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</si>
  <si>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</si>
  <si>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</si>
  <si>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</si>
  <si>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</si>
  <si>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</si>
  <si>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</si>
  <si>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</si>
  <si>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</si>
  <si>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</si>
  <si>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</si>
  <si>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</si>
  <si>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</si>
  <si>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</si>
  <si>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</si>
  <si>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</si>
  <si>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</si>
  <si>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</si>
  <si>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</si>
  <si>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</si>
  <si>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</si>
  <si>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</si>
  <si>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</si>
  <si>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</si>
  <si>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</si>
  <si>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</si>
  <si>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</si>
  <si>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</si>
  <si>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</si>
  <si>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</si>
  <si>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</si>
  <si>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</si>
  <si>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</si>
  <si>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</si>
  <si>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</si>
  <si>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</si>
  <si>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</si>
  <si>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</si>
  <si>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</si>
  <si>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</si>
  <si>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</si>
  <si>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</si>
  <si>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</si>
  <si>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</si>
  <si>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</si>
  <si>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</si>
  <si>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</si>
  <si>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XI.</t>
  </si>
  <si>
    <t xml:space="preserve">4.melléklet </t>
  </si>
  <si>
    <t>Herend Város Önkormányzat önállóan működő intézményei bevétele</t>
  </si>
  <si>
    <t>Önkormányzat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</si>
  <si>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</si>
  <si>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</si>
  <si>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</si>
  <si>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</si>
  <si>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</si>
  <si>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</si>
  <si>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</si>
  <si>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</si>
  <si>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</si>
  <si>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</si>
  <si>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</si>
  <si>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</si>
  <si>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Szakfeladat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</si>
  <si>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</si>
  <si>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</si>
  <si>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</si>
  <si>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</si>
  <si>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</si>
  <si>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</si>
  <si>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</si>
  <si>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</si>
  <si>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</si>
  <si>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</si>
  <si>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</si>
  <si>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</si>
  <si>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</si>
  <si>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Közvetett támogatások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</si>
  <si>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</si>
  <si>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</si>
  <si>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</si>
  <si>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</si>
  <si>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</si>
  <si>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</si>
  <si>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</si>
  <si>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</si>
  <si>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</si>
  <si>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</si>
  <si>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</si>
  <si>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</si>
  <si>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60.</t>
  </si>
  <si>
    <t>61.</t>
  </si>
  <si>
    <t>Közfoglalkoztatás hosszabb időtartamban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</si>
  <si>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</si>
  <si>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</si>
  <si>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</si>
  <si>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</si>
  <si>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</si>
  <si>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</si>
  <si>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</si>
  <si>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</si>
  <si>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</si>
  <si>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</si>
  <si>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</si>
  <si>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</si>
  <si>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</si>
  <si>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</si>
  <si>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</si>
  <si>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</si>
  <si>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</si>
  <si>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</si>
  <si>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</si>
  <si>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</si>
  <si>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</si>
  <si>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</si>
  <si>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</si>
  <si>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</si>
  <si>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</si>
  <si>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</si>
  <si>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</si>
  <si>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</si>
  <si>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</si>
  <si>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</si>
  <si>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</si>
  <si>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</si>
  <si>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</si>
  <si>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</si>
  <si>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</si>
  <si>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</si>
  <si>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</si>
  <si>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</si>
  <si>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</si>
  <si>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</si>
  <si>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</si>
  <si>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</si>
  <si>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</si>
  <si>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</si>
  <si>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</si>
  <si>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</si>
  <si>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</si>
  <si>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</si>
  <si>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</si>
  <si>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</si>
  <si>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</si>
  <si>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</si>
  <si>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</si>
  <si>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</si>
  <si>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</si>
  <si>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</si>
  <si>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</si>
  <si>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</si>
  <si>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</si>
  <si>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</si>
  <si>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</si>
  <si>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</si>
  <si>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</si>
  <si>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</si>
  <si>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</si>
  <si>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</si>
  <si>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</si>
  <si>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</si>
  <si>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</si>
  <si>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</si>
  <si>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</si>
  <si>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</si>
  <si>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>126.</t>
  </si>
  <si>
    <t xml:space="preserve">           Dologi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</si>
  <si>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</si>
  <si>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</si>
  <si>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</si>
  <si>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</si>
  <si>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</si>
  <si>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</si>
  <si>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</si>
  <si>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</si>
  <si>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</si>
  <si>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</si>
  <si>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</si>
  <si>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</si>
  <si>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</si>
  <si>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</si>
  <si>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</si>
  <si>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</si>
  <si>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</si>
  <si>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</si>
  <si>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</si>
  <si>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</si>
  <si>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</si>
  <si>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</si>
  <si>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</si>
  <si>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</si>
  <si>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</si>
  <si>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</si>
  <si>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</si>
  <si>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</si>
  <si>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</si>
  <si>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</si>
  <si>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</si>
  <si>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</si>
  <si>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</si>
  <si>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</si>
  <si>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</si>
  <si>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</si>
  <si>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</si>
  <si>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</si>
  <si>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</si>
  <si>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</si>
  <si>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</si>
  <si>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</si>
  <si>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</si>
  <si>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</si>
  <si>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</si>
  <si>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</si>
  <si>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</si>
  <si>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</si>
  <si>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</si>
  <si>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</si>
  <si>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</si>
  <si>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</si>
  <si>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</si>
  <si>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</si>
  <si>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</si>
  <si>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</si>
  <si>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</si>
  <si>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</si>
  <si>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</si>
  <si>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</si>
  <si>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</si>
  <si>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</si>
  <si>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</si>
  <si>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</si>
  <si>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</si>
  <si>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</si>
  <si>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</si>
  <si>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</si>
  <si>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</si>
  <si>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</si>
  <si>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</si>
  <si>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</si>
  <si>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</si>
  <si>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</si>
  <si>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</si>
  <si>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Beruházás megnevezés</t>
  </si>
  <si>
    <t xml:space="preserve">A </t>
  </si>
  <si>
    <t>Felújítás</t>
  </si>
  <si>
    <t>Művelődési ház szennyvízelvezető r. és vészkijárat felújítás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</si>
  <si>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</si>
  <si>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</si>
  <si>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</si>
  <si>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</si>
  <si>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</si>
  <si>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Működési célú pénzeszköz átadás ÁH-on kiv.</t>
  </si>
  <si>
    <t>8.melléklet</t>
  </si>
  <si>
    <t>9.melléklet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</si>
  <si>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</si>
  <si>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</si>
  <si>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</si>
  <si>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</si>
  <si>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</si>
  <si>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</si>
  <si>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</si>
  <si>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</si>
  <si>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</si>
  <si>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</si>
  <si>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</si>
  <si>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</si>
  <si>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</si>
  <si>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</si>
  <si>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</si>
  <si>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</si>
  <si>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</si>
  <si>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</si>
  <si>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</si>
  <si>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</si>
  <si>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</si>
  <si>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</si>
  <si>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</si>
  <si>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</si>
  <si>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</si>
  <si>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</si>
  <si>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</si>
  <si>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</si>
  <si>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</si>
  <si>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</si>
  <si>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</si>
  <si>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</si>
  <si>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</si>
  <si>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</si>
  <si>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</si>
  <si>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</si>
  <si>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</si>
  <si>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</si>
  <si>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</si>
  <si>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</si>
  <si>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</si>
  <si>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 xml:space="preserve">15.  melléklet 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</si>
  <si>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</si>
  <si>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</si>
  <si>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</si>
  <si>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</si>
  <si>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</si>
  <si>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</si>
  <si>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</si>
  <si>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</si>
  <si>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</si>
  <si>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</si>
  <si>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</si>
  <si>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</si>
  <si>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</si>
  <si>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</si>
  <si>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</si>
  <si>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</si>
  <si>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</si>
  <si>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</si>
  <si>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</si>
  <si>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</si>
  <si>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</si>
  <si>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</si>
  <si>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</si>
  <si>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</si>
  <si>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</si>
  <si>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</si>
  <si>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</si>
  <si>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</si>
  <si>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</si>
  <si>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</si>
  <si>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</si>
  <si>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</si>
  <si>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</si>
  <si>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083050-1 Televízió-műsor szolg. és tám.</t>
  </si>
  <si>
    <t>064010-1 Közvilágítás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</si>
  <si>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</si>
  <si>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</si>
  <si>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</si>
  <si>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</si>
  <si>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</si>
  <si>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</si>
  <si>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</si>
  <si>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</si>
  <si>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</si>
  <si>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</si>
  <si>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</si>
  <si>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</si>
  <si>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</si>
  <si>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</si>
  <si>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</si>
  <si>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</si>
  <si>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</si>
  <si>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</si>
  <si>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</si>
  <si>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</si>
  <si>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</si>
  <si>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</si>
  <si>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</si>
  <si>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</si>
  <si>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Top-2.1.2. Zöld város kialakítása</t>
  </si>
  <si>
    <t>TOP-5.2.1-15 A társadalmi együttműködés erősítését szolgáló helyi szintű komplex programok</t>
  </si>
  <si>
    <t>ÖSSZESEN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</si>
  <si>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</si>
  <si>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</si>
  <si>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</si>
  <si>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</si>
  <si>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</si>
  <si>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</si>
  <si>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</si>
  <si>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</si>
  <si>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</si>
  <si>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</si>
  <si>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</si>
  <si>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</si>
  <si>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</si>
  <si>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</si>
  <si>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</si>
  <si>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</si>
  <si>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</si>
  <si>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</si>
  <si>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</si>
  <si>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</si>
  <si>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</si>
  <si>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</si>
  <si>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</si>
  <si>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</si>
  <si>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</si>
  <si>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</si>
  <si>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</si>
  <si>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</si>
  <si>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</si>
  <si>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</si>
  <si>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</si>
  <si>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</si>
  <si>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</si>
  <si>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</si>
  <si>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</si>
  <si>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</si>
  <si>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</si>
  <si>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</si>
  <si>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</si>
  <si>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</si>
  <si>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</si>
  <si>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</si>
  <si>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</si>
  <si>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</si>
  <si>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</si>
  <si>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</si>
  <si>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</si>
  <si>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</si>
  <si>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</si>
  <si>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</si>
  <si>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</si>
  <si>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</si>
  <si>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</si>
  <si>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</si>
  <si>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</si>
  <si>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</si>
  <si>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</si>
  <si>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</si>
  <si>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</si>
  <si>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</si>
  <si>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</si>
  <si>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</si>
  <si>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</si>
  <si>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</si>
  <si>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</si>
  <si>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</si>
  <si>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</si>
  <si>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</si>
  <si>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</si>
  <si>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</si>
  <si>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</si>
  <si>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>Támogatási célú finanszírozási műveletek</t>
  </si>
  <si>
    <t>87.</t>
  </si>
  <si>
    <t>88.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</si>
  <si>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</si>
  <si>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</si>
  <si>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</si>
  <si>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</si>
  <si>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</si>
  <si>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</si>
  <si>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</si>
  <si>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</si>
  <si>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</si>
  <si>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</si>
  <si>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</si>
  <si>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</si>
  <si>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</si>
  <si>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</si>
  <si>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</si>
  <si>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</si>
  <si>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</si>
  <si>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</si>
  <si>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ebből rendezvényekre</t>
  </si>
  <si>
    <t>Intézmény üzemeltetés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</si>
  <si>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</si>
  <si>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</si>
  <si>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</si>
  <si>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</si>
  <si>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</si>
  <si>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</si>
  <si>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</si>
  <si>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</si>
  <si>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</si>
  <si>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</si>
  <si>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</si>
  <si>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</si>
  <si>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</si>
  <si>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</si>
  <si>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</si>
  <si>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</si>
  <si>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</si>
  <si>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</si>
  <si>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</si>
  <si>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</si>
  <si>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</si>
  <si>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</si>
  <si>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</si>
  <si>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</si>
  <si>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</si>
  <si>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</si>
  <si>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</si>
  <si>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</si>
  <si>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</si>
  <si>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</si>
  <si>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</si>
  <si>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</si>
  <si>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</si>
  <si>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</si>
  <si>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</si>
  <si>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</si>
  <si>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</si>
  <si>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</si>
  <si>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</si>
  <si>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</si>
  <si>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</si>
  <si>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Ellátási díj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</si>
  <si>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</si>
  <si>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</si>
  <si>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</si>
  <si>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</si>
  <si>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</si>
  <si>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</si>
  <si>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</si>
  <si>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</si>
  <si>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</si>
  <si>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</si>
  <si>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</si>
  <si>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</si>
  <si>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</si>
  <si>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</si>
  <si>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</si>
  <si>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</si>
  <si>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</si>
  <si>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</si>
  <si>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</si>
  <si>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</si>
  <si>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</si>
  <si>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Általános forgalmi adó visszatérítés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</si>
  <si>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</si>
  <si>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</si>
  <si>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</si>
  <si>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</si>
  <si>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</si>
  <si>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G</t>
  </si>
  <si>
    <t xml:space="preserve">        Egyéb mükődési bevételek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</si>
  <si>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</si>
  <si>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</si>
  <si>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</si>
  <si>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</si>
  <si>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</si>
  <si>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</si>
  <si>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</si>
  <si>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</si>
  <si>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</si>
  <si>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</si>
  <si>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</si>
  <si>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</si>
  <si>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</si>
  <si>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</si>
  <si>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</si>
  <si>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</si>
  <si>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</si>
  <si>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</si>
  <si>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</si>
  <si>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</si>
  <si>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</si>
  <si>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</si>
  <si>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</si>
  <si>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</si>
  <si>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</si>
  <si>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</si>
  <si>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</si>
  <si>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</si>
  <si>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</si>
  <si>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</si>
  <si>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</si>
  <si>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</si>
  <si>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</si>
  <si>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</si>
  <si>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</si>
  <si>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</si>
  <si>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</si>
  <si>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</si>
  <si>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</si>
  <si>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</si>
  <si>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</si>
  <si>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</si>
  <si>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</si>
  <si>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</si>
  <si>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</si>
  <si>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</si>
  <si>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</si>
  <si>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</si>
  <si>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</si>
  <si>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</si>
  <si>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</si>
  <si>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</si>
  <si>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</si>
  <si>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</si>
  <si>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</si>
  <si>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</si>
  <si>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</si>
  <si>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</si>
  <si>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</si>
  <si>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</si>
  <si>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</si>
  <si>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</si>
  <si>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</si>
  <si>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</si>
  <si>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</si>
  <si>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</si>
  <si>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</si>
  <si>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</si>
  <si>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</si>
  <si>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</si>
  <si>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</si>
  <si>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</si>
  <si>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</si>
  <si>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</si>
  <si>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</si>
  <si>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</si>
  <si>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</si>
  <si>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Általános tartalék</t>
  </si>
  <si>
    <t>TARTALÉKOK ÖSSZESEN</t>
  </si>
  <si>
    <t>H</t>
  </si>
  <si>
    <t xml:space="preserve">             kamatbevételek</t>
  </si>
  <si>
    <t xml:space="preserve">            egyéb működési bevételek</t>
  </si>
  <si>
    <t>I</t>
  </si>
  <si>
    <t>Működési célú támogatások</t>
  </si>
  <si>
    <t xml:space="preserve">            nyári diák munka</t>
  </si>
  <si>
    <t>Önkormányzatok működési támogatásai (B11)</t>
  </si>
  <si>
    <t>Egyéb működési célú támogatások bevételei államháztartáson belülről (B16)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</si>
  <si>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</si>
  <si>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</si>
  <si>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</si>
  <si>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</si>
  <si>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</si>
  <si>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Biztosító által kifizetett kártérítés</t>
  </si>
  <si>
    <t>Közhatalmi bevételek (B3)</t>
  </si>
  <si>
    <t>Működési bevételek (B4)</t>
  </si>
  <si>
    <t>Felhalmozási bevételek (B5)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</si>
  <si>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</si>
  <si>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</si>
  <si>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</si>
  <si>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</si>
  <si>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</si>
  <si>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Biztosító által fizetett kártérítések</t>
  </si>
  <si>
    <t>Elvonás, befizetés</t>
  </si>
  <si>
    <t>Egyéb felhalmozási célú támogatások államháztartáson belülről</t>
  </si>
  <si>
    <t>elvonások, befizetéek</t>
  </si>
  <si>
    <t xml:space="preserve">10.melléklet </t>
  </si>
  <si>
    <t>Teljes munkaidőben foglalkoztatottak</t>
  </si>
  <si>
    <t>Részmunka -időben foglalkoztatottak</t>
  </si>
  <si>
    <t>Állományba nem tartozók</t>
  </si>
  <si>
    <t>Önkormányzati igazgatási tevékenység</t>
  </si>
  <si>
    <t>Herendi Városüzemeltetési Közsz.Int.</t>
  </si>
  <si>
    <t>Közcélú foglalkoztatás</t>
  </si>
  <si>
    <t>Mindösszesen</t>
  </si>
  <si>
    <t>12. melléklet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</si>
  <si>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</si>
  <si>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</si>
  <si>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</si>
  <si>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</si>
  <si>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</si>
  <si>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</si>
  <si>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</si>
  <si>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I.1.a</t>
  </si>
  <si>
    <t>Önkormányzati hivatal működésének támogatása - elismert hivatali létszám alapján</t>
  </si>
  <si>
    <t>elismert hivatali létszám</t>
  </si>
  <si>
    <t>Önkormányzati hivatal működésének támogatása - beszámítás után</t>
  </si>
  <si>
    <t>forint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</si>
  <si>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</si>
  <si>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</si>
  <si>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</si>
  <si>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</si>
  <si>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hektár</t>
  </si>
  <si>
    <t>I.1.bb</t>
  </si>
  <si>
    <t xml:space="preserve"> Közvilágítás fenntartásának támogatása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</si>
  <si>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</si>
  <si>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</si>
  <si>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</si>
  <si>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</si>
  <si>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</si>
  <si>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</si>
  <si>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>I.1.c</t>
  </si>
  <si>
    <t>Egyéb önkormányzati feladatok támogatása</t>
  </si>
  <si>
    <t>fő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</si>
  <si>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</si>
  <si>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</si>
  <si>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</si>
  <si>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</si>
  <si>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Lakott külterülettel kapcsolatos feladatok támogatása - beszámítás után</t>
  </si>
  <si>
    <t>A települési önkormányzatok működésének támogatása beszámítás és kiegészítés után</t>
  </si>
  <si>
    <t>Beszámítás</t>
  </si>
  <si>
    <t xml:space="preserve">I. </t>
  </si>
  <si>
    <t>A helyi önkormányzatok működésének általános támogatása összesen</t>
  </si>
  <si>
    <t xml:space="preserve"> pedagógus szakképzettséggel nem rendelkező, óvodapedagógusok nevelő munkáját közvetlenül segítők száma a Köznev. tv. 2. melléklete szerint </t>
  </si>
  <si>
    <t>II.2. Óvodaműködtetési támogatás</t>
  </si>
  <si>
    <t xml:space="preserve">II. </t>
  </si>
  <si>
    <t>A települési önkormányzatok egyes köznevelési feladatainak támogatása</t>
  </si>
  <si>
    <t>A települési önkormányzatok szociális feladatainak egyéb támogatása</t>
  </si>
  <si>
    <t>III.3. Egyes szociális és gyermekjóléti feladatok támogatása</t>
  </si>
  <si>
    <t xml:space="preserve"> Család- és gyermekjóléti szolgálat </t>
  </si>
  <si>
    <t>számított létszám</t>
  </si>
  <si>
    <t>III.5. Gyermekétkeztetés támogatása</t>
  </si>
  <si>
    <t xml:space="preserve"> Gyermekétkeztetés üzemeltetési támogatása </t>
  </si>
  <si>
    <t>A települési önkormányzatok szociális, gyermekjóléti és gyermekétkeztetési feladatainak támogatása</t>
  </si>
  <si>
    <t>Ft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</si>
  <si>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</si>
  <si>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</si>
  <si>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13.2 melléklet</t>
  </si>
  <si>
    <t>Kimutatás a Magyarország gazdasági stabilitásáról szóló 2011. évi CXCIV.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</si>
  <si>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</si>
  <si>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</si>
  <si>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</si>
  <si>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</si>
  <si>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</si>
  <si>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</si>
  <si>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</si>
  <si>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</si>
  <si>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</si>
  <si>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</si>
  <si>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Saját bevételek</t>
  </si>
  <si>
    <t>Tárgy év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</si>
  <si>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</si>
  <si>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</si>
  <si>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</si>
  <si>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</si>
  <si>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</si>
  <si>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</si>
  <si>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</si>
  <si>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</si>
  <si>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Herendi Polgármesteri Hivatal összesen</t>
  </si>
  <si>
    <t>II.4.a (1)</t>
  </si>
  <si>
    <t>finanszírozás szempontjából elismert dolgozók bértámogatása</t>
  </si>
  <si>
    <t>Bölcsődei üzemeltetési támogatás</t>
  </si>
  <si>
    <t xml:space="preserve">TOP-5.2.1-15 A társadalmi együttműködés erősítését szolgáló helyi szintű komplex programok </t>
  </si>
  <si>
    <t>Top-2.1.2. Zöld város kialakítása önerő</t>
  </si>
  <si>
    <t>TOP-4.3.1-15 Leromlott területek rehabilitációja önerő</t>
  </si>
  <si>
    <t>TOP-5.2.1-15 A társadalmi együttműködés erősítését szolgáló helyi szintű komplex programok önerő</t>
  </si>
  <si>
    <t>TOP-3.1.1-15 Városrészeket összekötő kerékpárút</t>
  </si>
  <si>
    <t>Herendi Városüzemeltetési Közszolg.Int.</t>
  </si>
  <si>
    <t>Herend Város Önkormányzata</t>
  </si>
  <si>
    <t xml:space="preserve">      egyéb működési bevételek</t>
  </si>
  <si>
    <t>Működési célú pénzeszköz átvétel</t>
  </si>
  <si>
    <t>felhalmozási célú finnaszírózási kiadás</t>
  </si>
  <si>
    <t>Bérleti díj</t>
  </si>
  <si>
    <t xml:space="preserve">6.melléklet </t>
  </si>
  <si>
    <t>7.melléklet</t>
  </si>
  <si>
    <t>II.5. Nemzetiségi pótlék</t>
  </si>
  <si>
    <t>II-5.(1)</t>
  </si>
  <si>
    <t>Óvodai napi nyitvatartási ideje eléri a nyolc órát</t>
  </si>
  <si>
    <t>III.6. Bölcsőde, mini bölcsőde támogatása</t>
  </si>
  <si>
    <t>Szabadidősport tevékenység és támogatása</t>
  </si>
  <si>
    <t xml:space="preserve">     általános forgalmi adó visszatérülés</t>
  </si>
  <si>
    <t xml:space="preserve">                         karbantartás</t>
  </si>
  <si>
    <t>22. melléklet</t>
  </si>
  <si>
    <t>KIMUTATÁS</t>
  </si>
  <si>
    <t>az Európai Uniós forrásból finanszírozott támogatással megvalósuló programok, projektek kiadásai és bevételei az Ávr. 24. § (1) bekezdés a)és bd) pontjainak megfelelően</t>
  </si>
  <si>
    <t xml:space="preserve">A projekt neve: </t>
  </si>
  <si>
    <t>TOP-3.1.1-15-VE-2016-00004 Városrészeket összekötő kerékpárút Herenden</t>
  </si>
  <si>
    <t>Források összesen: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</si>
  <si>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</si>
  <si>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</si>
  <si>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</si>
  <si>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</si>
  <si>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</si>
  <si>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</si>
  <si>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</si>
  <si>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</si>
  <si>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</si>
  <si>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</si>
  <si>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Támogatott neve</t>
  </si>
  <si>
    <t>Hozzájárulás  ( Ft)</t>
  </si>
  <si>
    <t>TOP-2.1.2-15-VE1-2016-0002  Herend Zöld várossá fejlesztése</t>
  </si>
  <si>
    <t>Céltartalék</t>
  </si>
  <si>
    <t>Hozzájárulás  (E Ft)</t>
  </si>
  <si>
    <t>TOP-5.2.1-15-VE1-2016-00005 A társadalmi együttműködést erősítését szolgáló helyi szintű komplex programok</t>
  </si>
  <si>
    <t>ebből: ingatlan értékesítés ( telkek)</t>
  </si>
  <si>
    <t>Szennyvíz gyűjtése</t>
  </si>
  <si>
    <t>Iskola eü. Egyéb egészségügyi ellátás</t>
  </si>
  <si>
    <t>Egyéb kiegészítő szolgáltatások</t>
  </si>
  <si>
    <t>társadalombiztosítás alapjai</t>
  </si>
  <si>
    <t>Egyéb szociális pénzbeli és természetbeni ellátások</t>
  </si>
  <si>
    <t>Bursa Hungarica támogatás</t>
  </si>
  <si>
    <t>XVI.</t>
  </si>
  <si>
    <t>Sportlétesítmények működtetése</t>
  </si>
  <si>
    <t>Ebből: dologi kiadások</t>
  </si>
  <si>
    <t>XVIII.</t>
  </si>
  <si>
    <t>Iskolai, diáksport tevékenység és támogatása</t>
  </si>
  <si>
    <t xml:space="preserve">             működési célú pénzeszköz átadás</t>
  </si>
  <si>
    <t>XIX.</t>
  </si>
  <si>
    <t>Ebből: Dologi kiadások</t>
  </si>
  <si>
    <t>XVII.</t>
  </si>
  <si>
    <t xml:space="preserve">         ebből: munkaruha</t>
  </si>
  <si>
    <t xml:space="preserve">    ebből: munkaruha</t>
  </si>
  <si>
    <t xml:space="preserve">Családsegítés </t>
  </si>
  <si>
    <t>egyéb felhalmozási  kiadások</t>
  </si>
  <si>
    <t>Top-2.1.2. Zöld város kialakítása (beruházáis költségek)</t>
  </si>
  <si>
    <t>Vis maior támogatás önerő</t>
  </si>
  <si>
    <t>KÖFOP-1.2.1-VEKOP-16-2016-00028 ASP projekt fel nem használt összege</t>
  </si>
  <si>
    <t>Kubinyi Ágoston Program a múzeumok szakmai támogatása állandó kiállítás teljes körű felújítása és korszerűsítése pályázat (5 év)</t>
  </si>
  <si>
    <t>VP6-19.2.1-1-815-17 Bakonyi rendezvények, képzések, hálozati tevékenységek önerő</t>
  </si>
  <si>
    <t>VP6-19.2.1.-1-813-17 Települések megújítása pályázat önerő</t>
  </si>
  <si>
    <t>Polgárőrség támogatása</t>
  </si>
  <si>
    <t>Biztosító által fizetett kártérítés</t>
  </si>
  <si>
    <t>Herendi Hétszínvilág Óvoda és Bölcsöde</t>
  </si>
  <si>
    <t>148.</t>
  </si>
  <si>
    <t>149.</t>
  </si>
  <si>
    <t>204.</t>
  </si>
  <si>
    <t>205.</t>
  </si>
  <si>
    <t>206.</t>
  </si>
  <si>
    <t>207.</t>
  </si>
  <si>
    <t>208.</t>
  </si>
  <si>
    <t>209.</t>
  </si>
  <si>
    <t>210.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</si>
  <si>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</si>
  <si>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</si>
  <si>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</si>
  <si>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</si>
  <si>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</si>
  <si>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</si>
  <si>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</si>
  <si>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</si>
  <si>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</si>
  <si>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</si>
  <si>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223.</t>
  </si>
  <si>
    <t>222.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</si>
  <si>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</si>
  <si>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</si>
  <si>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</si>
  <si>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</si>
  <si>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</si>
  <si>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</si>
  <si>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</si>
  <si>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</si>
  <si>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</si>
  <si>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</si>
  <si>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</si>
  <si>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</si>
  <si>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</si>
  <si>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</si>
  <si>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</si>
  <si>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</si>
  <si>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</si>
  <si>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</si>
  <si>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</si>
  <si>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224.</t>
  </si>
  <si>
    <t>225.</t>
  </si>
  <si>
    <t>TOP-3.1.1-15 Városrészeket összekötő kerékpárút önerő</t>
  </si>
  <si>
    <t>Helyi Önkormányzatok előző évi elszámolásból száramzó kiadásai</t>
  </si>
  <si>
    <t>Helyi önkormányzatok előző évi elszámolásból száramzó kiadásai</t>
  </si>
  <si>
    <t>Pesovár Ernő Művelődési Ház  kiadások összesen</t>
  </si>
  <si>
    <t xml:space="preserve">          Közvetített szolgáltatások</t>
  </si>
  <si>
    <t xml:space="preserve">Pesovár Ernő Művelődési Ház </t>
  </si>
  <si>
    <t>Herendi Porcelánművészeti Alapítvány</t>
  </si>
  <si>
    <t xml:space="preserve">Herendi Porcelánművészeti Alapítvány  </t>
  </si>
  <si>
    <t>Pesovár Ernő Művelődési ház bevétele összesen</t>
  </si>
  <si>
    <t xml:space="preserve">                      Herendi Porcelánművészeti Alapítvány</t>
  </si>
  <si>
    <t>Pesovár Ernő Művelődési Ház</t>
  </si>
  <si>
    <t>245.</t>
  </si>
  <si>
    <t>Mükődési célú pénzeszköz átvétel államháztartáson kivülről</t>
  </si>
  <si>
    <t>Pesovár Ernő Művelődési Ház bevételei és kiadásai kötelező és önként vállalt feladat valamint államigazgatási feladatai szerinti bontásban</t>
  </si>
  <si>
    <t>Közvetitett szolgáltatások</t>
  </si>
  <si>
    <t>EP választás</t>
  </si>
  <si>
    <t xml:space="preserve">         Herend, Pipacs u 22 sz. lakás értékesítése</t>
  </si>
  <si>
    <t>ellátási díjak</t>
  </si>
  <si>
    <t>biztosító által fizetett kártérítések</t>
  </si>
  <si>
    <t>211.</t>
  </si>
  <si>
    <t>246.</t>
  </si>
  <si>
    <t>247.</t>
  </si>
  <si>
    <t>248.</t>
  </si>
  <si>
    <t>249.</t>
  </si>
  <si>
    <t>Egyéb működési célú támogatások áhn belülről</t>
  </si>
  <si>
    <t>Európai parlemneti képviselő választás</t>
  </si>
  <si>
    <t>Önkormányzati választás</t>
  </si>
  <si>
    <t>Önk. Választás</t>
  </si>
  <si>
    <t>Műkődési célú támogatások (EP választás, önk választás))</t>
  </si>
  <si>
    <t>TOP-3.1.1.-16-VE1-2017-00010 Herend és Szentgál közötti kerékpárút létesítése</t>
  </si>
  <si>
    <t xml:space="preserve">VP6-7.2.1.-7.4.1.2.-16 Külterületi helyi közutak fejlesztése, önkormányzati utak kezeléséhez, állapotjavításához </t>
  </si>
  <si>
    <t xml:space="preserve">TOP-4.3.1-15 Leromlott területek rehabilitációja </t>
  </si>
  <si>
    <t>Társaság a Kultúra és Filművészet támogatására</t>
  </si>
  <si>
    <t>Herendi Római Katolikus Plébánia</t>
  </si>
  <si>
    <t>Trappancs Szervátültetett Sportegyesület</t>
  </si>
  <si>
    <t>Herendi Porcelán Sportkör</t>
  </si>
  <si>
    <t>Herendi modellező SE</t>
  </si>
  <si>
    <t>Herendi Teakwondosok Baráti Köre</t>
  </si>
  <si>
    <t>Herend Városi Teke klub</t>
  </si>
  <si>
    <t>Hajagi Természetvédő és Szabadidős Egyesület</t>
  </si>
  <si>
    <t>Kenguru Torna Club Sportegyesület</t>
  </si>
  <si>
    <t>Herendi Horgászegyesület</t>
  </si>
  <si>
    <t>Országos Mentőszolgálat Alapítvány</t>
  </si>
  <si>
    <t>Fagyöngy Emlőbetegek. Gyógyultak és Támogatók Önsegítő Egyesülete</t>
  </si>
  <si>
    <t>Nononprofit szervek támogatása</t>
  </si>
  <si>
    <t>XX.</t>
  </si>
  <si>
    <t>XXI.</t>
  </si>
  <si>
    <t>Egyéb műkődési bevételek</t>
  </si>
  <si>
    <t>Egyéb működési célú ámogatások áhn belülről</t>
  </si>
  <si>
    <t xml:space="preserve">         Felhalmozási kiadások</t>
  </si>
  <si>
    <t>Önkormányzati  választás</t>
  </si>
  <si>
    <t>250.</t>
  </si>
  <si>
    <t>251.</t>
  </si>
  <si>
    <t>252.</t>
  </si>
  <si>
    <t>253.</t>
  </si>
  <si>
    <t>254.</t>
  </si>
  <si>
    <t>TOP-3.1.1.-16-VE1-2017-00010 Herend -Szentgál kerékpátút</t>
  </si>
  <si>
    <t>Közfoglalkoztatás hosszabb idótartamú</t>
  </si>
  <si>
    <t>Közfoglalkoztatás hosszabb időtartamú</t>
  </si>
  <si>
    <t xml:space="preserve">        felhalmozási kiadások</t>
  </si>
  <si>
    <t>255.</t>
  </si>
  <si>
    <t>256.</t>
  </si>
  <si>
    <t>VP6-19-2-1-1-813-17 Bakonyi települések megújítása</t>
  </si>
  <si>
    <t>TOP-4.3.1-15-VE1-2016-00002 Herend, Bányatelep leromlott városi területek infrastrukturális rehabilitációja</t>
  </si>
  <si>
    <t>Segítő szívvel jó szándékkal Közhasznú Alapítvány</t>
  </si>
  <si>
    <t>adatok Ft-ban</t>
  </si>
  <si>
    <t>2019. MÓD V.</t>
  </si>
  <si>
    <t>2020. évi előirányzat</t>
  </si>
  <si>
    <t>Pesovár Ernő Művelődési Ház 2020. évi költségvetése</t>
  </si>
  <si>
    <t>2021 utáni</t>
  </si>
  <si>
    <t>Önkormányzaton kívüli EU-s projektekhez történő hozzájárulás 2020. évi előirányzat</t>
  </si>
  <si>
    <t>2020. ÉVI TARTALÉK FELHALSZNÁLÁSA</t>
  </si>
  <si>
    <t>Beruházási tartalék</t>
  </si>
  <si>
    <t>Kötelező , önként vállalt és állami (államigazgatási) feladatainak kiadásai 2020. évre</t>
  </si>
  <si>
    <t>Herend Város Önkormányzat 2020. évi  költségvetése</t>
  </si>
  <si>
    <t>Herendi Polgármesteri Hivatal  2020. évi költségvetése</t>
  </si>
  <si>
    <t>2019MÓD V.</t>
  </si>
  <si>
    <t>Nyomtató beszerzése</t>
  </si>
  <si>
    <t>Laptop beszerzés</t>
  </si>
  <si>
    <t>Irodai székek</t>
  </si>
  <si>
    <t>Herendi Polgármesteri Hivatal 2020. évi beruházási kiadásai</t>
  </si>
  <si>
    <t xml:space="preserve">Herendi Városüzemeltetési Közszolgáltató Intézmény 2020. évi beruházási kiadásai </t>
  </si>
  <si>
    <t>Herendi Hétszínvilág Óvoda és Bölcsőde 2020. évi beruházási kiadásai</t>
  </si>
  <si>
    <t>Pesovár Ernő Művelődési Ház 2020. évi beruházási kiadásai</t>
  </si>
  <si>
    <t>Kombinált hűtőszekrény</t>
  </si>
  <si>
    <t>Televizió</t>
  </si>
  <si>
    <t>Nyomtató A3-as</t>
  </si>
  <si>
    <t>Asztali lámpa 2 db</t>
  </si>
  <si>
    <t>Szerszámok</t>
  </si>
  <si>
    <t>Egyéb eszköz bezserzése</t>
  </si>
  <si>
    <t>Egyéb irodai eszköz beszerzése</t>
  </si>
  <si>
    <t>Herend Város Önkormányzata 2020. évi beruházási kiadásai</t>
  </si>
  <si>
    <t>Herend Város Önkormányzat 2020.évi felhalmozási kiadások előirányzata feladatonként</t>
  </si>
  <si>
    <t>Herendi Városüzemeltetési Közszolgáltató Intézmény 2020. évi költségvetése</t>
  </si>
  <si>
    <t>2020. évi költségvetés</t>
  </si>
  <si>
    <t>egyéb gép, berendezés beszerzése</t>
  </si>
  <si>
    <t>Herendi Hétszínvilág Óvoda és Bölcsőde 2020. évi  költségvetése</t>
  </si>
  <si>
    <t xml:space="preserve">         Járulékok</t>
  </si>
  <si>
    <t xml:space="preserve">         Dologi kiadás</t>
  </si>
  <si>
    <t xml:space="preserve">                ebből munkaruha</t>
  </si>
  <si>
    <t>Laptop és hangszór Bölcsődébe</t>
  </si>
  <si>
    <t>Porszívó</t>
  </si>
  <si>
    <t>Mósógép</t>
  </si>
  <si>
    <t>Egyép gép berendezés beszerzése</t>
  </si>
  <si>
    <t>Új gázfogadóhoz útépítés</t>
  </si>
  <si>
    <t>Képviselői laptop beszerzés</t>
  </si>
  <si>
    <t>Városüzemeltetési Közszolgáltató Intézmény telephelyén kémény felújítása</t>
  </si>
  <si>
    <t>Herend Város Önkormányzat 2020. évi létszámkerete költségvetési szervenként  és a közfoglalkoztatottak száma (fő)</t>
  </si>
  <si>
    <t>2020-2023 évre tervezett bevételei és kiadásai</t>
  </si>
  <si>
    <t>Herend Város Önkormányzat 2020. évi költségvetési támogatása</t>
  </si>
  <si>
    <t>I.1.a - I.1.f</t>
  </si>
  <si>
    <t>I.1.b-I.1.f</t>
  </si>
  <si>
    <t>Támogatás összesen-beszámítás után</t>
  </si>
  <si>
    <t>I.1.ba-I.1.-f</t>
  </si>
  <si>
    <t>A zöldterület-gazdálkodással kapcsolatos feladatok ellátásnak támogatása-beszámítás után</t>
  </si>
  <si>
    <t>I.1.bb.-I.1.f</t>
  </si>
  <si>
    <t>Közvilágítás fenntartásának támogatása-beszámítás után</t>
  </si>
  <si>
    <t>I.1.bc-I.1.f</t>
  </si>
  <si>
    <t>I.1.bd-I.1.f</t>
  </si>
  <si>
    <t>Köztemető fentartássak kapcsolatos feladatok támogatása-beszámítás után</t>
  </si>
  <si>
    <t>Közutak fenntartásának támogatása-beszámítás után</t>
  </si>
  <si>
    <t>I.1.c - I.1.f</t>
  </si>
  <si>
    <t>I.1.d - I.1.f</t>
  </si>
  <si>
    <t>I.1.f beszámítás</t>
  </si>
  <si>
    <t>I.1.-I.1.F</t>
  </si>
  <si>
    <t>Óvoda napi nyitvatartási ideje eléri a nyolc órát</t>
  </si>
  <si>
    <t xml:space="preserve">II.1. (1) </t>
  </si>
  <si>
    <t xml:space="preserve">Pedagógusok elismert létszáma </t>
  </si>
  <si>
    <t xml:space="preserve">II.1. (2) </t>
  </si>
  <si>
    <t>Óvoda napi nyitvatartási ideje elési a nyolc órát</t>
  </si>
  <si>
    <t>II.2. (1)</t>
  </si>
  <si>
    <t>II.4. Kiegészítő támogatás a pedagógusok ás a pedagógus szakképzettséggel rendelkező segítők minősítéséből adódó többletkiadáshoz</t>
  </si>
  <si>
    <t xml:space="preserve"> alapfokozatú végzettségű pedagógus II. kategóriába sorolt óvodapedagógusok kiegészítő támogatása - akik a minősítést 2019. január 1-jei átsorolással szerezték meg.</t>
  </si>
  <si>
    <t>III.1</t>
  </si>
  <si>
    <t>III.2.a</t>
  </si>
  <si>
    <t xml:space="preserve">III.3.a. (1) </t>
  </si>
  <si>
    <t>A finanszírozás szempontjából elismert szakmai dolgozók bértámogatása: felsőfokú végzettségű kisgyermeknevelők, szaktanácsadók</t>
  </si>
  <si>
    <t>III.3.a (2)</t>
  </si>
  <si>
    <t xml:space="preserve"> A finanszírozás szempontjából elismerszakmai t dolgozók bértámogatása : bölcsődei dajkák, középfokú végzettségű kisgyermeknevelők, szaktanácsadók</t>
  </si>
  <si>
    <t>II.3.b</t>
  </si>
  <si>
    <t>III.5.aa.</t>
  </si>
  <si>
    <t>III.5.ab</t>
  </si>
  <si>
    <t>IV.b.</t>
  </si>
  <si>
    <t>Herend Város Önkormányzat 2020. évi működési és felhalmozási mérlege</t>
  </si>
  <si>
    <t>Herend Város Önkormányzat 2020. évi bevételi előirányzatai forrásonként</t>
  </si>
  <si>
    <t>önkormányzati igazgatási tevékenység</t>
  </si>
  <si>
    <t>Herend Város Önkormányzat és költségvetési szervei 2020. évi működési és felhalmozási  kiadási előirányzatai  kormányzati funkciónként</t>
  </si>
  <si>
    <t>2020. Engedélyezett létszám</t>
  </si>
  <si>
    <t>Herend Város Önkormányzat  2020.évi közvetett támogatások</t>
  </si>
  <si>
    <t xml:space="preserve">Herend Város Önkormányzat 2020. évi pénzeszköz átadásainak és egyéb támogatásainak előirányzata </t>
  </si>
  <si>
    <t>2020. évi működési és felhalmozási bevételek mérlegszerűen</t>
  </si>
  <si>
    <t>2020. évi előirányzat felhasználási ütemterv</t>
  </si>
  <si>
    <t>magyar Falu Program Temető fejlesztése MFP-FFT/2019</t>
  </si>
  <si>
    <t xml:space="preserve">              </t>
  </si>
  <si>
    <t>Családsegítés</t>
  </si>
  <si>
    <t>MÓD I.</t>
  </si>
  <si>
    <t xml:space="preserve">MÓD I. </t>
  </si>
  <si>
    <t>Módosított összeg (Ft)</t>
  </si>
  <si>
    <t xml:space="preserve">TOP-2.1.2-15-VE1-2016-00002 Zöld város kivitelezési munka </t>
  </si>
  <si>
    <t>TOP-1.4.1-19-VE1-2019-00008 Bölcsődei férőhely bővítés</t>
  </si>
  <si>
    <t>Monitor</t>
  </si>
  <si>
    <t>550 l-es állatu hulladékgyűjtő</t>
  </si>
  <si>
    <t>Rozmaring étterem konyhai eszközök beszerzése</t>
  </si>
  <si>
    <t>Szivattyú beszerzése</t>
  </si>
  <si>
    <t>szeletelőgép</t>
  </si>
  <si>
    <t>lábtörlők</t>
  </si>
  <si>
    <t>Kártyaolvasó</t>
  </si>
  <si>
    <t>VP6-19.2.1-1-813-17 Bakonyi települések megújítása játszótéri eszközök</t>
  </si>
  <si>
    <t>Herendi Polgárőr Egyesület</t>
  </si>
  <si>
    <t>Szentgáli Református Egyházközség Lelkész Hivatala</t>
  </si>
  <si>
    <t>Ebből : Dologi kiadások</t>
  </si>
  <si>
    <t>Fertőző megbetegedések megelőzése, járványügyi ellátás (COVID-19)</t>
  </si>
  <si>
    <t>Fertőző megbetegedések megelőzésie, járványügyi ellátás</t>
  </si>
  <si>
    <t xml:space="preserve">         dologi kiadások</t>
  </si>
  <si>
    <t>Fetőző megbetegedések megelőzése, járványügyi ellátás</t>
  </si>
  <si>
    <t>Kamat bevételek</t>
  </si>
  <si>
    <t>MÓD II.</t>
  </si>
  <si>
    <t xml:space="preserve">MÓD II. </t>
  </si>
  <si>
    <t>TOP-3.1.1.-16-VE1-2017-00010 Herend és Szentgál közötti kerékpárút létesítése önerő</t>
  </si>
  <si>
    <t>TOP-4.3.1-15 Leromlott területek rehabilitációja</t>
  </si>
  <si>
    <t>VP6-19.2.1-1-813-17 Bakonyi települések megújítása nyomtató beszerzése</t>
  </si>
  <si>
    <t>Barlangász hátizsák (6db)</t>
  </si>
  <si>
    <t>Futópad beszerzése</t>
  </si>
  <si>
    <t>Futópad tartozék beszerzése</t>
  </si>
  <si>
    <t>Csavarbehajtó</t>
  </si>
  <si>
    <t>Makita orrfűrész</t>
  </si>
  <si>
    <t>Sarokcsiszoló</t>
  </si>
  <si>
    <t>TOP-5.2.1-15 Társadalmi együttműködést erősítő szolgáló helyi szintű komplex programok pályázat fűkasza vásárlása</t>
  </si>
  <si>
    <t>Könyvtár részére mágneses mobil flipchart tábla</t>
  </si>
  <si>
    <t>Sörpad garnitira beszerzése</t>
  </si>
  <si>
    <t>Pótkocsi beszerzése</t>
  </si>
  <si>
    <t>Futkerékpár 2 db</t>
  </si>
  <si>
    <t xml:space="preserve">Bursa Hungarica </t>
  </si>
  <si>
    <t>Civil szervek közvetett támogatása</t>
  </si>
  <si>
    <t xml:space="preserve">Általános Iskolás Gyermekeinkért Közalapítvány </t>
  </si>
  <si>
    <t>Civil szervezetek működési támogatása</t>
  </si>
  <si>
    <t>Nonprofit szervezetek támogatása</t>
  </si>
  <si>
    <t>Központi orvos ügyelet támogatása</t>
  </si>
  <si>
    <t>Veszprém Többcélú Kistérségi Társulás</t>
  </si>
  <si>
    <t xml:space="preserve">Családsegítő társulás </t>
  </si>
  <si>
    <t>XIV</t>
  </si>
  <si>
    <t>XV</t>
  </si>
  <si>
    <t>Temetőbe székelykapu</t>
  </si>
  <si>
    <t>Herendi Hétszínvilág Óvoda és Bölcsőde tető felújítása</t>
  </si>
  <si>
    <t>MFP-AEE/2020 orvos eszköz pályázat eszköz beszerzések</t>
  </si>
  <si>
    <t>MFP-KTF/2020 Közösségi tér átalakítása (Műv ház)</t>
  </si>
  <si>
    <t>Települési önkormányzatok szociális, gyermekjóléti  feladatainak támogatása</t>
  </si>
  <si>
    <t>Települési önkormányzatok  gyermekétkeztetési feladatainak támogatása</t>
  </si>
  <si>
    <t xml:space="preserve">          Szentgál község önkormányzat hj</t>
  </si>
  <si>
    <t xml:space="preserve">          felhalmozási célú önkormányzati támogatások vis maior</t>
  </si>
  <si>
    <t>ebből: TOP-1.4.-19-VE1-2019 bölcsődei férőhely bővítés</t>
  </si>
  <si>
    <t>MFP-AEE/2020 orvosi eszköz beszerzése</t>
  </si>
  <si>
    <t>MFP-KTF/2020 Közösségi tér átalakítása</t>
  </si>
  <si>
    <t>VP6-7.2.1- Külterületi helyi közútak</t>
  </si>
  <si>
    <t>510/8 hrsz értékesítése</t>
  </si>
  <si>
    <t>079/22/A/16 hrsz értékesítése</t>
  </si>
  <si>
    <t>194 hrsz értékesítése</t>
  </si>
  <si>
    <t>195 hrsz értékesítése</t>
  </si>
  <si>
    <t>795/30 hrsz értékesítése</t>
  </si>
  <si>
    <t>795/95 hrsz értékesítése</t>
  </si>
  <si>
    <t>795/53 étékesítése</t>
  </si>
  <si>
    <t>Helyi önkormányzatok előző évi elszámolása</t>
  </si>
  <si>
    <t>Helyi önkormányzatok előző évi elszámolásai</t>
  </si>
  <si>
    <t>Helyi önk előző évi visszafizetése</t>
  </si>
  <si>
    <t>Települési önkormányzatok gyermekétkeztetési feladatainak támogatása</t>
  </si>
  <si>
    <t>ebből: Szentgál Község önkormányzata hj</t>
  </si>
  <si>
    <t>Civil szervezetek működésének támogatása</t>
  </si>
  <si>
    <t>Helyi önkormányzato előző évi elszámolása</t>
  </si>
  <si>
    <t>Központi orvosi ügyelet támogatása</t>
  </si>
  <si>
    <t>Veszprémi Többcélú Kistérségi Társulás</t>
  </si>
  <si>
    <t>Herend Környéki Önkormányzatok Család és Gyermekjóléti szolgálatott Fenntartó Társulása</t>
  </si>
  <si>
    <t>XIV.</t>
  </si>
  <si>
    <t>IXX.</t>
  </si>
  <si>
    <t>Helyi Önkormányzatok előző évi elszámolása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</si>
  <si>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</si>
  <si>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</si>
  <si>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</si>
  <si>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</si>
  <si>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</si>
  <si>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</si>
  <si>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</si>
  <si>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</si>
  <si>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</si>
  <si>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</si>
  <si>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</si>
  <si>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Helyi önk előző évi elszámolásai</t>
  </si>
  <si>
    <t>Civil szervezetek működésénel támogatása</t>
  </si>
  <si>
    <t>MÓD iI.</t>
  </si>
  <si>
    <t>Óvoda Pályaépítési program  önerő</t>
  </si>
  <si>
    <t>3/2020.(II.14.) önkormányzati rendelethez</t>
  </si>
  <si>
    <t xml:space="preserve">                                         20/2020.(IX.21.) önkormányzati rendelethez</t>
  </si>
  <si>
    <t xml:space="preserve"> 20/2020.(IX.21.) önkormányzati rendelethez</t>
  </si>
  <si>
    <t xml:space="preserve">                                        20/2020.(IX.21.) önkormányzati rendelethez</t>
  </si>
  <si>
    <t>13. melléklet</t>
  </si>
  <si>
    <t>14. melléklet</t>
  </si>
  <si>
    <t>15. melléklet</t>
  </si>
  <si>
    <t>17. mellék</t>
  </si>
  <si>
    <t>18.melléklet</t>
  </si>
  <si>
    <t>18.1. melléklet</t>
  </si>
  <si>
    <t>18.2. melléklet</t>
  </si>
  <si>
    <t>18.3. melléklet</t>
  </si>
  <si>
    <t>18.4. melléklet</t>
  </si>
  <si>
    <t>18.5. melléklet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</si>
</sst>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\ * #,##0.00&quot;     &quot;;\-* #,##0.00&quot;     &quot;;\ * \-#&quot;     &quot;;@\ "/>
    <numFmt numFmtId="175" formatCode="\ * #,##0&quot;     &quot;;\-* #,##0&quot;     &quot;;\ * \-#&quot;     &quot;;@\ "/>
    <numFmt numFmtId="176" formatCode="\ * #,##0.00&quot; Ft &quot;;\-* #,##0.00&quot; Ft &quot;;\ * \-#&quot; Ft &quot;;@\ "/>
    <numFmt numFmtId="177" formatCode="0.0"/>
    <numFmt numFmtId="178" formatCode="#,##0.0"/>
    <numFmt numFmtId="179" formatCode="\ * #,##0.0&quot;     &quot;;\-* #,##0.0&quot;     &quot;;\ * \-#&quot;     &quot;;@\ "/>
    <numFmt numFmtId="180" formatCode="[$-40E]yyyy\.\ mmmm\ d\."/>
    <numFmt numFmtId="181" formatCode="0.0%"/>
    <numFmt numFmtId="182" formatCode="[$-40E]yyyy\.\ mmmm\ d\.\,\ dddd"/>
    <numFmt numFmtId="183" formatCode="\ * #,##0.000&quot;     &quot;;\-* #,##0.000&quot;     &quot;;\ * \-#.0&quot;     &quot;;@\ "/>
    <numFmt numFmtId="184" formatCode="\ * #,##0.0000&quot;     &quot;;\-* #,##0.0000&quot;     &quot;;\ * \-#.00&quot;     &quot;;@\ "/>
  </numFmts>
  <fonts count="94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/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9" fillId="0" borderId="9" applyNumberFormat="0" applyFill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ill="0" applyBorder="0" applyAlignment="0" applyProtection="0"/>
  </cellStyleXfs>
  <cellXfs count="221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175" fontId="0" fillId="0" borderId="0" xfId="46" applyNumberFormat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75" fontId="8" fillId="0" borderId="12" xfId="46" applyNumberFormat="1" applyFont="1" applyBorder="1" applyAlignment="1">
      <alignment/>
    </xf>
    <xf numFmtId="175" fontId="8" fillId="36" borderId="12" xfId="46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/>
    </xf>
    <xf numFmtId="175" fontId="2" fillId="0" borderId="12" xfId="46" applyNumberFormat="1" applyFont="1" applyBorder="1" applyAlignment="1">
      <alignment/>
    </xf>
    <xf numFmtId="175" fontId="2" fillId="36" borderId="12" xfId="46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18" xfId="0" applyNumberFormat="1" applyFont="1" applyBorder="1" applyAlignment="1">
      <alignment/>
    </xf>
    <xf numFmtId="175" fontId="8" fillId="0" borderId="18" xfId="46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/>
    </xf>
    <xf numFmtId="175" fontId="0" fillId="0" borderId="12" xfId="46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5" fontId="0" fillId="36" borderId="12" xfId="46" applyNumberFormat="1" applyFont="1" applyFill="1" applyBorder="1" applyAlignment="1">
      <alignment/>
    </xf>
    <xf numFmtId="175" fontId="0" fillId="36" borderId="12" xfId="46" applyNumberFormat="1" applyFill="1" applyBorder="1" applyAlignment="1">
      <alignment/>
    </xf>
    <xf numFmtId="175" fontId="2" fillId="0" borderId="18" xfId="46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175" fontId="13" fillId="36" borderId="12" xfId="46" applyNumberFormat="1" applyFont="1" applyFill="1" applyBorder="1" applyAlignment="1">
      <alignment/>
    </xf>
    <xf numFmtId="3" fontId="13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75" fontId="8" fillId="36" borderId="18" xfId="46" applyNumberFormat="1" applyFont="1" applyFill="1" applyBorder="1" applyAlignment="1">
      <alignment/>
    </xf>
    <xf numFmtId="0" fontId="0" fillId="0" borderId="14" xfId="0" applyBorder="1" applyAlignment="1">
      <alignment wrapText="1"/>
    </xf>
    <xf numFmtId="175" fontId="0" fillId="36" borderId="14" xfId="46" applyNumberFormat="1" applyFont="1" applyFill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175" fontId="1" fillId="33" borderId="0" xfId="46" applyNumberFormat="1" applyFont="1" applyFill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3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12" xfId="0" applyNumberFormat="1" applyBorder="1" applyAlignment="1">
      <alignment wrapText="1"/>
    </xf>
    <xf numFmtId="175" fontId="0" fillId="0" borderId="12" xfId="46" applyNumberFormat="1" applyFont="1" applyBorder="1" applyAlignment="1">
      <alignment/>
    </xf>
    <xf numFmtId="175" fontId="0" fillId="0" borderId="0" xfId="46" applyNumberForma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75" fontId="0" fillId="0" borderId="14" xfId="46" applyNumberFormat="1" applyBorder="1" applyAlignment="1">
      <alignment/>
    </xf>
    <xf numFmtId="175" fontId="0" fillId="0" borderId="14" xfId="46" applyNumberFormat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75" fontId="0" fillId="33" borderId="0" xfId="46" applyNumberFormat="1" applyFill="1" applyAlignment="1">
      <alignment/>
    </xf>
    <xf numFmtId="3" fontId="1" fillId="0" borderId="0" xfId="0" applyNumberFormat="1" applyFont="1" applyAlignment="1">
      <alignment horizontal="center"/>
    </xf>
    <xf numFmtId="175" fontId="0" fillId="0" borderId="0" xfId="46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2" fillId="0" borderId="24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175" fontId="0" fillId="0" borderId="18" xfId="46" applyNumberFormat="1" applyBorder="1" applyAlignment="1">
      <alignment/>
    </xf>
    <xf numFmtId="3" fontId="0" fillId="0" borderId="0" xfId="0" applyNumberFormat="1" applyAlignment="1">
      <alignment vertical="center"/>
    </xf>
    <xf numFmtId="3" fontId="2" fillId="0" borderId="12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5" fontId="2" fillId="0" borderId="12" xfId="46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36" borderId="12" xfId="0" applyNumberFormat="1" applyFill="1" applyBorder="1" applyAlignment="1">
      <alignment horizontal="center"/>
    </xf>
    <xf numFmtId="175" fontId="0" fillId="0" borderId="13" xfId="46" applyNumberFormat="1" applyBorder="1" applyAlignment="1">
      <alignment/>
    </xf>
    <xf numFmtId="3" fontId="0" fillId="36" borderId="12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5" fontId="3" fillId="0" borderId="12" xfId="46" applyNumberFormat="1" applyFont="1" applyBorder="1" applyAlignment="1">
      <alignment/>
    </xf>
    <xf numFmtId="175" fontId="3" fillId="0" borderId="0" xfId="46" applyNumberFormat="1" applyFont="1" applyAlignment="1">
      <alignment/>
    </xf>
    <xf numFmtId="175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175" fontId="0" fillId="0" borderId="0" xfId="46" applyNumberFormat="1" applyAlignment="1">
      <alignment horizontal="center" vertical="center"/>
    </xf>
    <xf numFmtId="0" fontId="0" fillId="36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75" fontId="2" fillId="0" borderId="13" xfId="46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2" fillId="37" borderId="24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36" borderId="14" xfId="0" applyNumberFormat="1" applyFill="1" applyBorder="1" applyAlignment="1">
      <alignment horizontal="center"/>
    </xf>
    <xf numFmtId="3" fontId="0" fillId="36" borderId="14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0" fontId="16" fillId="0" borderId="0" xfId="0" applyFont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175" fontId="2" fillId="33" borderId="30" xfId="46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175" fontId="0" fillId="0" borderId="32" xfId="46" applyNumberFormat="1" applyBorder="1" applyAlignment="1">
      <alignment horizontal="center" vertical="center"/>
    </xf>
    <xf numFmtId="3" fontId="5" fillId="36" borderId="0" xfId="0" applyNumberFormat="1" applyFont="1" applyFill="1" applyAlignment="1">
      <alignment horizontal="center"/>
    </xf>
    <xf numFmtId="3" fontId="5" fillId="36" borderId="0" xfId="0" applyNumberFormat="1" applyFont="1" applyFill="1" applyAlignment="1">
      <alignment horizontal="left"/>
    </xf>
    <xf numFmtId="175" fontId="5" fillId="36" borderId="0" xfId="46" applyNumberFormat="1" applyFont="1" applyFill="1" applyAlignment="1">
      <alignment/>
    </xf>
    <xf numFmtId="177" fontId="2" fillId="0" borderId="18" xfId="0" applyNumberFormat="1" applyFont="1" applyBorder="1" applyAlignment="1">
      <alignment/>
    </xf>
    <xf numFmtId="175" fontId="0" fillId="0" borderId="33" xfId="46" applyNumberForma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34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/>
    </xf>
    <xf numFmtId="3" fontId="2" fillId="33" borderId="3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left" wrapText="1"/>
    </xf>
    <xf numFmtId="177" fontId="2" fillId="0" borderId="14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77" fontId="2" fillId="36" borderId="12" xfId="0" applyNumberFormat="1" applyFont="1" applyFill="1" applyBorder="1" applyAlignment="1">
      <alignment horizontal="center"/>
    </xf>
    <xf numFmtId="177" fontId="0" fillId="36" borderId="12" xfId="0" applyNumberForma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18" fillId="36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18" fillId="33" borderId="36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37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center"/>
    </xf>
    <xf numFmtId="3" fontId="18" fillId="33" borderId="18" xfId="0" applyNumberFormat="1" applyFont="1" applyFill="1" applyBorder="1" applyAlignment="1">
      <alignment/>
    </xf>
    <xf numFmtId="0" fontId="26" fillId="38" borderId="0" xfId="0" applyFont="1" applyFill="1" applyAlignment="1">
      <alignment/>
    </xf>
    <xf numFmtId="3" fontId="26" fillId="38" borderId="0" xfId="0" applyNumberFormat="1" applyFont="1" applyFill="1" applyAlignment="1">
      <alignment/>
    </xf>
    <xf numFmtId="0" fontId="2" fillId="0" borderId="18" xfId="0" applyFont="1" applyBorder="1" applyAlignment="1">
      <alignment horizontal="center" vertical="center"/>
    </xf>
    <xf numFmtId="175" fontId="0" fillId="0" borderId="12" xfId="46" applyNumberFormat="1" applyFont="1" applyBorder="1" applyAlignment="1">
      <alignment horizontal="center"/>
    </xf>
    <xf numFmtId="0" fontId="0" fillId="0" borderId="18" xfId="0" applyBorder="1" applyAlignment="1">
      <alignment/>
    </xf>
    <xf numFmtId="175" fontId="0" fillId="0" borderId="18" xfId="46" applyNumberFormat="1" applyFont="1" applyBorder="1" applyAlignment="1">
      <alignment/>
    </xf>
    <xf numFmtId="175" fontId="2" fillId="0" borderId="20" xfId="46" applyNumberFormat="1" applyFont="1" applyBorder="1" applyAlignment="1">
      <alignment/>
    </xf>
    <xf numFmtId="175" fontId="8" fillId="0" borderId="14" xfId="46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46" applyNumberFormat="1" applyFont="1" applyBorder="1" applyAlignment="1">
      <alignment/>
    </xf>
    <xf numFmtId="175" fontId="2" fillId="0" borderId="14" xfId="46" applyNumberFormat="1" applyFont="1" applyBorder="1" applyAlignment="1">
      <alignment/>
    </xf>
    <xf numFmtId="175" fontId="8" fillId="0" borderId="18" xfId="46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36" borderId="22" xfId="0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right"/>
    </xf>
    <xf numFmtId="0" fontId="2" fillId="36" borderId="22" xfId="0" applyFont="1" applyFill="1" applyBorder="1" applyAlignment="1">
      <alignment horizontal="center"/>
    </xf>
    <xf numFmtId="175" fontId="0" fillId="0" borderId="25" xfId="46" applyNumberFormat="1" applyBorder="1" applyAlignment="1">
      <alignment/>
    </xf>
    <xf numFmtId="3" fontId="0" fillId="0" borderId="12" xfId="0" applyNumberFormat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35" xfId="0" applyFont="1" applyFill="1" applyBorder="1" applyAlignment="1">
      <alignment/>
    </xf>
    <xf numFmtId="0" fontId="2" fillId="35" borderId="39" xfId="0" applyFont="1" applyFill="1" applyBorder="1" applyAlignment="1">
      <alignment wrapText="1"/>
    </xf>
    <xf numFmtId="0" fontId="2" fillId="35" borderId="40" xfId="0" applyFont="1" applyFill="1" applyBorder="1" applyAlignment="1">
      <alignment/>
    </xf>
    <xf numFmtId="175" fontId="2" fillId="35" borderId="12" xfId="46" applyNumberFormat="1" applyFont="1" applyFill="1" applyBorder="1" applyAlignment="1">
      <alignment/>
    </xf>
    <xf numFmtId="175" fontId="2" fillId="35" borderId="41" xfId="46" applyNumberFormat="1" applyFont="1" applyFill="1" applyBorder="1" applyAlignment="1">
      <alignment/>
    </xf>
    <xf numFmtId="175" fontId="2" fillId="35" borderId="42" xfId="46" applyNumberFormat="1" applyFont="1" applyFill="1" applyBorder="1" applyAlignment="1">
      <alignment/>
    </xf>
    <xf numFmtId="0" fontId="8" fillId="35" borderId="43" xfId="0" applyFont="1" applyFill="1" applyBorder="1" applyAlignment="1">
      <alignment/>
    </xf>
    <xf numFmtId="175" fontId="8" fillId="35" borderId="14" xfId="46" applyNumberFormat="1" applyFont="1" applyFill="1" applyBorder="1" applyAlignment="1">
      <alignment/>
    </xf>
    <xf numFmtId="175" fontId="8" fillId="35" borderId="30" xfId="46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44" xfId="0" applyFont="1" applyFill="1" applyBorder="1" applyAlignment="1">
      <alignment/>
    </xf>
    <xf numFmtId="175" fontId="8" fillId="35" borderId="12" xfId="46" applyNumberFormat="1" applyFont="1" applyFill="1" applyBorder="1" applyAlignment="1">
      <alignment/>
    </xf>
    <xf numFmtId="0" fontId="2" fillId="35" borderId="44" xfId="0" applyFont="1" applyFill="1" applyBorder="1" applyAlignment="1">
      <alignment/>
    </xf>
    <xf numFmtId="175" fontId="2" fillId="35" borderId="32" xfId="46" applyNumberFormat="1" applyFont="1" applyFill="1" applyBorder="1" applyAlignment="1">
      <alignment/>
    </xf>
    <xf numFmtId="175" fontId="8" fillId="35" borderId="32" xfId="46" applyNumberFormat="1" applyFont="1" applyFill="1" applyBorder="1" applyAlignment="1">
      <alignment/>
    </xf>
    <xf numFmtId="175" fontId="2" fillId="35" borderId="14" xfId="46" applyNumberFormat="1" applyFont="1" applyFill="1" applyBorder="1" applyAlignment="1">
      <alignment/>
    </xf>
    <xf numFmtId="175" fontId="2" fillId="35" borderId="30" xfId="46" applyNumberFormat="1" applyFont="1" applyFill="1" applyBorder="1" applyAlignment="1">
      <alignment/>
    </xf>
    <xf numFmtId="0" fontId="2" fillId="35" borderId="45" xfId="0" applyFont="1" applyFill="1" applyBorder="1" applyAlignment="1">
      <alignment/>
    </xf>
    <xf numFmtId="175" fontId="2" fillId="35" borderId="35" xfId="46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33" borderId="46" xfId="0" applyNumberFormat="1" applyFont="1" applyFill="1" applyBorder="1" applyAlignment="1">
      <alignment horizontal="center" vertical="center" wrapText="1"/>
    </xf>
    <xf numFmtId="175" fontId="2" fillId="33" borderId="46" xfId="46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27" xfId="0" applyNumberFormat="1" applyFont="1" applyFill="1" applyBorder="1" applyAlignment="1">
      <alignment horizontal="center"/>
    </xf>
    <xf numFmtId="3" fontId="2" fillId="39" borderId="18" xfId="0" applyNumberFormat="1" applyFont="1" applyFill="1" applyBorder="1" applyAlignment="1">
      <alignment/>
    </xf>
    <xf numFmtId="175" fontId="2" fillId="39" borderId="18" xfId="46" applyNumberFormat="1" applyFont="1" applyFill="1" applyBorder="1" applyAlignment="1">
      <alignment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75" fontId="2" fillId="39" borderId="12" xfId="46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 horizontal="center"/>
    </xf>
    <xf numFmtId="0" fontId="31" fillId="0" borderId="18" xfId="0" applyFont="1" applyBorder="1" applyAlignment="1">
      <alignment horizontal="left" wrapText="1"/>
    </xf>
    <xf numFmtId="175" fontId="31" fillId="36" borderId="18" xfId="46" applyNumberFormat="1" applyFont="1" applyFill="1" applyBorder="1" applyAlignment="1">
      <alignment/>
    </xf>
    <xf numFmtId="0" fontId="31" fillId="0" borderId="0" xfId="0" applyFont="1" applyAlignment="1">
      <alignment/>
    </xf>
    <xf numFmtId="3" fontId="32" fillId="0" borderId="11" xfId="0" applyNumberFormat="1" applyFont="1" applyBorder="1" applyAlignment="1">
      <alignment horizontal="center"/>
    </xf>
    <xf numFmtId="175" fontId="31" fillId="36" borderId="12" xfId="46" applyNumberFormat="1" applyFont="1" applyFill="1" applyBorder="1" applyAlignment="1">
      <alignment/>
    </xf>
    <xf numFmtId="0" fontId="30" fillId="0" borderId="0" xfId="0" applyFont="1" applyAlignment="1">
      <alignment/>
    </xf>
    <xf numFmtId="3" fontId="2" fillId="0" borderId="26" xfId="0" applyNumberFormat="1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3" fontId="0" fillId="0" borderId="47" xfId="0" applyNumberForma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75" fontId="1" fillId="36" borderId="49" xfId="46" applyNumberFormat="1" applyFont="1" applyFill="1" applyBorder="1" applyAlignment="1">
      <alignment/>
    </xf>
    <xf numFmtId="175" fontId="0" fillId="36" borderId="18" xfId="46" applyNumberFormat="1" applyFont="1" applyFill="1" applyBorder="1" applyAlignment="1">
      <alignment/>
    </xf>
    <xf numFmtId="175" fontId="8" fillId="36" borderId="14" xfId="46" applyNumberFormat="1" applyFont="1" applyFill="1" applyBorder="1" applyAlignment="1">
      <alignment/>
    </xf>
    <xf numFmtId="175" fontId="2" fillId="36" borderId="49" xfId="46" applyNumberFormat="1" applyFont="1" applyFill="1" applyBorder="1" applyAlignment="1">
      <alignment/>
    </xf>
    <xf numFmtId="0" fontId="0" fillId="0" borderId="14" xfId="0" applyBorder="1" applyAlignment="1">
      <alignment horizontal="left" wrapText="1"/>
    </xf>
    <xf numFmtId="3" fontId="2" fillId="0" borderId="49" xfId="0" applyNumberFormat="1" applyFont="1" applyBorder="1" applyAlignment="1">
      <alignment/>
    </xf>
    <xf numFmtId="3" fontId="2" fillId="37" borderId="50" xfId="0" applyNumberFormat="1" applyFont="1" applyFill="1" applyBorder="1" applyAlignment="1">
      <alignment horizontal="center" vertical="center"/>
    </xf>
    <xf numFmtId="3" fontId="2" fillId="37" borderId="51" xfId="0" applyNumberFormat="1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3" fontId="31" fillId="0" borderId="0" xfId="0" applyNumberFormat="1" applyFont="1" applyAlignment="1">
      <alignment/>
    </xf>
    <xf numFmtId="3" fontId="2" fillId="40" borderId="23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34" xfId="0" applyNumberFormat="1" applyBorder="1" applyAlignment="1">
      <alignment/>
    </xf>
    <xf numFmtId="3" fontId="0" fillId="0" borderId="52" xfId="0" applyNumberFormat="1" applyBorder="1" applyAlignment="1">
      <alignment wrapText="1"/>
    </xf>
    <xf numFmtId="3" fontId="2" fillId="37" borderId="54" xfId="0" applyNumberFormat="1" applyFont="1" applyFill="1" applyBorder="1" applyAlignment="1">
      <alignment vertical="center" wrapText="1"/>
    </xf>
    <xf numFmtId="3" fontId="2" fillId="37" borderId="49" xfId="0" applyNumberFormat="1" applyFont="1" applyFill="1" applyBorder="1" applyAlignment="1">
      <alignment vertical="center"/>
    </xf>
    <xf numFmtId="3" fontId="2" fillId="33" borderId="54" xfId="0" applyNumberFormat="1" applyFont="1" applyFill="1" applyBorder="1" applyAlignment="1">
      <alignment wrapText="1"/>
    </xf>
    <xf numFmtId="3" fontId="2" fillId="33" borderId="55" xfId="0" applyNumberFormat="1" applyFont="1" applyFill="1" applyBorder="1" applyAlignment="1">
      <alignment horizontal="center" vertical="center"/>
    </xf>
    <xf numFmtId="3" fontId="2" fillId="33" borderId="56" xfId="0" applyNumberFormat="1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 vertical="center"/>
    </xf>
    <xf numFmtId="3" fontId="2" fillId="41" borderId="54" xfId="0" applyNumberFormat="1" applyFont="1" applyFill="1" applyBorder="1" applyAlignment="1">
      <alignment wrapText="1"/>
    </xf>
    <xf numFmtId="3" fontId="2" fillId="37" borderId="59" xfId="0" applyNumberFormat="1" applyFont="1" applyFill="1" applyBorder="1" applyAlignment="1">
      <alignment/>
    </xf>
    <xf numFmtId="3" fontId="2" fillId="37" borderId="60" xfId="0" applyNumberFormat="1" applyFont="1" applyFill="1" applyBorder="1" applyAlignment="1">
      <alignment/>
    </xf>
    <xf numFmtId="3" fontId="8" fillId="0" borderId="53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3" fontId="3" fillId="0" borderId="61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3" fontId="2" fillId="41" borderId="63" xfId="0" applyNumberFormat="1" applyFont="1" applyFill="1" applyBorder="1" applyAlignment="1">
      <alignment/>
    </xf>
    <xf numFmtId="3" fontId="31" fillId="0" borderId="6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62" xfId="0" applyNumberFormat="1" applyFont="1" applyBorder="1" applyAlignment="1">
      <alignment wrapText="1"/>
    </xf>
    <xf numFmtId="3" fontId="13" fillId="0" borderId="62" xfId="0" applyNumberFormat="1" applyFont="1" applyBorder="1" applyAlignment="1">
      <alignment/>
    </xf>
    <xf numFmtId="3" fontId="8" fillId="0" borderId="53" xfId="0" applyNumberFormat="1" applyFont="1" applyBorder="1" applyAlignment="1">
      <alignment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0" fillId="40" borderId="23" xfId="0" applyNumberFormat="1" applyFill="1" applyBorder="1" applyAlignment="1">
      <alignment wrapText="1"/>
    </xf>
    <xf numFmtId="3" fontId="2" fillId="0" borderId="64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5" fontId="0" fillId="0" borderId="65" xfId="46" applyNumberFormat="1" applyBorder="1" applyAlignment="1">
      <alignment/>
    </xf>
    <xf numFmtId="3" fontId="0" fillId="40" borderId="53" xfId="0" applyNumberFormat="1" applyFill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3" fontId="2" fillId="42" borderId="53" xfId="0" applyNumberFormat="1" applyFont="1" applyFill="1" applyBorder="1" applyAlignment="1">
      <alignment wrapText="1"/>
    </xf>
    <xf numFmtId="175" fontId="2" fillId="0" borderId="25" xfId="46" applyNumberFormat="1" applyFont="1" applyBorder="1" applyAlignment="1">
      <alignment/>
    </xf>
    <xf numFmtId="3" fontId="2" fillId="40" borderId="53" xfId="0" applyNumberFormat="1" applyFont="1" applyFill="1" applyBorder="1" applyAlignment="1">
      <alignment wrapText="1"/>
    </xf>
    <xf numFmtId="3" fontId="2" fillId="43" borderId="53" xfId="0" applyNumberFormat="1" applyFont="1" applyFill="1" applyBorder="1" applyAlignment="1">
      <alignment/>
    </xf>
    <xf numFmtId="3" fontId="2" fillId="40" borderId="53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17" fillId="0" borderId="0" xfId="0" applyFont="1" applyAlignment="1">
      <alignment/>
    </xf>
    <xf numFmtId="3" fontId="30" fillId="0" borderId="12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175" fontId="30" fillId="0" borderId="12" xfId="46" applyNumberFormat="1" applyFont="1" applyBorder="1" applyAlignment="1">
      <alignment/>
    </xf>
    <xf numFmtId="3" fontId="31" fillId="0" borderId="53" xfId="0" applyNumberFormat="1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3" fontId="31" fillId="0" borderId="53" xfId="0" applyNumberFormat="1" applyFont="1" applyBorder="1" applyAlignment="1">
      <alignment wrapText="1"/>
    </xf>
    <xf numFmtId="3" fontId="4" fillId="0" borderId="53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1" fillId="0" borderId="62" xfId="0" applyNumberFormat="1" applyFont="1" applyBorder="1" applyAlignment="1">
      <alignment horizontal="center"/>
    </xf>
    <xf numFmtId="3" fontId="14" fillId="0" borderId="66" xfId="0" applyNumberFormat="1" applyFont="1" applyBorder="1" applyAlignment="1">
      <alignment horizontal="center"/>
    </xf>
    <xf numFmtId="3" fontId="31" fillId="0" borderId="62" xfId="0" applyNumberFormat="1" applyFont="1" applyBorder="1" applyAlignment="1">
      <alignment horizontal="left" wrapText="1"/>
    </xf>
    <xf numFmtId="175" fontId="31" fillId="0" borderId="67" xfId="46" applyNumberFormat="1" applyFont="1" applyBorder="1" applyAlignment="1">
      <alignment/>
    </xf>
    <xf numFmtId="3" fontId="2" fillId="33" borderId="68" xfId="0" applyNumberFormat="1" applyFont="1" applyFill="1" applyBorder="1" applyAlignment="1">
      <alignment horizontal="center" vertical="center"/>
    </xf>
    <xf numFmtId="175" fontId="2" fillId="33" borderId="69" xfId="46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/>
    </xf>
    <xf numFmtId="175" fontId="2" fillId="33" borderId="71" xfId="46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2" fillId="40" borderId="61" xfId="0" applyNumberFormat="1" applyFont="1" applyFill="1" applyBorder="1" applyAlignment="1">
      <alignment/>
    </xf>
    <xf numFmtId="175" fontId="2" fillId="0" borderId="27" xfId="46" applyNumberFormat="1" applyFont="1" applyBorder="1" applyAlignment="1">
      <alignment/>
    </xf>
    <xf numFmtId="3" fontId="5" fillId="33" borderId="47" xfId="0" applyNumberFormat="1" applyFont="1" applyFill="1" applyBorder="1" applyAlignment="1">
      <alignment horizontal="center"/>
    </xf>
    <xf numFmtId="3" fontId="17" fillId="33" borderId="49" xfId="0" applyNumberFormat="1" applyFont="1" applyFill="1" applyBorder="1" applyAlignment="1">
      <alignment horizontal="center"/>
    </xf>
    <xf numFmtId="3" fontId="5" fillId="33" borderId="49" xfId="0" applyNumberFormat="1" applyFont="1" applyFill="1" applyBorder="1" applyAlignment="1">
      <alignment/>
    </xf>
    <xf numFmtId="175" fontId="5" fillId="33" borderId="72" xfId="46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5" fontId="2" fillId="33" borderId="71" xfId="46" applyNumberFormat="1" applyFont="1" applyFill="1" applyBorder="1" applyAlignment="1">
      <alignment horizontal="center" vertical="center" wrapText="1"/>
    </xf>
    <xf numFmtId="3" fontId="2" fillId="40" borderId="53" xfId="0" applyNumberFormat="1" applyFont="1" applyFill="1" applyBorder="1" applyAlignment="1">
      <alignment horizontal="center"/>
    </xf>
    <xf numFmtId="175" fontId="2" fillId="40" borderId="53" xfId="46" applyNumberFormat="1" applyFont="1" applyFill="1" applyBorder="1" applyAlignment="1">
      <alignment/>
    </xf>
    <xf numFmtId="175" fontId="2" fillId="42" borderId="14" xfId="46" applyNumberFormat="1" applyFont="1" applyFill="1" applyBorder="1" applyAlignment="1">
      <alignment horizontal="center" vertical="center" wrapText="1"/>
    </xf>
    <xf numFmtId="3" fontId="4" fillId="42" borderId="53" xfId="0" applyNumberFormat="1" applyFont="1" applyFill="1" applyBorder="1" applyAlignment="1">
      <alignment horizontal="center" vertical="center" wrapText="1"/>
    </xf>
    <xf numFmtId="3" fontId="3" fillId="42" borderId="5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75" fontId="2" fillId="0" borderId="31" xfId="46" applyNumberFormat="1" applyFont="1" applyBorder="1" applyAlignment="1">
      <alignment/>
    </xf>
    <xf numFmtId="3" fontId="2" fillId="44" borderId="73" xfId="0" applyNumberFormat="1" applyFont="1" applyFill="1" applyBorder="1" applyAlignment="1">
      <alignment horizontal="center" vertical="center"/>
    </xf>
    <xf numFmtId="3" fontId="2" fillId="44" borderId="50" xfId="0" applyNumberFormat="1" applyFont="1" applyFill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33" borderId="47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75" fontId="2" fillId="33" borderId="49" xfId="46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61" xfId="0" applyNumberFormat="1" applyFont="1" applyBorder="1" applyAlignment="1">
      <alignment horizontal="center"/>
    </xf>
    <xf numFmtId="0" fontId="2" fillId="0" borderId="61" xfId="0" applyFont="1" applyBorder="1" applyAlignment="1">
      <alignment/>
    </xf>
    <xf numFmtId="175" fontId="2" fillId="0" borderId="61" xfId="46" applyNumberFormat="1" applyFont="1" applyBorder="1" applyAlignment="1">
      <alignment/>
    </xf>
    <xf numFmtId="0" fontId="2" fillId="33" borderId="49" xfId="0" applyFont="1" applyFill="1" applyBorder="1" applyAlignment="1">
      <alignment wrapText="1"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0" fontId="0" fillId="0" borderId="53" xfId="0" applyBorder="1" applyAlignment="1">
      <alignment/>
    </xf>
    <xf numFmtId="175" fontId="0" fillId="0" borderId="53" xfId="46" applyNumberFormat="1" applyBorder="1" applyAlignment="1">
      <alignment/>
    </xf>
    <xf numFmtId="3" fontId="0" fillId="36" borderId="53" xfId="0" applyNumberFormat="1" applyFill="1" applyBorder="1" applyAlignment="1">
      <alignment/>
    </xf>
    <xf numFmtId="0" fontId="18" fillId="33" borderId="75" xfId="0" applyFont="1" applyFill="1" applyBorder="1" applyAlignment="1">
      <alignment horizontal="left" vertical="center" wrapText="1"/>
    </xf>
    <xf numFmtId="49" fontId="19" fillId="33" borderId="74" xfId="0" applyNumberFormat="1" applyFont="1" applyFill="1" applyBorder="1" applyAlignment="1">
      <alignment horizontal="center" vertical="center" wrapText="1"/>
    </xf>
    <xf numFmtId="49" fontId="19" fillId="33" borderId="69" xfId="0" applyNumberFormat="1" applyFont="1" applyFill="1" applyBorder="1" applyAlignment="1">
      <alignment horizontal="center" vertical="center" wrapText="1"/>
    </xf>
    <xf numFmtId="0" fontId="2" fillId="45" borderId="76" xfId="0" applyFont="1" applyFill="1" applyBorder="1" applyAlignment="1">
      <alignment horizontal="left" vertical="center" wrapText="1"/>
    </xf>
    <xf numFmtId="175" fontId="3" fillId="0" borderId="77" xfId="46" applyNumberFormat="1" applyFont="1" applyBorder="1" applyAlignment="1">
      <alignment/>
    </xf>
    <xf numFmtId="0" fontId="0" fillId="45" borderId="76" xfId="0" applyFill="1" applyBorder="1" applyAlignment="1">
      <alignment horizontal="left" vertical="center" wrapText="1"/>
    </xf>
    <xf numFmtId="0" fontId="2" fillId="33" borderId="76" xfId="0" applyFont="1" applyFill="1" applyBorder="1" applyAlignment="1">
      <alignment horizontal="left" vertical="center" wrapText="1"/>
    </xf>
    <xf numFmtId="3" fontId="2" fillId="33" borderId="77" xfId="0" applyNumberFormat="1" applyFont="1" applyFill="1" applyBorder="1" applyAlignment="1">
      <alignment/>
    </xf>
    <xf numFmtId="3" fontId="0" fillId="0" borderId="77" xfId="0" applyNumberFormat="1" applyBorder="1" applyAlignment="1">
      <alignment/>
    </xf>
    <xf numFmtId="0" fontId="2" fillId="45" borderId="78" xfId="0" applyFont="1" applyFill="1" applyBorder="1" applyAlignment="1">
      <alignment horizontal="left" vertical="center" wrapText="1"/>
    </xf>
    <xf numFmtId="3" fontId="2" fillId="45" borderId="70" xfId="0" applyNumberFormat="1" applyFont="1" applyFill="1" applyBorder="1" applyAlignment="1">
      <alignment/>
    </xf>
    <xf numFmtId="3" fontId="2" fillId="45" borderId="71" xfId="0" applyNumberFormat="1" applyFont="1" applyFill="1" applyBorder="1" applyAlignment="1">
      <alignment/>
    </xf>
    <xf numFmtId="175" fontId="31" fillId="0" borderId="53" xfId="46" applyNumberFormat="1" applyFont="1" applyBorder="1" applyAlignment="1">
      <alignment/>
    </xf>
    <xf numFmtId="175" fontId="2" fillId="0" borderId="53" xfId="46" applyNumberFormat="1" applyFont="1" applyBorder="1" applyAlignment="1">
      <alignment/>
    </xf>
    <xf numFmtId="3" fontId="2" fillId="37" borderId="79" xfId="0" applyNumberFormat="1" applyFont="1" applyFill="1" applyBorder="1" applyAlignment="1">
      <alignment horizontal="center" vertical="center"/>
    </xf>
    <xf numFmtId="3" fontId="4" fillId="37" borderId="80" xfId="0" applyNumberFormat="1" applyFont="1" applyFill="1" applyBorder="1" applyAlignment="1">
      <alignment horizontal="center" vertical="center" wrapText="1"/>
    </xf>
    <xf numFmtId="175" fontId="2" fillId="37" borderId="81" xfId="46" applyNumberFormat="1" applyFont="1" applyFill="1" applyBorder="1" applyAlignment="1">
      <alignment horizontal="center" vertical="center" wrapText="1"/>
    </xf>
    <xf numFmtId="3" fontId="2" fillId="37" borderId="82" xfId="0" applyNumberFormat="1" applyFont="1" applyFill="1" applyBorder="1" applyAlignment="1">
      <alignment horizontal="center" vertical="center"/>
    </xf>
    <xf numFmtId="175" fontId="2" fillId="37" borderId="83" xfId="46" applyNumberFormat="1" applyFont="1" applyFill="1" applyBorder="1" applyAlignment="1">
      <alignment horizontal="center"/>
    </xf>
    <xf numFmtId="175" fontId="2" fillId="0" borderId="84" xfId="46" applyNumberFormat="1" applyFont="1" applyBorder="1" applyAlignment="1">
      <alignment/>
    </xf>
    <xf numFmtId="175" fontId="31" fillId="0" borderId="84" xfId="46" applyNumberFormat="1" applyFont="1" applyBorder="1" applyAlignment="1">
      <alignment/>
    </xf>
    <xf numFmtId="175" fontId="6" fillId="0" borderId="85" xfId="46" applyNumberFormat="1" applyFont="1" applyBorder="1" applyAlignment="1">
      <alignment/>
    </xf>
    <xf numFmtId="0" fontId="0" fillId="0" borderId="0" xfId="0" applyAlignment="1">
      <alignment vertical="center"/>
    </xf>
    <xf numFmtId="177" fontId="2" fillId="0" borderId="53" xfId="0" applyNumberFormat="1" applyFont="1" applyBorder="1" applyAlignment="1">
      <alignment/>
    </xf>
    <xf numFmtId="0" fontId="17" fillId="36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2" fillId="37" borderId="73" xfId="0" applyNumberFormat="1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175" fontId="2" fillId="0" borderId="77" xfId="46" applyNumberFormat="1" applyFont="1" applyBorder="1" applyAlignment="1">
      <alignment/>
    </xf>
    <xf numFmtId="0" fontId="0" fillId="0" borderId="86" xfId="0" applyBorder="1" applyAlignment="1">
      <alignment horizontal="center"/>
    </xf>
    <xf numFmtId="175" fontId="0" fillId="0" borderId="77" xfId="46" applyNumberFormat="1" applyBorder="1" applyAlignment="1">
      <alignment/>
    </xf>
    <xf numFmtId="175" fontId="0" fillId="36" borderId="77" xfId="46" applyNumberFormat="1" applyFill="1" applyBorder="1" applyAlignment="1">
      <alignment/>
    </xf>
    <xf numFmtId="175" fontId="0" fillId="0" borderId="87" xfId="46" applyNumberFormat="1" applyBorder="1" applyAlignment="1">
      <alignment/>
    </xf>
    <xf numFmtId="175" fontId="0" fillId="0" borderId="84" xfId="46" applyNumberFormat="1" applyBorder="1" applyAlignment="1">
      <alignment/>
    </xf>
    <xf numFmtId="175" fontId="0" fillId="0" borderId="88" xfId="46" applyNumberFormat="1" applyBorder="1" applyAlignment="1">
      <alignment/>
    </xf>
    <xf numFmtId="3" fontId="5" fillId="33" borderId="89" xfId="0" applyNumberFormat="1" applyFont="1" applyFill="1" applyBorder="1" applyAlignment="1">
      <alignment horizontal="center" vertical="center"/>
    </xf>
    <xf numFmtId="175" fontId="8" fillId="0" borderId="53" xfId="46" applyNumberFormat="1" applyFont="1" applyBorder="1" applyAlignment="1">
      <alignment/>
    </xf>
    <xf numFmtId="175" fontId="2" fillId="0" borderId="56" xfId="46" applyNumberFormat="1" applyFont="1" applyBorder="1" applyAlignment="1">
      <alignment/>
    </xf>
    <xf numFmtId="175" fontId="2" fillId="0" borderId="62" xfId="46" applyNumberFormat="1" applyFont="1" applyBorder="1" applyAlignment="1">
      <alignment/>
    </xf>
    <xf numFmtId="175" fontId="2" fillId="0" borderId="90" xfId="46" applyNumberFormat="1" applyFont="1" applyBorder="1" applyAlignment="1">
      <alignment/>
    </xf>
    <xf numFmtId="175" fontId="6" fillId="0" borderId="91" xfId="46" applyNumberFormat="1" applyFont="1" applyBorder="1" applyAlignment="1">
      <alignment vertical="center"/>
    </xf>
    <xf numFmtId="175" fontId="5" fillId="39" borderId="92" xfId="46" applyNumberFormat="1" applyFont="1" applyFill="1" applyBorder="1" applyAlignment="1">
      <alignment/>
    </xf>
    <xf numFmtId="175" fontId="6" fillId="36" borderId="91" xfId="46" applyNumberFormat="1" applyFont="1" applyFill="1" applyBorder="1" applyAlignment="1">
      <alignment vertical="center"/>
    </xf>
    <xf numFmtId="3" fontId="2" fillId="33" borderId="93" xfId="0" applyNumberFormat="1" applyFont="1" applyFill="1" applyBorder="1" applyAlignment="1">
      <alignment horizontal="center" vertical="center" wrapText="1"/>
    </xf>
    <xf numFmtId="175" fontId="13" fillId="0" borderId="94" xfId="46" applyNumberFormat="1" applyFont="1" applyBorder="1" applyAlignment="1">
      <alignment/>
    </xf>
    <xf numFmtId="175" fontId="13" fillId="0" borderId="95" xfId="46" applyNumberFormat="1" applyFont="1" applyBorder="1" applyAlignment="1">
      <alignment/>
    </xf>
    <xf numFmtId="3" fontId="0" fillId="0" borderId="31" xfId="0" applyNumberFormat="1" applyBorder="1" applyAlignment="1">
      <alignment/>
    </xf>
    <xf numFmtId="175" fontId="0" fillId="0" borderId="96" xfId="46" applyNumberFormat="1" applyFont="1" applyBorder="1" applyAlignment="1">
      <alignment/>
    </xf>
    <xf numFmtId="175" fontId="6" fillId="0" borderId="97" xfId="46" applyNumberFormat="1" applyFont="1" applyBorder="1" applyAlignment="1">
      <alignment/>
    </xf>
    <xf numFmtId="0" fontId="5" fillId="37" borderId="98" xfId="0" applyFont="1" applyFill="1" applyBorder="1" applyAlignment="1">
      <alignment/>
    </xf>
    <xf numFmtId="0" fontId="5" fillId="37" borderId="99" xfId="0" applyFont="1" applyFill="1" applyBorder="1" applyAlignment="1">
      <alignment/>
    </xf>
    <xf numFmtId="175" fontId="5" fillId="37" borderId="100" xfId="46" applyNumberFormat="1" applyFont="1" applyFill="1" applyBorder="1" applyAlignment="1">
      <alignment/>
    </xf>
    <xf numFmtId="3" fontId="2" fillId="0" borderId="53" xfId="0" applyNumberFormat="1" applyFont="1" applyBorder="1" applyAlignment="1">
      <alignment wrapText="1"/>
    </xf>
    <xf numFmtId="177" fontId="0" fillId="0" borderId="53" xfId="0" applyNumberFormat="1" applyBorder="1" applyAlignment="1">
      <alignment/>
    </xf>
    <xf numFmtId="3" fontId="13" fillId="0" borderId="53" xfId="0" applyNumberFormat="1" applyFont="1" applyBorder="1" applyAlignment="1">
      <alignment horizontal="center"/>
    </xf>
    <xf numFmtId="177" fontId="13" fillId="0" borderId="53" xfId="0" applyNumberFormat="1" applyFont="1" applyBorder="1" applyAlignment="1">
      <alignment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175" fontId="0" fillId="0" borderId="84" xfId="46" applyNumberFormat="1" applyFont="1" applyBorder="1" applyAlignment="1">
      <alignment/>
    </xf>
    <xf numFmtId="3" fontId="13" fillId="0" borderId="101" xfId="0" applyNumberFormat="1" applyFont="1" applyBorder="1" applyAlignment="1">
      <alignment horizontal="center"/>
    </xf>
    <xf numFmtId="175" fontId="13" fillId="0" borderId="84" xfId="46" applyNumberFormat="1" applyFont="1" applyBorder="1" applyAlignment="1">
      <alignment/>
    </xf>
    <xf numFmtId="0" fontId="2" fillId="0" borderId="101" xfId="0" applyFont="1" applyBorder="1" applyAlignment="1">
      <alignment/>
    </xf>
    <xf numFmtId="3" fontId="2" fillId="0" borderId="10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wrapText="1"/>
    </xf>
    <xf numFmtId="177" fontId="2" fillId="0" borderId="62" xfId="0" applyNumberFormat="1" applyFont="1" applyBorder="1" applyAlignment="1">
      <alignment/>
    </xf>
    <xf numFmtId="3" fontId="0" fillId="33" borderId="70" xfId="0" applyNumberFormat="1" applyFill="1" applyBorder="1" applyAlignment="1">
      <alignment horizontal="center" vertical="center"/>
    </xf>
    <xf numFmtId="3" fontId="0" fillId="0" borderId="103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177" fontId="0" fillId="0" borderId="61" xfId="0" applyNumberFormat="1" applyBorder="1" applyAlignment="1">
      <alignment/>
    </xf>
    <xf numFmtId="175" fontId="0" fillId="0" borderId="104" xfId="46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75" fontId="6" fillId="0" borderId="105" xfId="46" applyNumberFormat="1" applyFont="1" applyBorder="1" applyAlignment="1">
      <alignment horizontal="right" vertical="center"/>
    </xf>
    <xf numFmtId="175" fontId="6" fillId="36" borderId="91" xfId="46" applyNumberFormat="1" applyFont="1" applyFill="1" applyBorder="1" applyAlignment="1">
      <alignment horizontal="right" vertical="center"/>
    </xf>
    <xf numFmtId="175" fontId="5" fillId="37" borderId="72" xfId="46" applyNumberFormat="1" applyFont="1" applyFill="1" applyBorder="1" applyAlignment="1">
      <alignment horizontal="center" vertical="center"/>
    </xf>
    <xf numFmtId="3" fontId="5" fillId="37" borderId="106" xfId="0" applyNumberFormat="1" applyFont="1" applyFill="1" applyBorder="1" applyAlignment="1">
      <alignment horizontal="center" vertical="center"/>
    </xf>
    <xf numFmtId="3" fontId="5" fillId="37" borderId="54" xfId="0" applyNumberFormat="1" applyFont="1" applyFill="1" applyBorder="1" applyAlignment="1">
      <alignment horizontal="center" vertical="center"/>
    </xf>
    <xf numFmtId="3" fontId="5" fillId="37" borderId="48" xfId="0" applyNumberFormat="1" applyFont="1" applyFill="1" applyBorder="1" applyAlignment="1">
      <alignment horizontal="left" vertical="center"/>
    </xf>
    <xf numFmtId="3" fontId="5" fillId="37" borderId="107" xfId="0" applyNumberFormat="1" applyFont="1" applyFill="1" applyBorder="1" applyAlignment="1">
      <alignment horizontal="left" vertical="center"/>
    </xf>
    <xf numFmtId="3" fontId="6" fillId="0" borderId="106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08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>
      <alignment horizontal="center"/>
    </xf>
    <xf numFmtId="175" fontId="8" fillId="0" borderId="77" xfId="46" applyNumberFormat="1" applyFont="1" applyBorder="1" applyAlignment="1">
      <alignment horizontal="right" vertical="center"/>
    </xf>
    <xf numFmtId="3" fontId="8" fillId="0" borderId="110" xfId="0" applyNumberFormat="1" applyFont="1" applyBorder="1" applyAlignment="1">
      <alignment horizontal="center"/>
    </xf>
    <xf numFmtId="175" fontId="8" fillId="0" borderId="87" xfId="46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center"/>
    </xf>
    <xf numFmtId="3" fontId="2" fillId="0" borderId="109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3" fontId="5" fillId="46" borderId="6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36" borderId="53" xfId="46" applyNumberFormat="1" applyFont="1" applyFill="1" applyBorder="1" applyAlignment="1">
      <alignment/>
    </xf>
    <xf numFmtId="3" fontId="8" fillId="0" borderId="53" xfId="0" applyNumberFormat="1" applyFont="1" applyBorder="1" applyAlignment="1">
      <alignment horizontal="center"/>
    </xf>
    <xf numFmtId="3" fontId="25" fillId="33" borderId="69" xfId="0" applyNumberFormat="1" applyFont="1" applyFill="1" applyBorder="1" applyAlignment="1">
      <alignment horizontal="center" vertical="center" wrapText="1"/>
    </xf>
    <xf numFmtId="3" fontId="37" fillId="37" borderId="98" xfId="0" applyNumberFormat="1" applyFont="1" applyFill="1" applyBorder="1" applyAlignment="1">
      <alignment horizontal="center"/>
    </xf>
    <xf numFmtId="3" fontId="22" fillId="37" borderId="112" xfId="0" applyNumberFormat="1" applyFont="1" applyFill="1" applyBorder="1" applyAlignment="1">
      <alignment/>
    </xf>
    <xf numFmtId="3" fontId="24" fillId="33" borderId="71" xfId="0" applyNumberFormat="1" applyFont="1" applyFill="1" applyBorder="1" applyAlignment="1">
      <alignment horizontal="center"/>
    </xf>
    <xf numFmtId="3" fontId="22" fillId="37" borderId="113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wrapText="1"/>
    </xf>
    <xf numFmtId="3" fontId="24" fillId="0" borderId="53" xfId="0" applyNumberFormat="1" applyFont="1" applyBorder="1" applyAlignment="1">
      <alignment/>
    </xf>
    <xf numFmtId="3" fontId="18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5" fontId="8" fillId="0" borderId="13" xfId="46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5" fontId="6" fillId="0" borderId="13" xfId="46" applyNumberFormat="1" applyFont="1" applyBorder="1" applyAlignment="1">
      <alignment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/>
    </xf>
    <xf numFmtId="175" fontId="5" fillId="47" borderId="13" xfId="46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wrapText="1"/>
    </xf>
    <xf numFmtId="175" fontId="0" fillId="0" borderId="10" xfId="46" applyNumberFormat="1" applyBorder="1" applyAlignment="1">
      <alignment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75" fontId="5" fillId="47" borderId="16" xfId="46" applyNumberFormat="1" applyFont="1" applyFill="1" applyBorder="1" applyAlignment="1">
      <alignment/>
    </xf>
    <xf numFmtId="3" fontId="6" fillId="0" borderId="53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3" fontId="18" fillId="33" borderId="18" xfId="0" applyNumberFormat="1" applyFont="1" applyFill="1" applyBorder="1" applyAlignment="1">
      <alignment horizontal="left" wrapText="1"/>
    </xf>
    <xf numFmtId="3" fontId="18" fillId="33" borderId="53" xfId="0" applyNumberFormat="1" applyFont="1" applyFill="1" applyBorder="1" applyAlignment="1">
      <alignment horizontal="center"/>
    </xf>
    <xf numFmtId="3" fontId="18" fillId="41" borderId="53" xfId="0" applyNumberFormat="1" applyFont="1" applyFill="1" applyBorder="1" applyAlignment="1">
      <alignment wrapText="1"/>
    </xf>
    <xf numFmtId="3" fontId="18" fillId="33" borderId="53" xfId="0" applyNumberFormat="1" applyFont="1" applyFill="1" applyBorder="1" applyAlignment="1">
      <alignment/>
    </xf>
    <xf numFmtId="177" fontId="0" fillId="0" borderId="53" xfId="0" applyNumberFormat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5" fontId="2" fillId="33" borderId="87" xfId="46" applyNumberFormat="1" applyFont="1" applyFill="1" applyBorder="1" applyAlignment="1">
      <alignment horizontal="center" vertical="center"/>
    </xf>
    <xf numFmtId="175" fontId="2" fillId="0" borderId="114" xfId="46" applyNumberFormat="1" applyFont="1" applyBorder="1" applyAlignment="1">
      <alignment horizontal="right" vertical="center"/>
    </xf>
    <xf numFmtId="175" fontId="0" fillId="36" borderId="115" xfId="46" applyNumberFormat="1" applyFill="1" applyBorder="1" applyAlignment="1">
      <alignment horizontal="right" vertical="center"/>
    </xf>
    <xf numFmtId="175" fontId="2" fillId="36" borderId="115" xfId="46" applyNumberFormat="1" applyFont="1" applyFill="1" applyBorder="1" applyAlignment="1">
      <alignment horizontal="right" vertical="center"/>
    </xf>
    <xf numFmtId="175" fontId="0" fillId="0" borderId="115" xfId="46" applyNumberFormat="1" applyBorder="1" applyAlignment="1">
      <alignment horizontal="right" vertical="center"/>
    </xf>
    <xf numFmtId="175" fontId="2" fillId="0" borderId="115" xfId="46" applyNumberFormat="1" applyFont="1" applyBorder="1" applyAlignment="1">
      <alignment horizontal="right" vertical="center"/>
    </xf>
    <xf numFmtId="175" fontId="0" fillId="0" borderId="116" xfId="46" applyNumberFormat="1" applyBorder="1" applyAlignment="1">
      <alignment horizontal="right" vertical="center"/>
    </xf>
    <xf numFmtId="175" fontId="0" fillId="0" borderId="117" xfId="46" applyNumberFormat="1" applyBorder="1" applyAlignment="1">
      <alignment horizontal="right" vertical="center"/>
    </xf>
    <xf numFmtId="175" fontId="0" fillId="0" borderId="118" xfId="46" applyNumberFormat="1" applyBorder="1" applyAlignment="1">
      <alignment horizontal="right" vertical="center"/>
    </xf>
    <xf numFmtId="175" fontId="2" fillId="0" borderId="119" xfId="46" applyNumberFormat="1" applyFont="1" applyBorder="1" applyAlignment="1">
      <alignment horizontal="right" vertical="center"/>
    </xf>
    <xf numFmtId="175" fontId="8" fillId="0" borderId="120" xfId="46" applyNumberFormat="1" applyFont="1" applyBorder="1" applyAlignment="1">
      <alignment horizontal="right" vertical="center"/>
    </xf>
    <xf numFmtId="175" fontId="8" fillId="36" borderId="121" xfId="46" applyNumberFormat="1" applyFont="1" applyFill="1" applyBorder="1" applyAlignment="1">
      <alignment horizontal="right" vertical="center"/>
    </xf>
    <xf numFmtId="3" fontId="33" fillId="0" borderId="122" xfId="0" applyNumberFormat="1" applyFont="1" applyBorder="1" applyAlignment="1">
      <alignment horizontal="center"/>
    </xf>
    <xf numFmtId="3" fontId="2" fillId="0" borderId="123" xfId="0" applyNumberFormat="1" applyFont="1" applyBorder="1" applyAlignment="1">
      <alignment horizontal="center"/>
    </xf>
    <xf numFmtId="3" fontId="8" fillId="0" borderId="124" xfId="0" applyNumberFormat="1" applyFont="1" applyBorder="1" applyAlignment="1">
      <alignment horizontal="center"/>
    </xf>
    <xf numFmtId="3" fontId="8" fillId="0" borderId="125" xfId="0" applyNumberFormat="1" applyFont="1" applyBorder="1" applyAlignment="1">
      <alignment horizontal="center"/>
    </xf>
    <xf numFmtId="175" fontId="5" fillId="46" borderId="126" xfId="46" applyNumberFormat="1" applyFont="1" applyFill="1" applyBorder="1" applyAlignment="1">
      <alignment horizontal="center" vertical="center"/>
    </xf>
    <xf numFmtId="3" fontId="5" fillId="41" borderId="108" xfId="0" applyNumberFormat="1" applyFont="1" applyFill="1" applyBorder="1" applyAlignment="1">
      <alignment horizontal="center" vertical="center"/>
    </xf>
    <xf numFmtId="3" fontId="35" fillId="40" borderId="12" xfId="0" applyNumberFormat="1" applyFont="1" applyFill="1" applyBorder="1" applyAlignment="1">
      <alignment/>
    </xf>
    <xf numFmtId="175" fontId="8" fillId="40" borderId="84" xfId="46" applyNumberFormat="1" applyFont="1" applyFill="1" applyBorder="1" applyAlignment="1">
      <alignment/>
    </xf>
    <xf numFmtId="3" fontId="18" fillId="48" borderId="1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4" fillId="0" borderId="53" xfId="0" applyNumberFormat="1" applyFont="1" applyBorder="1" applyAlignment="1">
      <alignment horizontal="center"/>
    </xf>
    <xf numFmtId="175" fontId="24" fillId="0" borderId="53" xfId="46" applyNumberFormat="1" applyFont="1" applyBorder="1" applyAlignment="1">
      <alignment/>
    </xf>
    <xf numFmtId="0" fontId="2" fillId="0" borderId="62" xfId="0" applyFont="1" applyBorder="1" applyAlignment="1">
      <alignment/>
    </xf>
    <xf numFmtId="3" fontId="2" fillId="33" borderId="127" xfId="0" applyNumberFormat="1" applyFont="1" applyFill="1" applyBorder="1" applyAlignment="1">
      <alignment horizontal="center" vertical="center" wrapText="1"/>
    </xf>
    <xf numFmtId="175" fontId="2" fillId="33" borderId="128" xfId="46" applyNumberFormat="1" applyFont="1" applyFill="1" applyBorder="1" applyAlignment="1">
      <alignment horizontal="center"/>
    </xf>
    <xf numFmtId="175" fontId="0" fillId="0" borderId="61" xfId="46" applyNumberFormat="1" applyBorder="1" applyAlignment="1">
      <alignment/>
    </xf>
    <xf numFmtId="3" fontId="2" fillId="37" borderId="108" xfId="0" applyNumberFormat="1" applyFont="1" applyFill="1" applyBorder="1" applyAlignment="1">
      <alignment horizontal="center"/>
    </xf>
    <xf numFmtId="3" fontId="2" fillId="37" borderId="63" xfId="0" applyNumberFormat="1" applyFont="1" applyFill="1" applyBorder="1" applyAlignment="1">
      <alignment horizontal="center"/>
    </xf>
    <xf numFmtId="175" fontId="2" fillId="37" borderId="91" xfId="46" applyNumberFormat="1" applyFont="1" applyFill="1" applyBorder="1" applyAlignment="1">
      <alignment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9" xfId="0" applyNumberFormat="1" applyFont="1" applyFill="1" applyBorder="1" applyAlignment="1">
      <alignment vertical="center"/>
    </xf>
    <xf numFmtId="175" fontId="5" fillId="33" borderId="49" xfId="46" applyNumberFormat="1" applyFont="1" applyFill="1" applyBorder="1" applyAlignment="1">
      <alignment vertical="center"/>
    </xf>
    <xf numFmtId="3" fontId="9" fillId="0" borderId="129" xfId="0" applyNumberFormat="1" applyFont="1" applyBorder="1" applyAlignment="1">
      <alignment horizontal="center"/>
    </xf>
    <xf numFmtId="3" fontId="6" fillId="0" borderId="129" xfId="0" applyNumberFormat="1" applyFont="1" applyBorder="1" applyAlignment="1">
      <alignment horizontal="center"/>
    </xf>
    <xf numFmtId="175" fontId="6" fillId="0" borderId="129" xfId="46" applyNumberFormat="1" applyFont="1" applyBorder="1" applyAlignment="1">
      <alignment/>
    </xf>
    <xf numFmtId="3" fontId="2" fillId="0" borderId="130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2" fillId="0" borderId="60" xfId="0" applyNumberFormat="1" applyFont="1" applyBorder="1" applyAlignment="1">
      <alignment/>
    </xf>
    <xf numFmtId="3" fontId="2" fillId="0" borderId="131" xfId="0" applyNumberFormat="1" applyFon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" fillId="0" borderId="134" xfId="0" applyNumberFormat="1" applyFont="1" applyBorder="1" applyAlignment="1">
      <alignment horizontal="center"/>
    </xf>
    <xf numFmtId="3" fontId="2" fillId="0" borderId="125" xfId="0" applyNumberFormat="1" applyFont="1" applyBorder="1" applyAlignment="1">
      <alignment horizontal="center"/>
    </xf>
    <xf numFmtId="3" fontId="6" fillId="0" borderId="125" xfId="0" applyNumberFormat="1" applyFont="1" applyBorder="1" applyAlignment="1">
      <alignment horizontal="center"/>
    </xf>
    <xf numFmtId="175" fontId="2" fillId="0" borderId="125" xfId="46" applyNumberFormat="1" applyFont="1" applyBorder="1" applyAlignment="1">
      <alignment/>
    </xf>
    <xf numFmtId="3" fontId="6" fillId="36" borderId="129" xfId="0" applyNumberFormat="1" applyFont="1" applyFill="1" applyBorder="1" applyAlignment="1">
      <alignment horizontal="center" vertical="center" wrapText="1"/>
    </xf>
    <xf numFmtId="175" fontId="6" fillId="36" borderId="129" xfId="46" applyNumberFormat="1" applyFont="1" applyFill="1" applyBorder="1" applyAlignment="1">
      <alignment vertical="center"/>
    </xf>
    <xf numFmtId="3" fontId="6" fillId="0" borderId="53" xfId="0" applyNumberFormat="1" applyFont="1" applyBorder="1" applyAlignment="1">
      <alignment horizontal="center" vertical="center"/>
    </xf>
    <xf numFmtId="175" fontId="6" fillId="0" borderId="53" xfId="46" applyNumberFormat="1" applyFont="1" applyBorder="1" applyAlignment="1">
      <alignment vertical="center"/>
    </xf>
    <xf numFmtId="3" fontId="2" fillId="0" borderId="135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horizontal="center"/>
    </xf>
    <xf numFmtId="3" fontId="2" fillId="0" borderId="136" xfId="0" applyNumberFormat="1" applyFont="1" applyBorder="1" applyAlignment="1">
      <alignment wrapText="1"/>
    </xf>
    <xf numFmtId="3" fontId="5" fillId="37" borderId="137" xfId="0" applyNumberFormat="1" applyFont="1" applyFill="1" applyBorder="1" applyAlignment="1">
      <alignment horizontal="center" vertical="center"/>
    </xf>
    <xf numFmtId="175" fontId="5" fillId="37" borderId="137" xfId="46" applyNumberFormat="1" applyFont="1" applyFill="1" applyBorder="1" applyAlignment="1">
      <alignment horizontal="center" vertical="center"/>
    </xf>
    <xf numFmtId="175" fontId="0" fillId="40" borderId="95" xfId="46" applyNumberFormat="1" applyFill="1" applyBorder="1" applyAlignment="1">
      <alignment/>
    </xf>
    <xf numFmtId="175" fontId="0" fillId="40" borderId="30" xfId="46" applyNumberFormat="1" applyFill="1" applyBorder="1" applyAlignment="1">
      <alignment horizontal="center" vertical="center"/>
    </xf>
    <xf numFmtId="175" fontId="0" fillId="36" borderId="138" xfId="46" applyNumberFormat="1" applyFont="1" applyFill="1" applyBorder="1" applyAlignment="1">
      <alignment/>
    </xf>
    <xf numFmtId="3" fontId="0" fillId="0" borderId="139" xfId="0" applyNumberFormat="1" applyBorder="1" applyAlignment="1">
      <alignment horizontal="center"/>
    </xf>
    <xf numFmtId="3" fontId="2" fillId="0" borderId="137" xfId="0" applyNumberFormat="1" applyFont="1" applyBorder="1" applyAlignment="1">
      <alignment horizontal="center"/>
    </xf>
    <xf numFmtId="0" fontId="2" fillId="0" borderId="137" xfId="0" applyFont="1" applyBorder="1" applyAlignment="1">
      <alignment/>
    </xf>
    <xf numFmtId="175" fontId="2" fillId="36" borderId="137" xfId="46" applyNumberFormat="1" applyFont="1" applyFill="1" applyBorder="1" applyAlignment="1">
      <alignment/>
    </xf>
    <xf numFmtId="175" fontId="0" fillId="36" borderId="53" xfId="46" applyNumberFormat="1" applyFont="1" applyFill="1" applyBorder="1" applyAlignment="1">
      <alignment/>
    </xf>
    <xf numFmtId="3" fontId="2" fillId="43" borderId="6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40" borderId="62" xfId="0" applyNumberFormat="1" applyFont="1" applyFill="1" applyBorder="1" applyAlignment="1">
      <alignment/>
    </xf>
    <xf numFmtId="3" fontId="31" fillId="0" borderId="53" xfId="0" applyNumberFormat="1" applyFont="1" applyBorder="1" applyAlignment="1">
      <alignment horizontal="left" wrapText="1"/>
    </xf>
    <xf numFmtId="3" fontId="2" fillId="33" borderId="49" xfId="0" applyNumberFormat="1" applyFont="1" applyFill="1" applyBorder="1" applyAlignment="1">
      <alignment horizontal="center" vertical="center"/>
    </xf>
    <xf numFmtId="175" fontId="2" fillId="33" borderId="49" xfId="46" applyNumberFormat="1" applyFont="1" applyFill="1" applyBorder="1" applyAlignment="1">
      <alignment horizontal="center" vertical="center"/>
    </xf>
    <xf numFmtId="175" fontId="0" fillId="0" borderId="138" xfId="46" applyNumberFormat="1" applyBorder="1" applyAlignment="1">
      <alignment horizontal="center"/>
    </xf>
    <xf numFmtId="175" fontId="0" fillId="0" borderId="53" xfId="46" applyNumberFormat="1" applyBorder="1" applyAlignment="1">
      <alignment horizontal="center"/>
    </xf>
    <xf numFmtId="0" fontId="2" fillId="0" borderId="53" xfId="0" applyFont="1" applyBorder="1" applyAlignment="1">
      <alignment/>
    </xf>
    <xf numFmtId="175" fontId="0" fillId="0" borderId="53" xfId="46" applyNumberFormat="1" applyBorder="1" applyAlignment="1">
      <alignment horizontal="center" vertical="center"/>
    </xf>
    <xf numFmtId="175" fontId="2" fillId="0" borderId="53" xfId="46" applyNumberFormat="1" applyFont="1" applyBorder="1" applyAlignment="1">
      <alignment horizontal="center" vertical="center"/>
    </xf>
    <xf numFmtId="175" fontId="0" fillId="0" borderId="18" xfId="46" applyNumberFormat="1" applyFont="1" applyBorder="1" applyAlignment="1">
      <alignment horizontal="center"/>
    </xf>
    <xf numFmtId="175" fontId="2" fillId="0" borderId="49" xfId="46" applyNumberFormat="1" applyFont="1" applyBorder="1" applyAlignment="1">
      <alignment/>
    </xf>
    <xf numFmtId="175" fontId="2" fillId="0" borderId="72" xfId="46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2" fillId="41" borderId="53" xfId="0" applyNumberFormat="1" applyFont="1" applyFill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2" fillId="33" borderId="140" xfId="0" applyNumberFormat="1" applyFont="1" applyFill="1" applyBorder="1" applyAlignment="1">
      <alignment horizontal="center"/>
    </xf>
    <xf numFmtId="3" fontId="2" fillId="41" borderId="140" xfId="0" applyNumberFormat="1" applyFont="1" applyFill="1" applyBorder="1" applyAlignment="1">
      <alignment horizontal="center"/>
    </xf>
    <xf numFmtId="3" fontId="0" fillId="0" borderId="141" xfId="0" applyNumberFormat="1" applyBorder="1" applyAlignment="1">
      <alignment horizontal="center"/>
    </xf>
    <xf numFmtId="3" fontId="2" fillId="37" borderId="140" xfId="0" applyNumberFormat="1" applyFont="1" applyFill="1" applyBorder="1" applyAlignment="1">
      <alignment horizontal="center" vertical="center"/>
    </xf>
    <xf numFmtId="3" fontId="0" fillId="0" borderId="65" xfId="0" applyNumberFormat="1" applyBorder="1" applyAlignment="1">
      <alignment horizontal="center"/>
    </xf>
    <xf numFmtId="3" fontId="2" fillId="37" borderId="73" xfId="0" applyNumberFormat="1" applyFont="1" applyFill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142" xfId="0" applyNumberFormat="1" applyBorder="1" applyAlignment="1">
      <alignment/>
    </xf>
    <xf numFmtId="3" fontId="2" fillId="41" borderId="143" xfId="0" applyNumberFormat="1" applyFont="1" applyFill="1" applyBorder="1" applyAlignment="1">
      <alignment/>
    </xf>
    <xf numFmtId="3" fontId="0" fillId="0" borderId="67" xfId="0" applyNumberFormat="1" applyBorder="1" applyAlignment="1">
      <alignment/>
    </xf>
    <xf numFmtId="3" fontId="31" fillId="0" borderId="65" xfId="0" applyNumberFormat="1" applyFont="1" applyBorder="1" applyAlignment="1">
      <alignment/>
    </xf>
    <xf numFmtId="3" fontId="31" fillId="0" borderId="142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2" fillId="41" borderId="65" xfId="0" applyNumberFormat="1" applyFont="1" applyFill="1" applyBorder="1" applyAlignment="1">
      <alignment/>
    </xf>
    <xf numFmtId="3" fontId="5" fillId="0" borderId="65" xfId="0" applyNumberFormat="1" applyFont="1" applyBorder="1" applyAlignment="1">
      <alignment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144" xfId="0" applyNumberFormat="1" applyBorder="1" applyAlignment="1">
      <alignment horizontal="center"/>
    </xf>
    <xf numFmtId="3" fontId="30" fillId="0" borderId="76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31" fillId="0" borderId="76" xfId="0" applyNumberFormat="1" applyFont="1" applyBorder="1" applyAlignment="1">
      <alignment horizontal="center"/>
    </xf>
    <xf numFmtId="176" fontId="11" fillId="0" borderId="0" xfId="61" applyFont="1" applyAlignment="1">
      <alignment horizontal="center" vertical="center" wrapText="1"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3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 horizontal="center"/>
    </xf>
    <xf numFmtId="0" fontId="5" fillId="40" borderId="0" xfId="0" applyFont="1" applyFill="1" applyAlignment="1">
      <alignment vertical="center" wrapText="1"/>
    </xf>
    <xf numFmtId="0" fontId="0" fillId="40" borderId="0" xfId="0" applyFill="1" applyAlignment="1">
      <alignment/>
    </xf>
    <xf numFmtId="0" fontId="2" fillId="40" borderId="12" xfId="0" applyFont="1" applyFill="1" applyBorder="1" applyAlignment="1">
      <alignment/>
    </xf>
    <xf numFmtId="175" fontId="2" fillId="40" borderId="12" xfId="46" applyNumberFormat="1" applyFont="1" applyFill="1" applyBorder="1" applyAlignment="1">
      <alignment/>
    </xf>
    <xf numFmtId="175" fontId="2" fillId="36" borderId="79" xfId="46" applyNumberFormat="1" applyFont="1" applyFill="1" applyBorder="1" applyAlignment="1">
      <alignment/>
    </xf>
    <xf numFmtId="175" fontId="2" fillId="33" borderId="11" xfId="46" applyNumberFormat="1" applyFont="1" applyFill="1" applyBorder="1" applyAlignment="1">
      <alignment horizontal="center"/>
    </xf>
    <xf numFmtId="175" fontId="2" fillId="36" borderId="145" xfId="46" applyNumberFormat="1" applyFont="1" applyFill="1" applyBorder="1" applyAlignment="1">
      <alignment/>
    </xf>
    <xf numFmtId="3" fontId="8" fillId="0" borderId="44" xfId="0" applyNumberFormat="1" applyFont="1" applyBorder="1" applyAlignment="1">
      <alignment horizontal="left"/>
    </xf>
    <xf numFmtId="3" fontId="0" fillId="0" borderId="62" xfId="0" applyNumberFormat="1" applyBorder="1" applyAlignment="1">
      <alignment horizontal="center"/>
    </xf>
    <xf numFmtId="3" fontId="83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33" borderId="53" xfId="0" applyFont="1" applyFill="1" applyBorder="1" applyAlignment="1">
      <alignment horizontal="left" vertical="center" wrapText="1"/>
    </xf>
    <xf numFmtId="0" fontId="87" fillId="33" borderId="53" xfId="0" applyFont="1" applyFill="1" applyBorder="1" applyAlignment="1">
      <alignment/>
    </xf>
    <xf numFmtId="0" fontId="84" fillId="33" borderId="53" xfId="0" applyFont="1" applyFill="1" applyBorder="1" applyAlignment="1">
      <alignment/>
    </xf>
    <xf numFmtId="0" fontId="88" fillId="45" borderId="53" xfId="0" applyFont="1" applyFill="1" applyBorder="1" applyAlignment="1">
      <alignment horizontal="left" vertical="center" wrapText="1"/>
    </xf>
    <xf numFmtId="3" fontId="84" fillId="0" borderId="53" xfId="0" applyNumberFormat="1" applyFont="1" applyBorder="1" applyAlignment="1">
      <alignment/>
    </xf>
    <xf numFmtId="175" fontId="84" fillId="0" borderId="53" xfId="46" applyNumberFormat="1" applyFont="1" applyBorder="1" applyAlignment="1">
      <alignment/>
    </xf>
    <xf numFmtId="3" fontId="84" fillId="48" borderId="53" xfId="0" applyNumberFormat="1" applyFont="1" applyFill="1" applyBorder="1" applyAlignment="1">
      <alignment/>
    </xf>
    <xf numFmtId="3" fontId="84" fillId="0" borderId="53" xfId="0" applyNumberFormat="1" applyFont="1" applyBorder="1" applyAlignment="1">
      <alignment/>
    </xf>
    <xf numFmtId="3" fontId="88" fillId="0" borderId="53" xfId="0" applyNumberFormat="1" applyFont="1" applyBorder="1" applyAlignment="1">
      <alignment/>
    </xf>
    <xf numFmtId="0" fontId="84" fillId="0" borderId="53" xfId="0" applyFont="1" applyBorder="1" applyAlignment="1">
      <alignment/>
    </xf>
    <xf numFmtId="175" fontId="84" fillId="0" borderId="53" xfId="46" applyNumberFormat="1" applyFont="1" applyBorder="1" applyAlignment="1">
      <alignment/>
    </xf>
    <xf numFmtId="0" fontId="86" fillId="45" borderId="53" xfId="0" applyFont="1" applyFill="1" applyBorder="1" applyAlignment="1">
      <alignment horizontal="left" vertical="center" wrapText="1"/>
    </xf>
    <xf numFmtId="3" fontId="85" fillId="45" borderId="53" xfId="0" applyNumberFormat="1" applyFont="1" applyFill="1" applyBorder="1" applyAlignment="1">
      <alignment/>
    </xf>
    <xf numFmtId="0" fontId="85" fillId="33" borderId="53" xfId="0" applyFont="1" applyFill="1" applyBorder="1" applyAlignment="1">
      <alignment/>
    </xf>
    <xf numFmtId="3" fontId="84" fillId="36" borderId="53" xfId="0" applyNumberFormat="1" applyFont="1" applyFill="1" applyBorder="1" applyAlignment="1">
      <alignment/>
    </xf>
    <xf numFmtId="3" fontId="85" fillId="0" borderId="53" xfId="0" applyNumberFormat="1" applyFont="1" applyBorder="1" applyAlignment="1">
      <alignment/>
    </xf>
    <xf numFmtId="3" fontId="85" fillId="33" borderId="53" xfId="0" applyNumberFormat="1" applyFont="1" applyFill="1" applyBorder="1" applyAlignment="1">
      <alignment/>
    </xf>
    <xf numFmtId="3" fontId="88" fillId="0" borderId="0" xfId="0" applyNumberFormat="1" applyFont="1" applyAlignment="1">
      <alignment/>
    </xf>
    <xf numFmtId="3" fontId="8" fillId="0" borderId="146" xfId="0" applyNumberFormat="1" applyFont="1" applyBorder="1" applyAlignment="1">
      <alignment/>
    </xf>
    <xf numFmtId="3" fontId="8" fillId="0" borderId="147" xfId="0" applyNumberFormat="1" applyFont="1" applyBorder="1" applyAlignment="1">
      <alignment/>
    </xf>
    <xf numFmtId="3" fontId="8" fillId="0" borderId="2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24" fillId="33" borderId="14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175" fontId="2" fillId="0" borderId="76" xfId="46" applyNumberFormat="1" applyFont="1" applyBorder="1" applyAlignment="1">
      <alignment/>
    </xf>
    <xf numFmtId="175" fontId="0" fillId="36" borderId="76" xfId="46" applyNumberFormat="1" applyFont="1" applyFill="1" applyBorder="1" applyAlignment="1">
      <alignment/>
    </xf>
    <xf numFmtId="175" fontId="0" fillId="0" borderId="77" xfId="46" applyNumberFormat="1" applyFont="1" applyBorder="1" applyAlignment="1">
      <alignment/>
    </xf>
    <xf numFmtId="175" fontId="0" fillId="0" borderId="87" xfId="46" applyNumberFormat="1" applyFont="1" applyBorder="1" applyAlignment="1">
      <alignment/>
    </xf>
    <xf numFmtId="175" fontId="2" fillId="0" borderId="47" xfId="46" applyNumberFormat="1" applyFont="1" applyBorder="1" applyAlignment="1">
      <alignment/>
    </xf>
    <xf numFmtId="175" fontId="0" fillId="36" borderId="86" xfId="46" applyNumberFormat="1" applyFont="1" applyFill="1" applyBorder="1" applyAlignment="1">
      <alignment/>
    </xf>
    <xf numFmtId="175" fontId="0" fillId="0" borderId="88" xfId="46" applyNumberFormat="1" applyFont="1" applyBorder="1" applyAlignment="1">
      <alignment/>
    </xf>
    <xf numFmtId="175" fontId="2" fillId="0" borderId="89" xfId="46" applyNumberFormat="1" applyFont="1" applyBorder="1" applyAlignment="1">
      <alignment/>
    </xf>
    <xf numFmtId="175" fontId="2" fillId="0" borderId="148" xfId="46" applyNumberFormat="1" applyFont="1" applyBorder="1" applyAlignment="1">
      <alignment/>
    </xf>
    <xf numFmtId="175" fontId="8" fillId="0" borderId="86" xfId="46" applyNumberFormat="1" applyFont="1" applyBorder="1" applyAlignment="1">
      <alignment/>
    </xf>
    <xf numFmtId="175" fontId="8" fillId="0" borderId="88" xfId="46" applyNumberFormat="1" applyFont="1" applyBorder="1" applyAlignment="1">
      <alignment/>
    </xf>
    <xf numFmtId="175" fontId="8" fillId="0" borderId="87" xfId="46" applyNumberFormat="1" applyFont="1" applyBorder="1" applyAlignment="1">
      <alignment/>
    </xf>
    <xf numFmtId="175" fontId="8" fillId="0" borderId="77" xfId="46" applyNumberFormat="1" applyFont="1" applyBorder="1" applyAlignment="1">
      <alignment/>
    </xf>
    <xf numFmtId="175" fontId="0" fillId="0" borderId="86" xfId="46" applyNumberFormat="1" applyFont="1" applyBorder="1" applyAlignment="1">
      <alignment/>
    </xf>
    <xf numFmtId="175" fontId="2" fillId="0" borderId="88" xfId="46" applyNumberFormat="1" applyFont="1" applyBorder="1" applyAlignment="1">
      <alignment/>
    </xf>
    <xf numFmtId="0" fontId="2" fillId="0" borderId="149" xfId="0" applyFont="1" applyBorder="1" applyAlignment="1">
      <alignment/>
    </xf>
    <xf numFmtId="0" fontId="0" fillId="0" borderId="149" xfId="0" applyBorder="1" applyAlignment="1">
      <alignment/>
    </xf>
    <xf numFmtId="0" fontId="0" fillId="0" borderId="133" xfId="0" applyBorder="1" applyAlignment="1">
      <alignment/>
    </xf>
    <xf numFmtId="0" fontId="0" fillId="0" borderId="150" xfId="0" applyBorder="1" applyAlignment="1">
      <alignment/>
    </xf>
    <xf numFmtId="0" fontId="2" fillId="0" borderId="151" xfId="0" applyFont="1" applyBorder="1" applyAlignment="1">
      <alignment/>
    </xf>
    <xf numFmtId="0" fontId="0" fillId="0" borderId="131" xfId="0" applyBorder="1" applyAlignment="1">
      <alignment/>
    </xf>
    <xf numFmtId="0" fontId="0" fillId="0" borderId="131" xfId="0" applyBorder="1" applyAlignment="1">
      <alignment horizontal="left"/>
    </xf>
    <xf numFmtId="0" fontId="0" fillId="0" borderId="132" xfId="0" applyBorder="1" applyAlignment="1">
      <alignment horizontal="left"/>
    </xf>
    <xf numFmtId="175" fontId="8" fillId="40" borderId="12" xfId="46" applyNumberFormat="1" applyFont="1" applyFill="1" applyBorder="1" applyAlignment="1">
      <alignment/>
    </xf>
    <xf numFmtId="175" fontId="8" fillId="48" borderId="12" xfId="46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53" xfId="0" applyFont="1" applyBorder="1" applyAlignment="1">
      <alignment horizontal="center" vertical="center" wrapText="1"/>
    </xf>
    <xf numFmtId="0" fontId="0" fillId="40" borderId="53" xfId="0" applyFont="1" applyFill="1" applyBorder="1" applyAlignment="1">
      <alignment horizontal="left" vertical="top" wrapText="1"/>
    </xf>
    <xf numFmtId="0" fontId="2" fillId="40" borderId="53" xfId="0" applyFont="1" applyFill="1" applyBorder="1" applyAlignment="1">
      <alignment horizontal="left" vertical="top" wrapText="1"/>
    </xf>
    <xf numFmtId="0" fontId="8" fillId="0" borderId="53" xfId="0" applyFont="1" applyBorder="1" applyAlignment="1">
      <alignment/>
    </xf>
    <xf numFmtId="0" fontId="2" fillId="0" borderId="61" xfId="0" applyFont="1" applyBorder="1" applyAlignment="1">
      <alignment horizontal="center" vertical="center" wrapText="1"/>
    </xf>
    <xf numFmtId="175" fontId="0" fillId="0" borderId="62" xfId="46" applyNumberFormat="1" applyBorder="1" applyAlignment="1">
      <alignment/>
    </xf>
    <xf numFmtId="0" fontId="2" fillId="0" borderId="63" xfId="0" applyFont="1" applyBorder="1" applyAlignment="1">
      <alignment wrapText="1"/>
    </xf>
    <xf numFmtId="0" fontId="2" fillId="40" borderId="63" xfId="0" applyFont="1" applyFill="1" applyBorder="1" applyAlignment="1">
      <alignment horizontal="left" vertical="top" wrapText="1"/>
    </xf>
    <xf numFmtId="0" fontId="0" fillId="40" borderId="61" xfId="0" applyFont="1" applyFill="1" applyBorder="1" applyAlignment="1">
      <alignment horizontal="left" vertical="top" wrapText="1"/>
    </xf>
    <xf numFmtId="0" fontId="5" fillId="40" borderId="53" xfId="0" applyFont="1" applyFill="1" applyBorder="1" applyAlignment="1">
      <alignment horizontal="left" vertical="top" wrapText="1"/>
    </xf>
    <xf numFmtId="0" fontId="0" fillId="0" borderId="108" xfId="0" applyBorder="1" applyAlignment="1">
      <alignment/>
    </xf>
    <xf numFmtId="0" fontId="5" fillId="40" borderId="63" xfId="0" applyFont="1" applyFill="1" applyBorder="1" applyAlignment="1">
      <alignment horizontal="left" vertical="top" wrapText="1"/>
    </xf>
    <xf numFmtId="0" fontId="8" fillId="0" borderId="61" xfId="0" applyFont="1" applyBorder="1" applyAlignment="1">
      <alignment/>
    </xf>
    <xf numFmtId="175" fontId="8" fillId="0" borderId="53" xfId="46" applyNumberFormat="1" applyFont="1" applyBorder="1" applyAlignment="1">
      <alignment horizontal="center" vertical="center"/>
    </xf>
    <xf numFmtId="175" fontId="8" fillId="0" borderId="61" xfId="46" applyNumberFormat="1" applyFont="1" applyBorder="1" applyAlignment="1">
      <alignment horizontal="center" vertical="center"/>
    </xf>
    <xf numFmtId="175" fontId="2" fillId="0" borderId="63" xfId="46" applyNumberFormat="1" applyFont="1" applyBorder="1" applyAlignment="1">
      <alignment horizontal="center" vertical="center"/>
    </xf>
    <xf numFmtId="175" fontId="2" fillId="0" borderId="91" xfId="46" applyNumberFormat="1" applyFont="1" applyBorder="1" applyAlignment="1">
      <alignment horizontal="center" vertical="center"/>
    </xf>
    <xf numFmtId="175" fontId="0" fillId="0" borderId="152" xfId="46" applyNumberFormat="1" applyBorder="1" applyAlignment="1">
      <alignment horizontal="center" vertical="center"/>
    </xf>
    <xf numFmtId="175" fontId="8" fillId="40" borderId="62" xfId="46" applyNumberFormat="1" applyFont="1" applyFill="1" applyBorder="1" applyAlignment="1">
      <alignment horizontal="center" vertical="center" wrapText="1"/>
    </xf>
    <xf numFmtId="175" fontId="8" fillId="0" borderId="62" xfId="46" applyNumberFormat="1" applyFont="1" applyBorder="1" applyAlignment="1">
      <alignment horizontal="center" vertical="center"/>
    </xf>
    <xf numFmtId="175" fontId="8" fillId="40" borderId="53" xfId="46" applyNumberFormat="1" applyFont="1" applyFill="1" applyBorder="1" applyAlignment="1">
      <alignment horizontal="center" vertical="center" wrapText="1"/>
    </xf>
    <xf numFmtId="175" fontId="8" fillId="40" borderId="61" xfId="46" applyNumberFormat="1" applyFont="1" applyFill="1" applyBorder="1" applyAlignment="1">
      <alignment horizontal="center" vertical="center" wrapText="1"/>
    </xf>
    <xf numFmtId="175" fontId="5" fillId="0" borderId="63" xfId="46" applyNumberFormat="1" applyFont="1" applyBorder="1" applyAlignment="1">
      <alignment horizontal="center" vertical="center"/>
    </xf>
    <xf numFmtId="175" fontId="5" fillId="0" borderId="91" xfId="46" applyNumberFormat="1" applyFont="1" applyBorder="1" applyAlignment="1">
      <alignment horizontal="center" vertical="center"/>
    </xf>
    <xf numFmtId="175" fontId="0" fillId="0" borderId="62" xfId="46" applyNumberFormat="1" applyBorder="1" applyAlignment="1">
      <alignment horizontal="center" vertical="center"/>
    </xf>
    <xf numFmtId="175" fontId="0" fillId="0" borderId="61" xfId="46" applyNumberFormat="1" applyBorder="1" applyAlignment="1">
      <alignment horizontal="center" vertical="center"/>
    </xf>
    <xf numFmtId="175" fontId="0" fillId="0" borderId="63" xfId="46" applyNumberFormat="1" applyBorder="1" applyAlignment="1">
      <alignment horizontal="center" vertical="center"/>
    </xf>
    <xf numFmtId="175" fontId="5" fillId="49" borderId="63" xfId="46" applyNumberFormat="1" applyFont="1" applyFill="1" applyBorder="1" applyAlignment="1">
      <alignment horizontal="center" vertical="center"/>
    </xf>
    <xf numFmtId="175" fontId="5" fillId="49" borderId="91" xfId="46" applyNumberFormat="1" applyFont="1" applyFill="1" applyBorder="1" applyAlignment="1">
      <alignment horizontal="center" vertical="center"/>
    </xf>
    <xf numFmtId="0" fontId="2" fillId="0" borderId="108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2" fillId="0" borderId="153" xfId="0" applyFont="1" applyBorder="1" applyAlignment="1">
      <alignment horizontal="right"/>
    </xf>
    <xf numFmtId="175" fontId="2" fillId="0" borderId="154" xfId="46" applyNumberFormat="1" applyFont="1" applyBorder="1" applyAlignment="1">
      <alignment horizontal="center" vertical="center"/>
    </xf>
    <xf numFmtId="175" fontId="2" fillId="0" borderId="92" xfId="46" applyNumberFormat="1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175" fontId="2" fillId="0" borderId="53" xfId="0" applyNumberFormat="1" applyFont="1" applyBorder="1" applyAlignment="1">
      <alignment/>
    </xf>
    <xf numFmtId="0" fontId="5" fillId="49" borderId="108" xfId="0" applyFont="1" applyFill="1" applyBorder="1" applyAlignment="1">
      <alignment/>
    </xf>
    <xf numFmtId="0" fontId="5" fillId="49" borderId="63" xfId="0" applyFont="1" applyFill="1" applyBorder="1" applyAlignment="1">
      <alignment/>
    </xf>
    <xf numFmtId="175" fontId="5" fillId="49" borderId="63" xfId="0" applyNumberFormat="1" applyFont="1" applyFill="1" applyBorder="1" applyAlignment="1">
      <alignment/>
    </xf>
    <xf numFmtId="175" fontId="5" fillId="49" borderId="91" xfId="0" applyNumberFormat="1" applyFont="1" applyFill="1" applyBorder="1" applyAlignment="1">
      <alignment/>
    </xf>
    <xf numFmtId="175" fontId="8" fillId="0" borderId="152" xfId="46" applyNumberFormat="1" applyFont="1" applyBorder="1" applyAlignment="1">
      <alignment horizontal="center" vertical="center"/>
    </xf>
    <xf numFmtId="175" fontId="0" fillId="0" borderId="53" xfId="46" applyNumberFormat="1" applyBorder="1" applyAlignment="1">
      <alignment horizontal="right"/>
    </xf>
    <xf numFmtId="175" fontId="0" fillId="0" borderId="61" xfId="46" applyNumberFormat="1" applyBorder="1" applyAlignment="1">
      <alignment horizontal="right"/>
    </xf>
    <xf numFmtId="0" fontId="1" fillId="40" borderId="53" xfId="0" applyFont="1" applyFill="1" applyBorder="1" applyAlignment="1">
      <alignment horizontal="left" vertical="top" wrapText="1"/>
    </xf>
    <xf numFmtId="0" fontId="31" fillId="40" borderId="53" xfId="0" applyFont="1" applyFill="1" applyBorder="1" applyAlignment="1">
      <alignment horizontal="left" vertical="top" wrapText="1"/>
    </xf>
    <xf numFmtId="0" fontId="2" fillId="0" borderId="104" xfId="0" applyFont="1" applyBorder="1" applyAlignment="1">
      <alignment horizontal="center" vertical="center" wrapText="1"/>
    </xf>
    <xf numFmtId="175" fontId="0" fillId="0" borderId="53" xfId="46" applyNumberFormat="1" applyBorder="1" applyAlignment="1">
      <alignment horizontal="center" vertical="center" wrapText="1"/>
    </xf>
    <xf numFmtId="175" fontId="1" fillId="0" borderId="53" xfId="46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5" fillId="0" borderId="53" xfId="46" applyNumberFormat="1" applyFont="1" applyBorder="1" applyAlignment="1">
      <alignment horizontal="center" vertical="center" wrapText="1"/>
    </xf>
    <xf numFmtId="175" fontId="5" fillId="0" borderId="53" xfId="0" applyNumberFormat="1" applyFont="1" applyBorder="1" applyAlignment="1">
      <alignment horizontal="center" vertical="center" wrapText="1"/>
    </xf>
    <xf numFmtId="0" fontId="0" fillId="40" borderId="61" xfId="0" applyFill="1" applyBorder="1" applyAlignment="1">
      <alignment horizontal="left" vertical="top" wrapText="1"/>
    </xf>
    <xf numFmtId="0" fontId="5" fillId="49" borderId="155" xfId="0" applyFont="1" applyFill="1" applyBorder="1" applyAlignment="1">
      <alignment/>
    </xf>
    <xf numFmtId="0" fontId="5" fillId="49" borderId="152" xfId="0" applyFont="1" applyFill="1" applyBorder="1" applyAlignment="1">
      <alignment/>
    </xf>
    <xf numFmtId="175" fontId="5" fillId="49" borderId="15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1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0" fillId="0" borderId="111" xfId="0" applyBorder="1" applyAlignment="1">
      <alignment horizontal="center"/>
    </xf>
    <xf numFmtId="3" fontId="0" fillId="36" borderId="18" xfId="0" applyNumberFormat="1" applyFill="1" applyBorder="1" applyAlignment="1">
      <alignment horizontal="center"/>
    </xf>
    <xf numFmtId="3" fontId="0" fillId="36" borderId="18" xfId="0" applyNumberFormat="1" applyFill="1" applyBorder="1" applyAlignment="1">
      <alignment/>
    </xf>
    <xf numFmtId="177" fontId="0" fillId="36" borderId="18" xfId="0" applyNumberFormat="1" applyFill="1" applyBorder="1" applyAlignment="1">
      <alignment/>
    </xf>
    <xf numFmtId="3" fontId="0" fillId="36" borderId="53" xfId="0" applyNumberFormat="1" applyFill="1" applyBorder="1" applyAlignment="1">
      <alignment horizontal="center"/>
    </xf>
    <xf numFmtId="177" fontId="0" fillId="36" borderId="53" xfId="0" applyNumberFormat="1" applyFill="1" applyBorder="1" applyAlignment="1">
      <alignment/>
    </xf>
    <xf numFmtId="3" fontId="8" fillId="36" borderId="53" xfId="0" applyNumberFormat="1" applyFont="1" applyFill="1" applyBorder="1" applyAlignment="1">
      <alignment horizontal="right"/>
    </xf>
    <xf numFmtId="0" fontId="8" fillId="36" borderId="53" xfId="0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3" fontId="5" fillId="37" borderId="130" xfId="0" applyNumberFormat="1" applyFont="1" applyFill="1" applyBorder="1" applyAlignment="1">
      <alignment horizontal="center" wrapText="1"/>
    </xf>
    <xf numFmtId="3" fontId="5" fillId="37" borderId="60" xfId="0" applyNumberFormat="1" applyFont="1" applyFill="1" applyBorder="1" applyAlignment="1">
      <alignment horizontal="center"/>
    </xf>
    <xf numFmtId="3" fontId="5" fillId="37" borderId="60" xfId="0" applyNumberFormat="1" applyFont="1" applyFill="1" applyBorder="1" applyAlignment="1">
      <alignment wrapText="1"/>
    </xf>
    <xf numFmtId="177" fontId="5" fillId="37" borderId="60" xfId="0" applyNumberFormat="1" applyFont="1" applyFill="1" applyBorder="1" applyAlignment="1">
      <alignment/>
    </xf>
    <xf numFmtId="175" fontId="5" fillId="37" borderId="56" xfId="46" applyNumberFormat="1" applyFont="1" applyFill="1" applyBorder="1" applyAlignment="1">
      <alignment/>
    </xf>
    <xf numFmtId="3" fontId="0" fillId="0" borderId="135" xfId="0" applyNumberFormat="1" applyBorder="1" applyAlignment="1">
      <alignment horizontal="center"/>
    </xf>
    <xf numFmtId="3" fontId="0" fillId="36" borderId="136" xfId="0" applyNumberFormat="1" applyFill="1" applyBorder="1" applyAlignment="1">
      <alignment horizontal="center"/>
    </xf>
    <xf numFmtId="3" fontId="0" fillId="36" borderId="136" xfId="0" applyNumberFormat="1" applyFill="1" applyBorder="1" applyAlignment="1">
      <alignment/>
    </xf>
    <xf numFmtId="177" fontId="0" fillId="36" borderId="136" xfId="0" applyNumberFormat="1" applyFill="1" applyBorder="1" applyAlignment="1">
      <alignment/>
    </xf>
    <xf numFmtId="175" fontId="0" fillId="36" borderId="127" xfId="46" applyNumberFormat="1" applyFill="1" applyBorder="1" applyAlignment="1">
      <alignment/>
    </xf>
    <xf numFmtId="175" fontId="0" fillId="36" borderId="84" xfId="46" applyNumberFormat="1" applyFill="1" applyBorder="1" applyAlignment="1">
      <alignment/>
    </xf>
    <xf numFmtId="175" fontId="0" fillId="36" borderId="84" xfId="46" applyNumberFormat="1" applyFill="1" applyBorder="1" applyAlignment="1">
      <alignment horizontal="right"/>
    </xf>
    <xf numFmtId="0" fontId="8" fillId="36" borderId="101" xfId="0" applyFont="1" applyFill="1" applyBorder="1" applyAlignment="1">
      <alignment horizontal="right"/>
    </xf>
    <xf numFmtId="175" fontId="8" fillId="36" borderId="84" xfId="46" applyNumberFormat="1" applyFont="1" applyFill="1" applyBorder="1" applyAlignment="1">
      <alignment horizontal="right"/>
    </xf>
    <xf numFmtId="0" fontId="8" fillId="0" borderId="124" xfId="0" applyFont="1" applyBorder="1" applyAlignment="1">
      <alignment horizontal="right"/>
    </xf>
    <xf numFmtId="0" fontId="8" fillId="0" borderId="125" xfId="0" applyFont="1" applyBorder="1" applyAlignment="1">
      <alignment horizontal="right"/>
    </xf>
    <xf numFmtId="175" fontId="8" fillId="0" borderId="128" xfId="46" applyNumberFormat="1" applyFont="1" applyBorder="1" applyAlignment="1">
      <alignment horizontal="right"/>
    </xf>
    <xf numFmtId="175" fontId="0" fillId="36" borderId="84" xfId="46" applyNumberFormat="1" applyFill="1" applyBorder="1" applyAlignment="1">
      <alignment horizontal="center" vertical="center"/>
    </xf>
    <xf numFmtId="3" fontId="0" fillId="36" borderId="74" xfId="0" applyNumberFormat="1" applyFill="1" applyBorder="1" applyAlignment="1">
      <alignment/>
    </xf>
    <xf numFmtId="175" fontId="0" fillId="36" borderId="156" xfId="46" applyNumberFormat="1" applyFill="1" applyBorder="1" applyAlignment="1">
      <alignment horizontal="center" vertical="center"/>
    </xf>
    <xf numFmtId="175" fontId="8" fillId="36" borderId="84" xfId="46" applyNumberFormat="1" applyFont="1" applyFill="1" applyBorder="1" applyAlignment="1">
      <alignment horizontal="right" vertical="center"/>
    </xf>
    <xf numFmtId="175" fontId="8" fillId="0" borderId="128" xfId="46" applyNumberFormat="1" applyFont="1" applyBorder="1" applyAlignment="1">
      <alignment horizontal="right" vertical="center"/>
    </xf>
    <xf numFmtId="3" fontId="0" fillId="36" borderId="18" xfId="0" applyNumberFormat="1" applyFill="1" applyBorder="1" applyAlignment="1">
      <alignment horizontal="left"/>
    </xf>
    <xf numFmtId="175" fontId="0" fillId="36" borderId="157" xfId="46" applyNumberFormat="1" applyFill="1" applyBorder="1" applyAlignment="1">
      <alignment horizontal="right" vertical="center"/>
    </xf>
    <xf numFmtId="3" fontId="0" fillId="36" borderId="53" xfId="0" applyNumberFormat="1" applyFill="1" applyBorder="1" applyAlignment="1">
      <alignment horizontal="left"/>
    </xf>
    <xf numFmtId="3" fontId="0" fillId="0" borderId="75" xfId="0" applyNumberFormat="1" applyBorder="1" applyAlignment="1">
      <alignment horizontal="center"/>
    </xf>
    <xf numFmtId="1" fontId="0" fillId="36" borderId="74" xfId="0" applyNumberFormat="1" applyFill="1" applyBorder="1" applyAlignment="1">
      <alignment horizontal="center"/>
    </xf>
    <xf numFmtId="177" fontId="2" fillId="36" borderId="74" xfId="0" applyNumberFormat="1" applyFont="1" applyFill="1" applyBorder="1" applyAlignment="1">
      <alignment/>
    </xf>
    <xf numFmtId="175" fontId="0" fillId="36" borderId="114" xfId="46" applyNumberFormat="1" applyFill="1" applyBorder="1" applyAlignment="1">
      <alignment horizontal="right" vertical="center"/>
    </xf>
    <xf numFmtId="175" fontId="0" fillId="36" borderId="84" xfId="46" applyNumberFormat="1" applyFill="1" applyBorder="1" applyAlignment="1">
      <alignment horizontal="right" vertical="center"/>
    </xf>
    <xf numFmtId="0" fontId="8" fillId="0" borderId="101" xfId="0" applyFont="1" applyBorder="1" applyAlignment="1">
      <alignment horizontal="right"/>
    </xf>
    <xf numFmtId="175" fontId="8" fillId="0" borderId="84" xfId="46" applyNumberFormat="1" applyFont="1" applyBorder="1" applyAlignment="1">
      <alignment horizontal="right" vertical="center"/>
    </xf>
    <xf numFmtId="3" fontId="26" fillId="33" borderId="37" xfId="0" applyNumberFormat="1" applyFont="1" applyFill="1" applyBorder="1" applyAlignment="1">
      <alignment horizontal="right"/>
    </xf>
    <xf numFmtId="3" fontId="26" fillId="33" borderId="12" xfId="0" applyNumberFormat="1" applyFont="1" applyFill="1" applyBorder="1" applyAlignment="1">
      <alignment horizontal="right"/>
    </xf>
    <xf numFmtId="3" fontId="0" fillId="0" borderId="64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175" fontId="2" fillId="0" borderId="95" xfId="46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175" fontId="6" fillId="0" borderId="100" xfId="46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0" fillId="0" borderId="158" xfId="0" applyNumberForma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175" fontId="2" fillId="0" borderId="88" xfId="46" applyNumberFormat="1" applyFont="1" applyBorder="1" applyAlignment="1">
      <alignment horizontal="right" vertical="center"/>
    </xf>
    <xf numFmtId="175" fontId="2" fillId="42" borderId="53" xfId="46" applyNumberFormat="1" applyFont="1" applyFill="1" applyBorder="1" applyAlignment="1">
      <alignment horizontal="center" vertical="center"/>
    </xf>
    <xf numFmtId="175" fontId="8" fillId="42" borderId="53" xfId="46" applyNumberFormat="1" applyFont="1" applyFill="1" applyBorder="1" applyAlignment="1">
      <alignment horizontal="center" vertical="center"/>
    </xf>
    <xf numFmtId="3" fontId="8" fillId="42" borderId="53" xfId="0" applyNumberFormat="1" applyFont="1" applyFill="1" applyBorder="1" applyAlignment="1">
      <alignment vertical="center" wrapText="1"/>
    </xf>
    <xf numFmtId="3" fontId="2" fillId="42" borderId="53" xfId="0" applyNumberFormat="1" applyFont="1" applyFill="1" applyBorder="1" applyAlignment="1">
      <alignment vertical="center" wrapText="1"/>
    </xf>
    <xf numFmtId="0" fontId="2" fillId="0" borderId="159" xfId="0" applyFont="1" applyBorder="1" applyAlignment="1">
      <alignment wrapText="1"/>
    </xf>
    <xf numFmtId="0" fontId="2" fillId="0" borderId="153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40" borderId="53" xfId="0" applyFill="1" applyBorder="1" applyAlignment="1">
      <alignment horizontal="left" vertical="top" wrapText="1"/>
    </xf>
    <xf numFmtId="3" fontId="2" fillId="33" borderId="108" xfId="0" applyNumberFormat="1" applyFont="1" applyFill="1" applyBorder="1" applyAlignment="1">
      <alignment horizontal="center"/>
    </xf>
    <xf numFmtId="3" fontId="2" fillId="33" borderId="72" xfId="0" applyNumberFormat="1" applyFont="1" applyFill="1" applyBorder="1" applyAlignment="1">
      <alignment/>
    </xf>
    <xf numFmtId="3" fontId="0" fillId="42" borderId="62" xfId="0" applyNumberFormat="1" applyFill="1" applyBorder="1" applyAlignment="1">
      <alignment horizontal="center"/>
    </xf>
    <xf numFmtId="3" fontId="0" fillId="42" borderId="62" xfId="0" applyNumberFormat="1" applyFill="1" applyBorder="1" applyAlignment="1">
      <alignment wrapText="1"/>
    </xf>
    <xf numFmtId="3" fontId="0" fillId="42" borderId="62" xfId="0" applyNumberFormat="1" applyFill="1" applyBorder="1" applyAlignment="1">
      <alignment/>
    </xf>
    <xf numFmtId="3" fontId="2" fillId="41" borderId="108" xfId="0" applyNumberFormat="1" applyFont="1" applyFill="1" applyBorder="1" applyAlignment="1">
      <alignment horizontal="center"/>
    </xf>
    <xf numFmtId="3" fontId="2" fillId="41" borderId="72" xfId="0" applyNumberFormat="1" applyFont="1" applyFill="1" applyBorder="1" applyAlignment="1">
      <alignment/>
    </xf>
    <xf numFmtId="3" fontId="0" fillId="0" borderId="160" xfId="0" applyNumberFormat="1" applyBorder="1" applyAlignment="1">
      <alignment horizontal="center"/>
    </xf>
    <xf numFmtId="3" fontId="0" fillId="0" borderId="161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175" fontId="0" fillId="42" borderId="14" xfId="46" applyNumberFormat="1" applyFill="1" applyBorder="1" applyAlignment="1">
      <alignment horizontal="center" vertical="center" wrapText="1"/>
    </xf>
    <xf numFmtId="3" fontId="2" fillId="43" borderId="53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76" fontId="6" fillId="0" borderId="0" xfId="61" applyFont="1" applyAlignment="1">
      <alignment horizontal="right" vertical="center"/>
    </xf>
    <xf numFmtId="0" fontId="0" fillId="0" borderId="162" xfId="0" applyBorder="1" applyAlignment="1">
      <alignment horizontal="right"/>
    </xf>
    <xf numFmtId="3" fontId="0" fillId="0" borderId="162" xfId="0" applyNumberFormat="1" applyBorder="1" applyAlignment="1">
      <alignment horizontal="right"/>
    </xf>
    <xf numFmtId="175" fontId="0" fillId="0" borderId="162" xfId="46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175" fontId="0" fillId="0" borderId="162" xfId="46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5" borderId="16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45" borderId="13" xfId="0" applyFill="1" applyBorder="1" applyAlignment="1">
      <alignment horizontal="left" vertical="center" wrapText="1"/>
    </xf>
    <xf numFmtId="0" fontId="2" fillId="45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75" fontId="5" fillId="39" borderId="163" xfId="46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175" fontId="5" fillId="39" borderId="12" xfId="46" applyNumberFormat="1" applyFont="1" applyFill="1" applyBorder="1" applyAlignment="1">
      <alignment/>
    </xf>
    <xf numFmtId="178" fontId="0" fillId="0" borderId="12" xfId="0" applyNumberFormat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75" fontId="0" fillId="36" borderId="0" xfId="46" applyNumberFormat="1" applyFill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12" xfId="0" applyBorder="1" applyAlignment="1">
      <alignment vertical="center"/>
    </xf>
    <xf numFmtId="175" fontId="0" fillId="0" borderId="12" xfId="46" applyNumberFormat="1" applyBorder="1" applyAlignment="1">
      <alignment vertical="center"/>
    </xf>
    <xf numFmtId="175" fontId="0" fillId="0" borderId="0" xfId="46" applyNumberFormat="1" applyAlignment="1">
      <alignment vertical="center"/>
    </xf>
    <xf numFmtId="0" fontId="5" fillId="39" borderId="12" xfId="0" applyFont="1" applyFill="1" applyBorder="1" applyAlignment="1">
      <alignment vertical="center"/>
    </xf>
    <xf numFmtId="175" fontId="0" fillId="39" borderId="12" xfId="46" applyNumberFormat="1" applyFill="1" applyBorder="1" applyAlignment="1">
      <alignment/>
    </xf>
    <xf numFmtId="175" fontId="2" fillId="0" borderId="12" xfId="46" applyNumberFormat="1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0" fillId="40" borderId="65" xfId="0" applyFont="1" applyFill="1" applyBorder="1" applyAlignment="1">
      <alignment horizontal="left" vertical="top" wrapText="1"/>
    </xf>
    <xf numFmtId="0" fontId="5" fillId="0" borderId="164" xfId="0" applyFont="1" applyBorder="1" applyAlignment="1">
      <alignment/>
    </xf>
    <xf numFmtId="0" fontId="2" fillId="40" borderId="65" xfId="0" applyFont="1" applyFill="1" applyBorder="1" applyAlignment="1">
      <alignment horizontal="left" vertical="top" wrapText="1"/>
    </xf>
    <xf numFmtId="0" fontId="2" fillId="0" borderId="165" xfId="0" applyFont="1" applyBorder="1" applyAlignment="1">
      <alignment horizontal="left" vertical="center" wrapText="1"/>
    </xf>
    <xf numFmtId="0" fontId="2" fillId="0" borderId="15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176" fontId="6" fillId="40" borderId="0" xfId="61" applyFont="1" applyFill="1" applyAlignment="1">
      <alignment vertical="center"/>
    </xf>
    <xf numFmtId="3" fontId="2" fillId="40" borderId="0" xfId="0" applyNumberFormat="1" applyFont="1" applyFill="1" applyAlignment="1">
      <alignment vertical="center"/>
    </xf>
    <xf numFmtId="3" fontId="15" fillId="40" borderId="0" xfId="0" applyNumberFormat="1" applyFont="1" applyFill="1" applyAlignment="1">
      <alignment vertical="center" wrapText="1"/>
    </xf>
    <xf numFmtId="0" fontId="2" fillId="40" borderId="76" xfId="0" applyFont="1" applyFill="1" applyBorder="1" applyAlignment="1">
      <alignment horizontal="center"/>
    </xf>
    <xf numFmtId="175" fontId="2" fillId="40" borderId="0" xfId="46" applyNumberFormat="1" applyFont="1" applyFill="1" applyAlignment="1">
      <alignment/>
    </xf>
    <xf numFmtId="0" fontId="2" fillId="42" borderId="78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2" fillId="42" borderId="82" xfId="0" applyFont="1" applyFill="1" applyBorder="1" applyAlignment="1">
      <alignment/>
    </xf>
    <xf numFmtId="0" fontId="2" fillId="43" borderId="119" xfId="0" applyFont="1" applyFill="1" applyBorder="1" applyAlignment="1">
      <alignment horizontal="center"/>
    </xf>
    <xf numFmtId="175" fontId="2" fillId="40" borderId="119" xfId="46" applyNumberFormat="1" applyFont="1" applyFill="1" applyBorder="1" applyAlignment="1">
      <alignment/>
    </xf>
    <xf numFmtId="175" fontId="0" fillId="48" borderId="119" xfId="46" applyNumberFormat="1" applyFill="1" applyBorder="1" applyAlignment="1">
      <alignment/>
    </xf>
    <xf numFmtId="175" fontId="2" fillId="42" borderId="83" xfId="46" applyNumberFormat="1" applyFont="1" applyFill="1" applyBorder="1" applyAlignment="1">
      <alignment/>
    </xf>
    <xf numFmtId="175" fontId="0" fillId="48" borderId="115" xfId="46" applyNumberFormat="1" applyFill="1" applyBorder="1" applyAlignment="1">
      <alignment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25" xfId="0" applyNumberFormat="1" applyFont="1" applyBorder="1" applyAlignment="1">
      <alignment horizontal="left" vertical="center" wrapText="1"/>
    </xf>
    <xf numFmtId="0" fontId="0" fillId="0" borderId="53" xfId="0" applyBorder="1" applyAlignment="1">
      <alignment horizontal="left"/>
    </xf>
    <xf numFmtId="3" fontId="31" fillId="0" borderId="64" xfId="0" applyNumberFormat="1" applyFont="1" applyBorder="1" applyAlignment="1">
      <alignment horizontal="left"/>
    </xf>
    <xf numFmtId="3" fontId="31" fillId="0" borderId="65" xfId="0" applyNumberFormat="1" applyFont="1" applyBorder="1" applyAlignment="1">
      <alignment horizontal="left"/>
    </xf>
    <xf numFmtId="175" fontId="8" fillId="40" borderId="104" xfId="46" applyNumberFormat="1" applyFont="1" applyFill="1" applyBorder="1" applyAlignment="1">
      <alignment/>
    </xf>
    <xf numFmtId="175" fontId="2" fillId="40" borderId="166" xfId="46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center" vertical="center"/>
    </xf>
    <xf numFmtId="175" fontId="2" fillId="48" borderId="12" xfId="46" applyNumberFormat="1" applyFont="1" applyFill="1" applyBorder="1" applyAlignment="1">
      <alignment/>
    </xf>
    <xf numFmtId="175" fontId="2" fillId="40" borderId="18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3" xfId="0" applyFont="1" applyBorder="1" applyAlignment="1">
      <alignment horizontal="center"/>
    </xf>
    <xf numFmtId="3" fontId="0" fillId="0" borderId="133" xfId="0" applyNumberFormat="1" applyBorder="1" applyAlignment="1">
      <alignment/>
    </xf>
    <xf numFmtId="175" fontId="0" fillId="0" borderId="111" xfId="46" applyNumberFormat="1" applyFont="1" applyBorder="1" applyAlignment="1">
      <alignment/>
    </xf>
    <xf numFmtId="175" fontId="0" fillId="0" borderId="53" xfId="46" applyNumberFormat="1" applyFont="1" applyBorder="1" applyAlignment="1">
      <alignment/>
    </xf>
    <xf numFmtId="175" fontId="8" fillId="0" borderId="53" xfId="46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left"/>
    </xf>
    <xf numFmtId="0" fontId="34" fillId="0" borderId="0" xfId="57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 wrapText="1"/>
      <protection/>
    </xf>
    <xf numFmtId="0" fontId="24" fillId="0" borderId="53" xfId="57" applyFont="1" applyBorder="1" applyAlignment="1">
      <alignment horizontal="center" vertical="center"/>
      <protection/>
    </xf>
    <xf numFmtId="0" fontId="1" fillId="0" borderId="53" xfId="57" applyFont="1" applyBorder="1" applyAlignment="1">
      <alignment horizontal="right"/>
      <protection/>
    </xf>
    <xf numFmtId="0" fontId="39" fillId="0" borderId="0" xfId="57" applyFont="1">
      <alignment/>
      <protection/>
    </xf>
    <xf numFmtId="0" fontId="2" fillId="0" borderId="167" xfId="57" applyFont="1" applyBorder="1" applyAlignment="1">
      <alignment vertical="center"/>
      <protection/>
    </xf>
    <xf numFmtId="0" fontId="2" fillId="0" borderId="138" xfId="57" applyFont="1" applyBorder="1" applyAlignment="1">
      <alignment horizontal="center" vertical="center"/>
      <protection/>
    </xf>
    <xf numFmtId="0" fontId="2" fillId="0" borderId="168" xfId="57" applyFont="1" applyBorder="1" applyAlignment="1">
      <alignment horizontal="center" vertical="center"/>
      <protection/>
    </xf>
    <xf numFmtId="49" fontId="0" fillId="0" borderId="40" xfId="57" applyNumberFormat="1" applyFont="1" applyBorder="1" applyAlignment="1">
      <alignment vertical="center"/>
      <protection/>
    </xf>
    <xf numFmtId="3" fontId="0" fillId="0" borderId="41" xfId="57" applyNumberFormat="1" applyFont="1" applyBorder="1" applyAlignment="1" applyProtection="1">
      <alignment vertical="center"/>
      <protection locked="0"/>
    </xf>
    <xf numFmtId="3" fontId="0" fillId="0" borderId="42" xfId="57" applyNumberFormat="1" applyFont="1" applyBorder="1" applyAlignment="1">
      <alignment vertical="center"/>
      <protection/>
    </xf>
    <xf numFmtId="49" fontId="0" fillId="0" borderId="44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 applyProtection="1">
      <alignment vertical="center"/>
      <protection locked="0"/>
    </xf>
    <xf numFmtId="3" fontId="0" fillId="0" borderId="32" xfId="57" applyNumberFormat="1" applyFont="1" applyBorder="1" applyAlignment="1">
      <alignment vertical="center"/>
      <protection/>
    </xf>
    <xf numFmtId="49" fontId="0" fillId="0" borderId="169" xfId="57" applyNumberFormat="1" applyFont="1" applyBorder="1" applyAlignment="1" applyProtection="1">
      <alignment vertical="center"/>
      <protection locked="0"/>
    </xf>
    <xf numFmtId="3" fontId="0" fillId="0" borderId="18" xfId="57" applyNumberFormat="1" applyFont="1" applyBorder="1" applyAlignment="1" applyProtection="1">
      <alignment vertical="center"/>
      <protection locked="0"/>
    </xf>
    <xf numFmtId="49" fontId="2" fillId="0" borderId="19" xfId="57" applyNumberFormat="1" applyFont="1" applyBorder="1" applyAlignment="1">
      <alignment vertical="center"/>
      <protection/>
    </xf>
    <xf numFmtId="3" fontId="2" fillId="0" borderId="20" xfId="57" applyNumberFormat="1" applyFont="1" applyBorder="1" applyAlignment="1">
      <alignment vertical="center"/>
      <protection/>
    </xf>
    <xf numFmtId="3" fontId="2" fillId="0" borderId="170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2" fillId="0" borderId="171" xfId="57" applyFont="1" applyBorder="1" applyAlignment="1">
      <alignment vertical="center"/>
      <protection/>
    </xf>
    <xf numFmtId="0" fontId="2" fillId="0" borderId="129" xfId="57" applyFont="1" applyBorder="1" applyAlignment="1">
      <alignment horizontal="center" vertical="center"/>
      <protection/>
    </xf>
    <xf numFmtId="0" fontId="2" fillId="0" borderId="172" xfId="57" applyFont="1" applyBorder="1" applyAlignment="1">
      <alignment horizontal="center" vertical="center"/>
      <protection/>
    </xf>
    <xf numFmtId="49" fontId="0" fillId="0" borderId="44" xfId="57" applyNumberFormat="1" applyFont="1" applyBorder="1" applyAlignment="1">
      <alignment horizontal="left" vertical="center"/>
      <protection/>
    </xf>
    <xf numFmtId="49" fontId="0" fillId="0" borderId="44" xfId="57" applyNumberFormat="1" applyFont="1" applyBorder="1" applyAlignment="1" applyProtection="1">
      <alignment vertical="center"/>
      <protection locked="0"/>
    </xf>
    <xf numFmtId="3" fontId="2" fillId="0" borderId="18" xfId="57" applyNumberFormat="1" applyFont="1" applyBorder="1" applyAlignment="1" applyProtection="1">
      <alignment vertical="center"/>
      <protection locked="0"/>
    </xf>
    <xf numFmtId="3" fontId="2" fillId="0" borderId="32" xfId="57" applyNumberFormat="1" applyFont="1" applyBorder="1" applyAlignment="1">
      <alignment vertical="center"/>
      <protection/>
    </xf>
    <xf numFmtId="0" fontId="18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2" fillId="0" borderId="0" xfId="57" applyFont="1" applyAlignment="1">
      <alignment horizontal="right" indent="1"/>
      <protection/>
    </xf>
    <xf numFmtId="0" fontId="24" fillId="0" borderId="53" xfId="57" applyFont="1" applyBorder="1" applyAlignment="1">
      <alignment vertical="top"/>
      <protection/>
    </xf>
    <xf numFmtId="3" fontId="0" fillId="40" borderId="12" xfId="57" applyNumberFormat="1" applyFont="1" applyFill="1" applyBorder="1" applyAlignment="1" applyProtection="1">
      <alignment vertical="center"/>
      <protection locked="0"/>
    </xf>
    <xf numFmtId="0" fontId="24" fillId="0" borderId="173" xfId="57" applyFont="1" applyBorder="1" applyAlignment="1">
      <alignment vertical="top"/>
      <protection/>
    </xf>
    <xf numFmtId="0" fontId="1" fillId="0" borderId="0" xfId="57" applyFont="1" applyAlignment="1">
      <alignment horizontal="right"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3" fontId="34" fillId="0" borderId="162" xfId="0" applyNumberFormat="1" applyFont="1" applyBorder="1" applyAlignment="1">
      <alignment horizontal="right"/>
    </xf>
    <xf numFmtId="3" fontId="35" fillId="0" borderId="86" xfId="0" applyNumberFormat="1" applyFont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175" fontId="35" fillId="0" borderId="174" xfId="46" applyNumberFormat="1" applyFont="1" applyBorder="1" applyAlignment="1">
      <alignment/>
    </xf>
    <xf numFmtId="0" fontId="35" fillId="0" borderId="0" xfId="0" applyFont="1" applyAlignment="1">
      <alignment/>
    </xf>
    <xf numFmtId="3" fontId="36" fillId="0" borderId="12" xfId="0" applyNumberFormat="1" applyFont="1" applyBorder="1" applyAlignment="1">
      <alignment horizontal="center"/>
    </xf>
    <xf numFmtId="175" fontId="35" fillId="0" borderId="77" xfId="46" applyNumberFormat="1" applyFont="1" applyBorder="1" applyAlignment="1">
      <alignment/>
    </xf>
    <xf numFmtId="3" fontId="35" fillId="0" borderId="175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3" fontId="35" fillId="0" borderId="176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175" fontId="35" fillId="36" borderId="77" xfId="46" applyNumberFormat="1" applyFont="1" applyFill="1" applyBorder="1" applyAlignment="1">
      <alignment/>
    </xf>
    <xf numFmtId="3" fontId="18" fillId="0" borderId="176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34" fillId="0" borderId="176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175" fontId="34" fillId="40" borderId="77" xfId="46" applyNumberFormat="1" applyFont="1" applyFill="1" applyBorder="1" applyAlignment="1">
      <alignment/>
    </xf>
    <xf numFmtId="3" fontId="24" fillId="0" borderId="176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175" fontId="24" fillId="0" borderId="77" xfId="46" applyNumberFormat="1" applyFont="1" applyBorder="1" applyAlignment="1">
      <alignment/>
    </xf>
    <xf numFmtId="0" fontId="24" fillId="0" borderId="0" xfId="0" applyFont="1" applyAlignment="1">
      <alignment vertical="center" wrapText="1"/>
    </xf>
    <xf numFmtId="3" fontId="18" fillId="0" borderId="176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left" vertical="center" wrapText="1"/>
    </xf>
    <xf numFmtId="175" fontId="18" fillId="0" borderId="77" xfId="46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3" fontId="34" fillId="0" borderId="176" xfId="0" applyNumberFormat="1" applyFont="1" applyBorder="1" applyAlignment="1">
      <alignment horizontal="left" vertical="center" wrapText="1"/>
    </xf>
    <xf numFmtId="3" fontId="34" fillId="0" borderId="12" xfId="0" applyNumberFormat="1" applyFont="1" applyBorder="1" applyAlignment="1">
      <alignment horizontal="left" vertical="center" wrapText="1"/>
    </xf>
    <xf numFmtId="175" fontId="35" fillId="0" borderId="77" xfId="46" applyNumberFormat="1" applyFont="1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3" fontId="24" fillId="0" borderId="176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3" fontId="0" fillId="0" borderId="177" xfId="0" applyNumberFormat="1" applyBorder="1" applyAlignment="1">
      <alignment horizontal="left" vertical="center"/>
    </xf>
    <xf numFmtId="3" fontId="0" fillId="0" borderId="178" xfId="0" applyNumberFormat="1" applyBorder="1" applyAlignment="1">
      <alignment horizontal="left" vertical="center"/>
    </xf>
    <xf numFmtId="3" fontId="0" fillId="0" borderId="146" xfId="0" applyNumberFormat="1" applyBorder="1" applyAlignment="1">
      <alignment horizontal="left" vertical="center"/>
    </xf>
    <xf numFmtId="3" fontId="0" fillId="0" borderId="147" xfId="0" applyNumberFormat="1" applyBorder="1" applyAlignment="1">
      <alignment horizontal="left" vertical="center"/>
    </xf>
    <xf numFmtId="3" fontId="24" fillId="0" borderId="12" xfId="0" applyNumberFormat="1" applyFont="1" applyBorder="1" applyAlignment="1">
      <alignment horizontal="center"/>
    </xf>
    <xf numFmtId="175" fontId="35" fillId="0" borderId="11" xfId="46" applyNumberFormat="1" applyFont="1" applyBorder="1" applyAlignment="1">
      <alignment horizontal="left"/>
    </xf>
    <xf numFmtId="175" fontId="35" fillId="0" borderId="25" xfId="46" applyNumberFormat="1" applyFont="1" applyBorder="1" applyAlignment="1">
      <alignment horizontal="left"/>
    </xf>
    <xf numFmtId="175" fontId="31" fillId="0" borderId="77" xfId="46" applyNumberFormat="1" applyFont="1" applyBorder="1" applyAlignment="1">
      <alignment/>
    </xf>
    <xf numFmtId="175" fontId="24" fillId="0" borderId="12" xfId="46" applyNumberFormat="1" applyFont="1" applyBorder="1" applyAlignment="1">
      <alignment/>
    </xf>
    <xf numFmtId="3" fontId="35" fillId="0" borderId="179" xfId="0" applyNumberFormat="1" applyFont="1" applyBorder="1" applyAlignment="1">
      <alignment horizontal="center"/>
    </xf>
    <xf numFmtId="175" fontId="35" fillId="0" borderId="18" xfId="46" applyNumberFormat="1" applyFont="1" applyBorder="1" applyAlignment="1">
      <alignment/>
    </xf>
    <xf numFmtId="175" fontId="35" fillId="0" borderId="26" xfId="46" applyNumberFormat="1" applyFont="1" applyBorder="1" applyAlignment="1">
      <alignment horizontal="left" wrapText="1"/>
    </xf>
    <xf numFmtId="175" fontId="35" fillId="0" borderId="27" xfId="46" applyNumberFormat="1" applyFont="1" applyBorder="1" applyAlignment="1">
      <alignment horizontal="left"/>
    </xf>
    <xf numFmtId="175" fontId="35" fillId="0" borderId="87" xfId="46" applyNumberFormat="1" applyFont="1" applyBorder="1" applyAlignment="1">
      <alignment/>
    </xf>
    <xf numFmtId="175" fontId="35" fillId="0" borderId="26" xfId="46" applyNumberFormat="1" applyFont="1" applyBorder="1" applyAlignment="1">
      <alignment horizontal="left"/>
    </xf>
    <xf numFmtId="3" fontId="24" fillId="0" borderId="179" xfId="0" applyNumberFormat="1" applyFont="1" applyBorder="1" applyAlignment="1">
      <alignment horizontal="center"/>
    </xf>
    <xf numFmtId="175" fontId="24" fillId="0" borderId="18" xfId="46" applyNumberFormat="1" applyFont="1" applyBorder="1" applyAlignment="1">
      <alignment horizontal="center"/>
    </xf>
    <xf numFmtId="175" fontId="24" fillId="0" borderId="87" xfId="46" applyNumberFormat="1" applyFont="1" applyBorder="1" applyAlignment="1">
      <alignment/>
    </xf>
    <xf numFmtId="3" fontId="20" fillId="0" borderId="106" xfId="0" applyNumberFormat="1" applyFont="1" applyBorder="1" applyAlignment="1">
      <alignment horizontal="center"/>
    </xf>
    <xf numFmtId="175" fontId="20" fillId="0" borderId="49" xfId="46" applyNumberFormat="1" applyFont="1" applyBorder="1" applyAlignment="1">
      <alignment horizontal="center"/>
    </xf>
    <xf numFmtId="175" fontId="20" fillId="0" borderId="72" xfId="46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18" fillId="0" borderId="122" xfId="0" applyNumberFormat="1" applyFont="1" applyBorder="1" applyAlignment="1">
      <alignment horizontal="center"/>
    </xf>
    <xf numFmtId="175" fontId="18" fillId="0" borderId="74" xfId="46" applyNumberFormat="1" applyFont="1" applyBorder="1" applyAlignment="1">
      <alignment horizontal="center"/>
    </xf>
    <xf numFmtId="175" fontId="18" fillId="0" borderId="69" xfId="46" applyNumberFormat="1" applyFont="1" applyBorder="1" applyAlignment="1">
      <alignment/>
    </xf>
    <xf numFmtId="3" fontId="27" fillId="0" borderId="110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175" fontId="18" fillId="40" borderId="87" xfId="46" applyNumberFormat="1" applyFont="1" applyFill="1" applyBorder="1" applyAlignment="1">
      <alignment/>
    </xf>
    <xf numFmtId="0" fontId="27" fillId="0" borderId="0" xfId="0" applyFont="1" applyAlignment="1">
      <alignment/>
    </xf>
    <xf numFmtId="3" fontId="27" fillId="0" borderId="101" xfId="0" applyNumberFormat="1" applyFont="1" applyBorder="1" applyAlignment="1">
      <alignment horizontal="center"/>
    </xf>
    <xf numFmtId="3" fontId="27" fillId="0" borderId="53" xfId="0" applyNumberFormat="1" applyFont="1" applyBorder="1" applyAlignment="1">
      <alignment horizontal="center"/>
    </xf>
    <xf numFmtId="175" fontId="26" fillId="40" borderId="84" xfId="46" applyNumberFormat="1" applyFont="1" applyFill="1" applyBorder="1" applyAlignment="1">
      <alignment/>
    </xf>
    <xf numFmtId="3" fontId="18" fillId="0" borderId="101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84" xfId="0" applyNumberFormat="1" applyFont="1" applyBorder="1" applyAlignment="1">
      <alignment horizontal="center" vertical="center"/>
    </xf>
    <xf numFmtId="3" fontId="20" fillId="0" borderId="153" xfId="0" applyNumberFormat="1" applyFont="1" applyBorder="1" applyAlignment="1">
      <alignment horizontal="center"/>
    </xf>
    <xf numFmtId="3" fontId="20" fillId="0" borderId="154" xfId="0" applyNumberFormat="1" applyFont="1" applyBorder="1" applyAlignment="1">
      <alignment horizontal="center"/>
    </xf>
    <xf numFmtId="175" fontId="20" fillId="0" borderId="92" xfId="46" applyNumberFormat="1" applyFont="1" applyBorder="1" applyAlignment="1">
      <alignment horizontal="right"/>
    </xf>
    <xf numFmtId="3" fontId="22" fillId="37" borderId="98" xfId="0" applyNumberFormat="1" applyFont="1" applyFill="1" applyBorder="1" applyAlignment="1">
      <alignment/>
    </xf>
    <xf numFmtId="3" fontId="22" fillId="37" borderId="99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24" fillId="0" borderId="28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18" fillId="0" borderId="24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24" fillId="0" borderId="24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18" fillId="0" borderId="25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24" fillId="0" borderId="25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left" wrapText="1"/>
    </xf>
    <xf numFmtId="3" fontId="35" fillId="0" borderId="25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5" fillId="0" borderId="25" xfId="0" applyNumberFormat="1" applyFont="1" applyBorder="1" applyAlignment="1">
      <alignment horizontal="right"/>
    </xf>
    <xf numFmtId="3" fontId="35" fillId="40" borderId="12" xfId="0" applyNumberFormat="1" applyFont="1" applyFill="1" applyBorder="1" applyAlignment="1">
      <alignment horizontal="right"/>
    </xf>
    <xf numFmtId="3" fontId="24" fillId="40" borderId="12" xfId="0" applyNumberFormat="1" applyFont="1" applyFill="1" applyBorder="1" applyAlignment="1">
      <alignment/>
    </xf>
    <xf numFmtId="3" fontId="26" fillId="0" borderId="25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/>
    </xf>
    <xf numFmtId="3" fontId="26" fillId="40" borderId="12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wrapText="1"/>
    </xf>
    <xf numFmtId="3" fontId="18" fillId="0" borderId="0" xfId="0" applyNumberFormat="1" applyFont="1" applyAlignment="1">
      <alignment/>
    </xf>
    <xf numFmtId="3" fontId="24" fillId="0" borderId="13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18" fillId="0" borderId="18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16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/>
    </xf>
    <xf numFmtId="3" fontId="0" fillId="40" borderId="53" xfId="0" applyNumberForma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wrapText="1"/>
    </xf>
    <xf numFmtId="3" fontId="18" fillId="0" borderId="18" xfId="0" applyNumberFormat="1" applyFont="1" applyBorder="1" applyAlignment="1">
      <alignment horizontal="center"/>
    </xf>
    <xf numFmtId="3" fontId="18" fillId="0" borderId="146" xfId="0" applyNumberFormat="1" applyFont="1" applyBorder="1" applyAlignment="1">
      <alignment/>
    </xf>
    <xf numFmtId="3" fontId="27" fillId="33" borderId="180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3" fontId="26" fillId="50" borderId="12" xfId="0" applyNumberFormat="1" applyFont="1" applyFill="1" applyBorder="1" applyAlignment="1">
      <alignment horizontal="right"/>
    </xf>
    <xf numFmtId="0" fontId="8" fillId="0" borderId="86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8" fillId="36" borderId="65" xfId="0" applyFont="1" applyFill="1" applyBorder="1" applyAlignment="1">
      <alignment horizontal="right"/>
    </xf>
    <xf numFmtId="0" fontId="8" fillId="0" borderId="181" xfId="0" applyFont="1" applyBorder="1" applyAlignment="1">
      <alignment horizontal="right"/>
    </xf>
    <xf numFmtId="0" fontId="0" fillId="36" borderId="14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40" borderId="53" xfId="0" applyFill="1" applyBorder="1" applyAlignment="1">
      <alignment wrapText="1"/>
    </xf>
    <xf numFmtId="3" fontId="2" fillId="36" borderId="14" xfId="0" applyNumberFormat="1" applyFont="1" applyFill="1" applyBorder="1" applyAlignment="1">
      <alignment horizontal="right"/>
    </xf>
    <xf numFmtId="175" fontId="2" fillId="48" borderId="31" xfId="46" applyNumberFormat="1" applyFont="1" applyFill="1" applyBorder="1" applyAlignment="1">
      <alignment/>
    </xf>
    <xf numFmtId="175" fontId="79" fillId="40" borderId="14" xfId="46" applyNumberFormat="1" applyFont="1" applyFill="1" applyBorder="1" applyAlignment="1">
      <alignment/>
    </xf>
    <xf numFmtId="175" fontId="84" fillId="40" borderId="25" xfId="46" applyNumberFormat="1" applyFont="1" applyFill="1" applyBorder="1" applyAlignment="1">
      <alignment/>
    </xf>
    <xf numFmtId="0" fontId="89" fillId="0" borderId="0" xfId="0" applyFont="1" applyAlignment="1">
      <alignment/>
    </xf>
    <xf numFmtId="175" fontId="0" fillId="40" borderId="25" xfId="46" applyNumberFormat="1" applyFill="1" applyBorder="1" applyAlignment="1">
      <alignment/>
    </xf>
    <xf numFmtId="175" fontId="84" fillId="40" borderId="53" xfId="46" applyNumberFormat="1" applyFont="1" applyFill="1" applyBorder="1" applyAlignment="1">
      <alignment/>
    </xf>
    <xf numFmtId="175" fontId="0" fillId="40" borderId="53" xfId="46" applyNumberFormat="1" applyFill="1" applyBorder="1" applyAlignment="1">
      <alignment/>
    </xf>
    <xf numFmtId="3" fontId="0" fillId="0" borderId="62" xfId="0" applyNumberFormat="1" applyBorder="1" applyAlignment="1">
      <alignment wrapText="1"/>
    </xf>
    <xf numFmtId="3" fontId="18" fillId="33" borderId="61" xfId="0" applyNumberFormat="1" applyFont="1" applyFill="1" applyBorder="1" applyAlignment="1">
      <alignment horizontal="center"/>
    </xf>
    <xf numFmtId="3" fontId="18" fillId="41" borderId="61" xfId="0" applyNumberFormat="1" applyFont="1" applyFill="1" applyBorder="1" applyAlignment="1">
      <alignment wrapText="1"/>
    </xf>
    <xf numFmtId="3" fontId="18" fillId="33" borderId="61" xfId="0" applyNumberFormat="1" applyFont="1" applyFill="1" applyBorder="1" applyAlignment="1">
      <alignment/>
    </xf>
    <xf numFmtId="177" fontId="5" fillId="37" borderId="138" xfId="0" applyNumberFormat="1" applyFont="1" applyFill="1" applyBorder="1" applyAlignment="1">
      <alignment/>
    </xf>
    <xf numFmtId="3" fontId="15" fillId="37" borderId="49" xfId="0" applyNumberFormat="1" applyFont="1" applyFill="1" applyBorder="1" applyAlignment="1">
      <alignment wrapText="1"/>
    </xf>
    <xf numFmtId="3" fontId="5" fillId="37" borderId="138" xfId="0" applyNumberFormat="1" applyFont="1" applyFill="1" applyBorder="1" applyAlignment="1">
      <alignment horizontal="center"/>
    </xf>
    <xf numFmtId="3" fontId="5" fillId="37" borderId="138" xfId="0" applyNumberFormat="1" applyFont="1" applyFill="1" applyBorder="1" applyAlignment="1">
      <alignment wrapText="1"/>
    </xf>
    <xf numFmtId="175" fontId="5" fillId="37" borderId="156" xfId="46" applyNumberFormat="1" applyFont="1" applyFill="1" applyBorder="1" applyAlignment="1">
      <alignment/>
    </xf>
    <xf numFmtId="3" fontId="0" fillId="0" borderId="53" xfId="0" applyNumberForma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36" borderId="27" xfId="0" applyNumberFormat="1" applyFill="1" applyBorder="1" applyAlignment="1">
      <alignment/>
    </xf>
    <xf numFmtId="3" fontId="0" fillId="36" borderId="65" xfId="0" applyNumberFormat="1" applyFill="1" applyBorder="1" applyAlignment="1">
      <alignment/>
    </xf>
    <xf numFmtId="0" fontId="8" fillId="36" borderId="53" xfId="0" applyFont="1" applyFill="1" applyBorder="1" applyAlignment="1">
      <alignment/>
    </xf>
    <xf numFmtId="175" fontId="0" fillId="0" borderId="53" xfId="0" applyNumberFormat="1" applyBorder="1" applyAlignment="1">
      <alignment/>
    </xf>
    <xf numFmtId="0" fontId="2" fillId="0" borderId="124" xfId="0" applyFont="1" applyBorder="1" applyAlignment="1">
      <alignment horizontal="center" vertical="center" wrapText="1"/>
    </xf>
    <xf numFmtId="175" fontId="0" fillId="0" borderId="90" xfId="46" applyNumberFormat="1" applyBorder="1" applyAlignment="1">
      <alignment horizontal="center" vertical="center"/>
    </xf>
    <xf numFmtId="175" fontId="0" fillId="0" borderId="101" xfId="46" applyNumberFormat="1" applyBorder="1" applyAlignment="1">
      <alignment horizontal="center" vertical="center"/>
    </xf>
    <xf numFmtId="175" fontId="0" fillId="0" borderId="103" xfId="46" applyNumberFormat="1" applyBorder="1" applyAlignment="1">
      <alignment horizontal="center" vertical="center"/>
    </xf>
    <xf numFmtId="175" fontId="0" fillId="0" borderId="108" xfId="46" applyNumberFormat="1" applyBorder="1" applyAlignment="1">
      <alignment horizontal="center" vertical="center"/>
    </xf>
    <xf numFmtId="175" fontId="0" fillId="0" borderId="91" xfId="46" applyNumberFormat="1" applyBorder="1" applyAlignment="1">
      <alignment horizontal="center" vertical="center"/>
    </xf>
    <xf numFmtId="175" fontId="5" fillId="49" borderId="108" xfId="46" applyNumberFormat="1" applyFont="1" applyFill="1" applyBorder="1" applyAlignment="1">
      <alignment horizontal="center" vertical="center"/>
    </xf>
    <xf numFmtId="0" fontId="0" fillId="0" borderId="101" xfId="0" applyBorder="1" applyAlignment="1">
      <alignment/>
    </xf>
    <xf numFmtId="0" fontId="8" fillId="0" borderId="101" xfId="0" applyFont="1" applyBorder="1" applyAlignment="1">
      <alignment/>
    </xf>
    <xf numFmtId="175" fontId="5" fillId="49" borderId="108" xfId="0" applyNumberFormat="1" applyFont="1" applyFill="1" applyBorder="1" applyAlignment="1">
      <alignment/>
    </xf>
    <xf numFmtId="175" fontId="2" fillId="0" borderId="108" xfId="46" applyNumberFormat="1" applyFont="1" applyBorder="1" applyAlignment="1">
      <alignment horizontal="center" vertical="center"/>
    </xf>
    <xf numFmtId="175" fontId="8" fillId="40" borderId="102" xfId="46" applyNumberFormat="1" applyFont="1" applyFill="1" applyBorder="1" applyAlignment="1">
      <alignment horizontal="center" vertical="center" wrapText="1"/>
    </xf>
    <xf numFmtId="175" fontId="8" fillId="0" borderId="90" xfId="46" applyNumberFormat="1" applyFont="1" applyBorder="1" applyAlignment="1">
      <alignment horizontal="center" vertical="center"/>
    </xf>
    <xf numFmtId="175" fontId="8" fillId="40" borderId="101" xfId="46" applyNumberFormat="1" applyFont="1" applyFill="1" applyBorder="1" applyAlignment="1">
      <alignment horizontal="center" vertical="center" wrapText="1"/>
    </xf>
    <xf numFmtId="175" fontId="8" fillId="0" borderId="84" xfId="46" applyNumberFormat="1" applyFont="1" applyBorder="1" applyAlignment="1">
      <alignment horizontal="center" vertical="center"/>
    </xf>
    <xf numFmtId="175" fontId="2" fillId="0" borderId="102" xfId="46" applyNumberFormat="1" applyFont="1" applyBorder="1" applyAlignment="1">
      <alignment/>
    </xf>
    <xf numFmtId="175" fontId="2" fillId="0" borderId="101" xfId="0" applyNumberFormat="1" applyFont="1" applyBorder="1" applyAlignment="1">
      <alignment/>
    </xf>
    <xf numFmtId="175" fontId="8" fillId="0" borderId="101" xfId="46" applyNumberFormat="1" applyFont="1" applyBorder="1" applyAlignment="1">
      <alignment/>
    </xf>
    <xf numFmtId="0" fontId="8" fillId="0" borderId="84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175" fontId="8" fillId="40" borderId="155" xfId="46" applyNumberFormat="1" applyFont="1" applyFill="1" applyBorder="1" applyAlignment="1">
      <alignment horizontal="center" vertical="center" wrapText="1"/>
    </xf>
    <xf numFmtId="175" fontId="0" fillId="0" borderId="84" xfId="46" applyNumberFormat="1" applyBorder="1" applyAlignment="1">
      <alignment horizontal="center" vertical="center"/>
    </xf>
    <xf numFmtId="175" fontId="0" fillId="0" borderId="84" xfId="46" applyNumberFormat="1" applyBorder="1" applyAlignment="1">
      <alignment horizontal="right"/>
    </xf>
    <xf numFmtId="175" fontId="0" fillId="0" borderId="104" xfId="46" applyNumberFormat="1" applyBorder="1" applyAlignment="1">
      <alignment horizontal="right"/>
    </xf>
    <xf numFmtId="175" fontId="0" fillId="0" borderId="182" xfId="46" applyNumberFormat="1" applyBorder="1" applyAlignment="1">
      <alignment horizontal="center" vertical="center"/>
    </xf>
    <xf numFmtId="175" fontId="2" fillId="0" borderId="84" xfId="46" applyNumberFormat="1" applyFont="1" applyBorder="1" applyAlignment="1">
      <alignment horizontal="center" vertical="center"/>
    </xf>
    <xf numFmtId="175" fontId="0" fillId="0" borderId="104" xfId="46" applyNumberFormat="1" applyBorder="1" applyAlignment="1">
      <alignment horizontal="center" vertical="center"/>
    </xf>
    <xf numFmtId="0" fontId="8" fillId="0" borderId="125" xfId="0" applyFont="1" applyBorder="1" applyAlignment="1">
      <alignment/>
    </xf>
    <xf numFmtId="3" fontId="0" fillId="0" borderId="62" xfId="0" applyNumberFormat="1" applyBorder="1" applyAlignment="1">
      <alignment vertical="center"/>
    </xf>
    <xf numFmtId="3" fontId="0" fillId="36" borderId="31" xfId="0" applyNumberFormat="1" applyFill="1" applyBorder="1" applyAlignment="1">
      <alignment/>
    </xf>
    <xf numFmtId="175" fontId="0" fillId="36" borderId="88" xfId="46" applyNumberFormat="1" applyFill="1" applyBorder="1" applyAlignment="1">
      <alignment horizontal="center" vertical="center"/>
    </xf>
    <xf numFmtId="3" fontId="2" fillId="0" borderId="183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5" fontId="2" fillId="0" borderId="69" xfId="46" applyNumberFormat="1" applyFont="1" applyBorder="1" applyAlignment="1">
      <alignment/>
    </xf>
    <xf numFmtId="3" fontId="0" fillId="0" borderId="184" xfId="0" applyNumberFormat="1" applyBorder="1" applyAlignment="1">
      <alignment horizontal="center"/>
    </xf>
    <xf numFmtId="3" fontId="0" fillId="0" borderId="70" xfId="0" applyNumberFormat="1" applyBorder="1" applyAlignment="1">
      <alignment/>
    </xf>
    <xf numFmtId="177" fontId="0" fillId="0" borderId="70" xfId="0" applyNumberFormat="1" applyBorder="1" applyAlignment="1">
      <alignment/>
    </xf>
    <xf numFmtId="175" fontId="0" fillId="0" borderId="71" xfId="46" applyNumberFormat="1" applyBorder="1" applyAlignment="1">
      <alignment/>
    </xf>
    <xf numFmtId="3" fontId="5" fillId="33" borderId="111" xfId="0" applyNumberFormat="1" applyFont="1" applyFill="1" applyBorder="1" applyAlignment="1">
      <alignment horizontal="center" vertical="center"/>
    </xf>
    <xf numFmtId="3" fontId="5" fillId="33" borderId="167" xfId="0" applyNumberFormat="1" applyFont="1" applyFill="1" applyBorder="1" applyAlignment="1">
      <alignment horizontal="center" vertical="center"/>
    </xf>
    <xf numFmtId="3" fontId="5" fillId="33" borderId="138" xfId="0" applyNumberFormat="1" applyFont="1" applyFill="1" applyBorder="1" applyAlignment="1">
      <alignment vertical="center"/>
    </xf>
    <xf numFmtId="177" fontId="5" fillId="33" borderId="138" xfId="0" applyNumberFormat="1" applyFont="1" applyFill="1" applyBorder="1" applyAlignment="1">
      <alignment vertical="center"/>
    </xf>
    <xf numFmtId="175" fontId="5" fillId="33" borderId="156" xfId="46" applyNumberFormat="1" applyFont="1" applyFill="1" applyBorder="1" applyAlignment="1">
      <alignment vertical="center"/>
    </xf>
    <xf numFmtId="3" fontId="0" fillId="36" borderId="74" xfId="0" applyNumberFormat="1" applyFill="1" applyBorder="1" applyAlignment="1">
      <alignment horizontal="center"/>
    </xf>
    <xf numFmtId="175" fontId="0" fillId="36" borderId="185" xfId="46" applyNumberFormat="1" applyFill="1" applyBorder="1" applyAlignment="1">
      <alignment/>
    </xf>
    <xf numFmtId="175" fontId="0" fillId="36" borderId="120" xfId="46" applyNumberFormat="1" applyFill="1" applyBorder="1" applyAlignment="1">
      <alignment/>
    </xf>
    <xf numFmtId="175" fontId="8" fillId="36" borderId="186" xfId="46" applyNumberFormat="1" applyFont="1" applyFill="1" applyBorder="1" applyAlignment="1">
      <alignment horizontal="right"/>
    </xf>
    <xf numFmtId="175" fontId="8" fillId="0" borderId="187" xfId="46" applyNumberFormat="1" applyFont="1" applyBorder="1" applyAlignment="1">
      <alignment horizontal="right"/>
    </xf>
    <xf numFmtId="175" fontId="0" fillId="36" borderId="116" xfId="46" applyNumberFormat="1" applyFill="1" applyBorder="1" applyAlignment="1">
      <alignment/>
    </xf>
    <xf numFmtId="175" fontId="8" fillId="36" borderId="117" xfId="46" applyNumberFormat="1" applyFont="1" applyFill="1" applyBorder="1" applyAlignment="1">
      <alignment horizontal="right"/>
    </xf>
    <xf numFmtId="175" fontId="8" fillId="0" borderId="188" xfId="46" applyNumberFormat="1" applyFont="1" applyBorder="1" applyAlignment="1">
      <alignment horizontal="right"/>
    </xf>
    <xf numFmtId="177" fontId="0" fillId="36" borderId="189" xfId="0" applyNumberFormat="1" applyFill="1" applyBorder="1" applyAlignment="1">
      <alignment/>
    </xf>
    <xf numFmtId="177" fontId="0" fillId="36" borderId="11" xfId="0" applyNumberFormat="1" applyFill="1" applyBorder="1" applyAlignment="1">
      <alignment/>
    </xf>
    <xf numFmtId="177" fontId="0" fillId="36" borderId="26" xfId="0" applyNumberFormat="1" applyFill="1" applyBorder="1" applyAlignment="1">
      <alignment/>
    </xf>
    <xf numFmtId="177" fontId="8" fillId="36" borderId="64" xfId="0" applyNumberFormat="1" applyFont="1" applyFill="1" applyBorder="1" applyAlignment="1">
      <alignment horizontal="right"/>
    </xf>
    <xf numFmtId="0" fontId="8" fillId="0" borderId="190" xfId="0" applyFont="1" applyBorder="1" applyAlignment="1">
      <alignment horizontal="right"/>
    </xf>
    <xf numFmtId="3" fontId="0" fillId="0" borderId="125" xfId="0" applyNumberFormat="1" applyBorder="1" applyAlignment="1">
      <alignment horizontal="center"/>
    </xf>
    <xf numFmtId="3" fontId="0" fillId="0" borderId="125" xfId="0" applyNumberFormat="1" applyBorder="1" applyAlignment="1">
      <alignment/>
    </xf>
    <xf numFmtId="177" fontId="2" fillId="0" borderId="145" xfId="0" applyNumberFormat="1" applyFont="1" applyBorder="1" applyAlignment="1">
      <alignment/>
    </xf>
    <xf numFmtId="177" fontId="0" fillId="0" borderId="64" xfId="0" applyNumberFormat="1" applyBorder="1" applyAlignment="1">
      <alignment/>
    </xf>
    <xf numFmtId="177" fontId="13" fillId="0" borderId="64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0" fillId="0" borderId="190" xfId="0" applyNumberFormat="1" applyBorder="1" applyAlignment="1">
      <alignment/>
    </xf>
    <xf numFmtId="175" fontId="2" fillId="0" borderId="191" xfId="46" applyNumberFormat="1" applyFont="1" applyBorder="1" applyAlignment="1">
      <alignment/>
    </xf>
    <xf numFmtId="175" fontId="0" fillId="0" borderId="117" xfId="46" applyNumberFormat="1" applyFont="1" applyBorder="1" applyAlignment="1">
      <alignment/>
    </xf>
    <xf numFmtId="175" fontId="13" fillId="0" borderId="117" xfId="46" applyNumberFormat="1" applyFont="1" applyBorder="1" applyAlignment="1">
      <alignment/>
    </xf>
    <xf numFmtId="175" fontId="2" fillId="0" borderId="117" xfId="46" applyNumberFormat="1" applyFont="1" applyBorder="1" applyAlignment="1">
      <alignment/>
    </xf>
    <xf numFmtId="175" fontId="0" fillId="0" borderId="188" xfId="46" applyNumberFormat="1" applyFont="1" applyBorder="1" applyAlignment="1">
      <alignment/>
    </xf>
    <xf numFmtId="1" fontId="2" fillId="0" borderId="74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left" wrapText="1"/>
    </xf>
    <xf numFmtId="177" fontId="2" fillId="0" borderId="74" xfId="0" applyNumberFormat="1" applyFont="1" applyBorder="1" applyAlignment="1">
      <alignment horizontal="center"/>
    </xf>
    <xf numFmtId="177" fontId="0" fillId="0" borderId="125" xfId="0" applyNumberFormat="1" applyBorder="1" applyAlignment="1">
      <alignment horizontal="center"/>
    </xf>
    <xf numFmtId="175" fontId="0" fillId="0" borderId="188" xfId="46" applyNumberFormat="1" applyBorder="1" applyAlignment="1">
      <alignment horizontal="right" vertical="center"/>
    </xf>
    <xf numFmtId="175" fontId="0" fillId="48" borderId="53" xfId="46" applyNumberFormat="1" applyFill="1" applyBorder="1" applyAlignment="1">
      <alignment/>
    </xf>
    <xf numFmtId="175" fontId="8" fillId="40" borderId="77" xfId="46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wrapText="1"/>
    </xf>
    <xf numFmtId="3" fontId="18" fillId="50" borderId="38" xfId="0" applyNumberFormat="1" applyFont="1" applyFill="1" applyBorder="1" applyAlignment="1">
      <alignment horizontal="center"/>
    </xf>
    <xf numFmtId="3" fontId="18" fillId="51" borderId="53" xfId="0" applyNumberFormat="1" applyFont="1" applyFill="1" applyBorder="1" applyAlignment="1">
      <alignment wrapText="1"/>
    </xf>
    <xf numFmtId="3" fontId="18" fillId="50" borderId="18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8" fillId="0" borderId="11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 horizontal="left"/>
    </xf>
    <xf numFmtId="3" fontId="0" fillId="0" borderId="192" xfId="0" applyNumberFormat="1" applyBorder="1" applyAlignment="1">
      <alignment/>
    </xf>
    <xf numFmtId="3" fontId="2" fillId="0" borderId="53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102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53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8" fillId="36" borderId="101" xfId="0" applyFont="1" applyFill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" fontId="8" fillId="36" borderId="101" xfId="0" applyNumberFormat="1" applyFont="1" applyFill="1" applyBorder="1" applyAlignment="1">
      <alignment horizontal="center" vertical="center"/>
    </xf>
    <xf numFmtId="3" fontId="2" fillId="0" borderId="135" xfId="0" applyNumberFormat="1" applyFont="1" applyBorder="1" applyAlignment="1">
      <alignment horizontal="center" vertical="center"/>
    </xf>
    <xf numFmtId="3" fontId="13" fillId="0" borderId="101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3" fontId="0" fillId="0" borderId="124" xfId="0" applyNumberFormat="1" applyBorder="1" applyAlignment="1">
      <alignment horizontal="center" vertical="center"/>
    </xf>
    <xf numFmtId="3" fontId="5" fillId="37" borderId="111" xfId="0" applyNumberFormat="1" applyFont="1" applyFill="1" applyBorder="1" applyAlignment="1">
      <alignment horizontal="center" vertical="center" wrapText="1"/>
    </xf>
    <xf numFmtId="3" fontId="0" fillId="0" borderId="135" xfId="0" applyNumberForma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5" fontId="8" fillId="0" borderId="182" xfId="46" applyNumberFormat="1" applyFont="1" applyBorder="1" applyAlignment="1">
      <alignment horizontal="center" vertical="center"/>
    </xf>
    <xf numFmtId="175" fontId="2" fillId="0" borderId="152" xfId="46" applyNumberFormat="1" applyFont="1" applyBorder="1" applyAlignment="1">
      <alignment horizontal="center" vertical="center"/>
    </xf>
    <xf numFmtId="175" fontId="2" fillId="0" borderId="182" xfId="46" applyNumberFormat="1" applyFont="1" applyBorder="1" applyAlignment="1">
      <alignment horizontal="center" vertical="center"/>
    </xf>
    <xf numFmtId="175" fontId="0" fillId="0" borderId="194" xfId="46" applyNumberFormat="1" applyBorder="1" applyAlignment="1">
      <alignment horizontal="center" vertical="center"/>
    </xf>
    <xf numFmtId="175" fontId="2" fillId="0" borderId="143" xfId="46" applyNumberFormat="1" applyFont="1" applyBorder="1" applyAlignment="1">
      <alignment horizontal="center" vertical="center"/>
    </xf>
    <xf numFmtId="175" fontId="8" fillId="40" borderId="67" xfId="46" applyNumberFormat="1" applyFont="1" applyFill="1" applyBorder="1" applyAlignment="1">
      <alignment horizontal="center" vertical="center" wrapText="1"/>
    </xf>
    <xf numFmtId="175" fontId="8" fillId="40" borderId="65" xfId="46" applyNumberFormat="1" applyFont="1" applyFill="1" applyBorder="1" applyAlignment="1">
      <alignment horizontal="center" vertical="center" wrapText="1"/>
    </xf>
    <xf numFmtId="175" fontId="2" fillId="40" borderId="194" xfId="46" applyNumberFormat="1" applyFont="1" applyFill="1" applyBorder="1" applyAlignment="1">
      <alignment horizontal="center" vertical="center" wrapText="1"/>
    </xf>
    <xf numFmtId="0" fontId="8" fillId="0" borderId="155" xfId="0" applyFont="1" applyBorder="1" applyAlignment="1">
      <alignment horizontal="right"/>
    </xf>
    <xf numFmtId="0" fontId="8" fillId="0" borderId="102" xfId="0" applyFont="1" applyBorder="1" applyAlignment="1">
      <alignment horizontal="right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2" fillId="0" borderId="102" xfId="0" applyFont="1" applyBorder="1" applyAlignment="1">
      <alignment horizontal="right"/>
    </xf>
    <xf numFmtId="0" fontId="2" fillId="0" borderId="101" xfId="0" applyFont="1" applyBorder="1" applyAlignment="1">
      <alignment horizontal="right"/>
    </xf>
    <xf numFmtId="0" fontId="0" fillId="40" borderId="53" xfId="0" applyFont="1" applyFill="1" applyBorder="1" applyAlignment="1">
      <alignment horizontal="left" vertical="top" wrapText="1"/>
    </xf>
    <xf numFmtId="175" fontId="0" fillId="0" borderId="135" xfId="46" applyNumberFormat="1" applyBorder="1" applyAlignment="1">
      <alignment horizontal="center" vertical="center"/>
    </xf>
    <xf numFmtId="175" fontId="0" fillId="0" borderId="136" xfId="46" applyNumberFormat="1" applyBorder="1" applyAlignment="1">
      <alignment horizontal="center" vertical="center"/>
    </xf>
    <xf numFmtId="175" fontId="0" fillId="0" borderId="127" xfId="46" applyNumberFormat="1" applyBorder="1" applyAlignment="1">
      <alignment horizontal="center" vertical="center"/>
    </xf>
    <xf numFmtId="0" fontId="2" fillId="40" borderId="91" xfId="0" applyFont="1" applyFill="1" applyBorder="1" applyAlignment="1">
      <alignment horizontal="left" vertical="top" wrapText="1"/>
    </xf>
    <xf numFmtId="0" fontId="0" fillId="40" borderId="84" xfId="0" applyFont="1" applyFill="1" applyBorder="1" applyAlignment="1">
      <alignment horizontal="left" vertical="top" wrapText="1"/>
    </xf>
    <xf numFmtId="0" fontId="2" fillId="40" borderId="84" xfId="0" applyFont="1" applyFill="1" applyBorder="1" applyAlignment="1">
      <alignment horizontal="left" vertical="top" wrapText="1"/>
    </xf>
    <xf numFmtId="0" fontId="0" fillId="40" borderId="104" xfId="0" applyFont="1" applyFill="1" applyBorder="1" applyAlignment="1">
      <alignment horizontal="left" vertical="top" wrapText="1"/>
    </xf>
    <xf numFmtId="0" fontId="5" fillId="40" borderId="91" xfId="0" applyFont="1" applyFill="1" applyBorder="1" applyAlignment="1">
      <alignment horizontal="left" vertical="top" wrapText="1"/>
    </xf>
    <xf numFmtId="0" fontId="2" fillId="0" borderId="84" xfId="0" applyFont="1" applyBorder="1" applyAlignment="1">
      <alignment/>
    </xf>
    <xf numFmtId="0" fontId="5" fillId="49" borderId="91" xfId="0" applyFont="1" applyFill="1" applyBorder="1" applyAlignment="1">
      <alignment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195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96" xfId="0" applyNumberFormat="1" applyBorder="1" applyAlignment="1">
      <alignment/>
    </xf>
    <xf numFmtId="177" fontId="5" fillId="37" borderId="48" xfId="0" applyNumberFormat="1" applyFont="1" applyFill="1" applyBorder="1" applyAlignment="1">
      <alignment/>
    </xf>
    <xf numFmtId="177" fontId="0" fillId="36" borderId="64" xfId="0" applyNumberFormat="1" applyFill="1" applyBorder="1" applyAlignment="1">
      <alignment/>
    </xf>
    <xf numFmtId="0" fontId="8" fillId="36" borderId="64" xfId="0" applyFont="1" applyFill="1" applyBorder="1" applyAlignment="1">
      <alignment horizontal="right"/>
    </xf>
    <xf numFmtId="175" fontId="2" fillId="33" borderId="126" xfId="46" applyNumberFormat="1" applyFont="1" applyFill="1" applyBorder="1" applyAlignment="1">
      <alignment horizontal="center" vertical="center" wrapText="1"/>
    </xf>
    <xf numFmtId="175" fontId="2" fillId="33" borderId="126" xfId="46" applyNumberFormat="1" applyFont="1" applyFill="1" applyBorder="1" applyAlignment="1">
      <alignment horizontal="center" vertical="center"/>
    </xf>
    <xf numFmtId="175" fontId="2" fillId="0" borderId="197" xfId="46" applyNumberFormat="1" applyFont="1" applyBorder="1" applyAlignment="1">
      <alignment horizontal="center" vertical="center"/>
    </xf>
    <xf numFmtId="175" fontId="0" fillId="0" borderId="115" xfId="46" applyNumberFormat="1" applyBorder="1" applyAlignment="1">
      <alignment horizontal="center" vertical="center"/>
    </xf>
    <xf numFmtId="175" fontId="2" fillId="0" borderId="115" xfId="46" applyNumberFormat="1" applyFont="1" applyBorder="1" applyAlignment="1">
      <alignment horizontal="center" vertical="center"/>
    </xf>
    <xf numFmtId="175" fontId="2" fillId="0" borderId="117" xfId="46" applyNumberFormat="1" applyFont="1" applyBorder="1" applyAlignment="1">
      <alignment horizontal="center" vertical="center"/>
    </xf>
    <xf numFmtId="175" fontId="0" fillId="0" borderId="117" xfId="46" applyNumberFormat="1" applyBorder="1" applyAlignment="1">
      <alignment horizontal="center" vertical="center"/>
    </xf>
    <xf numFmtId="175" fontId="0" fillId="0" borderId="118" xfId="46" applyNumberFormat="1" applyBorder="1" applyAlignment="1">
      <alignment horizontal="center" vertical="center"/>
    </xf>
    <xf numFmtId="175" fontId="5" fillId="37" borderId="126" xfId="46" applyNumberFormat="1" applyFont="1" applyFill="1" applyBorder="1" applyAlignment="1">
      <alignment/>
    </xf>
    <xf numFmtId="175" fontId="0" fillId="36" borderId="114" xfId="46" applyNumberFormat="1" applyFill="1" applyBorder="1" applyAlignment="1">
      <alignment horizontal="center" vertical="center"/>
    </xf>
    <xf numFmtId="175" fontId="0" fillId="36" borderId="157" xfId="46" applyNumberFormat="1" applyFill="1" applyBorder="1" applyAlignment="1">
      <alignment horizontal="center" vertical="center"/>
    </xf>
    <xf numFmtId="175" fontId="0" fillId="36" borderId="117" xfId="46" applyNumberFormat="1" applyFill="1" applyBorder="1" applyAlignment="1">
      <alignment horizontal="center" vertical="center"/>
    </xf>
    <xf numFmtId="175" fontId="8" fillId="36" borderId="117" xfId="46" applyNumberFormat="1" applyFont="1" applyFill="1" applyBorder="1" applyAlignment="1">
      <alignment horizontal="right" vertical="center"/>
    </xf>
    <xf numFmtId="175" fontId="8" fillId="0" borderId="188" xfId="46" applyNumberFormat="1" applyFont="1" applyBorder="1" applyAlignment="1">
      <alignment horizontal="right" vertical="center"/>
    </xf>
    <xf numFmtId="3" fontId="4" fillId="37" borderId="79" xfId="0" applyNumberFormat="1" applyFont="1" applyFill="1" applyBorder="1" applyAlignment="1">
      <alignment horizontal="center" vertical="center" wrapText="1"/>
    </xf>
    <xf numFmtId="3" fontId="2" fillId="37" borderId="34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5" fillId="33" borderId="198" xfId="0" applyNumberFormat="1" applyFont="1" applyFill="1" applyBorder="1" applyAlignment="1">
      <alignment vertical="center"/>
    </xf>
    <xf numFmtId="177" fontId="0" fillId="36" borderId="22" xfId="0" applyNumberFormat="1" applyFill="1" applyBorder="1" applyAlignment="1">
      <alignment/>
    </xf>
    <xf numFmtId="0" fontId="8" fillId="0" borderId="64" xfId="0" applyFont="1" applyBorder="1" applyAlignment="1">
      <alignment horizontal="right"/>
    </xf>
    <xf numFmtId="175" fontId="2" fillId="37" borderId="199" xfId="46" applyNumberFormat="1" applyFont="1" applyFill="1" applyBorder="1" applyAlignment="1">
      <alignment horizontal="center" vertical="center" wrapText="1"/>
    </xf>
    <xf numFmtId="175" fontId="2" fillId="37" borderId="115" xfId="46" applyNumberFormat="1" applyFont="1" applyFill="1" applyBorder="1" applyAlignment="1">
      <alignment horizontal="center"/>
    </xf>
    <xf numFmtId="175" fontId="2" fillId="0" borderId="115" xfId="46" applyNumberFormat="1" applyFont="1" applyBorder="1" applyAlignment="1">
      <alignment/>
    </xf>
    <xf numFmtId="175" fontId="0" fillId="0" borderId="115" xfId="46" applyNumberFormat="1" applyBorder="1" applyAlignment="1">
      <alignment/>
    </xf>
    <xf numFmtId="175" fontId="0" fillId="0" borderId="116" xfId="46" applyNumberFormat="1" applyBorder="1" applyAlignment="1">
      <alignment/>
    </xf>
    <xf numFmtId="175" fontId="0" fillId="0" borderId="117" xfId="46" applyNumberFormat="1" applyBorder="1" applyAlignment="1">
      <alignment/>
    </xf>
    <xf numFmtId="175" fontId="0" fillId="0" borderId="197" xfId="46" applyNumberFormat="1" applyBorder="1" applyAlignment="1">
      <alignment/>
    </xf>
    <xf numFmtId="175" fontId="8" fillId="0" borderId="115" xfId="46" applyNumberFormat="1" applyFont="1" applyBorder="1" applyAlignment="1">
      <alignment/>
    </xf>
    <xf numFmtId="175" fontId="5" fillId="33" borderId="200" xfId="46" applyNumberFormat="1" applyFont="1" applyFill="1" applyBorder="1" applyAlignment="1">
      <alignment vertical="center"/>
    </xf>
    <xf numFmtId="175" fontId="0" fillId="36" borderId="197" xfId="46" applyNumberFormat="1" applyFill="1" applyBorder="1" applyAlignment="1">
      <alignment/>
    </xf>
    <xf numFmtId="175" fontId="62" fillId="48" borderId="18" xfId="46" applyNumberFormat="1" applyFont="1" applyFill="1" applyBorder="1" applyAlignment="1">
      <alignment vertical="center"/>
    </xf>
    <xf numFmtId="175" fontId="2" fillId="40" borderId="10" xfId="46" applyNumberFormat="1" applyFont="1" applyFill="1" applyBorder="1" applyAlignment="1">
      <alignment horizontal="center" vertical="center" wrapText="1"/>
    </xf>
    <xf numFmtId="175" fontId="0" fillId="40" borderId="12" xfId="46" applyNumberFormat="1" applyFill="1" applyBorder="1" applyAlignment="1">
      <alignment vertical="center" wrapText="1"/>
    </xf>
    <xf numFmtId="175" fontId="0" fillId="40" borderId="14" xfId="46" applyNumberFormat="1" applyFill="1" applyBorder="1" applyAlignment="1">
      <alignment/>
    </xf>
    <xf numFmtId="3" fontId="2" fillId="44" borderId="10" xfId="0" applyNumberFormat="1" applyFont="1" applyFill="1" applyBorder="1" applyAlignment="1">
      <alignment horizontal="center" vertical="center" wrapText="1"/>
    </xf>
    <xf numFmtId="175" fontId="24" fillId="40" borderId="77" xfId="46" applyNumberFormat="1" applyFont="1" applyFill="1" applyBorder="1" applyAlignment="1">
      <alignment/>
    </xf>
    <xf numFmtId="175" fontId="18" fillId="40" borderId="77" xfId="46" applyNumberFormat="1" applyFont="1" applyFill="1" applyBorder="1" applyAlignment="1">
      <alignment/>
    </xf>
    <xf numFmtId="175" fontId="24" fillId="40" borderId="77" xfId="46" applyNumberFormat="1" applyFont="1" applyFill="1" applyBorder="1" applyAlignment="1">
      <alignment horizontal="right"/>
    </xf>
    <xf numFmtId="175" fontId="2" fillId="40" borderId="77" xfId="46" applyNumberFormat="1" applyFont="1" applyFill="1" applyBorder="1" applyAlignment="1">
      <alignment/>
    </xf>
    <xf numFmtId="175" fontId="35" fillId="40" borderId="77" xfId="46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3" fontId="8" fillId="50" borderId="12" xfId="0" applyNumberFormat="1" applyFont="1" applyFill="1" applyBorder="1" applyAlignment="1">
      <alignment horizontal="right"/>
    </xf>
    <xf numFmtId="3" fontId="0" fillId="33" borderId="18" xfId="0" applyNumberFormat="1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3" fontId="2" fillId="33" borderId="74" xfId="0" applyNumberFormat="1" applyFont="1" applyFill="1" applyBorder="1" applyAlignment="1">
      <alignment horizontal="center" vertical="center"/>
    </xf>
    <xf numFmtId="0" fontId="8" fillId="0" borderId="132" xfId="0" applyFont="1" applyBorder="1" applyAlignment="1">
      <alignment/>
    </xf>
    <xf numFmtId="175" fontId="8" fillId="0" borderId="111" xfId="46" applyNumberFormat="1" applyFont="1" applyBorder="1" applyAlignment="1">
      <alignment/>
    </xf>
    <xf numFmtId="175" fontId="8" fillId="0" borderId="138" xfId="46" applyNumberFormat="1" applyFont="1" applyBorder="1" applyAlignment="1">
      <alignment/>
    </xf>
    <xf numFmtId="175" fontId="8" fillId="0" borderId="156" xfId="46" applyNumberFormat="1" applyFont="1" applyBorder="1" applyAlignment="1">
      <alignment/>
    </xf>
    <xf numFmtId="0" fontId="2" fillId="0" borderId="91" xfId="0" applyFont="1" applyBorder="1" applyAlignment="1">
      <alignment wrapText="1"/>
    </xf>
    <xf numFmtId="0" fontId="8" fillId="40" borderId="182" xfId="0" applyFont="1" applyFill="1" applyBorder="1" applyAlignment="1">
      <alignment horizontal="left" vertical="top" wrapText="1"/>
    </xf>
    <xf numFmtId="0" fontId="8" fillId="40" borderId="90" xfId="0" applyFont="1" applyFill="1" applyBorder="1" applyAlignment="1">
      <alignment horizontal="left" vertical="top" wrapText="1"/>
    </xf>
    <xf numFmtId="0" fontId="8" fillId="40" borderId="84" xfId="0" applyFont="1" applyFill="1" applyBorder="1" applyAlignment="1">
      <alignment horizontal="left" vertical="top" wrapText="1"/>
    </xf>
    <xf numFmtId="0" fontId="2" fillId="40" borderId="92" xfId="0" applyFont="1" applyFill="1" applyBorder="1" applyAlignment="1">
      <alignment horizontal="left" vertical="top" wrapText="1"/>
    </xf>
    <xf numFmtId="0" fontId="8" fillId="0" borderId="103" xfId="0" applyFont="1" applyBorder="1" applyAlignment="1">
      <alignment horizontal="right"/>
    </xf>
    <xf numFmtId="0" fontId="0" fillId="40" borderId="104" xfId="0" applyFont="1" applyFill="1" applyBorder="1" applyAlignment="1">
      <alignment horizontal="left" vertical="top" wrapText="1"/>
    </xf>
    <xf numFmtId="175" fontId="5" fillId="0" borderId="153" xfId="46" applyNumberFormat="1" applyFont="1" applyBorder="1" applyAlignment="1">
      <alignment horizontal="center" vertical="center"/>
    </xf>
    <xf numFmtId="175" fontId="5" fillId="0" borderId="154" xfId="46" applyNumberFormat="1" applyFont="1" applyBorder="1" applyAlignment="1">
      <alignment horizontal="center" vertical="center"/>
    </xf>
    <xf numFmtId="175" fontId="5" fillId="0" borderId="92" xfId="46" applyNumberFormat="1" applyFont="1" applyBorder="1" applyAlignment="1">
      <alignment horizontal="center" vertical="center"/>
    </xf>
    <xf numFmtId="175" fontId="2" fillId="40" borderId="143" xfId="46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175" fontId="0" fillId="36" borderId="14" xfId="46" applyNumberFormat="1" applyFont="1" applyFill="1" applyBorder="1" applyAlignment="1">
      <alignment/>
    </xf>
    <xf numFmtId="3" fontId="15" fillId="37" borderId="137" xfId="0" applyNumberFormat="1" applyFont="1" applyFill="1" applyBorder="1" applyAlignment="1">
      <alignment wrapText="1"/>
    </xf>
    <xf numFmtId="177" fontId="5" fillId="37" borderId="137" xfId="0" applyNumberFormat="1" applyFont="1" applyFill="1" applyBorder="1" applyAlignment="1">
      <alignment/>
    </xf>
    <xf numFmtId="175" fontId="5" fillId="37" borderId="201" xfId="46" applyNumberFormat="1" applyFont="1" applyFill="1" applyBorder="1" applyAlignment="1">
      <alignment/>
    </xf>
    <xf numFmtId="3" fontId="2" fillId="33" borderId="202" xfId="0" applyNumberFormat="1" applyFont="1" applyFill="1" applyBorder="1" applyAlignment="1">
      <alignment horizontal="center" vertical="center" wrapText="1"/>
    </xf>
    <xf numFmtId="3" fontId="0" fillId="33" borderId="48" xfId="0" applyNumberFormat="1" applyFill="1" applyBorder="1" applyAlignment="1">
      <alignment horizontal="center" vertical="center"/>
    </xf>
    <xf numFmtId="3" fontId="0" fillId="33" borderId="107" xfId="0" applyNumberFormat="1" applyFill="1" applyBorder="1" applyAlignment="1">
      <alignment horizontal="center" vertical="center"/>
    </xf>
    <xf numFmtId="175" fontId="2" fillId="33" borderId="97" xfId="46" applyNumberFormat="1" applyFont="1" applyFill="1" applyBorder="1" applyAlignment="1">
      <alignment horizontal="center"/>
    </xf>
    <xf numFmtId="175" fontId="2" fillId="42" borderId="203" xfId="46" applyNumberFormat="1" applyFont="1" applyFill="1" applyBorder="1" applyAlignment="1">
      <alignment horizontal="center"/>
    </xf>
    <xf numFmtId="0" fontId="2" fillId="0" borderId="15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left" vertical="center" wrapText="1"/>
    </xf>
    <xf numFmtId="175" fontId="18" fillId="0" borderId="53" xfId="46" applyNumberFormat="1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175" fontId="6" fillId="0" borderId="112" xfId="46" applyNumberFormat="1" applyFont="1" applyBorder="1" applyAlignment="1">
      <alignment/>
    </xf>
    <xf numFmtId="175" fontId="8" fillId="0" borderId="61" xfId="46" applyNumberFormat="1" applyFont="1" applyBorder="1" applyAlignment="1">
      <alignment/>
    </xf>
    <xf numFmtId="0" fontId="0" fillId="0" borderId="132" xfId="0" applyBorder="1" applyAlignment="1">
      <alignment/>
    </xf>
    <xf numFmtId="0" fontId="2" fillId="0" borderId="159" xfId="0" applyFont="1" applyBorder="1" applyAlignment="1">
      <alignment/>
    </xf>
    <xf numFmtId="3" fontId="2" fillId="48" borderId="14" xfId="0" applyNumberFormat="1" applyFont="1" applyFill="1" applyBorder="1" applyAlignment="1">
      <alignment horizontal="right"/>
    </xf>
    <xf numFmtId="3" fontId="2" fillId="40" borderId="12" xfId="0" applyNumberFormat="1" applyFont="1" applyFill="1" applyBorder="1" applyAlignment="1">
      <alignment horizontal="center"/>
    </xf>
    <xf numFmtId="3" fontId="0" fillId="40" borderId="12" xfId="0" applyNumberFormat="1" applyFill="1" applyBorder="1" applyAlignment="1">
      <alignment/>
    </xf>
    <xf numFmtId="3" fontId="79" fillId="40" borderId="22" xfId="0" applyNumberFormat="1" applyFont="1" applyFill="1" applyBorder="1" applyAlignment="1">
      <alignment horizontal="right"/>
    </xf>
    <xf numFmtId="3" fontId="79" fillId="40" borderId="12" xfId="0" applyNumberFormat="1" applyFont="1" applyFill="1" applyBorder="1" applyAlignment="1">
      <alignment/>
    </xf>
    <xf numFmtId="0" fontId="8" fillId="40" borderId="76" xfId="0" applyFont="1" applyFill="1" applyBorder="1" applyAlignment="1">
      <alignment horizontal="center"/>
    </xf>
    <xf numFmtId="0" fontId="8" fillId="40" borderId="12" xfId="0" applyFont="1" applyFill="1" applyBorder="1" applyAlignment="1">
      <alignment/>
    </xf>
    <xf numFmtId="0" fontId="13" fillId="40" borderId="11" xfId="0" applyFont="1" applyFill="1" applyBorder="1" applyAlignment="1">
      <alignment wrapText="1"/>
    </xf>
    <xf numFmtId="175" fontId="8" fillId="40" borderId="119" xfId="46" applyNumberFormat="1" applyFont="1" applyFill="1" applyBorder="1" applyAlignment="1">
      <alignment/>
    </xf>
    <xf numFmtId="3" fontId="8" fillId="40" borderId="0" xfId="0" applyNumberFormat="1" applyFont="1" applyFill="1" applyAlignment="1">
      <alignment/>
    </xf>
    <xf numFmtId="0" fontId="13" fillId="40" borderId="11" xfId="0" applyFont="1" applyFill="1" applyBorder="1" applyAlignment="1">
      <alignment horizontal="left" wrapText="1"/>
    </xf>
    <xf numFmtId="3" fontId="0" fillId="40" borderId="61" xfId="0" applyNumberFormat="1" applyFill="1" applyBorder="1" applyAlignment="1">
      <alignment/>
    </xf>
    <xf numFmtId="3" fontId="24" fillId="0" borderId="22" xfId="0" applyNumberFormat="1" applyFont="1" applyBorder="1" applyAlignment="1">
      <alignment/>
    </xf>
    <xf numFmtId="3" fontId="3" fillId="42" borderId="62" xfId="0" applyNumberFormat="1" applyFont="1" applyFill="1" applyBorder="1" applyAlignment="1">
      <alignment horizontal="center" vertical="center" wrapText="1"/>
    </xf>
    <xf numFmtId="3" fontId="4" fillId="42" borderId="62" xfId="0" applyNumberFormat="1" applyFont="1" applyFill="1" applyBorder="1" applyAlignment="1">
      <alignment horizontal="center" vertical="center" wrapText="1"/>
    </xf>
    <xf numFmtId="3" fontId="2" fillId="42" borderId="62" xfId="0" applyNumberFormat="1" applyFont="1" applyFill="1" applyBorder="1" applyAlignment="1">
      <alignment horizontal="center" vertical="center"/>
    </xf>
    <xf numFmtId="175" fontId="2" fillId="42" borderId="62" xfId="46" applyNumberFormat="1" applyFont="1" applyFill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/>
    </xf>
    <xf numFmtId="175" fontId="8" fillId="48" borderId="53" xfId="46" applyNumberFormat="1" applyFont="1" applyFill="1" applyBorder="1" applyAlignment="1">
      <alignment/>
    </xf>
    <xf numFmtId="175" fontId="8" fillId="40" borderId="53" xfId="46" applyNumberFormat="1" applyFont="1" applyFill="1" applyBorder="1" applyAlignment="1">
      <alignment/>
    </xf>
    <xf numFmtId="0" fontId="2" fillId="40" borderId="0" xfId="0" applyFont="1" applyFill="1" applyAlignment="1">
      <alignment horizontal="center"/>
    </xf>
    <xf numFmtId="3" fontId="0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 horizontal="right"/>
    </xf>
    <xf numFmtId="3" fontId="0" fillId="40" borderId="0" xfId="0" applyNumberFormat="1" applyFont="1" applyFill="1" applyAlignment="1">
      <alignment horizontal="center"/>
    </xf>
    <xf numFmtId="3" fontId="0" fillId="40" borderId="53" xfId="0" applyNumberFormat="1" applyFont="1" applyFill="1" applyBorder="1" applyAlignment="1">
      <alignment horizontal="center"/>
    </xf>
    <xf numFmtId="3" fontId="0" fillId="48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0" borderId="76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175" fontId="0" fillId="40" borderId="119" xfId="46" applyNumberFormat="1" applyFont="1" applyFill="1" applyBorder="1" applyAlignment="1">
      <alignment/>
    </xf>
    <xf numFmtId="175" fontId="0" fillId="48" borderId="119" xfId="46" applyNumberFormat="1" applyFont="1" applyFill="1" applyBorder="1" applyAlignment="1">
      <alignment/>
    </xf>
    <xf numFmtId="175" fontId="0" fillId="52" borderId="119" xfId="46" applyNumberFormat="1" applyFont="1" applyFill="1" applyBorder="1" applyAlignment="1">
      <alignment/>
    </xf>
    <xf numFmtId="0" fontId="0" fillId="42" borderId="70" xfId="0" applyFont="1" applyFill="1" applyBorder="1" applyAlignment="1">
      <alignment/>
    </xf>
    <xf numFmtId="175" fontId="0" fillId="40" borderId="10" xfId="46" applyNumberFormat="1" applyFont="1" applyFill="1" applyBorder="1" applyAlignment="1">
      <alignment/>
    </xf>
    <xf numFmtId="175" fontId="0" fillId="40" borderId="12" xfId="46" applyNumberFormat="1" applyFont="1" applyFill="1" applyBorder="1" applyAlignment="1">
      <alignment/>
    </xf>
    <xf numFmtId="3" fontId="17" fillId="40" borderId="0" xfId="0" applyNumberFormat="1" applyFont="1" applyFill="1" applyAlignment="1">
      <alignment/>
    </xf>
    <xf numFmtId="3" fontId="2" fillId="42" borderId="128" xfId="0" applyNumberFormat="1" applyFont="1" applyFill="1" applyBorder="1" applyAlignment="1">
      <alignment horizontal="center"/>
    </xf>
    <xf numFmtId="3" fontId="0" fillId="40" borderId="62" xfId="0" applyNumberFormat="1" applyFont="1" applyFill="1" applyBorder="1" applyAlignment="1">
      <alignment horizontal="center"/>
    </xf>
    <xf numFmtId="3" fontId="0" fillId="40" borderId="62" xfId="0" applyNumberFormat="1" applyFont="1" applyFill="1" applyBorder="1" applyAlignment="1">
      <alignment wrapText="1"/>
    </xf>
    <xf numFmtId="3" fontId="5" fillId="40" borderId="108" xfId="0" applyNumberFormat="1" applyFont="1" applyFill="1" applyBorder="1" applyAlignment="1">
      <alignment horizontal="center"/>
    </xf>
    <xf numFmtId="3" fontId="5" fillId="40" borderId="63" xfId="0" applyNumberFormat="1" applyFont="1" applyFill="1" applyBorder="1" applyAlignment="1">
      <alignment horizontal="center" wrapText="1"/>
    </xf>
    <xf numFmtId="3" fontId="5" fillId="40" borderId="63" xfId="0" applyNumberFormat="1" applyFont="1" applyFill="1" applyBorder="1" applyAlignment="1">
      <alignment/>
    </xf>
    <xf numFmtId="3" fontId="5" fillId="40" borderId="91" xfId="0" applyNumberFormat="1" applyFont="1" applyFill="1" applyBorder="1" applyAlignment="1">
      <alignment/>
    </xf>
    <xf numFmtId="3" fontId="5" fillId="40" borderId="63" xfId="0" applyNumberFormat="1" applyFont="1" applyFill="1" applyBorder="1" applyAlignment="1">
      <alignment horizontal="center"/>
    </xf>
    <xf numFmtId="3" fontId="8" fillId="40" borderId="53" xfId="0" applyNumberFormat="1" applyFont="1" applyFill="1" applyBorder="1" applyAlignment="1">
      <alignment horizontal="center"/>
    </xf>
    <xf numFmtId="3" fontId="8" fillId="40" borderId="53" xfId="0" applyNumberFormat="1" applyFont="1" applyFill="1" applyBorder="1" applyAlignment="1">
      <alignment wrapText="1"/>
    </xf>
    <xf numFmtId="3" fontId="8" fillId="40" borderId="53" xfId="0" applyNumberFormat="1" applyFont="1" applyFill="1" applyBorder="1" applyAlignment="1">
      <alignment/>
    </xf>
    <xf numFmtId="3" fontId="2" fillId="40" borderId="61" xfId="0" applyNumberFormat="1" applyFont="1" applyFill="1" applyBorder="1" applyAlignment="1">
      <alignment horizontal="center"/>
    </xf>
    <xf numFmtId="3" fontId="2" fillId="0" borderId="61" xfId="0" applyNumberFormat="1" applyFont="1" applyBorder="1" applyAlignment="1">
      <alignment wrapText="1"/>
    </xf>
    <xf numFmtId="3" fontId="0" fillId="40" borderId="0" xfId="0" applyNumberFormat="1" applyFont="1" applyFill="1" applyAlignment="1">
      <alignment horizontal="center"/>
    </xf>
    <xf numFmtId="3" fontId="17" fillId="51" borderId="108" xfId="0" applyNumberFormat="1" applyFont="1" applyFill="1" applyBorder="1" applyAlignment="1">
      <alignment horizontal="center"/>
    </xf>
    <xf numFmtId="3" fontId="17" fillId="50" borderId="63" xfId="0" applyNumberFormat="1" applyFont="1" applyFill="1" applyBorder="1" applyAlignment="1">
      <alignment horizontal="center"/>
    </xf>
    <xf numFmtId="3" fontId="5" fillId="50" borderId="63" xfId="0" applyNumberFormat="1" applyFont="1" applyFill="1" applyBorder="1" applyAlignment="1">
      <alignment/>
    </xf>
    <xf numFmtId="3" fontId="5" fillId="50" borderId="91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175" fontId="0" fillId="0" borderId="53" xfId="46" applyNumberFormat="1" applyBorder="1" applyAlignment="1">
      <alignment horizontal="left" vertical="center"/>
    </xf>
    <xf numFmtId="3" fontId="2" fillId="42" borderId="125" xfId="0" applyNumberFormat="1" applyFont="1" applyFill="1" applyBorder="1" applyAlignment="1">
      <alignment horizontal="center" vertical="center" wrapText="1"/>
    </xf>
    <xf numFmtId="175" fontId="0" fillId="40" borderId="115" xfId="46" applyNumberFormat="1" applyFill="1" applyBorder="1" applyAlignment="1">
      <alignment horizontal="center" vertical="center"/>
    </xf>
    <xf numFmtId="3" fontId="2" fillId="42" borderId="0" xfId="0" applyNumberFormat="1" applyFont="1" applyFill="1" applyBorder="1" applyAlignment="1">
      <alignment horizontal="center"/>
    </xf>
    <xf numFmtId="3" fontId="5" fillId="40" borderId="0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/>
    </xf>
    <xf numFmtId="3" fontId="8" fillId="40" borderId="0" xfId="0" applyNumberFormat="1" applyFont="1" applyFill="1" applyBorder="1" applyAlignment="1">
      <alignment/>
    </xf>
    <xf numFmtId="3" fontId="2" fillId="40" borderId="0" xfId="0" applyNumberFormat="1" applyFont="1" applyFill="1" applyBorder="1" applyAlignment="1">
      <alignment/>
    </xf>
    <xf numFmtId="3" fontId="40" fillId="40" borderId="0" xfId="0" applyNumberFormat="1" applyFont="1" applyFill="1" applyBorder="1" applyAlignment="1">
      <alignment/>
    </xf>
    <xf numFmtId="3" fontId="5" fillId="42" borderId="0" xfId="0" applyNumberFormat="1" applyFont="1" applyFill="1" applyBorder="1" applyAlignment="1">
      <alignment/>
    </xf>
    <xf numFmtId="3" fontId="0" fillId="40" borderId="102" xfId="0" applyNumberFormat="1" applyFont="1" applyFill="1" applyBorder="1" applyAlignment="1">
      <alignment horizontal="center"/>
    </xf>
    <xf numFmtId="3" fontId="0" fillId="40" borderId="90" xfId="0" applyNumberFormat="1" applyFont="1" applyFill="1" applyBorder="1" applyAlignment="1">
      <alignment/>
    </xf>
    <xf numFmtId="3" fontId="0" fillId="40" borderId="101" xfId="0" applyNumberFormat="1" applyFont="1" applyFill="1" applyBorder="1" applyAlignment="1">
      <alignment horizontal="center"/>
    </xf>
    <xf numFmtId="3" fontId="0" fillId="40" borderId="84" xfId="0" applyNumberFormat="1" applyFont="1" applyFill="1" applyBorder="1" applyAlignment="1">
      <alignment/>
    </xf>
    <xf numFmtId="3" fontId="8" fillId="40" borderId="101" xfId="0" applyNumberFormat="1" applyFont="1" applyFill="1" applyBorder="1" applyAlignment="1">
      <alignment horizontal="center"/>
    </xf>
    <xf numFmtId="3" fontId="8" fillId="40" borderId="84" xfId="0" applyNumberFormat="1" applyFont="1" applyFill="1" applyBorder="1" applyAlignment="1">
      <alignment/>
    </xf>
    <xf numFmtId="3" fontId="2" fillId="40" borderId="101" xfId="0" applyNumberFormat="1" applyFont="1" applyFill="1" applyBorder="1" applyAlignment="1">
      <alignment horizontal="center"/>
    </xf>
    <xf numFmtId="3" fontId="2" fillId="40" borderId="84" xfId="0" applyNumberFormat="1" applyFont="1" applyFill="1" applyBorder="1" applyAlignment="1">
      <alignment/>
    </xf>
    <xf numFmtId="3" fontId="2" fillId="40" borderId="103" xfId="0" applyNumberFormat="1" applyFont="1" applyFill="1" applyBorder="1" applyAlignment="1">
      <alignment horizontal="center"/>
    </xf>
    <xf numFmtId="3" fontId="2" fillId="40" borderId="104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vertical="center" wrapText="1"/>
    </xf>
    <xf numFmtId="175" fontId="0" fillId="48" borderId="115" xfId="46" applyNumberFormat="1" applyFill="1" applyBorder="1" applyAlignment="1">
      <alignment horizontal="right" vertical="center"/>
    </xf>
    <xf numFmtId="175" fontId="0" fillId="40" borderId="116" xfId="46" applyNumberFormat="1" applyFill="1" applyBorder="1" applyAlignment="1">
      <alignment/>
    </xf>
    <xf numFmtId="3" fontId="8" fillId="0" borderId="29" xfId="0" applyNumberFormat="1" applyFont="1" applyBorder="1" applyAlignment="1">
      <alignment horizontal="center"/>
    </xf>
    <xf numFmtId="177" fontId="8" fillId="0" borderId="26" xfId="0" applyNumberFormat="1" applyFont="1" applyBorder="1" applyAlignment="1">
      <alignment/>
    </xf>
    <xf numFmtId="175" fontId="8" fillId="0" borderId="116" xfId="46" applyNumberFormat="1" applyFont="1" applyBorder="1" applyAlignment="1">
      <alignment/>
    </xf>
    <xf numFmtId="3" fontId="0" fillId="40" borderId="53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75" fontId="0" fillId="0" borderId="12" xfId="46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0" xfId="46" applyNumberFormat="1" applyFont="1" applyAlignment="1">
      <alignment/>
    </xf>
    <xf numFmtId="175" fontId="2" fillId="0" borderId="0" xfId="46" applyNumberFormat="1" applyFont="1" applyAlignment="1">
      <alignment/>
    </xf>
    <xf numFmtId="0" fontId="2" fillId="0" borderId="18" xfId="0" applyFont="1" applyBorder="1" applyAlignment="1">
      <alignment wrapText="1"/>
    </xf>
    <xf numFmtId="175" fontId="2" fillId="0" borderId="26" xfId="46" applyNumberFormat="1" applyFont="1" applyBorder="1" applyAlignment="1">
      <alignment/>
    </xf>
    <xf numFmtId="0" fontId="5" fillId="39" borderId="47" xfId="0" applyFont="1" applyFill="1" applyBorder="1" applyAlignment="1">
      <alignment horizontal="center" vertical="center"/>
    </xf>
    <xf numFmtId="0" fontId="5" fillId="39" borderId="49" xfId="0" applyFont="1" applyFill="1" applyBorder="1" applyAlignment="1">
      <alignment/>
    </xf>
    <xf numFmtId="0" fontId="5" fillId="39" borderId="49" xfId="0" applyFont="1" applyFill="1" applyBorder="1" applyAlignment="1">
      <alignment wrapText="1"/>
    </xf>
    <xf numFmtId="175" fontId="0" fillId="39" borderId="49" xfId="46" applyNumberFormat="1" applyFill="1" applyBorder="1" applyAlignment="1">
      <alignment/>
    </xf>
    <xf numFmtId="175" fontId="5" fillId="39" borderId="72" xfId="46" applyNumberFormat="1" applyFont="1" applyFill="1" applyBorder="1" applyAlignment="1">
      <alignment/>
    </xf>
    <xf numFmtId="175" fontId="0" fillId="40" borderId="12" xfId="46" applyNumberFormat="1" applyFill="1" applyBorder="1" applyAlignment="1">
      <alignment/>
    </xf>
    <xf numFmtId="175" fontId="0" fillId="0" borderId="0" xfId="46" applyNumberFormat="1" applyFont="1" applyBorder="1" applyAlignment="1">
      <alignment horizontal="right"/>
    </xf>
    <xf numFmtId="175" fontId="2" fillId="33" borderId="204" xfId="46" applyNumberFormat="1" applyFont="1" applyFill="1" applyBorder="1" applyAlignment="1">
      <alignment horizontal="center" vertical="center" wrapText="1"/>
    </xf>
    <xf numFmtId="175" fontId="2" fillId="33" borderId="205" xfId="46" applyNumberFormat="1" applyFont="1" applyFill="1" applyBorder="1" applyAlignment="1">
      <alignment horizontal="center" vertical="center" wrapText="1"/>
    </xf>
    <xf numFmtId="175" fontId="2" fillId="33" borderId="88" xfId="46" applyNumberFormat="1" applyFont="1" applyFill="1" applyBorder="1" applyAlignment="1">
      <alignment horizontal="center" vertical="center"/>
    </xf>
    <xf numFmtId="175" fontId="2" fillId="0" borderId="88" xfId="46" applyNumberFormat="1" applyFont="1" applyBorder="1" applyAlignment="1">
      <alignment horizontal="center" vertical="center"/>
    </xf>
    <xf numFmtId="175" fontId="8" fillId="0" borderId="88" xfId="46" applyNumberFormat="1" applyFont="1" applyBorder="1" applyAlignment="1">
      <alignment horizontal="center" vertical="center"/>
    </xf>
    <xf numFmtId="175" fontId="8" fillId="0" borderId="156" xfId="46" applyNumberFormat="1" applyFont="1" applyBorder="1" applyAlignment="1">
      <alignment horizontal="center" vertical="center"/>
    </xf>
    <xf numFmtId="175" fontId="0" fillId="40" borderId="88" xfId="46" applyNumberFormat="1" applyFill="1" applyBorder="1" applyAlignment="1">
      <alignment horizontal="center" vertical="center"/>
    </xf>
    <xf numFmtId="175" fontId="0" fillId="0" borderId="77" xfId="46" applyNumberFormat="1" applyBorder="1" applyAlignment="1">
      <alignment horizontal="center" vertical="center"/>
    </xf>
    <xf numFmtId="175" fontId="0" fillId="0" borderId="87" xfId="46" applyNumberFormat="1" applyBorder="1" applyAlignment="1">
      <alignment horizontal="center" vertical="center"/>
    </xf>
    <xf numFmtId="3" fontId="5" fillId="37" borderId="98" xfId="0" applyNumberFormat="1" applyFont="1" applyFill="1" applyBorder="1" applyAlignment="1">
      <alignment horizontal="left"/>
    </xf>
    <xf numFmtId="3" fontId="5" fillId="37" borderId="99" xfId="0" applyNumberFormat="1" applyFont="1" applyFill="1" applyBorder="1" applyAlignment="1">
      <alignment horizontal="left"/>
    </xf>
    <xf numFmtId="175" fontId="5" fillId="37" borderId="206" xfId="46" applyNumberFormat="1" applyFont="1" applyFill="1" applyBorder="1" applyAlignment="1">
      <alignment/>
    </xf>
    <xf numFmtId="175" fontId="5" fillId="37" borderId="112" xfId="46" applyNumberFormat="1" applyFont="1" applyFill="1" applyBorder="1" applyAlignment="1">
      <alignment/>
    </xf>
    <xf numFmtId="175" fontId="8" fillId="36" borderId="53" xfId="46" applyNumberFormat="1" applyFont="1" applyFill="1" applyBorder="1" applyAlignment="1">
      <alignment horizontal="right"/>
    </xf>
    <xf numFmtId="175" fontId="0" fillId="36" borderId="136" xfId="46" applyNumberFormat="1" applyFill="1" applyBorder="1" applyAlignment="1">
      <alignment/>
    </xf>
    <xf numFmtId="175" fontId="8" fillId="0" borderId="125" xfId="46" applyNumberFormat="1" applyFont="1" applyBorder="1" applyAlignment="1">
      <alignment horizontal="right"/>
    </xf>
    <xf numFmtId="0" fontId="2" fillId="43" borderId="0" xfId="0" applyFont="1" applyFill="1" applyBorder="1" applyAlignment="1">
      <alignment horizontal="center"/>
    </xf>
    <xf numFmtId="175" fontId="2" fillId="40" borderId="0" xfId="46" applyNumberFormat="1" applyFont="1" applyFill="1" applyBorder="1" applyAlignment="1">
      <alignment/>
    </xf>
    <xf numFmtId="175" fontId="0" fillId="40" borderId="0" xfId="46" applyNumberFormat="1" applyFont="1" applyFill="1" applyBorder="1" applyAlignment="1">
      <alignment/>
    </xf>
    <xf numFmtId="175" fontId="0" fillId="48" borderId="0" xfId="46" applyNumberFormat="1" applyFont="1" applyFill="1" applyBorder="1" applyAlignment="1">
      <alignment/>
    </xf>
    <xf numFmtId="175" fontId="0" fillId="52" borderId="0" xfId="46" applyNumberFormat="1" applyFont="1" applyFill="1" applyBorder="1" applyAlignment="1">
      <alignment/>
    </xf>
    <xf numFmtId="175" fontId="8" fillId="40" borderId="0" xfId="46" applyNumberFormat="1" applyFont="1" applyFill="1" applyBorder="1" applyAlignment="1">
      <alignment/>
    </xf>
    <xf numFmtId="175" fontId="2" fillId="42" borderId="0" xfId="46" applyNumberFormat="1" applyFont="1" applyFill="1" applyBorder="1" applyAlignment="1">
      <alignment/>
    </xf>
    <xf numFmtId="0" fontId="2" fillId="53" borderId="0" xfId="0" applyFont="1" applyFill="1" applyBorder="1" applyAlignment="1">
      <alignment horizontal="center" vertical="center" wrapText="1"/>
    </xf>
    <xf numFmtId="0" fontId="2" fillId="53" borderId="122" xfId="0" applyFont="1" applyFill="1" applyBorder="1" applyAlignment="1">
      <alignment/>
    </xf>
    <xf numFmtId="0" fontId="2" fillId="53" borderId="55" xfId="0" applyFont="1" applyFill="1" applyBorder="1" applyAlignment="1">
      <alignment horizontal="center" vertical="center" wrapText="1"/>
    </xf>
    <xf numFmtId="0" fontId="2" fillId="53" borderId="207" xfId="0" applyFont="1" applyFill="1" applyBorder="1" applyAlignment="1">
      <alignment horizontal="center" vertical="center" wrapText="1"/>
    </xf>
    <xf numFmtId="0" fontId="0" fillId="40" borderId="110" xfId="0" applyFont="1" applyFill="1" applyBorder="1" applyAlignment="1">
      <alignment/>
    </xf>
    <xf numFmtId="175" fontId="0" fillId="40" borderId="208" xfId="46" applyNumberFormat="1" applyFont="1" applyFill="1" applyBorder="1" applyAlignment="1">
      <alignment/>
    </xf>
    <xf numFmtId="0" fontId="0" fillId="40" borderId="76" xfId="0" applyFont="1" applyFill="1" applyBorder="1" applyAlignment="1">
      <alignment/>
    </xf>
    <xf numFmtId="175" fontId="0" fillId="40" borderId="77" xfId="46" applyNumberFormat="1" applyFont="1" applyFill="1" applyBorder="1" applyAlignment="1">
      <alignment/>
    </xf>
    <xf numFmtId="0" fontId="2" fillId="42" borderId="209" xfId="0" applyFont="1" applyFill="1" applyBorder="1" applyAlignment="1">
      <alignment/>
    </xf>
    <xf numFmtId="175" fontId="2" fillId="42" borderId="57" xfId="46" applyNumberFormat="1" applyFont="1" applyFill="1" applyBorder="1" applyAlignment="1">
      <alignment/>
    </xf>
    <xf numFmtId="175" fontId="2" fillId="42" borderId="58" xfId="46" applyNumberFormat="1" applyFont="1" applyFill="1" applyBorder="1" applyAlignment="1">
      <alignment/>
    </xf>
    <xf numFmtId="0" fontId="0" fillId="40" borderId="0" xfId="0" applyFont="1" applyFill="1" applyBorder="1" applyAlignment="1">
      <alignment vertical="center"/>
    </xf>
    <xf numFmtId="0" fontId="6" fillId="40" borderId="0" xfId="0" applyFont="1" applyFill="1" applyAlignment="1">
      <alignment/>
    </xf>
    <xf numFmtId="3" fontId="0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6" fillId="40" borderId="0" xfId="0" applyFont="1" applyFill="1" applyAlignment="1">
      <alignment vertical="center"/>
    </xf>
    <xf numFmtId="3" fontId="0" fillId="40" borderId="12" xfId="0" applyNumberFormat="1" applyFont="1" applyFill="1" applyBorder="1" applyAlignment="1">
      <alignment/>
    </xf>
    <xf numFmtId="3" fontId="8" fillId="0" borderId="86" xfId="0" applyNumberFormat="1" applyFont="1" applyBorder="1" applyAlignment="1">
      <alignment horizontal="center"/>
    </xf>
    <xf numFmtId="3" fontId="8" fillId="0" borderId="76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175" fontId="2" fillId="36" borderId="77" xfId="46" applyNumberFormat="1" applyFont="1" applyFill="1" applyBorder="1" applyAlignment="1">
      <alignment/>
    </xf>
    <xf numFmtId="175" fontId="8" fillId="40" borderId="77" xfId="46" applyNumberFormat="1" applyFont="1" applyFill="1" applyBorder="1" applyAlignment="1">
      <alignment/>
    </xf>
    <xf numFmtId="3" fontId="1" fillId="0" borderId="76" xfId="0" applyNumberFormat="1" applyFont="1" applyBorder="1" applyAlignment="1">
      <alignment horizontal="center"/>
    </xf>
    <xf numFmtId="3" fontId="8" fillId="0" borderId="132" xfId="0" applyNumberFormat="1" applyFont="1" applyBorder="1" applyAlignment="1">
      <alignment/>
    </xf>
    <xf numFmtId="175" fontId="8" fillId="48" borderId="77" xfId="46" applyNumberFormat="1" applyFont="1" applyFill="1" applyBorder="1" applyAlignment="1">
      <alignment/>
    </xf>
    <xf numFmtId="3" fontId="6" fillId="0" borderId="210" xfId="0" applyNumberFormat="1" applyFont="1" applyBorder="1" applyAlignment="1">
      <alignment horizontal="center"/>
    </xf>
    <xf numFmtId="175" fontId="6" fillId="0" borderId="211" xfId="46" applyNumberFormat="1" applyFont="1" applyBorder="1" applyAlignment="1">
      <alignment/>
    </xf>
    <xf numFmtId="175" fontId="2" fillId="36" borderId="56" xfId="46" applyNumberFormat="1" applyFont="1" applyFill="1" applyBorder="1" applyAlignment="1">
      <alignment/>
    </xf>
    <xf numFmtId="175" fontId="2" fillId="36" borderId="84" xfId="46" applyNumberFormat="1" applyFont="1" applyFill="1" applyBorder="1" applyAlignment="1">
      <alignment/>
    </xf>
    <xf numFmtId="175" fontId="8" fillId="48" borderId="84" xfId="46" applyNumberFormat="1" applyFont="1" applyFill="1" applyBorder="1" applyAlignment="1">
      <alignment/>
    </xf>
    <xf numFmtId="175" fontId="8" fillId="0" borderId="84" xfId="46" applyNumberFormat="1" applyFont="1" applyBorder="1" applyAlignment="1">
      <alignment/>
    </xf>
    <xf numFmtId="175" fontId="2" fillId="0" borderId="128" xfId="46" applyNumberFormat="1" applyFont="1" applyBorder="1" applyAlignment="1">
      <alignment/>
    </xf>
    <xf numFmtId="175" fontId="5" fillId="33" borderId="72" xfId="46" applyNumberFormat="1" applyFont="1" applyFill="1" applyBorder="1" applyAlignment="1">
      <alignment vertical="center"/>
    </xf>
    <xf numFmtId="175" fontId="2" fillId="33" borderId="189" xfId="46" applyNumberFormat="1" applyFont="1" applyFill="1" applyBorder="1" applyAlignment="1">
      <alignment horizontal="center" vertical="center" wrapText="1"/>
    </xf>
    <xf numFmtId="175" fontId="2" fillId="33" borderId="77" xfId="46" applyNumberFormat="1" applyFont="1" applyFill="1" applyBorder="1" applyAlignment="1">
      <alignment horizontal="center"/>
    </xf>
    <xf numFmtId="175" fontId="2" fillId="48" borderId="77" xfId="46" applyNumberFormat="1" applyFont="1" applyFill="1" applyBorder="1" applyAlignment="1">
      <alignment/>
    </xf>
    <xf numFmtId="3" fontId="2" fillId="0" borderId="144" xfId="0" applyNumberFormat="1" applyFont="1" applyBorder="1" applyAlignment="1">
      <alignment horizontal="center"/>
    </xf>
    <xf numFmtId="175" fontId="2" fillId="40" borderId="87" xfId="46" applyNumberFormat="1" applyFont="1" applyFill="1" applyBorder="1" applyAlignment="1">
      <alignment/>
    </xf>
    <xf numFmtId="3" fontId="2" fillId="0" borderId="76" xfId="0" applyNumberFormat="1" applyFont="1" applyBorder="1" applyAlignment="1">
      <alignment/>
    </xf>
    <xf numFmtId="175" fontId="2" fillId="0" borderId="87" xfId="46" applyNumberFormat="1" applyFont="1" applyBorder="1" applyAlignment="1">
      <alignment/>
    </xf>
    <xf numFmtId="175" fontId="6" fillId="36" borderId="211" xfId="46" applyNumberFormat="1" applyFont="1" applyFill="1" applyBorder="1" applyAlignment="1">
      <alignment vertical="center"/>
    </xf>
    <xf numFmtId="175" fontId="2" fillId="36" borderId="127" xfId="46" applyNumberFormat="1" applyFont="1" applyFill="1" applyBorder="1" applyAlignment="1">
      <alignment/>
    </xf>
    <xf numFmtId="175" fontId="6" fillId="0" borderId="84" xfId="46" applyNumberFormat="1" applyFont="1" applyBorder="1" applyAlignment="1">
      <alignment vertical="center"/>
    </xf>
    <xf numFmtId="175" fontId="5" fillId="37" borderId="201" xfId="46" applyNumberFormat="1" applyFont="1" applyFill="1" applyBorder="1" applyAlignment="1">
      <alignment horizontal="center" vertical="center"/>
    </xf>
    <xf numFmtId="175" fontId="13" fillId="48" borderId="12" xfId="46" applyNumberFormat="1" applyFont="1" applyFill="1" applyBorder="1" applyAlignment="1">
      <alignment/>
    </xf>
    <xf numFmtId="0" fontId="0" fillId="40" borderId="13" xfId="0" applyFill="1" applyBorder="1" applyAlignment="1">
      <alignment horizontal="center" vertical="center"/>
    </xf>
    <xf numFmtId="3" fontId="2" fillId="42" borderId="101" xfId="0" applyNumberFormat="1" applyFont="1" applyFill="1" applyBorder="1" applyAlignment="1">
      <alignment vertical="center" wrapText="1"/>
    </xf>
    <xf numFmtId="175" fontId="2" fillId="42" borderId="84" xfId="46" applyNumberFormat="1" applyFont="1" applyFill="1" applyBorder="1" applyAlignment="1">
      <alignment horizontal="center" vertical="center"/>
    </xf>
    <xf numFmtId="3" fontId="8" fillId="42" borderId="101" xfId="0" applyNumberFormat="1" applyFont="1" applyFill="1" applyBorder="1" applyAlignment="1">
      <alignment vertical="center" wrapText="1"/>
    </xf>
    <xf numFmtId="175" fontId="8" fillId="42" borderId="84" xfId="46" applyNumberFormat="1" applyFont="1" applyFill="1" applyBorder="1" applyAlignment="1">
      <alignment horizontal="center" vertical="center"/>
    </xf>
    <xf numFmtId="175" fontId="6" fillId="0" borderId="72" xfId="46" applyNumberFormat="1" applyFont="1" applyBorder="1" applyAlignment="1">
      <alignment horizontal="right" vertical="center"/>
    </xf>
    <xf numFmtId="3" fontId="24" fillId="33" borderId="136" xfId="0" applyNumberFormat="1" applyFont="1" applyFill="1" applyBorder="1" applyAlignment="1">
      <alignment vertical="center" wrapText="1"/>
    </xf>
    <xf numFmtId="3" fontId="25" fillId="33" borderId="136" xfId="0" applyNumberFormat="1" applyFont="1" applyFill="1" applyBorder="1" applyAlignment="1">
      <alignment horizontal="center" vertical="center" wrapText="1"/>
    </xf>
    <xf numFmtId="3" fontId="25" fillId="33" borderId="127" xfId="0" applyNumberFormat="1" applyFont="1" applyFill="1" applyBorder="1" applyAlignment="1">
      <alignment horizontal="center" vertical="center" wrapText="1"/>
    </xf>
    <xf numFmtId="3" fontId="24" fillId="33" borderId="88" xfId="0" applyNumberFormat="1" applyFont="1" applyFill="1" applyBorder="1" applyAlignment="1">
      <alignment horizontal="center" vertical="center" wrapText="1"/>
    </xf>
    <xf numFmtId="3" fontId="24" fillId="0" borderId="158" xfId="0" applyNumberFormat="1" applyFont="1" applyBorder="1" applyAlignment="1">
      <alignment horizontal="center"/>
    </xf>
    <xf numFmtId="3" fontId="24" fillId="0" borderId="88" xfId="0" applyNumberFormat="1" applyFont="1" applyBorder="1" applyAlignment="1">
      <alignment/>
    </xf>
    <xf numFmtId="3" fontId="18" fillId="0" borderId="109" xfId="0" applyNumberFormat="1" applyFont="1" applyBorder="1" applyAlignment="1">
      <alignment horizontal="center"/>
    </xf>
    <xf numFmtId="3" fontId="18" fillId="0" borderId="77" xfId="0" applyNumberFormat="1" applyFont="1" applyBorder="1" applyAlignment="1">
      <alignment/>
    </xf>
    <xf numFmtId="3" fontId="24" fillId="0" borderId="109" xfId="0" applyNumberFormat="1" applyFont="1" applyBorder="1" applyAlignment="1">
      <alignment horizontal="center"/>
    </xf>
    <xf numFmtId="3" fontId="24" fillId="0" borderId="77" xfId="0" applyNumberFormat="1" applyFont="1" applyBorder="1" applyAlignment="1">
      <alignment/>
    </xf>
    <xf numFmtId="3" fontId="18" fillId="48" borderId="77" xfId="0" applyNumberFormat="1" applyFont="1" applyFill="1" applyBorder="1" applyAlignment="1">
      <alignment/>
    </xf>
    <xf numFmtId="3" fontId="18" fillId="40" borderId="77" xfId="0" applyNumberFormat="1" applyFont="1" applyFill="1" applyBorder="1" applyAlignment="1">
      <alignment/>
    </xf>
    <xf numFmtId="3" fontId="35" fillId="0" borderId="109" xfId="0" applyNumberFormat="1" applyFont="1" applyBorder="1" applyAlignment="1">
      <alignment horizontal="center"/>
    </xf>
    <xf numFmtId="3" fontId="24" fillId="40" borderId="77" xfId="0" applyNumberFormat="1" applyFont="1" applyFill="1" applyBorder="1" applyAlignment="1">
      <alignment/>
    </xf>
    <xf numFmtId="3" fontId="26" fillId="0" borderId="109" xfId="0" applyNumberFormat="1" applyFont="1" applyBorder="1" applyAlignment="1">
      <alignment horizontal="center"/>
    </xf>
    <xf numFmtId="3" fontId="26" fillId="40" borderId="77" xfId="0" applyNumberFormat="1" applyFont="1" applyFill="1" applyBorder="1" applyAlignment="1">
      <alignment/>
    </xf>
    <xf numFmtId="3" fontId="26" fillId="0" borderId="77" xfId="0" applyNumberFormat="1" applyFont="1" applyBorder="1" applyAlignment="1">
      <alignment/>
    </xf>
    <xf numFmtId="3" fontId="0" fillId="0" borderId="0" xfId="0" applyNumberForma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35" fillId="0" borderId="77" xfId="0" applyNumberFormat="1" applyFont="1" applyBorder="1" applyAlignment="1">
      <alignment/>
    </xf>
    <xf numFmtId="3" fontId="0" fillId="40" borderId="77" xfId="0" applyNumberFormat="1" applyFont="1" applyFill="1" applyBorder="1" applyAlignment="1">
      <alignment/>
    </xf>
    <xf numFmtId="3" fontId="18" fillId="0" borderId="110" xfId="0" applyNumberFormat="1" applyFont="1" applyBorder="1" applyAlignment="1">
      <alignment horizontal="center"/>
    </xf>
    <xf numFmtId="3" fontId="18" fillId="0" borderId="158" xfId="0" applyNumberFormat="1" applyFont="1" applyBorder="1" applyAlignment="1">
      <alignment horizontal="center"/>
    </xf>
    <xf numFmtId="3" fontId="0" fillId="40" borderId="0" xfId="0" applyNumberForma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87" xfId="0" applyNumberFormat="1" applyFont="1" applyBorder="1" applyAlignment="1">
      <alignment/>
    </xf>
    <xf numFmtId="3" fontId="0" fillId="33" borderId="88" xfId="0" applyNumberFormat="1" applyFont="1" applyFill="1" applyBorder="1" applyAlignment="1">
      <alignment/>
    </xf>
    <xf numFmtId="3" fontId="0" fillId="33" borderId="77" xfId="0" applyNumberFormat="1" applyFont="1" applyFill="1" applyBorder="1" applyAlignment="1">
      <alignment/>
    </xf>
    <xf numFmtId="3" fontId="26" fillId="0" borderId="109" xfId="0" applyNumberFormat="1" applyFont="1" applyBorder="1" applyAlignment="1">
      <alignment horizontal="right"/>
    </xf>
    <xf numFmtId="3" fontId="8" fillId="33" borderId="77" xfId="0" applyNumberFormat="1" applyFont="1" applyFill="1" applyBorder="1" applyAlignment="1">
      <alignment horizontal="right"/>
    </xf>
    <xf numFmtId="3" fontId="8" fillId="50" borderId="77" xfId="0" applyNumberFormat="1" applyFont="1" applyFill="1" applyBorder="1" applyAlignment="1">
      <alignment horizontal="right"/>
    </xf>
    <xf numFmtId="3" fontId="0" fillId="33" borderId="87" xfId="0" applyNumberFormat="1" applyFont="1" applyFill="1" applyBorder="1" applyAlignment="1">
      <alignment/>
    </xf>
    <xf numFmtId="3" fontId="0" fillId="33" borderId="84" xfId="0" applyNumberFormat="1" applyFont="1" applyFill="1" applyBorder="1" applyAlignment="1">
      <alignment/>
    </xf>
    <xf numFmtId="3" fontId="18" fillId="33" borderId="84" xfId="0" applyNumberFormat="1" applyFont="1" applyFill="1" applyBorder="1" applyAlignment="1">
      <alignment/>
    </xf>
    <xf numFmtId="3" fontId="18" fillId="0" borderId="209" xfId="0" applyNumberFormat="1" applyFont="1" applyBorder="1" applyAlignment="1">
      <alignment horizontal="center"/>
    </xf>
    <xf numFmtId="3" fontId="18" fillId="33" borderId="125" xfId="0" applyNumberFormat="1" applyFont="1" applyFill="1" applyBorder="1" applyAlignment="1">
      <alignment horizontal="center"/>
    </xf>
    <xf numFmtId="3" fontId="18" fillId="41" borderId="125" xfId="0" applyNumberFormat="1" applyFont="1" applyFill="1" applyBorder="1" applyAlignment="1">
      <alignment wrapText="1"/>
    </xf>
    <xf numFmtId="3" fontId="18" fillId="33" borderId="125" xfId="0" applyNumberFormat="1" applyFont="1" applyFill="1" applyBorder="1" applyAlignment="1">
      <alignment/>
    </xf>
    <xf numFmtId="3" fontId="18" fillId="33" borderId="128" xfId="0" applyNumberFormat="1" applyFont="1" applyFill="1" applyBorder="1" applyAlignment="1">
      <alignment/>
    </xf>
    <xf numFmtId="3" fontId="18" fillId="0" borderId="76" xfId="0" applyNumberFormat="1" applyFont="1" applyBorder="1" applyAlignment="1">
      <alignment/>
    </xf>
    <xf numFmtId="3" fontId="0" fillId="0" borderId="76" xfId="0" applyNumberFormat="1" applyBorder="1" applyAlignment="1">
      <alignment horizontal="left" wrapText="1"/>
    </xf>
    <xf numFmtId="3" fontId="18" fillId="0" borderId="149" xfId="0" applyNumberFormat="1" applyFont="1" applyBorder="1" applyAlignment="1">
      <alignment/>
    </xf>
    <xf numFmtId="175" fontId="8" fillId="0" borderId="104" xfId="46" applyNumberFormat="1" applyFont="1" applyBorder="1" applyAlignment="1">
      <alignment/>
    </xf>
    <xf numFmtId="3" fontId="0" fillId="0" borderId="101" xfId="0" applyNumberFormat="1" applyBorder="1" applyAlignment="1">
      <alignment horizontal="left" vertical="center" wrapText="1"/>
    </xf>
    <xf numFmtId="0" fontId="2" fillId="0" borderId="124" xfId="0" applyFont="1" applyBorder="1" applyAlignment="1">
      <alignment/>
    </xf>
    <xf numFmtId="175" fontId="8" fillId="0" borderId="104" xfId="46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5" fontId="0" fillId="0" borderId="90" xfId="46" applyNumberFormat="1" applyBorder="1" applyAlignment="1">
      <alignment/>
    </xf>
    <xf numFmtId="0" fontId="2" fillId="0" borderId="101" xfId="0" applyFont="1" applyBorder="1" applyAlignment="1">
      <alignment horizontal="center" vertical="center" wrapText="1"/>
    </xf>
    <xf numFmtId="175" fontId="0" fillId="0" borderId="84" xfId="46" applyNumberFormat="1" applyBorder="1" applyAlignment="1">
      <alignment horizontal="center" vertical="center" wrapText="1"/>
    </xf>
    <xf numFmtId="175" fontId="1" fillId="0" borderId="84" xfId="46" applyNumberFormat="1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175" fontId="5" fillId="0" borderId="84" xfId="0" applyNumberFormat="1" applyFont="1" applyBorder="1" applyAlignment="1">
      <alignment horizontal="center" vertical="center" wrapText="1"/>
    </xf>
    <xf numFmtId="175" fontId="5" fillId="0" borderId="84" xfId="46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175" fontId="5" fillId="49" borderId="182" xfId="0" applyNumberFormat="1" applyFont="1" applyFill="1" applyBorder="1" applyAlignment="1">
      <alignment/>
    </xf>
    <xf numFmtId="175" fontId="0" fillId="0" borderId="104" xfId="46" applyNumberFormat="1" applyBorder="1" applyAlignment="1">
      <alignment/>
    </xf>
    <xf numFmtId="175" fontId="2" fillId="0" borderId="22" xfId="46" applyNumberFormat="1" applyFont="1" applyBorder="1" applyAlignment="1">
      <alignment horizontal="center" vertical="center"/>
    </xf>
    <xf numFmtId="175" fontId="8" fillId="0" borderId="22" xfId="46" applyNumberFormat="1" applyFont="1" applyBorder="1" applyAlignment="1">
      <alignment horizontal="center" vertical="center"/>
    </xf>
    <xf numFmtId="175" fontId="8" fillId="0" borderId="146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center" vertical="center"/>
    </xf>
    <xf numFmtId="175" fontId="2" fillId="0" borderId="64" xfId="46" applyNumberFormat="1" applyFont="1" applyBorder="1" applyAlignment="1">
      <alignment horizontal="center" vertical="center"/>
    </xf>
    <xf numFmtId="175" fontId="8" fillId="0" borderId="64" xfId="46" applyNumberFormat="1" applyFont="1" applyBorder="1" applyAlignment="1">
      <alignment horizontal="right" vertical="center"/>
    </xf>
    <xf numFmtId="175" fontId="6" fillId="0" borderId="162" xfId="46" applyNumberFormat="1" applyFont="1" applyBorder="1" applyAlignment="1">
      <alignment/>
    </xf>
    <xf numFmtId="175" fontId="2" fillId="33" borderId="156" xfId="46" applyNumberFormat="1" applyFont="1" applyFill="1" applyBorder="1" applyAlignment="1">
      <alignment horizontal="center" vertical="center"/>
    </xf>
    <xf numFmtId="175" fontId="2" fillId="0" borderId="114" xfId="46" applyNumberFormat="1" applyFont="1" applyBorder="1" applyAlignment="1">
      <alignment horizontal="center" vertical="center"/>
    </xf>
    <xf numFmtId="175" fontId="8" fillId="0" borderId="197" xfId="46" applyNumberFormat="1" applyFont="1" applyBorder="1" applyAlignment="1">
      <alignment horizontal="center" vertical="center"/>
    </xf>
    <xf numFmtId="175" fontId="8" fillId="0" borderId="157" xfId="46" applyNumberFormat="1" applyFont="1" applyBorder="1" applyAlignment="1">
      <alignment horizontal="center" vertical="center"/>
    </xf>
    <xf numFmtId="175" fontId="8" fillId="0" borderId="117" xfId="46" applyNumberFormat="1" applyFont="1" applyBorder="1" applyAlignment="1">
      <alignment horizontal="center" vertical="center"/>
    </xf>
    <xf numFmtId="175" fontId="8" fillId="0" borderId="117" xfId="46" applyNumberFormat="1" applyFont="1" applyBorder="1" applyAlignment="1">
      <alignment horizontal="right" vertical="center"/>
    </xf>
    <xf numFmtId="175" fontId="6" fillId="0" borderId="212" xfId="46" applyNumberFormat="1" applyFont="1" applyBorder="1" applyAlignment="1">
      <alignment/>
    </xf>
    <xf numFmtId="175" fontId="0" fillId="0" borderId="188" xfId="46" applyNumberFormat="1" applyBorder="1" applyAlignment="1">
      <alignment horizontal="center" vertical="center"/>
    </xf>
    <xf numFmtId="3" fontId="8" fillId="40" borderId="103" xfId="0" applyNumberFormat="1" applyFont="1" applyFill="1" applyBorder="1" applyAlignment="1">
      <alignment horizontal="center"/>
    </xf>
    <xf numFmtId="3" fontId="8" fillId="40" borderId="61" xfId="0" applyNumberFormat="1" applyFont="1" applyFill="1" applyBorder="1" applyAlignment="1">
      <alignment horizontal="center"/>
    </xf>
    <xf numFmtId="3" fontId="8" fillId="40" borderId="61" xfId="0" applyNumberFormat="1" applyFont="1" applyFill="1" applyBorder="1" applyAlignment="1">
      <alignment/>
    </xf>
    <xf numFmtId="3" fontId="8" fillId="40" borderId="104" xfId="0" applyNumberFormat="1" applyFont="1" applyFill="1" applyBorder="1" applyAlignment="1">
      <alignment/>
    </xf>
    <xf numFmtId="175" fontId="85" fillId="48" borderId="31" xfId="46" applyNumberFormat="1" applyFont="1" applyFill="1" applyBorder="1" applyAlignment="1">
      <alignment/>
    </xf>
    <xf numFmtId="175" fontId="84" fillId="40" borderId="14" xfId="46" applyNumberFormat="1" applyFont="1" applyFill="1" applyBorder="1" applyAlignment="1">
      <alignment/>
    </xf>
    <xf numFmtId="175" fontId="85" fillId="48" borderId="12" xfId="46" applyNumberFormat="1" applyFont="1" applyFill="1" applyBorder="1" applyAlignment="1">
      <alignment/>
    </xf>
    <xf numFmtId="3" fontId="0" fillId="40" borderId="84" xfId="0" applyNumberFormat="1" applyFont="1" applyFill="1" applyBorder="1" applyAlignment="1">
      <alignment/>
    </xf>
    <xf numFmtId="3" fontId="8" fillId="40" borderId="61" xfId="0" applyNumberFormat="1" applyFont="1" applyFill="1" applyBorder="1" applyAlignment="1">
      <alignment wrapText="1"/>
    </xf>
    <xf numFmtId="3" fontId="0" fillId="0" borderId="26" xfId="0" applyNumberFormat="1" applyBorder="1" applyAlignment="1">
      <alignment/>
    </xf>
    <xf numFmtId="3" fontId="2" fillId="0" borderId="26" xfId="0" applyNumberFormat="1" applyFont="1" applyBorder="1" applyAlignment="1">
      <alignment wrapText="1"/>
    </xf>
    <xf numFmtId="175" fontId="90" fillId="40" borderId="84" xfId="46" applyNumberFormat="1" applyFont="1" applyFill="1" applyBorder="1" applyAlignment="1">
      <alignment/>
    </xf>
    <xf numFmtId="0" fontId="0" fillId="0" borderId="133" xfId="0" applyBorder="1" applyAlignment="1">
      <alignment horizontal="left" wrapText="1"/>
    </xf>
    <xf numFmtId="0" fontId="8" fillId="0" borderId="132" xfId="0" applyFont="1" applyBorder="1" applyAlignment="1">
      <alignment horizontal="right"/>
    </xf>
    <xf numFmtId="175" fontId="8" fillId="40" borderId="152" xfId="46" applyNumberFormat="1" applyFont="1" applyFill="1" applyBorder="1" applyAlignment="1">
      <alignment horizontal="center" vertical="center" wrapText="1"/>
    </xf>
    <xf numFmtId="0" fontId="0" fillId="40" borderId="194" xfId="0" applyFont="1" applyFill="1" applyBorder="1" applyAlignment="1">
      <alignment horizontal="left" vertical="top" wrapText="1"/>
    </xf>
    <xf numFmtId="3" fontId="0" fillId="40" borderId="0" xfId="0" applyNumberFormat="1" applyFont="1" applyFill="1" applyAlignment="1">
      <alignment horizontal="center"/>
    </xf>
    <xf numFmtId="0" fontId="0" fillId="36" borderId="22" xfId="0" applyFont="1" applyFill="1" applyBorder="1" applyAlignment="1">
      <alignment horizontal="center"/>
    </xf>
    <xf numFmtId="3" fontId="0" fillId="40" borderId="11" xfId="0" applyNumberFormat="1" applyFont="1" applyFill="1" applyBorder="1" applyAlignment="1">
      <alignment/>
    </xf>
    <xf numFmtId="3" fontId="0" fillId="40" borderId="26" xfId="0" applyNumberFormat="1" applyFont="1" applyFill="1" applyBorder="1" applyAlignment="1">
      <alignment wrapText="1"/>
    </xf>
    <xf numFmtId="175" fontId="0" fillId="48" borderId="18" xfId="46" applyNumberFormat="1" applyFont="1" applyFill="1" applyBorder="1" applyAlignment="1">
      <alignment vertical="center"/>
    </xf>
    <xf numFmtId="0" fontId="0" fillId="48" borderId="22" xfId="0" applyFont="1" applyFill="1" applyBorder="1" applyAlignment="1">
      <alignment horizontal="center"/>
    </xf>
    <xf numFmtId="0" fontId="0" fillId="36" borderId="146" xfId="0" applyFont="1" applyFill="1" applyBorder="1" applyAlignment="1">
      <alignment horizontal="center"/>
    </xf>
    <xf numFmtId="3" fontId="0" fillId="40" borderId="61" xfId="0" applyNumberFormat="1" applyFont="1" applyFill="1" applyBorder="1" applyAlignment="1">
      <alignment wrapText="1"/>
    </xf>
    <xf numFmtId="175" fontId="0" fillId="48" borderId="61" xfId="46" applyNumberFormat="1" applyFont="1" applyFill="1" applyBorder="1" applyAlignment="1">
      <alignment vertical="center"/>
    </xf>
    <xf numFmtId="0" fontId="0" fillId="36" borderId="53" xfId="0" applyFont="1" applyFill="1" applyBorder="1" applyAlignment="1">
      <alignment horizontal="center"/>
    </xf>
    <xf numFmtId="0" fontId="0" fillId="40" borderId="53" xfId="0" applyFont="1" applyFill="1" applyBorder="1" applyAlignment="1">
      <alignment/>
    </xf>
    <xf numFmtId="175" fontId="0" fillId="48" borderId="53" xfId="46" applyNumberFormat="1" applyFont="1" applyFill="1" applyBorder="1" applyAlignment="1">
      <alignment/>
    </xf>
    <xf numFmtId="0" fontId="0" fillId="36" borderId="152" xfId="0" applyFont="1" applyFill="1" applyBorder="1" applyAlignment="1">
      <alignment horizontal="center"/>
    </xf>
    <xf numFmtId="0" fontId="0" fillId="40" borderId="152" xfId="0" applyFont="1" applyFill="1" applyBorder="1" applyAlignment="1">
      <alignment wrapText="1"/>
    </xf>
    <xf numFmtId="175" fontId="0" fillId="48" borderId="147" xfId="46" applyNumberFormat="1" applyFont="1" applyFill="1" applyBorder="1" applyAlignment="1">
      <alignment/>
    </xf>
    <xf numFmtId="0" fontId="0" fillId="40" borderId="53" xfId="0" applyFont="1" applyFill="1" applyBorder="1" applyAlignment="1">
      <alignment wrapText="1"/>
    </xf>
    <xf numFmtId="175" fontId="0" fillId="40" borderId="25" xfId="46" applyNumberFormat="1" applyFont="1" applyFill="1" applyBorder="1" applyAlignment="1">
      <alignment/>
    </xf>
    <xf numFmtId="3" fontId="0" fillId="40" borderId="18" xfId="0" applyNumberFormat="1" applyFont="1" applyFill="1" applyBorder="1" applyAlignment="1">
      <alignment/>
    </xf>
    <xf numFmtId="3" fontId="0" fillId="40" borderId="53" xfId="0" applyNumberFormat="1" applyFont="1" applyFill="1" applyBorder="1" applyAlignment="1">
      <alignment/>
    </xf>
    <xf numFmtId="0" fontId="0" fillId="40" borderId="152" xfId="0" applyFont="1" applyFill="1" applyBorder="1" applyAlignment="1">
      <alignment/>
    </xf>
    <xf numFmtId="0" fontId="0" fillId="36" borderId="61" xfId="0" applyFont="1" applyFill="1" applyBorder="1" applyAlignment="1">
      <alignment horizontal="center"/>
    </xf>
    <xf numFmtId="175" fontId="0" fillId="40" borderId="53" xfId="46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 wrapText="1"/>
    </xf>
    <xf numFmtId="3" fontId="90" fillId="40" borderId="101" xfId="0" applyNumberFormat="1" applyFont="1" applyFill="1" applyBorder="1" applyAlignment="1">
      <alignment horizontal="center"/>
    </xf>
    <xf numFmtId="3" fontId="90" fillId="40" borderId="53" xfId="0" applyNumberFormat="1" applyFont="1" applyFill="1" applyBorder="1" applyAlignment="1">
      <alignment horizontal="center"/>
    </xf>
    <xf numFmtId="3" fontId="90" fillId="40" borderId="53" xfId="0" applyNumberFormat="1" applyFont="1" applyFill="1" applyBorder="1" applyAlignment="1">
      <alignment/>
    </xf>
    <xf numFmtId="3" fontId="90" fillId="40" borderId="84" xfId="0" applyNumberFormat="1" applyFont="1" applyFill="1" applyBorder="1" applyAlignment="1">
      <alignment/>
    </xf>
    <xf numFmtId="3" fontId="91" fillId="40" borderId="0" xfId="0" applyNumberFormat="1" applyFont="1" applyFill="1" applyBorder="1" applyAlignment="1">
      <alignment/>
    </xf>
    <xf numFmtId="3" fontId="90" fillId="40" borderId="0" xfId="0" applyNumberFormat="1" applyFont="1" applyFill="1" applyAlignment="1">
      <alignment/>
    </xf>
    <xf numFmtId="3" fontId="90" fillId="40" borderId="0" xfId="0" applyNumberFormat="1" applyFont="1" applyFill="1" applyBorder="1" applyAlignment="1">
      <alignment/>
    </xf>
    <xf numFmtId="3" fontId="90" fillId="40" borderId="103" xfId="0" applyNumberFormat="1" applyFont="1" applyFill="1" applyBorder="1" applyAlignment="1">
      <alignment horizontal="center"/>
    </xf>
    <xf numFmtId="3" fontId="90" fillId="40" borderId="61" xfId="0" applyNumberFormat="1" applyFont="1" applyFill="1" applyBorder="1" applyAlignment="1">
      <alignment horizontal="center"/>
    </xf>
    <xf numFmtId="3" fontId="90" fillId="40" borderId="61" xfId="0" applyNumberFormat="1" applyFont="1" applyFill="1" applyBorder="1" applyAlignment="1">
      <alignment/>
    </xf>
    <xf numFmtId="3" fontId="90" fillId="40" borderId="104" xfId="0" applyNumberFormat="1" applyFont="1" applyFill="1" applyBorder="1" applyAlignment="1">
      <alignment/>
    </xf>
    <xf numFmtId="3" fontId="90" fillId="40" borderId="61" xfId="0" applyNumberFormat="1" applyFont="1" applyFill="1" applyBorder="1" applyAlignment="1">
      <alignment wrapText="1"/>
    </xf>
    <xf numFmtId="3" fontId="85" fillId="40" borderId="101" xfId="0" applyNumberFormat="1" applyFont="1" applyFill="1" applyBorder="1" applyAlignment="1">
      <alignment horizontal="center"/>
    </xf>
    <xf numFmtId="3" fontId="85" fillId="48" borderId="53" xfId="0" applyNumberFormat="1" applyFont="1" applyFill="1" applyBorder="1" applyAlignment="1">
      <alignment horizontal="center"/>
    </xf>
    <xf numFmtId="3" fontId="85" fillId="40" borderId="53" xfId="0" applyNumberFormat="1" applyFont="1" applyFill="1" applyBorder="1" applyAlignment="1">
      <alignment wrapText="1"/>
    </xf>
    <xf numFmtId="3" fontId="85" fillId="40" borderId="84" xfId="0" applyNumberFormat="1" applyFont="1" applyFill="1" applyBorder="1" applyAlignment="1">
      <alignment/>
    </xf>
    <xf numFmtId="3" fontId="85" fillId="40" borderId="0" xfId="0" applyNumberFormat="1" applyFont="1" applyFill="1" applyBorder="1" applyAlignment="1">
      <alignment/>
    </xf>
    <xf numFmtId="3" fontId="85" fillId="48" borderId="0" xfId="0" applyNumberFormat="1" applyFont="1" applyFill="1" applyAlignment="1">
      <alignment/>
    </xf>
    <xf numFmtId="3" fontId="85" fillId="40" borderId="53" xfId="0" applyNumberFormat="1" applyFont="1" applyFill="1" applyBorder="1" applyAlignment="1">
      <alignment horizontal="center"/>
    </xf>
    <xf numFmtId="3" fontId="85" fillId="40" borderId="0" xfId="0" applyNumberFormat="1" applyFont="1" applyFill="1" applyAlignment="1">
      <alignment/>
    </xf>
    <xf numFmtId="0" fontId="0" fillId="40" borderId="76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175" fontId="0" fillId="40" borderId="119" xfId="46" applyNumberFormat="1" applyFont="1" applyFill="1" applyBorder="1" applyAlignment="1">
      <alignment/>
    </xf>
    <xf numFmtId="175" fontId="0" fillId="40" borderId="0" xfId="46" applyNumberFormat="1" applyFont="1" applyFill="1" applyBorder="1" applyAlignment="1">
      <alignment/>
    </xf>
    <xf numFmtId="3" fontId="0" fillId="40" borderId="0" xfId="0" applyNumberFormat="1" applyFont="1" applyFill="1" applyAlignment="1">
      <alignment/>
    </xf>
    <xf numFmtId="0" fontId="0" fillId="40" borderId="76" xfId="0" applyFont="1" applyFill="1" applyBorder="1" applyAlignment="1">
      <alignment/>
    </xf>
    <xf numFmtId="3" fontId="18" fillId="33" borderId="213" xfId="0" applyNumberFormat="1" applyFont="1" applyFill="1" applyBorder="1" applyAlignment="1">
      <alignment horizontal="center"/>
    </xf>
    <xf numFmtId="3" fontId="24" fillId="33" borderId="214" xfId="0" applyNumberFormat="1" applyFont="1" applyFill="1" applyBorder="1" applyAlignment="1">
      <alignment/>
    </xf>
    <xf numFmtId="3" fontId="24" fillId="33" borderId="215" xfId="0" applyNumberFormat="1" applyFont="1" applyFill="1" applyBorder="1" applyAlignment="1">
      <alignment/>
    </xf>
    <xf numFmtId="3" fontId="24" fillId="40" borderId="109" xfId="0" applyNumberFormat="1" applyFont="1" applyFill="1" applyBorder="1" applyAlignment="1">
      <alignment horizontal="center"/>
    </xf>
    <xf numFmtId="3" fontId="24" fillId="40" borderId="25" xfId="0" applyNumberFormat="1" applyFont="1" applyFill="1" applyBorder="1" applyAlignment="1">
      <alignment horizontal="center"/>
    </xf>
    <xf numFmtId="0" fontId="18" fillId="40" borderId="0" xfId="0" applyFont="1" applyFill="1" applyAlignment="1">
      <alignment/>
    </xf>
    <xf numFmtId="3" fontId="18" fillId="40" borderId="109" xfId="0" applyNumberFormat="1" applyFont="1" applyFill="1" applyBorder="1" applyAlignment="1">
      <alignment horizontal="center"/>
    </xf>
    <xf numFmtId="3" fontId="18" fillId="40" borderId="25" xfId="0" applyNumberFormat="1" applyFont="1" applyFill="1" applyBorder="1" applyAlignment="1">
      <alignment horizontal="center"/>
    </xf>
    <xf numFmtId="3" fontId="18" fillId="40" borderId="12" xfId="0" applyNumberFormat="1" applyFont="1" applyFill="1" applyBorder="1" applyAlignment="1">
      <alignment horizontal="left" wrapText="1"/>
    </xf>
    <xf numFmtId="3" fontId="35" fillId="40" borderId="109" xfId="0" applyNumberFormat="1" applyFont="1" applyFill="1" applyBorder="1" applyAlignment="1">
      <alignment horizontal="center"/>
    </xf>
    <xf numFmtId="3" fontId="35" fillId="40" borderId="25" xfId="0" applyNumberFormat="1" applyFont="1" applyFill="1" applyBorder="1" applyAlignment="1">
      <alignment horizontal="center"/>
    </xf>
    <xf numFmtId="3" fontId="35" fillId="40" borderId="12" xfId="0" applyNumberFormat="1" applyFont="1" applyFill="1" applyBorder="1" applyAlignment="1">
      <alignment horizontal="right" wrapText="1"/>
    </xf>
    <xf numFmtId="3" fontId="92" fillId="40" borderId="12" xfId="0" applyNumberFormat="1" applyFont="1" applyFill="1" applyBorder="1" applyAlignment="1">
      <alignment/>
    </xf>
    <xf numFmtId="3" fontId="92" fillId="40" borderId="77" xfId="0" applyNumberFormat="1" applyFont="1" applyFill="1" applyBorder="1" applyAlignment="1">
      <alignment/>
    </xf>
    <xf numFmtId="0" fontId="35" fillId="40" borderId="0" xfId="0" applyFont="1" applyFill="1" applyAlignment="1">
      <alignment/>
    </xf>
    <xf numFmtId="3" fontId="35" fillId="40" borderId="109" xfId="0" applyNumberFormat="1" applyFont="1" applyFill="1" applyBorder="1" applyAlignment="1">
      <alignment horizontal="right"/>
    </xf>
    <xf numFmtId="3" fontId="35" fillId="40" borderId="25" xfId="0" applyNumberFormat="1" applyFont="1" applyFill="1" applyBorder="1" applyAlignment="1">
      <alignment horizontal="right"/>
    </xf>
    <xf numFmtId="3" fontId="92" fillId="40" borderId="12" xfId="0" applyNumberFormat="1" applyFont="1" applyFill="1" applyBorder="1" applyAlignment="1">
      <alignment horizontal="right"/>
    </xf>
    <xf numFmtId="3" fontId="92" fillId="40" borderId="77" xfId="0" applyNumberFormat="1" applyFont="1" applyFill="1" applyBorder="1" applyAlignment="1">
      <alignment horizontal="right"/>
    </xf>
    <xf numFmtId="0" fontId="35" fillId="40" borderId="0" xfId="0" applyFont="1" applyFill="1" applyAlignment="1">
      <alignment horizontal="right"/>
    </xf>
    <xf numFmtId="3" fontId="24" fillId="40" borderId="109" xfId="0" applyNumberFormat="1" applyFont="1" applyFill="1" applyBorder="1" applyAlignment="1">
      <alignment horizontal="left"/>
    </xf>
    <xf numFmtId="3" fontId="24" fillId="40" borderId="25" xfId="0" applyNumberFormat="1" applyFont="1" applyFill="1" applyBorder="1" applyAlignment="1">
      <alignment horizontal="left"/>
    </xf>
    <xf numFmtId="3" fontId="24" fillId="40" borderId="12" xfId="0" applyNumberFormat="1" applyFont="1" applyFill="1" applyBorder="1" applyAlignment="1">
      <alignment horizontal="left"/>
    </xf>
    <xf numFmtId="3" fontId="85" fillId="40" borderId="12" xfId="0" applyNumberFormat="1" applyFont="1" applyFill="1" applyBorder="1" applyAlignment="1">
      <alignment horizontal="left"/>
    </xf>
    <xf numFmtId="3" fontId="85" fillId="40" borderId="77" xfId="0" applyNumberFormat="1" applyFont="1" applyFill="1" applyBorder="1" applyAlignment="1">
      <alignment horizontal="left"/>
    </xf>
    <xf numFmtId="3" fontId="85" fillId="40" borderId="77" xfId="0" applyNumberFormat="1" applyFont="1" applyFill="1" applyBorder="1" applyAlignment="1">
      <alignment horizontal="right"/>
    </xf>
    <xf numFmtId="0" fontId="24" fillId="40" borderId="0" xfId="0" applyFont="1" applyFill="1" applyAlignment="1">
      <alignment horizontal="left"/>
    </xf>
    <xf numFmtId="3" fontId="0" fillId="40" borderId="152" xfId="0" applyNumberFormat="1" applyFont="1" applyFill="1" applyBorder="1" applyAlignment="1">
      <alignment horizontal="center"/>
    </xf>
    <xf numFmtId="3" fontId="0" fillId="40" borderId="152" xfId="0" applyNumberFormat="1" applyFont="1" applyFill="1" applyBorder="1" applyAlignment="1">
      <alignment wrapText="1"/>
    </xf>
    <xf numFmtId="3" fontId="0" fillId="40" borderId="182" xfId="0" applyNumberFormat="1" applyFont="1" applyFill="1" applyBorder="1" applyAlignment="1">
      <alignment/>
    </xf>
    <xf numFmtId="3" fontId="0" fillId="40" borderId="53" xfId="0" applyNumberFormat="1" applyFont="1" applyFill="1" applyBorder="1" applyAlignment="1">
      <alignment/>
    </xf>
    <xf numFmtId="3" fontId="0" fillId="40" borderId="53" xfId="0" applyNumberFormat="1" applyFont="1" applyFill="1" applyBorder="1" applyAlignment="1">
      <alignment horizontal="center"/>
    </xf>
    <xf numFmtId="3" fontId="0" fillId="40" borderId="155" xfId="0" applyNumberFormat="1" applyFont="1" applyFill="1" applyBorder="1" applyAlignment="1">
      <alignment horizontal="center"/>
    </xf>
    <xf numFmtId="3" fontId="36" fillId="0" borderId="31" xfId="0" applyNumberFormat="1" applyFont="1" applyBorder="1" applyAlignment="1">
      <alignment horizontal="center"/>
    </xf>
    <xf numFmtId="3" fontId="35" fillId="0" borderId="144" xfId="0" applyNumberFormat="1" applyFont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88" fillId="40" borderId="53" xfId="0" applyNumberFormat="1" applyFont="1" applyFill="1" applyBorder="1" applyAlignment="1">
      <alignment/>
    </xf>
    <xf numFmtId="3" fontId="84" fillId="40" borderId="53" xfId="0" applyNumberFormat="1" applyFont="1" applyFill="1" applyBorder="1" applyAlignment="1">
      <alignment/>
    </xf>
    <xf numFmtId="3" fontId="41" fillId="0" borderId="12" xfId="0" applyNumberFormat="1" applyFont="1" applyBorder="1" applyAlignment="1">
      <alignment horizontal="left"/>
    </xf>
    <xf numFmtId="3" fontId="41" fillId="40" borderId="12" xfId="0" applyNumberFormat="1" applyFont="1" applyFill="1" applyBorder="1" applyAlignment="1">
      <alignment horizontal="right"/>
    </xf>
    <xf numFmtId="3" fontId="18" fillId="0" borderId="34" xfId="0" applyNumberFormat="1" applyFont="1" applyBorder="1" applyAlignment="1">
      <alignment horizontal="center" vertical="center"/>
    </xf>
    <xf numFmtId="3" fontId="18" fillId="0" borderId="61" xfId="0" applyNumberFormat="1" applyFont="1" applyBorder="1" applyAlignment="1">
      <alignment horizontal="center"/>
    </xf>
    <xf numFmtId="3" fontId="18" fillId="0" borderId="106" xfId="0" applyNumberFormat="1" applyFont="1" applyBorder="1" applyAlignment="1">
      <alignment horizontal="center" vertical="center"/>
    </xf>
    <xf numFmtId="3" fontId="18" fillId="33" borderId="48" xfId="0" applyNumberFormat="1" applyFont="1" applyFill="1" applyBorder="1" applyAlignment="1">
      <alignment horizontal="center"/>
    </xf>
    <xf numFmtId="3" fontId="27" fillId="33" borderId="49" xfId="0" applyNumberFormat="1" applyFont="1" applyFill="1" applyBorder="1" applyAlignment="1">
      <alignment/>
    </xf>
    <xf numFmtId="3" fontId="24" fillId="33" borderId="105" xfId="0" applyNumberFormat="1" applyFont="1" applyFill="1" applyBorder="1" applyAlignment="1">
      <alignment/>
    </xf>
    <xf numFmtId="3" fontId="24" fillId="33" borderId="72" xfId="0" applyNumberFormat="1" applyFont="1" applyFill="1" applyBorder="1" applyAlignment="1">
      <alignment/>
    </xf>
    <xf numFmtId="3" fontId="41" fillId="0" borderId="25" xfId="0" applyNumberFormat="1" applyFont="1" applyBorder="1" applyAlignment="1">
      <alignment horizontal="right"/>
    </xf>
    <xf numFmtId="176" fontId="11" fillId="0" borderId="0" xfId="6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0" fillId="40" borderId="0" xfId="0" applyNumberFormat="1" applyFont="1" applyFill="1" applyAlignment="1">
      <alignment horizontal="center"/>
    </xf>
    <xf numFmtId="3" fontId="8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0" fillId="35" borderId="36" xfId="0" applyFill="1" applyBorder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176" fontId="7" fillId="0" borderId="0" xfId="61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5" fillId="37" borderId="193" xfId="0" applyNumberFormat="1" applyFont="1" applyFill="1" applyBorder="1" applyAlignment="1">
      <alignment horizontal="center" vertical="center"/>
    </xf>
    <xf numFmtId="3" fontId="5" fillId="37" borderId="216" xfId="0" applyNumberFormat="1" applyFont="1" applyFill="1" applyBorder="1" applyAlignment="1">
      <alignment horizontal="center" vertical="center"/>
    </xf>
    <xf numFmtId="3" fontId="2" fillId="33" borderId="217" xfId="0" applyNumberFormat="1" applyFont="1" applyFill="1" applyBorder="1" applyAlignment="1">
      <alignment horizontal="center" vertical="center" wrapText="1"/>
    </xf>
    <xf numFmtId="3" fontId="2" fillId="33" borderId="218" xfId="0" applyNumberFormat="1" applyFont="1" applyFill="1" applyBorder="1" applyAlignment="1">
      <alignment horizontal="center" vertical="center" wrapText="1"/>
    </xf>
    <xf numFmtId="3" fontId="2" fillId="33" borderId="219" xfId="0" applyNumberFormat="1" applyFont="1" applyFill="1" applyBorder="1" applyAlignment="1">
      <alignment horizontal="center" vertical="center" wrapText="1"/>
    </xf>
    <xf numFmtId="3" fontId="2" fillId="33" borderId="220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2" fillId="33" borderId="221" xfId="0" applyNumberFormat="1" applyFont="1" applyFill="1" applyBorder="1" applyAlignment="1">
      <alignment horizontal="center" vertical="center" wrapText="1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3" fontId="6" fillId="36" borderId="210" xfId="0" applyNumberFormat="1" applyFont="1" applyFill="1" applyBorder="1" applyAlignment="1">
      <alignment horizontal="center" vertical="center"/>
    </xf>
    <xf numFmtId="3" fontId="6" fillId="36" borderId="171" xfId="0" applyNumberFormat="1" applyFont="1" applyFill="1" applyBorder="1" applyAlignment="1">
      <alignment horizontal="center" vertical="center"/>
    </xf>
    <xf numFmtId="3" fontId="6" fillId="0" borderId="101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2" fillId="37" borderId="55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76" fontId="11" fillId="0" borderId="0" xfId="61" applyFont="1" applyAlignment="1">
      <alignment horizontal="center" vertical="center" wrapText="1"/>
    </xf>
    <xf numFmtId="176" fontId="6" fillId="0" borderId="0" xfId="61" applyFont="1" applyAlignment="1">
      <alignment horizontal="right" vertical="center"/>
    </xf>
    <xf numFmtId="3" fontId="0" fillId="37" borderId="209" xfId="0" applyNumberFormat="1" applyFill="1" applyBorder="1" applyAlignment="1">
      <alignment horizontal="center" vertical="center" wrapText="1"/>
    </xf>
    <xf numFmtId="3" fontId="0" fillId="37" borderId="57" xfId="0" applyNumberForma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2" fillId="37" borderId="122" xfId="0" applyNumberFormat="1" applyFont="1" applyFill="1" applyBorder="1" applyAlignment="1">
      <alignment horizontal="center" vertical="center" wrapText="1"/>
    </xf>
    <xf numFmtId="3" fontId="2" fillId="37" borderId="109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74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3" borderId="122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3" fontId="2" fillId="33" borderId="110" xfId="0" applyNumberFormat="1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176" fontId="11" fillId="0" borderId="0" xfId="61" applyFont="1" applyAlignment="1">
      <alignment horizontal="center" vertical="center"/>
    </xf>
    <xf numFmtId="3" fontId="4" fillId="33" borderId="223" xfId="0" applyNumberFormat="1" applyFont="1" applyFill="1" applyBorder="1" applyAlignment="1">
      <alignment horizontal="center" vertical="center" wrapText="1"/>
    </xf>
    <xf numFmtId="3" fontId="4" fillId="33" borderId="68" xfId="0" applyNumberFormat="1" applyFont="1" applyFill="1" applyBorder="1" applyAlignment="1">
      <alignment horizontal="center" vertical="center" wrapText="1"/>
    </xf>
    <xf numFmtId="3" fontId="4" fillId="33" borderId="209" xfId="0" applyNumberFormat="1" applyFont="1" applyFill="1" applyBorder="1" applyAlignment="1">
      <alignment horizontal="center" vertical="center" wrapText="1"/>
    </xf>
    <xf numFmtId="3" fontId="4" fillId="33" borderId="5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44" borderId="135" xfId="0" applyNumberFormat="1" applyFont="1" applyFill="1" applyBorder="1" applyAlignment="1">
      <alignment horizontal="center" vertical="center" wrapText="1"/>
    </xf>
    <xf numFmtId="3" fontId="4" fillId="44" borderId="136" xfId="0" applyNumberFormat="1" applyFont="1" applyFill="1" applyBorder="1" applyAlignment="1">
      <alignment horizontal="center" vertical="center" wrapText="1"/>
    </xf>
    <xf numFmtId="3" fontId="4" fillId="44" borderId="124" xfId="0" applyNumberFormat="1" applyFont="1" applyFill="1" applyBorder="1" applyAlignment="1">
      <alignment horizontal="center" vertical="center" wrapText="1"/>
    </xf>
    <xf numFmtId="3" fontId="4" fillId="44" borderId="1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1" fillId="0" borderId="0" xfId="61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5" fillId="46" borderId="63" xfId="0" applyNumberFormat="1" applyFont="1" applyFill="1" applyBorder="1" applyAlignment="1">
      <alignment horizontal="left" vertical="center" wrapText="1"/>
    </xf>
    <xf numFmtId="3" fontId="24" fillId="0" borderId="224" xfId="0" applyNumberFormat="1" applyFont="1" applyBorder="1" applyAlignment="1">
      <alignment horizontal="left"/>
    </xf>
    <xf numFmtId="3" fontId="24" fillId="0" borderId="225" xfId="0" applyNumberFormat="1" applyFont="1" applyBorder="1" applyAlignment="1">
      <alignment horizontal="left"/>
    </xf>
    <xf numFmtId="3" fontId="15" fillId="37" borderId="193" xfId="0" applyNumberFormat="1" applyFont="1" applyFill="1" applyBorder="1" applyAlignment="1">
      <alignment horizontal="center" vertical="center"/>
    </xf>
    <xf numFmtId="3" fontId="15" fillId="37" borderId="216" xfId="0" applyNumberFormat="1" applyFont="1" applyFill="1" applyBorder="1" applyAlignment="1">
      <alignment horizontal="center" vertical="center"/>
    </xf>
    <xf numFmtId="0" fontId="2" fillId="0" borderId="132" xfId="0" applyFont="1" applyBorder="1" applyAlignment="1">
      <alignment horizontal="center"/>
    </xf>
    <xf numFmtId="0" fontId="2" fillId="0" borderId="224" xfId="0" applyFont="1" applyBorder="1" applyAlignment="1">
      <alignment horizontal="center"/>
    </xf>
    <xf numFmtId="0" fontId="2" fillId="0" borderId="225" xfId="0" applyFont="1" applyBorder="1" applyAlignment="1">
      <alignment horizontal="center"/>
    </xf>
    <xf numFmtId="3" fontId="2" fillId="33" borderId="74" xfId="0" applyNumberFormat="1" applyFont="1" applyFill="1" applyBorder="1" applyAlignment="1">
      <alignment horizontal="center" vertical="center" wrapText="1"/>
    </xf>
    <xf numFmtId="3" fontId="2" fillId="33" borderId="78" xfId="0" applyNumberFormat="1" applyFont="1" applyFill="1" applyBorder="1" applyAlignment="1">
      <alignment horizontal="center" vertical="center" wrapText="1"/>
    </xf>
    <xf numFmtId="3" fontId="2" fillId="33" borderId="70" xfId="0" applyNumberFormat="1" applyFont="1" applyFill="1" applyBorder="1" applyAlignment="1">
      <alignment horizontal="center" vertical="center" wrapText="1"/>
    </xf>
    <xf numFmtId="3" fontId="2" fillId="43" borderId="0" xfId="0" applyNumberFormat="1" applyFont="1" applyFill="1" applyBorder="1" applyAlignment="1">
      <alignment horizontal="center" vertical="center" wrapText="1"/>
    </xf>
    <xf numFmtId="3" fontId="15" fillId="40" borderId="0" xfId="0" applyNumberFormat="1" applyFont="1" applyFill="1" applyAlignment="1">
      <alignment horizontal="center" vertical="center" wrapText="1"/>
    </xf>
    <xf numFmtId="3" fontId="2" fillId="40" borderId="0" xfId="0" applyNumberFormat="1" applyFont="1" applyFill="1" applyAlignment="1">
      <alignment horizontal="center" vertical="center"/>
    </xf>
    <xf numFmtId="176" fontId="6" fillId="40" borderId="0" xfId="61" applyFont="1" applyFill="1" applyAlignment="1">
      <alignment horizontal="right" vertical="center"/>
    </xf>
    <xf numFmtId="0" fontId="0" fillId="40" borderId="162" xfId="0" applyFont="1" applyFill="1" applyBorder="1" applyAlignment="1">
      <alignment horizontal="right" vertical="center"/>
    </xf>
    <xf numFmtId="0" fontId="2" fillId="40" borderId="0" xfId="0" applyFont="1" applyFill="1" applyAlignment="1">
      <alignment horizontal="center"/>
    </xf>
    <xf numFmtId="3" fontId="0" fillId="40" borderId="0" xfId="0" applyNumberFormat="1" applyFont="1" applyFill="1" applyAlignment="1">
      <alignment horizontal="center"/>
    </xf>
    <xf numFmtId="0" fontId="6" fillId="40" borderId="0" xfId="0" applyFont="1" applyFill="1" applyAlignment="1">
      <alignment horizontal="right"/>
    </xf>
    <xf numFmtId="3" fontId="2" fillId="42" borderId="135" xfId="0" applyNumberFormat="1" applyFont="1" applyFill="1" applyBorder="1" applyAlignment="1">
      <alignment horizontal="center" vertical="center" wrapText="1"/>
    </xf>
    <xf numFmtId="3" fontId="2" fillId="42" borderId="136" xfId="0" applyNumberFormat="1" applyFont="1" applyFill="1" applyBorder="1" applyAlignment="1">
      <alignment horizontal="center" vertical="center" wrapText="1"/>
    </xf>
    <xf numFmtId="3" fontId="2" fillId="42" borderId="101" xfId="0" applyNumberFormat="1" applyFont="1" applyFill="1" applyBorder="1" applyAlignment="1">
      <alignment horizontal="center" vertical="center" wrapText="1"/>
    </xf>
    <xf numFmtId="3" fontId="2" fillId="42" borderId="53" xfId="0" applyNumberFormat="1" applyFont="1" applyFill="1" applyBorder="1" applyAlignment="1">
      <alignment horizontal="center" vertical="center" wrapText="1"/>
    </xf>
    <xf numFmtId="3" fontId="2" fillId="42" borderId="124" xfId="0" applyNumberFormat="1" applyFont="1" applyFill="1" applyBorder="1" applyAlignment="1">
      <alignment horizontal="center" vertical="center" wrapText="1"/>
    </xf>
    <xf numFmtId="3" fontId="2" fillId="42" borderId="125" xfId="0" applyNumberFormat="1" applyFont="1" applyFill="1" applyBorder="1" applyAlignment="1">
      <alignment horizontal="center" vertical="center" wrapText="1"/>
    </xf>
    <xf numFmtId="0" fontId="6" fillId="40" borderId="0" xfId="0" applyFont="1" applyFill="1" applyAlignment="1">
      <alignment horizontal="right" vertical="center"/>
    </xf>
    <xf numFmtId="0" fontId="2" fillId="43" borderId="189" xfId="0" applyFont="1" applyFill="1" applyBorder="1" applyAlignment="1">
      <alignment horizontal="center" vertical="center"/>
    </xf>
    <xf numFmtId="0" fontId="2" fillId="43" borderId="226" xfId="0" applyFont="1" applyFill="1" applyBorder="1" applyAlignment="1">
      <alignment horizontal="center" vertical="center"/>
    </xf>
    <xf numFmtId="3" fontId="0" fillId="40" borderId="0" xfId="0" applyNumberFormat="1" applyFont="1" applyFill="1" applyAlignment="1">
      <alignment horizontal="right" vertical="center"/>
    </xf>
    <xf numFmtId="0" fontId="2" fillId="43" borderId="75" xfId="0" applyFont="1" applyFill="1" applyBorder="1" applyAlignment="1">
      <alignment horizontal="center" vertical="center" wrapText="1"/>
    </xf>
    <xf numFmtId="0" fontId="2" fillId="43" borderId="221" xfId="0" applyFont="1" applyFill="1" applyBorder="1" applyAlignment="1">
      <alignment horizontal="center" vertical="center" wrapText="1"/>
    </xf>
    <xf numFmtId="0" fontId="2" fillId="43" borderId="222" xfId="0" applyFont="1" applyFill="1" applyBorder="1" applyAlignment="1">
      <alignment horizontal="center" vertical="center" wrapText="1"/>
    </xf>
    <xf numFmtId="0" fontId="2" fillId="43" borderId="40" xfId="0" applyFont="1" applyFill="1" applyBorder="1" applyAlignment="1">
      <alignment horizontal="center" vertical="center" wrapText="1"/>
    </xf>
    <xf numFmtId="3" fontId="2" fillId="42" borderId="0" xfId="0" applyNumberFormat="1" applyFont="1" applyFill="1" applyBorder="1" applyAlignment="1">
      <alignment horizontal="center" vertical="center" wrapText="1"/>
    </xf>
    <xf numFmtId="3" fontId="2" fillId="42" borderId="127" xfId="0" applyNumberFormat="1" applyFont="1" applyFill="1" applyBorder="1" applyAlignment="1">
      <alignment horizontal="center" vertical="center" wrapText="1"/>
    </xf>
    <xf numFmtId="3" fontId="2" fillId="42" borderId="84" xfId="0" applyNumberFormat="1" applyFont="1" applyFill="1" applyBorder="1" applyAlignment="1">
      <alignment horizontal="center" vertical="center" wrapText="1"/>
    </xf>
    <xf numFmtId="3" fontId="2" fillId="43" borderId="227" xfId="0" applyNumberFormat="1" applyFont="1" applyFill="1" applyBorder="1" applyAlignment="1">
      <alignment horizontal="center" vertical="center" wrapText="1"/>
    </xf>
    <xf numFmtId="3" fontId="2" fillId="43" borderId="166" xfId="0" applyNumberFormat="1" applyFont="1" applyFill="1" applyBorder="1" applyAlignment="1">
      <alignment horizontal="center" vertical="center" wrapText="1"/>
    </xf>
    <xf numFmtId="0" fontId="5" fillId="40" borderId="0" xfId="0" applyFont="1" applyFill="1" applyAlignment="1">
      <alignment horizontal="center" vertical="center" wrapText="1"/>
    </xf>
    <xf numFmtId="3" fontId="0" fillId="40" borderId="162" xfId="0" applyNumberFormat="1" applyFont="1" applyFill="1" applyBorder="1" applyAlignment="1">
      <alignment horizontal="right" vertical="center" wrapText="1"/>
    </xf>
    <xf numFmtId="3" fontId="0" fillId="40" borderId="162" xfId="0" applyNumberFormat="1" applyFont="1" applyFill="1" applyBorder="1" applyAlignment="1">
      <alignment horizontal="right"/>
    </xf>
    <xf numFmtId="0" fontId="86" fillId="0" borderId="53" xfId="0" applyFont="1" applyBorder="1" applyAlignment="1">
      <alignment horizontal="center" vertical="center" wrapText="1"/>
    </xf>
    <xf numFmtId="176" fontId="83" fillId="0" borderId="0" xfId="61" applyFont="1" applyAlignment="1">
      <alignment horizontal="center"/>
    </xf>
    <xf numFmtId="176" fontId="93" fillId="0" borderId="0" xfId="61" applyFont="1" applyAlignment="1">
      <alignment horizontal="right" vertical="center"/>
    </xf>
    <xf numFmtId="3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 horizontal="right"/>
    </xf>
    <xf numFmtId="176" fontId="6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6" fontId="7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28" xfId="0" applyBorder="1" applyAlignment="1">
      <alignment horizontal="left" vertical="center"/>
    </xf>
    <xf numFmtId="0" fontId="0" fillId="0" borderId="229" xfId="0" applyBorder="1" applyAlignment="1">
      <alignment horizontal="left" vertical="center"/>
    </xf>
    <xf numFmtId="0" fontId="0" fillId="0" borderId="2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2" borderId="183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/>
    </xf>
    <xf numFmtId="0" fontId="2" fillId="54" borderId="17" xfId="0" applyFont="1" applyFill="1" applyBorder="1" applyAlignment="1">
      <alignment horizontal="left" vertical="center" wrapText="1"/>
    </xf>
    <xf numFmtId="0" fontId="0" fillId="54" borderId="17" xfId="0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right"/>
    </xf>
    <xf numFmtId="0" fontId="2" fillId="0" borderId="10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3" fontId="31" fillId="0" borderId="53" xfId="0" applyNumberFormat="1" applyFont="1" applyBorder="1" applyAlignment="1">
      <alignment horizontal="left"/>
    </xf>
    <xf numFmtId="0" fontId="31" fillId="0" borderId="101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3" fontId="2" fillId="37" borderId="75" xfId="0" applyNumberFormat="1" applyFont="1" applyFill="1" applyBorder="1" applyAlignment="1">
      <alignment horizontal="center" vertical="center" wrapText="1"/>
    </xf>
    <xf numFmtId="3" fontId="2" fillId="37" borderId="221" xfId="0" applyNumberFormat="1" applyFont="1" applyFill="1" applyBorder="1" applyAlignment="1">
      <alignment horizontal="center" vertical="center" wrapText="1"/>
    </xf>
    <xf numFmtId="3" fontId="2" fillId="37" borderId="222" xfId="0" applyNumberFormat="1" applyFont="1" applyFill="1" applyBorder="1" applyAlignment="1">
      <alignment horizontal="center" vertical="center" wrapText="1"/>
    </xf>
    <xf numFmtId="3" fontId="2" fillId="37" borderId="40" xfId="0" applyNumberFormat="1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6" fillId="36" borderId="108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3" fontId="13" fillId="0" borderId="64" xfId="0" applyNumberFormat="1" applyFont="1" applyBorder="1" applyAlignment="1">
      <alignment horizontal="left"/>
    </xf>
    <xf numFmtId="3" fontId="13" fillId="0" borderId="65" xfId="0" applyNumberFormat="1" applyFont="1" applyBorder="1" applyAlignment="1">
      <alignment horizontal="left"/>
    </xf>
    <xf numFmtId="3" fontId="5" fillId="39" borderId="154" xfId="0" applyNumberFormat="1" applyFont="1" applyFill="1" applyBorder="1" applyAlignment="1">
      <alignment horizontal="left" vertical="center"/>
    </xf>
    <xf numFmtId="3" fontId="2" fillId="0" borderId="61" xfId="0" applyNumberFormat="1" applyFont="1" applyBorder="1" applyAlignment="1">
      <alignment horizontal="left"/>
    </xf>
    <xf numFmtId="3" fontId="6" fillId="36" borderId="63" xfId="0" applyNumberFormat="1" applyFont="1" applyFill="1" applyBorder="1" applyAlignment="1">
      <alignment horizontal="left" vertical="center"/>
    </xf>
    <xf numFmtId="0" fontId="5" fillId="39" borderId="153" xfId="0" applyFont="1" applyFill="1" applyBorder="1" applyAlignment="1">
      <alignment horizontal="center"/>
    </xf>
    <xf numFmtId="0" fontId="5" fillId="39" borderId="154" xfId="0" applyFont="1" applyFill="1" applyBorder="1" applyAlignment="1">
      <alignment horizontal="center"/>
    </xf>
    <xf numFmtId="0" fontId="31" fillId="0" borderId="53" xfId="0" applyFont="1" applyBorder="1" applyAlignment="1">
      <alignment horizontal="left"/>
    </xf>
    <xf numFmtId="0" fontId="2" fillId="0" borderId="10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31" fillId="0" borderId="53" xfId="0" applyNumberFormat="1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3" fontId="2" fillId="37" borderId="219" xfId="0" applyNumberFormat="1" applyFont="1" applyFill="1" applyBorder="1" applyAlignment="1">
      <alignment horizontal="center" vertical="center" wrapText="1"/>
    </xf>
    <xf numFmtId="3" fontId="2" fillId="37" borderId="220" xfId="0" applyNumberFormat="1" applyFont="1" applyFill="1" applyBorder="1" applyAlignment="1">
      <alignment horizontal="center" vertical="center" wrapText="1"/>
    </xf>
    <xf numFmtId="0" fontId="2" fillId="0" borderId="130" xfId="0" applyFont="1" applyBorder="1" applyAlignment="1">
      <alignment horizontal="center"/>
    </xf>
    <xf numFmtId="0" fontId="2" fillId="0" borderId="231" xfId="0" applyFont="1" applyBorder="1" applyAlignment="1">
      <alignment horizontal="center"/>
    </xf>
    <xf numFmtId="3" fontId="2" fillId="0" borderId="53" xfId="0" applyNumberFormat="1" applyFont="1" applyBorder="1" applyAlignment="1">
      <alignment horizontal="left"/>
    </xf>
    <xf numFmtId="3" fontId="2" fillId="0" borderId="64" xfId="0" applyNumberFormat="1" applyFont="1" applyBorder="1" applyAlignment="1">
      <alignment horizontal="left"/>
    </xf>
    <xf numFmtId="3" fontId="2" fillId="0" borderId="65" xfId="0" applyNumberFormat="1" applyFont="1" applyBorder="1" applyAlignment="1">
      <alignment horizontal="left"/>
    </xf>
    <xf numFmtId="0" fontId="31" fillId="0" borderId="131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3" fontId="2" fillId="0" borderId="66" xfId="0" applyNumberFormat="1" applyFont="1" applyBorder="1" applyAlignment="1">
      <alignment horizontal="left"/>
    </xf>
    <xf numFmtId="3" fontId="2" fillId="0" borderId="67" xfId="0" applyNumberFormat="1" applyFont="1" applyBorder="1" applyAlignment="1">
      <alignment horizontal="left"/>
    </xf>
    <xf numFmtId="3" fontId="2" fillId="0" borderId="79" xfId="0" applyNumberFormat="1" applyFont="1" applyBorder="1" applyAlignment="1">
      <alignment horizontal="left" vertical="center" wrapText="1"/>
    </xf>
    <xf numFmtId="3" fontId="2" fillId="0" borderId="8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6" fillId="0" borderId="195" xfId="0" applyNumberFormat="1" applyFont="1" applyBorder="1" applyAlignment="1">
      <alignment horizontal="left" vertical="center"/>
    </xf>
    <xf numFmtId="3" fontId="6" fillId="0" borderId="143" xfId="0" applyNumberFormat="1" applyFont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2" fillId="33" borderId="130" xfId="0" applyNumberFormat="1" applyFont="1" applyFill="1" applyBorder="1" applyAlignment="1">
      <alignment horizontal="center" vertical="center" wrapText="1"/>
    </xf>
    <xf numFmtId="3" fontId="2" fillId="33" borderId="231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/>
    </xf>
    <xf numFmtId="3" fontId="2" fillId="42" borderId="232" xfId="0" applyNumberFormat="1" applyFont="1" applyFill="1" applyBorder="1" applyAlignment="1">
      <alignment horizontal="center" vertical="center" wrapText="1"/>
    </xf>
    <xf numFmtId="3" fontId="2" fillId="42" borderId="23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6" fillId="0" borderId="49" xfId="0" applyNumberFormat="1" applyFont="1" applyBorder="1" applyAlignment="1">
      <alignment horizontal="left"/>
    </xf>
    <xf numFmtId="0" fontId="5" fillId="37" borderId="193" xfId="0" applyFont="1" applyFill="1" applyBorder="1" applyAlignment="1">
      <alignment horizontal="center"/>
    </xf>
    <xf numFmtId="0" fontId="5" fillId="37" borderId="21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34" xfId="0" applyFon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2" fillId="42" borderId="189" xfId="0" applyNumberFormat="1" applyFont="1" applyFill="1" applyBorder="1" applyAlignment="1">
      <alignment horizontal="left" vertical="center" wrapText="1"/>
    </xf>
    <xf numFmtId="3" fontId="2" fillId="42" borderId="235" xfId="0" applyNumberFormat="1" applyFont="1" applyFill="1" applyBorder="1" applyAlignment="1">
      <alignment horizontal="left" vertical="center" wrapText="1"/>
    </xf>
    <xf numFmtId="0" fontId="31" fillId="0" borderId="6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4" xfId="0" applyBorder="1" applyAlignment="1">
      <alignment horizontal="center"/>
    </xf>
    <xf numFmtId="3" fontId="2" fillId="33" borderId="223" xfId="0" applyNumberFormat="1" applyFont="1" applyFill="1" applyBorder="1" applyAlignment="1">
      <alignment horizontal="center" vertical="center" wrapText="1"/>
    </xf>
    <xf numFmtId="3" fontId="2" fillId="33" borderId="236" xfId="0" applyNumberFormat="1" applyFont="1" applyFill="1" applyBorder="1" applyAlignment="1">
      <alignment horizontal="center" vertical="center" wrapText="1"/>
    </xf>
    <xf numFmtId="3" fontId="2" fillId="33" borderId="237" xfId="0" applyNumberFormat="1" applyFont="1" applyFill="1" applyBorder="1" applyAlignment="1">
      <alignment horizontal="center" vertical="center" wrapText="1"/>
    </xf>
    <xf numFmtId="3" fontId="2" fillId="33" borderId="238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 wrapText="1"/>
    </xf>
    <xf numFmtId="3" fontId="2" fillId="33" borderId="234" xfId="0" applyNumberFormat="1" applyFont="1" applyFill="1" applyBorder="1" applyAlignment="1">
      <alignment horizontal="center" vertical="center" wrapText="1"/>
    </xf>
    <xf numFmtId="0" fontId="2" fillId="0" borderId="144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6" fillId="0" borderId="193" xfId="0" applyFont="1" applyBorder="1" applyAlignment="1">
      <alignment horizontal="center"/>
    </xf>
    <xf numFmtId="0" fontId="6" fillId="0" borderId="216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9" xfId="0" applyBorder="1" applyAlignment="1">
      <alignment horizontal="center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0" fontId="8" fillId="0" borderId="239" xfId="0" applyFont="1" applyBorder="1" applyAlignment="1">
      <alignment horizontal="right"/>
    </xf>
    <xf numFmtId="0" fontId="8" fillId="0" borderId="181" xfId="0" applyFont="1" applyBorder="1" applyAlignment="1">
      <alignment horizontal="right"/>
    </xf>
    <xf numFmtId="3" fontId="15" fillId="37" borderId="47" xfId="0" applyNumberFormat="1" applyFont="1" applyFill="1" applyBorder="1" applyAlignment="1">
      <alignment horizontal="center" vertical="center"/>
    </xf>
    <xf numFmtId="3" fontId="15" fillId="37" borderId="234" xfId="0" applyNumberFormat="1" applyFont="1" applyFill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221" xfId="0" applyNumberFormat="1" applyBorder="1" applyAlignment="1">
      <alignment horizontal="center" vertical="center"/>
    </xf>
    <xf numFmtId="3" fontId="0" fillId="0" borderId="144" xfId="0" applyNumberFormat="1" applyBorder="1" applyAlignment="1">
      <alignment horizontal="center" vertical="center"/>
    </xf>
    <xf numFmtId="3" fontId="0" fillId="0" borderId="169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240" xfId="0" applyNumberFormat="1" applyBorder="1" applyAlignment="1">
      <alignment horizontal="center"/>
    </xf>
    <xf numFmtId="3" fontId="0" fillId="0" borderId="241" xfId="0" applyNumberFormat="1" applyBorder="1" applyAlignment="1">
      <alignment horizontal="center"/>
    </xf>
    <xf numFmtId="3" fontId="0" fillId="0" borderId="242" xfId="0" applyNumberFormat="1" applyBorder="1" applyAlignment="1">
      <alignment horizontal="center"/>
    </xf>
    <xf numFmtId="3" fontId="0" fillId="0" borderId="243" xfId="0" applyNumberFormat="1" applyBorder="1" applyAlignment="1">
      <alignment horizontal="center"/>
    </xf>
    <xf numFmtId="0" fontId="8" fillId="36" borderId="131" xfId="0" applyFont="1" applyFill="1" applyBorder="1" applyAlignment="1">
      <alignment horizontal="right"/>
    </xf>
    <xf numFmtId="0" fontId="8" fillId="36" borderId="65" xfId="0" applyFont="1" applyFill="1" applyBorder="1" applyAlignment="1">
      <alignment horizontal="right"/>
    </xf>
    <xf numFmtId="3" fontId="0" fillId="0" borderId="131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244" xfId="0" applyNumberFormat="1" applyBorder="1" applyAlignment="1">
      <alignment horizontal="center" vertical="center"/>
    </xf>
    <xf numFmtId="3" fontId="0" fillId="0" borderId="142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left"/>
    </xf>
    <xf numFmtId="3" fontId="6" fillId="0" borderId="47" xfId="0" applyNumberFormat="1" applyFont="1" applyBorder="1" applyAlignment="1">
      <alignment horizontal="center"/>
    </xf>
    <xf numFmtId="3" fontId="6" fillId="0" borderId="234" xfId="0" applyNumberFormat="1" applyFont="1" applyBorder="1" applyAlignment="1">
      <alignment horizontal="center"/>
    </xf>
    <xf numFmtId="3" fontId="5" fillId="37" borderId="193" xfId="0" applyNumberFormat="1" applyFont="1" applyFill="1" applyBorder="1" applyAlignment="1">
      <alignment horizontal="center"/>
    </xf>
    <xf numFmtId="3" fontId="5" fillId="37" borderId="216" xfId="0" applyNumberFormat="1" applyFont="1" applyFill="1" applyBorder="1" applyAlignment="1">
      <alignment horizontal="center"/>
    </xf>
    <xf numFmtId="3" fontId="2" fillId="33" borderId="245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246" xfId="0" applyNumberFormat="1" applyFont="1" applyBorder="1" applyAlignment="1">
      <alignment horizontal="center"/>
    </xf>
    <xf numFmtId="3" fontId="2" fillId="0" borderId="247" xfId="0" applyNumberFormat="1" applyFont="1" applyBorder="1" applyAlignment="1">
      <alignment horizontal="center"/>
    </xf>
    <xf numFmtId="3" fontId="8" fillId="0" borderId="248" xfId="0" applyNumberFormat="1" applyFont="1" applyBorder="1" applyAlignment="1">
      <alignment horizontal="center"/>
    </xf>
    <xf numFmtId="3" fontId="8" fillId="0" borderId="249" xfId="0" applyNumberFormat="1" applyFon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8" fillId="0" borderId="179" xfId="0" applyNumberFormat="1" applyFont="1" applyBorder="1" applyAlignment="1">
      <alignment horizontal="center"/>
    </xf>
    <xf numFmtId="3" fontId="8" fillId="0" borderId="250" xfId="0" applyNumberFormat="1" applyFont="1" applyBorder="1" applyAlignment="1">
      <alignment horizontal="center"/>
    </xf>
    <xf numFmtId="3" fontId="8" fillId="0" borderId="242" xfId="0" applyNumberFormat="1" applyFont="1" applyBorder="1" applyAlignment="1">
      <alignment horizontal="center"/>
    </xf>
    <xf numFmtId="3" fontId="8" fillId="0" borderId="243" xfId="0" applyNumberFormat="1" applyFon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6" fillId="0" borderId="139" xfId="0" applyNumberFormat="1" applyFont="1" applyBorder="1" applyAlignment="1">
      <alignment horizontal="center" vertical="center"/>
    </xf>
    <xf numFmtId="3" fontId="6" fillId="0" borderId="251" xfId="0" applyNumberFormat="1" applyFont="1" applyBorder="1" applyAlignment="1">
      <alignment horizontal="center" vertical="center"/>
    </xf>
    <xf numFmtId="3" fontId="8" fillId="0" borderId="131" xfId="0" applyNumberFormat="1" applyFont="1" applyBorder="1" applyAlignment="1">
      <alignment horizontal="right"/>
    </xf>
    <xf numFmtId="3" fontId="2" fillId="33" borderId="86" xfId="0" applyNumberFormat="1" applyFont="1" applyFill="1" applyBorder="1" applyAlignment="1">
      <alignment horizontal="center" vertical="center" wrapText="1"/>
    </xf>
    <xf numFmtId="3" fontId="2" fillId="33" borderId="4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left"/>
    </xf>
    <xf numFmtId="3" fontId="6" fillId="0" borderId="137" xfId="0" applyNumberFormat="1" applyFont="1" applyBorder="1" applyAlignment="1">
      <alignment horizontal="left"/>
    </xf>
    <xf numFmtId="3" fontId="8" fillId="0" borderId="176" xfId="0" applyNumberFormat="1" applyFont="1" applyBorder="1" applyAlignment="1">
      <alignment horizontal="center"/>
    </xf>
    <xf numFmtId="3" fontId="8" fillId="0" borderId="252" xfId="0" applyNumberFormat="1" applyFont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/>
    </xf>
    <xf numFmtId="3" fontId="8" fillId="0" borderId="101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3" fontId="8" fillId="0" borderId="64" xfId="0" applyNumberFormat="1" applyFont="1" applyBorder="1" applyAlignment="1">
      <alignment horizontal="left"/>
    </xf>
    <xf numFmtId="3" fontId="8" fillId="0" borderId="65" xfId="0" applyNumberFormat="1" applyFont="1" applyBorder="1" applyAlignment="1">
      <alignment horizontal="left"/>
    </xf>
    <xf numFmtId="3" fontId="2" fillId="0" borderId="101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2" fillId="33" borderId="25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2" fillId="42" borderId="64" xfId="0" applyNumberFormat="1" applyFont="1" applyFill="1" applyBorder="1" applyAlignment="1">
      <alignment horizontal="left" vertical="center"/>
    </xf>
    <xf numFmtId="3" fontId="2" fillId="42" borderId="65" xfId="0" applyNumberFormat="1" applyFont="1" applyFill="1" applyBorder="1" applyAlignment="1">
      <alignment horizontal="left" vertical="center"/>
    </xf>
    <xf numFmtId="3" fontId="2" fillId="33" borderId="74" xfId="0" applyNumberFormat="1" applyFont="1" applyFill="1" applyBorder="1" applyAlignment="1">
      <alignment horizontal="center" vertical="center"/>
    </xf>
    <xf numFmtId="3" fontId="8" fillId="42" borderId="64" xfId="0" applyNumberFormat="1" applyFont="1" applyFill="1" applyBorder="1" applyAlignment="1">
      <alignment horizontal="left" vertical="center"/>
    </xf>
    <xf numFmtId="3" fontId="8" fillId="42" borderId="65" xfId="0" applyNumberFormat="1" applyFont="1" applyFill="1" applyBorder="1" applyAlignment="1">
      <alignment horizontal="left" vertical="center"/>
    </xf>
    <xf numFmtId="3" fontId="2" fillId="33" borderId="254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210" xfId="0" applyNumberFormat="1" applyFont="1" applyFill="1" applyBorder="1" applyAlignment="1">
      <alignment horizontal="center" vertical="center" wrapText="1"/>
    </xf>
    <xf numFmtId="3" fontId="2" fillId="33" borderId="171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3" fontId="6" fillId="0" borderId="63" xfId="0" applyNumberFormat="1" applyFont="1" applyBorder="1" applyAlignment="1">
      <alignment horizontal="left" vertical="center"/>
    </xf>
    <xf numFmtId="3" fontId="13" fillId="0" borderId="125" xfId="0" applyNumberFormat="1" applyFont="1" applyBorder="1" applyAlignment="1">
      <alignment horizontal="left"/>
    </xf>
    <xf numFmtId="3" fontId="5" fillId="46" borderId="63" xfId="0" applyNumberFormat="1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 horizontal="left"/>
    </xf>
    <xf numFmtId="3" fontId="6" fillId="0" borderId="48" xfId="0" applyNumberFormat="1" applyFont="1" applyBorder="1" applyAlignment="1">
      <alignment horizontal="left" vertical="center"/>
    </xf>
    <xf numFmtId="3" fontId="6" fillId="0" borderId="107" xfId="0" applyNumberFormat="1" applyFont="1" applyBorder="1" applyAlignment="1">
      <alignment horizontal="left" vertical="center"/>
    </xf>
    <xf numFmtId="3" fontId="2" fillId="0" borderId="189" xfId="0" applyNumberFormat="1" applyFont="1" applyBorder="1" applyAlignment="1">
      <alignment horizontal="left"/>
    </xf>
    <xf numFmtId="3" fontId="2" fillId="0" borderId="233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3" fontId="24" fillId="33" borderId="75" xfId="0" applyNumberFormat="1" applyFont="1" applyFill="1" applyBorder="1" applyAlignment="1">
      <alignment horizontal="center" vertical="center" wrapText="1"/>
    </xf>
    <xf numFmtId="3" fontId="24" fillId="33" borderId="74" xfId="0" applyNumberFormat="1" applyFont="1" applyFill="1" applyBorder="1" applyAlignment="1">
      <alignment horizontal="center" vertical="center" wrapText="1"/>
    </xf>
    <xf numFmtId="3" fontId="24" fillId="33" borderId="7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4" fillId="33" borderId="78" xfId="0" applyNumberFormat="1" applyFont="1" applyFill="1" applyBorder="1" applyAlignment="1">
      <alignment horizontal="center" vertical="center" wrapText="1"/>
    </xf>
    <xf numFmtId="3" fontId="24" fillId="33" borderId="70" xfId="0" applyNumberFormat="1" applyFont="1" applyFill="1" applyBorder="1" applyAlignment="1">
      <alignment horizontal="center" vertical="center" wrapText="1"/>
    </xf>
    <xf numFmtId="3" fontId="24" fillId="33" borderId="70" xfId="0" applyNumberFormat="1" applyFont="1" applyFill="1" applyBorder="1" applyAlignment="1">
      <alignment horizontal="center" vertical="center"/>
    </xf>
    <xf numFmtId="3" fontId="31" fillId="0" borderId="62" xfId="0" applyNumberFormat="1" applyFont="1" applyBorder="1" applyAlignment="1">
      <alignment horizontal="left" wrapText="1"/>
    </xf>
    <xf numFmtId="3" fontId="31" fillId="0" borderId="255" xfId="0" applyNumberFormat="1" applyFont="1" applyBorder="1" applyAlignment="1">
      <alignment horizontal="left" wrapText="1"/>
    </xf>
    <xf numFmtId="3" fontId="31" fillId="0" borderId="256" xfId="0" applyNumberFormat="1" applyFont="1" applyBorder="1" applyAlignment="1">
      <alignment horizontal="left" wrapText="1"/>
    </xf>
    <xf numFmtId="3" fontId="31" fillId="0" borderId="257" xfId="0" applyNumberFormat="1" applyFont="1" applyBorder="1" applyAlignment="1">
      <alignment horizontal="left" wrapText="1"/>
    </xf>
    <xf numFmtId="3" fontId="31" fillId="0" borderId="252" xfId="0" applyNumberFormat="1" applyFont="1" applyBorder="1" applyAlignment="1">
      <alignment horizontal="left" wrapText="1"/>
    </xf>
    <xf numFmtId="3" fontId="0" fillId="0" borderId="258" xfId="0" applyNumberFormat="1" applyBorder="1" applyAlignment="1">
      <alignment horizontal="left" vertical="center" wrapText="1"/>
    </xf>
    <xf numFmtId="3" fontId="0" fillId="0" borderId="259" xfId="0" applyNumberFormat="1" applyBorder="1" applyAlignment="1">
      <alignment horizontal="left" vertical="center" wrapText="1"/>
    </xf>
    <xf numFmtId="3" fontId="0" fillId="40" borderId="260" xfId="0" applyNumberFormat="1" applyFill="1" applyBorder="1" applyAlignment="1">
      <alignment horizontal="left" wrapText="1"/>
    </xf>
    <xf numFmtId="3" fontId="0" fillId="40" borderId="261" xfId="0" applyNumberFormat="1" applyFill="1" applyBorder="1" applyAlignment="1">
      <alignment horizontal="left" wrapText="1"/>
    </xf>
    <xf numFmtId="3" fontId="31" fillId="0" borderId="260" xfId="0" applyNumberFormat="1" applyFont="1" applyBorder="1" applyAlignment="1">
      <alignment horizontal="left"/>
    </xf>
    <xf numFmtId="3" fontId="31" fillId="0" borderId="261" xfId="0" applyNumberFormat="1" applyFont="1" applyBorder="1" applyAlignment="1">
      <alignment horizontal="left"/>
    </xf>
    <xf numFmtId="3" fontId="31" fillId="0" borderId="260" xfId="0" applyNumberFormat="1" applyFont="1" applyBorder="1" applyAlignment="1">
      <alignment horizontal="center"/>
    </xf>
    <xf numFmtId="3" fontId="31" fillId="0" borderId="261" xfId="0" applyNumberFormat="1" applyFont="1" applyBorder="1" applyAlignment="1">
      <alignment horizontal="center"/>
    </xf>
    <xf numFmtId="3" fontId="31" fillId="0" borderId="262" xfId="0" applyNumberFormat="1" applyFont="1" applyBorder="1" applyAlignment="1">
      <alignment horizontal="left"/>
    </xf>
    <xf numFmtId="3" fontId="31" fillId="0" borderId="263" xfId="0" applyNumberFormat="1" applyFont="1" applyBorder="1" applyAlignment="1">
      <alignment horizontal="left"/>
    </xf>
    <xf numFmtId="3" fontId="2" fillId="0" borderId="264" xfId="0" applyNumberFormat="1" applyFont="1" applyBorder="1" applyAlignment="1">
      <alignment horizontal="left" vertical="center" wrapText="1"/>
    </xf>
    <xf numFmtId="3" fontId="2" fillId="0" borderId="265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25" xfId="0" applyNumberForma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left" vertical="center" wrapText="1"/>
    </xf>
    <xf numFmtId="3" fontId="31" fillId="0" borderId="25" xfId="0" applyNumberFormat="1" applyFont="1" applyBorder="1" applyAlignment="1">
      <alignment horizontal="left" vertical="center" wrapText="1"/>
    </xf>
    <xf numFmtId="175" fontId="24" fillId="0" borderId="12" xfId="46" applyNumberFormat="1" applyFont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31" fillId="0" borderId="25" xfId="0" applyNumberFormat="1" applyFont="1" applyBorder="1" applyAlignment="1">
      <alignment horizontal="center" vertical="center" wrapText="1"/>
    </xf>
    <xf numFmtId="3" fontId="31" fillId="0" borderId="266" xfId="0" applyNumberFormat="1" applyFont="1" applyBorder="1" applyAlignment="1">
      <alignment horizontal="left" vertical="center"/>
    </xf>
    <xf numFmtId="3" fontId="31" fillId="0" borderId="267" xfId="0" applyNumberFormat="1" applyFont="1" applyBorder="1" applyAlignment="1">
      <alignment horizontal="left" vertical="center"/>
    </xf>
    <xf numFmtId="3" fontId="31" fillId="0" borderId="257" xfId="0" applyNumberFormat="1" applyFont="1" applyBorder="1" applyAlignment="1">
      <alignment horizontal="left" vertical="center"/>
    </xf>
    <xf numFmtId="3" fontId="31" fillId="0" borderId="252" xfId="0" applyNumberFormat="1" applyFont="1" applyBorder="1" applyAlignment="1">
      <alignment horizontal="left" vertical="center"/>
    </xf>
    <xf numFmtId="3" fontId="31" fillId="0" borderId="257" xfId="0" applyNumberFormat="1" applyFont="1" applyBorder="1" applyAlignment="1">
      <alignment horizontal="left" vertical="center" wrapText="1"/>
    </xf>
    <xf numFmtId="3" fontId="31" fillId="0" borderId="252" xfId="0" applyNumberFormat="1" applyFont="1" applyBorder="1" applyAlignment="1">
      <alignment horizontal="left" vertical="center" wrapText="1"/>
    </xf>
    <xf numFmtId="3" fontId="31" fillId="0" borderId="264" xfId="0" applyNumberFormat="1" applyFont="1" applyBorder="1" applyAlignment="1">
      <alignment horizontal="left" vertical="center"/>
    </xf>
    <xf numFmtId="3" fontId="31" fillId="0" borderId="265" xfId="0" applyNumberFormat="1" applyFont="1" applyBorder="1" applyAlignment="1">
      <alignment horizontal="left" vertical="center"/>
    </xf>
    <xf numFmtId="175" fontId="24" fillId="0" borderId="11" xfId="46" applyNumberFormat="1" applyFont="1" applyBorder="1" applyAlignment="1">
      <alignment horizontal="left" vertical="center" wrapText="1"/>
    </xf>
    <xf numFmtId="175" fontId="24" fillId="0" borderId="25" xfId="46" applyNumberFormat="1" applyFont="1" applyBorder="1" applyAlignment="1">
      <alignment horizontal="left" vertical="center" wrapText="1"/>
    </xf>
    <xf numFmtId="3" fontId="0" fillId="0" borderId="228" xfId="0" applyNumberFormat="1" applyBorder="1" applyAlignment="1">
      <alignment horizontal="left" vertical="center"/>
    </xf>
    <xf numFmtId="3" fontId="0" fillId="0" borderId="230" xfId="0" applyNumberFormat="1" applyBorder="1" applyAlignment="1">
      <alignment horizontal="left" vertical="center"/>
    </xf>
    <xf numFmtId="3" fontId="0" fillId="0" borderId="260" xfId="0" applyNumberFormat="1" applyBorder="1" applyAlignment="1">
      <alignment horizontal="left" vertical="center"/>
    </xf>
    <xf numFmtId="3" fontId="0" fillId="0" borderId="261" xfId="0" applyNumberFormat="1" applyBorder="1" applyAlignment="1">
      <alignment horizontal="left" vertical="center"/>
    </xf>
    <xf numFmtId="3" fontId="0" fillId="0" borderId="262" xfId="0" applyNumberFormat="1" applyBorder="1" applyAlignment="1">
      <alignment horizontal="left" vertical="center"/>
    </xf>
    <xf numFmtId="3" fontId="0" fillId="0" borderId="263" xfId="0" applyNumberFormat="1" applyBorder="1" applyAlignment="1">
      <alignment horizontal="left" vertical="center"/>
    </xf>
    <xf numFmtId="3" fontId="0" fillId="0" borderId="264" xfId="0" applyNumberFormat="1" applyBorder="1" applyAlignment="1">
      <alignment horizontal="left" vertical="center"/>
    </xf>
    <xf numFmtId="3" fontId="0" fillId="0" borderId="265" xfId="0" applyNumberFormat="1" applyBorder="1" applyAlignment="1">
      <alignment horizontal="left" vertical="center"/>
    </xf>
    <xf numFmtId="175" fontId="24" fillId="0" borderId="11" xfId="46" applyNumberFormat="1" applyFont="1" applyBorder="1" applyAlignment="1">
      <alignment horizontal="left"/>
    </xf>
    <xf numFmtId="175" fontId="24" fillId="0" borderId="25" xfId="46" applyNumberFormat="1" applyFont="1" applyBorder="1" applyAlignment="1">
      <alignment horizontal="left"/>
    </xf>
    <xf numFmtId="175" fontId="24" fillId="0" borderId="12" xfId="46" applyNumberFormat="1" applyFont="1" applyBorder="1" applyAlignment="1">
      <alignment horizontal="left"/>
    </xf>
    <xf numFmtId="175" fontId="24" fillId="0" borderId="26" xfId="46" applyNumberFormat="1" applyFont="1" applyBorder="1" applyAlignment="1">
      <alignment horizontal="left"/>
    </xf>
    <xf numFmtId="175" fontId="24" fillId="0" borderId="27" xfId="46" applyNumberFormat="1" applyFont="1" applyBorder="1" applyAlignment="1">
      <alignment horizontal="left"/>
    </xf>
    <xf numFmtId="175" fontId="20" fillId="0" borderId="48" xfId="46" applyNumberFormat="1" applyFont="1" applyBorder="1" applyAlignment="1">
      <alignment horizontal="left"/>
    </xf>
    <xf numFmtId="175" fontId="20" fillId="0" borderId="107" xfId="46" applyNumberFormat="1" applyFont="1" applyBorder="1" applyAlignment="1">
      <alignment horizontal="left"/>
    </xf>
    <xf numFmtId="175" fontId="18" fillId="0" borderId="189" xfId="46" applyNumberFormat="1" applyFont="1" applyBorder="1" applyAlignment="1">
      <alignment horizontal="left"/>
    </xf>
    <xf numFmtId="175" fontId="18" fillId="0" borderId="233" xfId="46" applyNumberFormat="1" applyFont="1" applyBorder="1" applyAlignment="1">
      <alignment horizontal="left"/>
    </xf>
    <xf numFmtId="3" fontId="24" fillId="33" borderId="86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175" fontId="18" fillId="0" borderId="26" xfId="46" applyNumberFormat="1" applyFont="1" applyBorder="1" applyAlignment="1">
      <alignment horizontal="left"/>
    </xf>
    <xf numFmtId="175" fontId="18" fillId="0" borderId="27" xfId="46" applyNumberFormat="1" applyFont="1" applyBorder="1" applyAlignment="1">
      <alignment horizontal="left"/>
    </xf>
    <xf numFmtId="175" fontId="26" fillId="0" borderId="53" xfId="46" applyNumberFormat="1" applyFont="1" applyBorder="1" applyAlignment="1">
      <alignment horizontal="center"/>
    </xf>
    <xf numFmtId="175" fontId="18" fillId="0" borderId="53" xfId="46" applyNumberFormat="1" applyFont="1" applyBorder="1" applyAlignment="1">
      <alignment horizontal="left"/>
    </xf>
    <xf numFmtId="175" fontId="20" fillId="0" borderId="165" xfId="46" applyNumberFormat="1" applyFont="1" applyBorder="1" applyAlignment="1">
      <alignment horizontal="left"/>
    </xf>
    <xf numFmtId="175" fontId="20" fillId="0" borderId="268" xfId="46" applyNumberFormat="1" applyFont="1" applyBorder="1" applyAlignment="1">
      <alignment horizontal="left"/>
    </xf>
    <xf numFmtId="3" fontId="24" fillId="33" borderId="135" xfId="0" applyNumberFormat="1" applyFont="1" applyFill="1" applyBorder="1" applyAlignment="1">
      <alignment horizontal="center" vertical="center" wrapText="1"/>
    </xf>
    <xf numFmtId="3" fontId="24" fillId="33" borderId="136" xfId="0" applyNumberFormat="1" applyFont="1" applyFill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210" xfId="0" applyFont="1" applyBorder="1" applyAlignment="1">
      <alignment horizontal="center" vertical="center" wrapText="1"/>
    </xf>
    <xf numFmtId="0" fontId="2" fillId="0" borderId="26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24" xfId="0" applyFont="1" applyBorder="1" applyAlignment="1">
      <alignment horizontal="center" vertical="center"/>
    </xf>
    <xf numFmtId="0" fontId="2" fillId="0" borderId="27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36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5" fillId="0" borderId="159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49" borderId="159" xfId="0" applyFont="1" applyFill="1" applyBorder="1" applyAlignment="1">
      <alignment horizontal="center"/>
    </xf>
    <xf numFmtId="0" fontId="5" fillId="49" borderId="143" xfId="0" applyFont="1" applyFill="1" applyBorder="1" applyAlignment="1">
      <alignment horizontal="center"/>
    </xf>
    <xf numFmtId="0" fontId="2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35" xfId="0" applyFont="1" applyBorder="1" applyAlignment="1">
      <alignment horizontal="center"/>
    </xf>
    <xf numFmtId="0" fontId="5" fillId="49" borderId="85" xfId="0" applyFont="1" applyFill="1" applyBorder="1" applyAlignment="1">
      <alignment horizontal="center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92" xfId="0" applyFont="1" applyBorder="1" applyAlignment="1">
      <alignment horizontal="center"/>
    </xf>
    <xf numFmtId="0" fontId="2" fillId="0" borderId="271" xfId="0" applyFont="1" applyBorder="1" applyAlignment="1">
      <alignment horizontal="center"/>
    </xf>
    <xf numFmtId="0" fontId="2" fillId="0" borderId="224" xfId="0" applyFont="1" applyBorder="1" applyAlignment="1">
      <alignment horizontal="center" vertical="center" wrapText="1"/>
    </xf>
    <xf numFmtId="0" fontId="2" fillId="0" borderId="272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268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3" fontId="1" fillId="35" borderId="0" xfId="0" applyNumberFormat="1" applyFont="1" applyFill="1" applyAlignment="1">
      <alignment horizontal="center" vertical="center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5" fontId="0" fillId="0" borderId="0" xfId="46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40" xfId="57" applyFont="1" applyBorder="1" applyAlignment="1" applyProtection="1">
      <alignment horizontal="left" indent="1"/>
      <protection locked="0"/>
    </xf>
    <xf numFmtId="0" fontId="0" fillId="0" borderId="42" xfId="57" applyFont="1" applyBorder="1" applyAlignment="1" applyProtection="1">
      <alignment horizontal="right" indent="1"/>
      <protection locked="0"/>
    </xf>
    <xf numFmtId="0" fontId="0" fillId="0" borderId="169" xfId="57" applyFont="1" applyBorder="1" applyAlignment="1" applyProtection="1">
      <alignment horizontal="left" indent="1"/>
      <protection locked="0"/>
    </xf>
    <xf numFmtId="0" fontId="0" fillId="0" borderId="33" xfId="57" applyFont="1" applyBorder="1" applyAlignment="1" applyProtection="1">
      <alignment horizontal="right" indent="1"/>
      <protection locked="0"/>
    </xf>
    <xf numFmtId="0" fontId="2" fillId="0" borderId="19" xfId="57" applyFont="1" applyBorder="1" applyAlignment="1">
      <alignment horizontal="left" indent="1"/>
      <protection/>
    </xf>
    <xf numFmtId="0" fontId="2" fillId="0" borderId="170" xfId="57" applyFont="1" applyBorder="1" applyAlignment="1">
      <alignment horizontal="right" indent="1"/>
      <protection/>
    </xf>
    <xf numFmtId="0" fontId="0" fillId="0" borderId="0" xfId="0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4" fillId="0" borderId="173" xfId="57" applyFont="1" applyBorder="1" applyAlignment="1">
      <alignment vertical="top" wrapText="1"/>
      <protection/>
    </xf>
    <xf numFmtId="0" fontId="39" fillId="0" borderId="173" xfId="57" applyFont="1" applyBorder="1" applyAlignment="1">
      <alignment wrapText="1"/>
      <protection/>
    </xf>
    <xf numFmtId="49" fontId="2" fillId="0" borderId="0" xfId="57" applyNumberFormat="1" applyFont="1" applyAlignment="1">
      <alignment horizontal="left" vertical="center"/>
      <protection/>
    </xf>
    <xf numFmtId="0" fontId="2" fillId="0" borderId="171" xfId="57" applyFont="1" applyBorder="1" applyAlignment="1">
      <alignment horizontal="center"/>
      <protection/>
    </xf>
    <xf numFmtId="0" fontId="2" fillId="0" borderId="172" xfId="57" applyFont="1" applyBorder="1" applyAlignment="1">
      <alignment horizontal="center"/>
      <protection/>
    </xf>
    <xf numFmtId="0" fontId="24" fillId="0" borderId="53" xfId="57" applyFont="1" applyBorder="1" applyAlignment="1">
      <alignment horizontal="center" vertical="center" wrapText="1"/>
      <protection/>
    </xf>
    <xf numFmtId="0" fontId="39" fillId="0" borderId="53" xfId="57" applyFont="1" applyBorder="1" applyAlignment="1">
      <alignment horizontal="center" vertical="center" wrapText="1"/>
      <protection/>
    </xf>
    <xf numFmtId="0" fontId="24" fillId="0" borderId="53" xfId="57" applyFont="1" applyBorder="1" applyAlignment="1">
      <alignment vertical="top" wrapText="1"/>
      <protection/>
    </xf>
    <xf numFmtId="0" fontId="39" fillId="0" borderId="53" xfId="57" applyFont="1" applyBorder="1" applyAlignment="1">
      <alignment wrapText="1"/>
      <protection/>
    </xf>
    <xf numFmtId="0" fontId="0" fillId="0" borderId="53" xfId="0" applyBorder="1" applyAlignment="1">
      <alignment horizontal="left"/>
    </xf>
    <xf numFmtId="3" fontId="2" fillId="33" borderId="13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 wrapText="1"/>
    </xf>
    <xf numFmtId="3" fontId="2" fillId="33" borderId="124" xfId="0" applyNumberFormat="1" applyFont="1" applyFill="1" applyBorder="1" applyAlignment="1">
      <alignment horizontal="center" vertical="center" wrapText="1"/>
    </xf>
    <xf numFmtId="3" fontId="2" fillId="33" borderId="12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/>
    </xf>
    <xf numFmtId="3" fontId="2" fillId="33" borderId="125" xfId="0" applyNumberFormat="1" applyFont="1" applyFill="1" applyBorder="1" applyAlignment="1">
      <alignment horizontal="center" vertical="center"/>
    </xf>
    <xf numFmtId="3" fontId="0" fillId="0" borderId="64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3" fontId="2" fillId="33" borderId="273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left"/>
    </xf>
    <xf numFmtId="0" fontId="0" fillId="0" borderId="53" xfId="0" applyBorder="1" applyAlignment="1">
      <alignment horizontal="left" wrapText="1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3" fontId="24" fillId="0" borderId="64" xfId="0" applyNumberFormat="1" applyFont="1" applyBorder="1" applyAlignment="1">
      <alignment horizontal="left"/>
    </xf>
    <xf numFmtId="3" fontId="24" fillId="0" borderId="65" xfId="0" applyNumberFormat="1" applyFont="1" applyBorder="1" applyAlignment="1">
      <alignment horizontal="left"/>
    </xf>
    <xf numFmtId="3" fontId="2" fillId="37" borderId="195" xfId="0" applyNumberFormat="1" applyFont="1" applyFill="1" applyBorder="1" applyAlignment="1">
      <alignment horizontal="center"/>
    </xf>
    <xf numFmtId="3" fontId="2" fillId="37" borderId="143" xfId="0" applyNumberFormat="1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3" fontId="15" fillId="0" borderId="0" xfId="0" applyNumberFormat="1" applyFont="1" applyAlignment="1">
      <alignment horizontal="right" vertical="center" wrapText="1"/>
    </xf>
    <xf numFmtId="176" fontId="6" fillId="0" borderId="0" xfId="61" applyFont="1" applyAlignment="1">
      <alignment horizontal="center" vertical="center"/>
    </xf>
    <xf numFmtId="3" fontId="0" fillId="4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175" fontId="17" fillId="0" borderId="0" xfId="46" applyNumberFormat="1" applyFont="1" applyAlignment="1">
      <alignment horizontal="right"/>
    </xf>
    <xf numFmtId="0" fontId="6" fillId="0" borderId="0" xfId="0" applyFont="1" applyAlignment="1">
      <alignment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EU-s tábla kv-hez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GER~1.ZSU\AppData\Local\Temp\1519640076_8-2018%20melle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ht="12.75" customHeight="1">
      <c r="C1" t="s">
        <v>0</v>
      </c>
    </row>
    <row r="2" spans="1:4" ht="12.75" customHeight="1">
      <c r="A2" s="1739" t="s">
        <v>1</v>
      </c>
      <c r="B2" s="1739"/>
      <c r="C2" s="1739"/>
      <c r="D2" s="1739"/>
    </row>
    <row r="3" spans="1:4" ht="12.75" customHeight="1">
      <c r="A3" s="1"/>
      <c r="B3" s="1"/>
      <c r="C3" s="1"/>
      <c r="D3" s="1"/>
    </row>
    <row r="4" spans="1:4" ht="12.75" customHeight="1">
      <c r="A4" s="2" t="s">
        <v>2</v>
      </c>
      <c r="B4" s="3"/>
      <c r="C4" s="3"/>
      <c r="D4" s="3"/>
    </row>
    <row r="5" spans="1:4" ht="12.75" customHeight="1">
      <c r="A5" s="1740" t="s">
        <v>3</v>
      </c>
      <c r="B5" s="1740"/>
      <c r="C5" s="1740"/>
      <c r="D5" s="1740"/>
    </row>
    <row r="6" spans="1:4" ht="12.75" customHeight="1">
      <c r="A6" s="4"/>
      <c r="B6" s="4"/>
      <c r="C6" s="4"/>
      <c r="D6" s="4"/>
    </row>
    <row r="7" spans="1:4" ht="12.75" customHeight="1">
      <c r="A7" s="4"/>
      <c r="B7" s="4"/>
      <c r="C7" s="4"/>
      <c r="D7" s="4"/>
    </row>
    <row r="9" spans="2:4" ht="12.75" customHeight="1">
      <c r="B9" s="5" t="s">
        <v>4</v>
      </c>
      <c r="C9" s="5" t="s">
        <v>4</v>
      </c>
      <c r="D9" s="5" t="s">
        <v>4</v>
      </c>
    </row>
    <row r="10" spans="1:4" ht="39" customHeight="1">
      <c r="A10" s="6" t="s">
        <v>5</v>
      </c>
      <c r="B10" s="7" t="s">
        <v>6</v>
      </c>
      <c r="C10" s="7" t="s">
        <v>7</v>
      </c>
      <c r="D10" s="7" t="s">
        <v>8</v>
      </c>
    </row>
    <row r="11" spans="1:4" ht="12.75" customHeight="1">
      <c r="A11" s="8" t="s">
        <v>9</v>
      </c>
      <c r="B11" s="9">
        <v>363899</v>
      </c>
      <c r="C11" s="9">
        <v>363899</v>
      </c>
      <c r="D11" s="9">
        <v>20838</v>
      </c>
    </row>
    <row r="12" spans="1:4" s="10" customFormat="1" ht="12.75" customHeight="1">
      <c r="A12" s="8" t="s">
        <v>10</v>
      </c>
      <c r="B12" s="9">
        <v>20367</v>
      </c>
      <c r="C12" s="9">
        <v>20367</v>
      </c>
      <c r="D12" s="9"/>
    </row>
    <row r="13" spans="1:4" ht="12.75" customHeight="1">
      <c r="A13" s="8" t="s">
        <v>11</v>
      </c>
      <c r="B13" s="9">
        <v>367159</v>
      </c>
      <c r="C13" s="9">
        <v>367159</v>
      </c>
      <c r="D13" s="9">
        <v>7348</v>
      </c>
    </row>
    <row r="14" spans="1:4" ht="12.75" customHeight="1">
      <c r="A14" s="11" t="s">
        <v>12</v>
      </c>
      <c r="B14" s="12">
        <f>B11+B12-B13</f>
        <v>17107</v>
      </c>
      <c r="C14" s="12">
        <f>C11+C12-C13</f>
        <v>17107</v>
      </c>
      <c r="D14" s="12">
        <f>D11+D12-D13</f>
        <v>13490</v>
      </c>
    </row>
    <row r="15" spans="2:4" ht="12.75" customHeight="1">
      <c r="B15" s="5"/>
      <c r="C15" s="5"/>
      <c r="D15" s="5"/>
    </row>
    <row r="16" spans="2:4" ht="12.75" customHeight="1">
      <c r="B16" s="5"/>
      <c r="C16" s="5"/>
      <c r="D16" s="5"/>
    </row>
    <row r="17" spans="2:4" ht="12.75" customHeight="1">
      <c r="B17" s="5"/>
      <c r="C17" s="5"/>
      <c r="D17" s="5"/>
    </row>
    <row r="18" spans="1:4" ht="12.75" customHeight="1">
      <c r="A18" s="8" t="s">
        <v>13</v>
      </c>
      <c r="B18" s="9">
        <v>6960</v>
      </c>
      <c r="C18" s="9">
        <v>6960</v>
      </c>
      <c r="D18" s="9">
        <v>7228</v>
      </c>
    </row>
    <row r="19" spans="1:4" ht="12.75" customHeight="1">
      <c r="A19" s="8" t="s">
        <v>14</v>
      </c>
      <c r="B19" s="9">
        <v>39633</v>
      </c>
      <c r="C19" s="9">
        <v>46851</v>
      </c>
      <c r="D19" s="13">
        <v>40774</v>
      </c>
    </row>
    <row r="20" spans="1:4" ht="12.75" customHeight="1">
      <c r="A20" s="8" t="s">
        <v>15</v>
      </c>
      <c r="B20" s="9">
        <v>11200</v>
      </c>
      <c r="C20" s="9">
        <v>11200</v>
      </c>
      <c r="D20" s="9">
        <v>7273</v>
      </c>
    </row>
    <row r="21" spans="1:4" ht="12.75" customHeight="1">
      <c r="A21" s="14" t="s">
        <v>16</v>
      </c>
      <c r="B21" s="12">
        <f>B18+B19-B20</f>
        <v>35393</v>
      </c>
      <c r="C21" s="12">
        <f>C18+C19-C20</f>
        <v>42611</v>
      </c>
      <c r="D21" s="12">
        <f>D18+D19-D20</f>
        <v>40729</v>
      </c>
    </row>
    <row r="22" spans="2:4" ht="12.75" customHeight="1">
      <c r="B22" s="5"/>
      <c r="C22" s="5"/>
      <c r="D22" s="5"/>
    </row>
    <row r="23" spans="2:4" ht="12.75" customHeight="1">
      <c r="B23" s="5"/>
      <c r="C23" s="5"/>
      <c r="D23" s="5"/>
    </row>
    <row r="24" spans="1:4" ht="12.75" customHeight="1" hidden="1">
      <c r="A24" s="15" t="s">
        <v>17</v>
      </c>
      <c r="B24" s="5"/>
      <c r="C24" s="5"/>
      <c r="D24" s="5"/>
    </row>
    <row r="25" spans="1:4" ht="12.75" customHeight="1" hidden="1">
      <c r="A25" s="10"/>
      <c r="B25" s="5"/>
      <c r="C25" s="5"/>
      <c r="D25" s="5"/>
    </row>
    <row r="26" spans="1:4" ht="12.75" customHeight="1" hidden="1">
      <c r="A26" s="16" t="s">
        <v>18</v>
      </c>
      <c r="B26" s="17">
        <v>46621</v>
      </c>
      <c r="C26" s="17">
        <v>46621</v>
      </c>
      <c r="D26" s="17">
        <v>46621</v>
      </c>
    </row>
    <row r="27" spans="1:4" ht="12.75" customHeight="1" hidden="1">
      <c r="A27" s="16" t="s">
        <v>19</v>
      </c>
      <c r="B27" s="17">
        <f>(B14+B21)*-1</f>
        <v>-52500</v>
      </c>
      <c r="C27" s="17">
        <f>(C14+C21)*-1</f>
        <v>-59718</v>
      </c>
      <c r="D27" s="17">
        <f>(D14+D21)*-1</f>
        <v>-54219</v>
      </c>
    </row>
    <row r="28" spans="1:4" ht="12.75" customHeight="1" hidden="1">
      <c r="A28" s="11" t="s">
        <v>20</v>
      </c>
      <c r="B28" s="12">
        <f>SUM(B26:B27)</f>
        <v>-5879</v>
      </c>
      <c r="C28" s="12">
        <f>SUM(C26:C27)</f>
        <v>-13097</v>
      </c>
      <c r="D28" s="12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2"/>
  <sheetViews>
    <sheetView showGridLines="0" view="pageBreakPreview" zoomScale="110" zoomScaleSheetLayoutView="110" zoomScalePageLayoutView="0" workbookViewId="0" topLeftCell="A1">
      <pane xSplit="3" ySplit="6" topLeftCell="D109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C107" sqref="C107"/>
    </sheetView>
  </sheetViews>
  <sheetFormatPr defaultColWidth="11.7109375" defaultRowHeight="12.75" customHeight="1"/>
  <cols>
    <col min="1" max="2" width="3.8515625" style="1392" customWidth="1"/>
    <col min="3" max="3" width="50.00390625" style="1392" customWidth="1"/>
    <col min="4" max="4" width="19.140625" style="1392" customWidth="1"/>
    <col min="5" max="5" width="16.140625" style="651" customWidth="1"/>
    <col min="6" max="8" width="14.7109375" style="651" customWidth="1"/>
    <col min="9" max="9" width="14.57421875" style="1392" customWidth="1"/>
    <col min="10" max="10" width="15.00390625" style="1392" customWidth="1"/>
    <col min="11" max="16384" width="11.7109375" style="1392" customWidth="1"/>
  </cols>
  <sheetData>
    <row r="1" spans="1:9" s="649" customFormat="1" ht="18" customHeight="1">
      <c r="A1" s="1812" t="s">
        <v>908</v>
      </c>
      <c r="B1" s="1812"/>
      <c r="C1" s="1812"/>
      <c r="D1" s="1812"/>
      <c r="E1" s="1812"/>
      <c r="F1" s="1812"/>
      <c r="G1" s="1812"/>
      <c r="H1" s="905"/>
      <c r="I1" s="905"/>
    </row>
    <row r="2" spans="1:9" ht="12.75" customHeight="1">
      <c r="A2" s="1811" t="s">
        <v>1259</v>
      </c>
      <c r="B2" s="1811"/>
      <c r="C2" s="1811"/>
      <c r="D2" s="1811"/>
      <c r="E2" s="1811"/>
      <c r="F2" s="1811"/>
      <c r="G2" s="1811"/>
      <c r="H2" s="906"/>
      <c r="I2" s="906"/>
    </row>
    <row r="3" spans="1:9" ht="17.25" customHeight="1">
      <c r="A3" s="906"/>
      <c r="B3" s="906"/>
      <c r="C3" s="1811" t="s">
        <v>1261</v>
      </c>
      <c r="D3" s="1811"/>
      <c r="E3" s="1811"/>
      <c r="F3" s="1811"/>
      <c r="G3" s="906"/>
      <c r="H3" s="906"/>
      <c r="I3" s="906"/>
    </row>
    <row r="4" spans="1:4" ht="6.75" customHeight="1">
      <c r="A4" s="1393"/>
      <c r="B4" s="1393"/>
      <c r="C4" s="1393"/>
      <c r="D4" s="1393"/>
    </row>
    <row r="5" spans="1:9" ht="41.25" customHeight="1">
      <c r="A5" s="1810" t="s">
        <v>1102</v>
      </c>
      <c r="B5" s="1810"/>
      <c r="C5" s="1810"/>
      <c r="D5" s="1810"/>
      <c r="E5" s="1810"/>
      <c r="F5" s="1810"/>
      <c r="G5" s="1810"/>
      <c r="H5" s="907"/>
      <c r="I5" s="907"/>
    </row>
    <row r="6" spans="1:9" ht="12.75" customHeight="1">
      <c r="A6" s="907"/>
      <c r="B6" s="907"/>
      <c r="C6" s="907"/>
      <c r="D6" s="907"/>
      <c r="E6" s="907"/>
      <c r="F6" s="907"/>
      <c r="G6" s="907"/>
      <c r="H6" s="907"/>
      <c r="I6" s="907"/>
    </row>
    <row r="7" spans="1:8" ht="12.75" customHeight="1">
      <c r="A7" s="652"/>
      <c r="B7" s="652"/>
      <c r="C7" s="652"/>
      <c r="E7" s="1392"/>
      <c r="F7" s="1392"/>
      <c r="G7" s="1392"/>
      <c r="H7" s="1392"/>
    </row>
    <row r="8" spans="1:8" ht="12.75" customHeight="1">
      <c r="A8" s="1394"/>
      <c r="E8" s="1392"/>
      <c r="F8" s="1392"/>
      <c r="G8" s="1392"/>
      <c r="H8" s="1392"/>
    </row>
    <row r="9" spans="1:9" ht="12.75" customHeight="1" thickBot="1">
      <c r="A9" s="1837" t="s">
        <v>214</v>
      </c>
      <c r="B9" s="1837"/>
      <c r="C9" s="1837"/>
      <c r="D9" s="1837"/>
      <c r="E9" s="1837"/>
      <c r="F9" s="1449"/>
      <c r="G9" s="1449"/>
      <c r="H9" s="1449"/>
      <c r="I9" s="1449"/>
    </row>
    <row r="10" spans="1:9" ht="24.75" customHeight="1">
      <c r="A10" s="1817" t="s">
        <v>156</v>
      </c>
      <c r="B10" s="1818"/>
      <c r="C10" s="1818" t="s">
        <v>425</v>
      </c>
      <c r="D10" s="1832" t="s">
        <v>1077</v>
      </c>
      <c r="E10" s="1832" t="s">
        <v>1166</v>
      </c>
      <c r="F10" s="1832" t="s">
        <v>1187</v>
      </c>
      <c r="G10" s="1831"/>
      <c r="H10" s="1831"/>
      <c r="I10" s="1831"/>
    </row>
    <row r="11" spans="1:9" ht="24.75" customHeight="1">
      <c r="A11" s="1819"/>
      <c r="B11" s="1820"/>
      <c r="C11" s="1820"/>
      <c r="D11" s="1833"/>
      <c r="E11" s="1833"/>
      <c r="F11" s="1833"/>
      <c r="G11" s="1831"/>
      <c r="H11" s="1831"/>
      <c r="I11" s="1831"/>
    </row>
    <row r="12" spans="1:9" ht="14.25" customHeight="1" thickBot="1">
      <c r="A12" s="1821"/>
      <c r="B12" s="1822"/>
      <c r="C12" s="1430" t="s">
        <v>426</v>
      </c>
      <c r="D12" s="1407" t="s">
        <v>159</v>
      </c>
      <c r="E12" s="1407" t="s">
        <v>160</v>
      </c>
      <c r="F12" s="1407" t="s">
        <v>161</v>
      </c>
      <c r="G12" s="1432"/>
      <c r="H12" s="1432"/>
      <c r="I12" s="1432"/>
    </row>
    <row r="13" spans="1:9" s="1406" customFormat="1" ht="27.75" customHeight="1" thickBot="1">
      <c r="A13" s="1410" t="s">
        <v>38</v>
      </c>
      <c r="B13" s="1411" t="s">
        <v>164</v>
      </c>
      <c r="C13" s="1412" t="s">
        <v>427</v>
      </c>
      <c r="D13" s="1413">
        <f>SUM(D14:D15)</f>
        <v>400000</v>
      </c>
      <c r="E13" s="1413">
        <f>SUM(E14:E15)</f>
        <v>400000</v>
      </c>
      <c r="F13" s="1413">
        <f>SUM(F14:F17)</f>
        <v>23442555</v>
      </c>
      <c r="G13" s="1433"/>
      <c r="H13" s="1433"/>
      <c r="I13" s="1433"/>
    </row>
    <row r="14" spans="1:9" ht="27" customHeight="1">
      <c r="A14" s="1439" t="s">
        <v>40</v>
      </c>
      <c r="B14" s="1408"/>
      <c r="C14" s="1409" t="s">
        <v>428</v>
      </c>
      <c r="D14" s="1440">
        <v>300000</v>
      </c>
      <c r="E14" s="1440">
        <v>300000</v>
      </c>
      <c r="F14" s="1440">
        <v>300000</v>
      </c>
      <c r="G14" s="1434"/>
      <c r="H14" s="1434"/>
      <c r="I14" s="1434"/>
    </row>
    <row r="15" spans="1:9" ht="27" customHeight="1">
      <c r="A15" s="1441" t="s">
        <v>47</v>
      </c>
      <c r="B15" s="1395"/>
      <c r="C15" s="1455" t="s">
        <v>1116</v>
      </c>
      <c r="D15" s="1442">
        <v>100000</v>
      </c>
      <c r="E15" s="1442">
        <v>100000</v>
      </c>
      <c r="F15" s="1442">
        <v>100000</v>
      </c>
      <c r="G15" s="1434"/>
      <c r="H15" s="1434"/>
      <c r="I15" s="1434"/>
    </row>
    <row r="16" spans="1:9" ht="27" customHeight="1">
      <c r="A16" s="1716" t="s">
        <v>49</v>
      </c>
      <c r="B16" s="1395"/>
      <c r="C16" s="1455" t="s">
        <v>1213</v>
      </c>
      <c r="D16" s="1715"/>
      <c r="E16" s="1715"/>
      <c r="F16" s="1715">
        <v>6072555</v>
      </c>
      <c r="G16" s="1434"/>
      <c r="H16" s="1434"/>
      <c r="I16" s="1434"/>
    </row>
    <row r="17" spans="1:9" ht="27" customHeight="1" thickBot="1">
      <c r="A17" s="1717" t="s">
        <v>51</v>
      </c>
      <c r="B17" s="1712"/>
      <c r="C17" s="1713" t="s">
        <v>1215</v>
      </c>
      <c r="D17" s="1714"/>
      <c r="E17" s="1714"/>
      <c r="F17" s="1714">
        <v>16970000</v>
      </c>
      <c r="G17" s="1434"/>
      <c r="H17" s="1434"/>
      <c r="I17" s="1434"/>
    </row>
    <row r="18" spans="1:9" ht="21.75" customHeight="1" thickBot="1">
      <c r="A18" s="1410" t="s">
        <v>53</v>
      </c>
      <c r="B18" s="1414" t="s">
        <v>166</v>
      </c>
      <c r="C18" s="1412" t="s">
        <v>425</v>
      </c>
      <c r="D18" s="1413">
        <f>SUM(D24+D29+D37+D44+D65)</f>
        <v>4300000</v>
      </c>
      <c r="E18" s="1413">
        <f>SUM(E24+E29+E37+E44+E65)</f>
        <v>96063808</v>
      </c>
      <c r="F18" s="1413">
        <f>SUM(F24+F29+F37+F44+F65)</f>
        <v>251442095</v>
      </c>
      <c r="G18" s="1433"/>
      <c r="H18" s="1433"/>
      <c r="I18" s="1433"/>
    </row>
    <row r="19" spans="1:9" s="1380" customFormat="1" ht="30.75" customHeight="1">
      <c r="A19" s="1443" t="s">
        <v>55</v>
      </c>
      <c r="B19" s="1415"/>
      <c r="C19" s="1416" t="s">
        <v>1087</v>
      </c>
      <c r="D19" s="1444">
        <v>70000</v>
      </c>
      <c r="E19" s="1444">
        <v>119000</v>
      </c>
      <c r="F19" s="1444">
        <v>119000</v>
      </c>
      <c r="G19" s="1435"/>
      <c r="H19" s="1435"/>
      <c r="I19" s="1435"/>
    </row>
    <row r="20" spans="1:9" s="1380" customFormat="1" ht="30.75" customHeight="1">
      <c r="A20" s="1443" t="s">
        <v>57</v>
      </c>
      <c r="B20" s="1415"/>
      <c r="C20" s="1416" t="s">
        <v>1088</v>
      </c>
      <c r="D20" s="1444">
        <v>378000</v>
      </c>
      <c r="E20" s="1444">
        <v>230000</v>
      </c>
      <c r="F20" s="1444">
        <v>230000</v>
      </c>
      <c r="G20" s="1435"/>
      <c r="H20" s="1435"/>
      <c r="I20" s="1435"/>
    </row>
    <row r="21" spans="1:9" s="1380" customFormat="1" ht="30.75" customHeight="1">
      <c r="A21" s="1443" t="s">
        <v>86</v>
      </c>
      <c r="B21" s="1415"/>
      <c r="C21" s="1416" t="s">
        <v>1089</v>
      </c>
      <c r="D21" s="1444">
        <v>76000</v>
      </c>
      <c r="E21" s="1444">
        <v>128990</v>
      </c>
      <c r="F21" s="1444">
        <v>128990</v>
      </c>
      <c r="G21" s="1435"/>
      <c r="H21" s="1435"/>
      <c r="I21" s="1435"/>
    </row>
    <row r="22" spans="1:9" s="1380" customFormat="1" ht="30.75" customHeight="1">
      <c r="A22" s="1443" t="s">
        <v>59</v>
      </c>
      <c r="B22" s="1415"/>
      <c r="C22" s="1416" t="s">
        <v>1170</v>
      </c>
      <c r="D22" s="1444"/>
      <c r="E22" s="1444">
        <v>62989</v>
      </c>
      <c r="F22" s="1444">
        <v>62989</v>
      </c>
      <c r="G22" s="1435"/>
      <c r="H22" s="1435"/>
      <c r="I22" s="1435"/>
    </row>
    <row r="23" spans="1:9" s="1380" customFormat="1" ht="30.75" customHeight="1">
      <c r="A23" s="1443" t="s">
        <v>61</v>
      </c>
      <c r="B23" s="1415"/>
      <c r="C23" s="1416" t="s">
        <v>1100</v>
      </c>
      <c r="D23" s="1444">
        <v>76000</v>
      </c>
      <c r="E23" s="1444">
        <v>59021</v>
      </c>
      <c r="F23" s="1444">
        <v>59021</v>
      </c>
      <c r="G23" s="1435"/>
      <c r="H23" s="1435"/>
      <c r="I23" s="1435"/>
    </row>
    <row r="24" spans="1:9" s="301" customFormat="1" ht="30.75" customHeight="1">
      <c r="A24" s="1445" t="s">
        <v>63</v>
      </c>
      <c r="B24" s="370"/>
      <c r="C24" s="338" t="s">
        <v>1090</v>
      </c>
      <c r="D24" s="1446">
        <f>SUM(D19:D23)</f>
        <v>600000</v>
      </c>
      <c r="E24" s="1446">
        <f>SUM(E19:E23)</f>
        <v>600000</v>
      </c>
      <c r="F24" s="1446">
        <f>SUM(F19:F23)</f>
        <v>600000</v>
      </c>
      <c r="G24" s="1436"/>
      <c r="H24" s="1436"/>
      <c r="I24" s="1436"/>
    </row>
    <row r="25" spans="1:9" s="301" customFormat="1" ht="30.75" customHeight="1">
      <c r="A25" s="1445" t="s">
        <v>65</v>
      </c>
      <c r="B25" s="370"/>
      <c r="C25" s="1455" t="s">
        <v>1171</v>
      </c>
      <c r="D25" s="1626"/>
      <c r="E25" s="1626">
        <v>159766</v>
      </c>
      <c r="F25" s="1626">
        <v>159766</v>
      </c>
      <c r="G25" s="1436"/>
      <c r="H25" s="1436"/>
      <c r="I25" s="1436"/>
    </row>
    <row r="26" spans="1:9" s="301" customFormat="1" ht="30.75" customHeight="1">
      <c r="A26" s="1445" t="s">
        <v>92</v>
      </c>
      <c r="B26" s="370"/>
      <c r="C26" s="1455" t="s">
        <v>1172</v>
      </c>
      <c r="D26" s="1626"/>
      <c r="E26" s="1626">
        <v>125146</v>
      </c>
      <c r="F26" s="1626">
        <v>147339</v>
      </c>
      <c r="G26" s="1436"/>
      <c r="H26" s="1436"/>
      <c r="I26" s="1436"/>
    </row>
    <row r="27" spans="1:9" s="301" customFormat="1" ht="30.75" customHeight="1">
      <c r="A27" s="1445" t="s">
        <v>66</v>
      </c>
      <c r="B27" s="370"/>
      <c r="C27" s="1455" t="s">
        <v>1173</v>
      </c>
      <c r="D27" s="1626"/>
      <c r="E27" s="1626">
        <v>157480</v>
      </c>
      <c r="F27" s="1626">
        <v>157480</v>
      </c>
      <c r="G27" s="1436"/>
      <c r="H27" s="1436"/>
      <c r="I27" s="1436"/>
    </row>
    <row r="28" spans="1:9" s="1380" customFormat="1" ht="30.75" customHeight="1">
      <c r="A28" s="1443" t="s">
        <v>67</v>
      </c>
      <c r="B28" s="1415"/>
      <c r="C28" s="1416" t="s">
        <v>1105</v>
      </c>
      <c r="D28" s="1444">
        <v>1000000</v>
      </c>
      <c r="E28" s="1444">
        <v>557608</v>
      </c>
      <c r="F28" s="1444">
        <v>535415</v>
      </c>
      <c r="G28" s="1435"/>
      <c r="H28" s="1435"/>
      <c r="I28" s="1435"/>
    </row>
    <row r="29" spans="1:9" s="1675" customFormat="1" ht="26.25" customHeight="1">
      <c r="A29" s="1670" t="s">
        <v>68</v>
      </c>
      <c r="B29" s="1671"/>
      <c r="C29" s="1672" t="s">
        <v>1091</v>
      </c>
      <c r="D29" s="1673">
        <f>SUM(D28:D28)</f>
        <v>1000000</v>
      </c>
      <c r="E29" s="1673">
        <f>SUM(E25:E28)</f>
        <v>1000000</v>
      </c>
      <c r="F29" s="1673">
        <f>SUM(F25:F28)</f>
        <v>1000000</v>
      </c>
      <c r="G29" s="1674"/>
      <c r="H29" s="1674"/>
      <c r="I29" s="1674"/>
    </row>
    <row r="30" spans="1:9" s="1380" customFormat="1" ht="29.25" customHeight="1">
      <c r="A30" s="1443" t="s">
        <v>70</v>
      </c>
      <c r="B30" s="1415"/>
      <c r="C30" s="1416" t="s">
        <v>1110</v>
      </c>
      <c r="D30" s="1444">
        <v>250000</v>
      </c>
      <c r="E30" s="1444">
        <v>250000</v>
      </c>
      <c r="F30" s="1444">
        <v>201901</v>
      </c>
      <c r="G30" s="1435"/>
      <c r="H30" s="1435"/>
      <c r="I30" s="1435"/>
    </row>
    <row r="31" spans="1:9" s="1380" customFormat="1" ht="29.25" customHeight="1">
      <c r="A31" s="1443" t="s">
        <v>97</v>
      </c>
      <c r="B31" s="1415"/>
      <c r="C31" s="1416" t="s">
        <v>1111</v>
      </c>
      <c r="D31" s="1444">
        <v>50000</v>
      </c>
      <c r="E31" s="1444">
        <v>50000</v>
      </c>
      <c r="F31" s="1444">
        <v>50000</v>
      </c>
      <c r="G31" s="1435"/>
      <c r="H31" s="1435"/>
      <c r="I31" s="1435"/>
    </row>
    <row r="32" spans="1:9" s="1380" customFormat="1" ht="29.25" customHeight="1">
      <c r="A32" s="1443" t="s">
        <v>99</v>
      </c>
      <c r="B32" s="1415"/>
      <c r="C32" s="1416" t="s">
        <v>1112</v>
      </c>
      <c r="D32" s="1444">
        <v>150000</v>
      </c>
      <c r="E32" s="1444">
        <v>150000</v>
      </c>
      <c r="F32" s="1444">
        <v>150000</v>
      </c>
      <c r="G32" s="1435"/>
      <c r="H32" s="1435"/>
      <c r="I32" s="1435"/>
    </row>
    <row r="33" spans="1:9" s="1380" customFormat="1" ht="29.25" customHeight="1">
      <c r="A33" s="1443" t="s">
        <v>101</v>
      </c>
      <c r="B33" s="1415"/>
      <c r="C33" s="1416" t="s">
        <v>1174</v>
      </c>
      <c r="D33" s="1444"/>
      <c r="E33" s="1444">
        <v>17989</v>
      </c>
      <c r="F33" s="1444">
        <v>17989</v>
      </c>
      <c r="G33" s="1435"/>
      <c r="H33" s="1435"/>
      <c r="I33" s="1435"/>
    </row>
    <row r="34" spans="1:9" s="1380" customFormat="1" ht="29.25" customHeight="1">
      <c r="A34" s="1443" t="s">
        <v>103</v>
      </c>
      <c r="B34" s="1415"/>
      <c r="C34" s="1416" t="s">
        <v>1175</v>
      </c>
      <c r="D34" s="1444"/>
      <c r="E34" s="1444">
        <v>29120</v>
      </c>
      <c r="F34" s="1444">
        <v>29120</v>
      </c>
      <c r="G34" s="1435"/>
      <c r="H34" s="1435"/>
      <c r="I34" s="1435"/>
    </row>
    <row r="35" spans="1:9" s="1380" customFormat="1" ht="29.25" customHeight="1">
      <c r="A35" s="1443" t="s">
        <v>105</v>
      </c>
      <c r="B35" s="1415"/>
      <c r="C35" s="1416" t="s">
        <v>1201</v>
      </c>
      <c r="D35" s="1444"/>
      <c r="E35" s="1444"/>
      <c r="F35" s="1444">
        <v>15990</v>
      </c>
      <c r="G35" s="1435"/>
      <c r="H35" s="1435"/>
      <c r="I35" s="1435"/>
    </row>
    <row r="36" spans="1:9" s="1380" customFormat="1" ht="29.25" customHeight="1">
      <c r="A36" s="1443" t="s">
        <v>107</v>
      </c>
      <c r="B36" s="1415"/>
      <c r="C36" s="1416" t="s">
        <v>1113</v>
      </c>
      <c r="D36" s="1444">
        <v>50000</v>
      </c>
      <c r="E36" s="1444">
        <v>2891</v>
      </c>
      <c r="F36" s="1444">
        <v>35000</v>
      </c>
      <c r="G36" s="1435"/>
      <c r="H36" s="1435"/>
      <c r="I36" s="1435"/>
    </row>
    <row r="37" spans="1:9" s="1677" customFormat="1" ht="29.25" customHeight="1">
      <c r="A37" s="1670" t="s">
        <v>109</v>
      </c>
      <c r="B37" s="1676"/>
      <c r="C37" s="1672" t="s">
        <v>1092</v>
      </c>
      <c r="D37" s="1673">
        <f>SUM(D30:D36)</f>
        <v>500000</v>
      </c>
      <c r="E37" s="1673">
        <f>SUM(E30:E36)</f>
        <v>500000</v>
      </c>
      <c r="F37" s="1673">
        <f>SUM(F30:F36)</f>
        <v>500000</v>
      </c>
      <c r="G37" s="1674"/>
      <c r="H37" s="1674"/>
      <c r="I37" s="1674"/>
    </row>
    <row r="38" spans="1:9" s="1380" customFormat="1" ht="29.25" customHeight="1">
      <c r="A38" s="1443" t="s">
        <v>111</v>
      </c>
      <c r="B38" s="1415"/>
      <c r="C38" s="1417" t="s">
        <v>1094</v>
      </c>
      <c r="D38" s="1444">
        <v>100000</v>
      </c>
      <c r="E38" s="1444">
        <v>100000</v>
      </c>
      <c r="F38" s="1444">
        <v>100000</v>
      </c>
      <c r="G38" s="1437"/>
      <c r="H38" s="1437"/>
      <c r="I38" s="1437"/>
    </row>
    <row r="39" spans="1:9" s="1380" customFormat="1" ht="29.25" customHeight="1">
      <c r="A39" s="1443" t="s">
        <v>113</v>
      </c>
      <c r="B39" s="1415"/>
      <c r="C39" s="1417" t="s">
        <v>1095</v>
      </c>
      <c r="D39" s="1444">
        <v>100000</v>
      </c>
      <c r="E39" s="1444">
        <v>100000</v>
      </c>
      <c r="F39" s="1444">
        <v>100000</v>
      </c>
      <c r="G39" s="1435"/>
      <c r="H39" s="1435"/>
      <c r="I39" s="1435"/>
    </row>
    <row r="40" spans="1:9" s="1380" customFormat="1" ht="29.25" customHeight="1">
      <c r="A40" s="1443" t="s">
        <v>115</v>
      </c>
      <c r="B40" s="1415"/>
      <c r="C40" s="1416" t="s">
        <v>1096</v>
      </c>
      <c r="D40" s="1444">
        <v>80000</v>
      </c>
      <c r="E40" s="1444">
        <v>80000</v>
      </c>
      <c r="F40" s="1444">
        <v>80000</v>
      </c>
      <c r="G40" s="1435"/>
      <c r="H40" s="1435"/>
      <c r="I40" s="1435"/>
    </row>
    <row r="41" spans="1:9" s="1380" customFormat="1" ht="29.25" customHeight="1">
      <c r="A41" s="1443" t="s">
        <v>117</v>
      </c>
      <c r="B41" s="1415"/>
      <c r="C41" s="1417" t="s">
        <v>1097</v>
      </c>
      <c r="D41" s="1444">
        <v>20000</v>
      </c>
      <c r="E41" s="1444">
        <v>20000</v>
      </c>
      <c r="F41" s="1444">
        <v>20000</v>
      </c>
      <c r="G41" s="1435"/>
      <c r="H41" s="1435"/>
      <c r="I41" s="1435"/>
    </row>
    <row r="42" spans="1:9" s="1380" customFormat="1" ht="29.25" customHeight="1">
      <c r="A42" s="1443" t="s">
        <v>118</v>
      </c>
      <c r="B42" s="1415"/>
      <c r="C42" s="1417" t="s">
        <v>1098</v>
      </c>
      <c r="D42" s="1444">
        <v>20000</v>
      </c>
      <c r="E42" s="1444">
        <v>20000</v>
      </c>
      <c r="F42" s="1444">
        <v>20000</v>
      </c>
      <c r="G42" s="1435"/>
      <c r="H42" s="1435"/>
      <c r="I42" s="1435"/>
    </row>
    <row r="43" spans="1:9" s="1380" customFormat="1" ht="29.25" customHeight="1">
      <c r="A43" s="1443" t="s">
        <v>120</v>
      </c>
      <c r="B43" s="1415"/>
      <c r="C43" s="1417" t="s">
        <v>1099</v>
      </c>
      <c r="D43" s="1444">
        <v>180000</v>
      </c>
      <c r="E43" s="1444">
        <v>180000</v>
      </c>
      <c r="F43" s="1444">
        <v>180000</v>
      </c>
      <c r="G43" s="1435"/>
      <c r="H43" s="1435"/>
      <c r="I43" s="1435"/>
    </row>
    <row r="44" spans="1:9" s="301" customFormat="1" ht="29.25" customHeight="1">
      <c r="A44" s="1445" t="s">
        <v>122</v>
      </c>
      <c r="B44" s="370"/>
      <c r="C44" s="338" t="s">
        <v>1093</v>
      </c>
      <c r="D44" s="1446">
        <f>SUM(D38:D43)</f>
        <v>500000</v>
      </c>
      <c r="E44" s="1446">
        <f>SUM(E38:E43)</f>
        <v>500000</v>
      </c>
      <c r="F44" s="1446">
        <f>SUM(F38:F43)</f>
        <v>500000</v>
      </c>
      <c r="G44" s="1436"/>
      <c r="H44" s="1436"/>
      <c r="I44" s="1436"/>
    </row>
    <row r="45" spans="1:9" s="1663" customFormat="1" ht="29.25" customHeight="1">
      <c r="A45" s="1658" t="s">
        <v>124</v>
      </c>
      <c r="B45" s="1659"/>
      <c r="C45" s="1660" t="s">
        <v>1114</v>
      </c>
      <c r="D45" s="1661">
        <v>500000</v>
      </c>
      <c r="E45" s="1661">
        <v>500000</v>
      </c>
      <c r="F45" s="1661">
        <v>500000</v>
      </c>
      <c r="G45" s="1662"/>
      <c r="H45" s="1662"/>
      <c r="I45" s="1662"/>
    </row>
    <row r="46" spans="1:9" s="1663" customFormat="1" ht="29.25" customHeight="1">
      <c r="A46" s="1658" t="s">
        <v>126</v>
      </c>
      <c r="B46" s="1659"/>
      <c r="C46" s="1660" t="s">
        <v>1115</v>
      </c>
      <c r="D46" s="1661">
        <v>1200000</v>
      </c>
      <c r="E46" s="1661">
        <v>1199000</v>
      </c>
      <c r="F46" s="1661">
        <v>1199000</v>
      </c>
      <c r="G46" s="1664"/>
      <c r="H46" s="1664"/>
      <c r="I46" s="1664"/>
    </row>
    <row r="47" spans="1:9" s="1663" customFormat="1" ht="29.25" customHeight="1">
      <c r="A47" s="1665" t="s">
        <v>128</v>
      </c>
      <c r="B47" s="1666"/>
      <c r="C47" s="1667" t="s">
        <v>1176</v>
      </c>
      <c r="D47" s="1668"/>
      <c r="E47" s="1668">
        <v>27503</v>
      </c>
      <c r="F47" s="1668">
        <v>27503</v>
      </c>
      <c r="G47" s="1664"/>
      <c r="H47" s="1664"/>
      <c r="I47" s="1664"/>
    </row>
    <row r="48" spans="1:9" s="1663" customFormat="1" ht="29.25" customHeight="1">
      <c r="A48" s="1665" t="s">
        <v>130</v>
      </c>
      <c r="B48" s="1666"/>
      <c r="C48" s="1669" t="s">
        <v>1177</v>
      </c>
      <c r="D48" s="1668"/>
      <c r="E48" s="1668">
        <v>2223398</v>
      </c>
      <c r="F48" s="1668">
        <v>2285628</v>
      </c>
      <c r="G48" s="1664"/>
      <c r="H48" s="1664"/>
      <c r="I48" s="1664"/>
    </row>
    <row r="49" spans="1:9" s="1663" customFormat="1" ht="29.25" customHeight="1">
      <c r="A49" s="1665" t="s">
        <v>131</v>
      </c>
      <c r="B49" s="1666"/>
      <c r="C49" s="1669" t="s">
        <v>1190</v>
      </c>
      <c r="D49" s="1668"/>
      <c r="E49" s="1668"/>
      <c r="F49" s="1668">
        <v>29990</v>
      </c>
      <c r="G49" s="1664"/>
      <c r="H49" s="1664"/>
      <c r="I49" s="1664"/>
    </row>
    <row r="50" spans="1:9" s="1380" customFormat="1" ht="29.25" customHeight="1">
      <c r="A50" s="1619" t="s">
        <v>133</v>
      </c>
      <c r="B50" s="1620"/>
      <c r="C50" s="1621" t="s">
        <v>1168</v>
      </c>
      <c r="D50" s="1622"/>
      <c r="E50" s="1622">
        <v>89513907</v>
      </c>
      <c r="F50" s="1622">
        <f>SUM(89513907)+74594089+74594089</f>
        <v>238702085</v>
      </c>
      <c r="G50" s="1435"/>
      <c r="H50" s="1435"/>
      <c r="I50" s="1435"/>
    </row>
    <row r="51" spans="1:9" s="1380" customFormat="1" ht="29.25" customHeight="1">
      <c r="A51" s="1619" t="s">
        <v>135</v>
      </c>
      <c r="B51" s="1620"/>
      <c r="C51" s="1621" t="s">
        <v>1212</v>
      </c>
      <c r="D51" s="1622"/>
      <c r="E51" s="1622"/>
      <c r="F51" s="1622">
        <v>346329</v>
      </c>
      <c r="G51" s="1435"/>
      <c r="H51" s="1435"/>
      <c r="I51" s="1435"/>
    </row>
    <row r="52" spans="1:9" s="1380" customFormat="1" ht="29.25" customHeight="1">
      <c r="A52" s="1619" t="s">
        <v>137</v>
      </c>
      <c r="B52" s="1620"/>
      <c r="C52" s="1621" t="s">
        <v>1189</v>
      </c>
      <c r="D52" s="1622"/>
      <c r="E52" s="1622"/>
      <c r="F52" s="1622">
        <v>102362</v>
      </c>
      <c r="G52" s="1435"/>
      <c r="H52" s="1435"/>
      <c r="I52" s="1435"/>
    </row>
    <row r="53" spans="1:9" s="1380" customFormat="1" ht="29.25" customHeight="1">
      <c r="A53" s="1619" t="s">
        <v>139</v>
      </c>
      <c r="B53" s="1620"/>
      <c r="C53" s="1621" t="s">
        <v>1191</v>
      </c>
      <c r="D53" s="1622"/>
      <c r="E53" s="1622"/>
      <c r="F53" s="1622">
        <v>63000</v>
      </c>
      <c r="G53" s="1435"/>
      <c r="H53" s="1435"/>
      <c r="I53" s="1435"/>
    </row>
    <row r="54" spans="1:9" s="1380" customFormat="1" ht="29.25" customHeight="1">
      <c r="A54" s="1619" t="s">
        <v>141</v>
      </c>
      <c r="B54" s="1620"/>
      <c r="C54" s="1621" t="s">
        <v>1192</v>
      </c>
      <c r="D54" s="1622"/>
      <c r="E54" s="1622"/>
      <c r="F54" s="1622">
        <v>299000</v>
      </c>
      <c r="G54" s="1435"/>
      <c r="H54" s="1435"/>
      <c r="I54" s="1435"/>
    </row>
    <row r="55" spans="1:9" s="1380" customFormat="1" ht="29.25" customHeight="1">
      <c r="A55" s="1619" t="s">
        <v>143</v>
      </c>
      <c r="B55" s="1620"/>
      <c r="C55" s="1621" t="s">
        <v>1193</v>
      </c>
      <c r="D55" s="1622"/>
      <c r="E55" s="1622"/>
      <c r="F55" s="1622">
        <v>1490</v>
      </c>
      <c r="G55" s="1435"/>
      <c r="H55" s="1435"/>
      <c r="I55" s="1435"/>
    </row>
    <row r="56" spans="1:9" s="1380" customFormat="1" ht="29.25" customHeight="1">
      <c r="A56" s="1619" t="s">
        <v>145</v>
      </c>
      <c r="B56" s="1620"/>
      <c r="C56" s="1621" t="s">
        <v>1194</v>
      </c>
      <c r="D56" s="1622"/>
      <c r="E56" s="1622"/>
      <c r="F56" s="1622">
        <v>75800</v>
      </c>
      <c r="G56" s="1435"/>
      <c r="H56" s="1435"/>
      <c r="I56" s="1435"/>
    </row>
    <row r="57" spans="1:9" s="1380" customFormat="1" ht="29.25" customHeight="1">
      <c r="A57" s="1619" t="s">
        <v>147</v>
      </c>
      <c r="B57" s="1620"/>
      <c r="C57" s="1621" t="s">
        <v>1195</v>
      </c>
      <c r="D57" s="1622"/>
      <c r="E57" s="1622"/>
      <c r="F57" s="1622">
        <v>37900</v>
      </c>
      <c r="G57" s="1435"/>
      <c r="H57" s="1435"/>
      <c r="I57" s="1435"/>
    </row>
    <row r="58" spans="1:9" s="1380" customFormat="1" ht="29.25" customHeight="1">
      <c r="A58" s="1619" t="s">
        <v>147</v>
      </c>
      <c r="B58" s="1620"/>
      <c r="C58" s="1621" t="s">
        <v>1195</v>
      </c>
      <c r="D58" s="1622"/>
      <c r="E58" s="1622"/>
      <c r="F58" s="1622">
        <v>46150</v>
      </c>
      <c r="G58" s="1435"/>
      <c r="H58" s="1435"/>
      <c r="I58" s="1435"/>
    </row>
    <row r="59" spans="1:9" s="1380" customFormat="1" ht="29.25" customHeight="1">
      <c r="A59" s="1619" t="s">
        <v>149</v>
      </c>
      <c r="B59" s="1620"/>
      <c r="C59" s="1621" t="s">
        <v>1196</v>
      </c>
      <c r="D59" s="1622"/>
      <c r="E59" s="1622"/>
      <c r="F59" s="1622">
        <v>221500</v>
      </c>
      <c r="G59" s="1435"/>
      <c r="H59" s="1435"/>
      <c r="I59" s="1435"/>
    </row>
    <row r="60" spans="1:9" s="1380" customFormat="1" ht="29.25" customHeight="1">
      <c r="A60" s="1619" t="s">
        <v>151</v>
      </c>
      <c r="B60" s="1620"/>
      <c r="C60" s="1627" t="s">
        <v>1197</v>
      </c>
      <c r="D60" s="1622"/>
      <c r="E60" s="1622"/>
      <c r="F60" s="1622">
        <v>459600</v>
      </c>
      <c r="G60" s="1435"/>
      <c r="H60" s="1435"/>
      <c r="I60" s="1435"/>
    </row>
    <row r="61" spans="1:9" s="1380" customFormat="1" ht="29.25" customHeight="1">
      <c r="A61" s="1619" t="s">
        <v>205</v>
      </c>
      <c r="B61" s="1620"/>
      <c r="C61" s="1627" t="s">
        <v>1198</v>
      </c>
      <c r="D61" s="1622"/>
      <c r="E61" s="1622"/>
      <c r="F61" s="1622">
        <v>32900</v>
      </c>
      <c r="G61" s="1435"/>
      <c r="H61" s="1435"/>
      <c r="I61" s="1435"/>
    </row>
    <row r="62" spans="1:9" s="1380" customFormat="1" ht="29.25" customHeight="1">
      <c r="A62" s="1619" t="s">
        <v>207</v>
      </c>
      <c r="B62" s="1620"/>
      <c r="C62" s="1627" t="s">
        <v>1200</v>
      </c>
      <c r="D62" s="1622"/>
      <c r="E62" s="1622"/>
      <c r="F62" s="1622">
        <v>1200000</v>
      </c>
      <c r="G62" s="1435"/>
      <c r="H62" s="1435"/>
      <c r="I62" s="1435"/>
    </row>
    <row r="63" spans="1:9" s="1380" customFormat="1" ht="29.25" customHeight="1">
      <c r="A63" s="1619" t="s">
        <v>261</v>
      </c>
      <c r="B63" s="1620"/>
      <c r="C63" s="1627" t="s">
        <v>1199</v>
      </c>
      <c r="D63" s="1622"/>
      <c r="E63" s="1622"/>
      <c r="F63" s="1622">
        <v>233935</v>
      </c>
      <c r="G63" s="1435"/>
      <c r="H63" s="1435"/>
      <c r="I63" s="1435"/>
    </row>
    <row r="64" spans="1:9" s="1380" customFormat="1" ht="29.25" customHeight="1">
      <c r="A64" s="1619" t="s">
        <v>208</v>
      </c>
      <c r="B64" s="1620"/>
      <c r="C64" s="1627" t="s">
        <v>1214</v>
      </c>
      <c r="D64" s="1622"/>
      <c r="E64" s="1622"/>
      <c r="F64" s="1622">
        <v>2977923</v>
      </c>
      <c r="G64" s="1435"/>
      <c r="H64" s="1435"/>
      <c r="I64" s="1435"/>
    </row>
    <row r="65" spans="1:9" s="301" customFormat="1" ht="26.25" thickBot="1">
      <c r="A65" s="1447" t="s">
        <v>210</v>
      </c>
      <c r="B65" s="1418"/>
      <c r="C65" s="1419" t="s">
        <v>1101</v>
      </c>
      <c r="D65" s="1448">
        <f>SUM(D45:D46)</f>
        <v>1700000</v>
      </c>
      <c r="E65" s="1448">
        <f>SUM(E45:E50)</f>
        <v>93463808</v>
      </c>
      <c r="F65" s="1448">
        <f>SUM(F45:F64)</f>
        <v>248842095</v>
      </c>
      <c r="G65" s="1436"/>
      <c r="H65" s="1436"/>
      <c r="I65" s="1436"/>
    </row>
    <row r="66" spans="1:9" ht="30" customHeight="1" thickBot="1">
      <c r="A66" s="1421" t="s">
        <v>263</v>
      </c>
      <c r="B66" s="1422"/>
      <c r="C66" s="1423" t="s">
        <v>25</v>
      </c>
      <c r="D66" s="1424">
        <f>SUM(D13+D18)</f>
        <v>4700000</v>
      </c>
      <c r="E66" s="1424">
        <f>SUM(E13+E18)</f>
        <v>96463808</v>
      </c>
      <c r="F66" s="1424">
        <f>SUM(F13+F18)</f>
        <v>274884650</v>
      </c>
      <c r="G66" s="1438"/>
      <c r="H66" s="1438"/>
      <c r="I66" s="1438"/>
    </row>
    <row r="67" spans="1:8" ht="12.75" customHeight="1">
      <c r="A67" s="1420"/>
      <c r="E67" s="1392"/>
      <c r="F67" s="1396"/>
      <c r="G67" s="1396"/>
      <c r="H67" s="1396"/>
    </row>
    <row r="68" spans="1:8" ht="12.75" customHeight="1">
      <c r="A68" s="1394"/>
      <c r="E68" s="1392"/>
      <c r="F68" s="1396"/>
      <c r="G68" s="1396"/>
      <c r="H68" s="1396"/>
    </row>
    <row r="69" spans="1:10" ht="12.75" customHeight="1">
      <c r="A69" s="1823" t="s">
        <v>909</v>
      </c>
      <c r="B69" s="1823"/>
      <c r="C69" s="1823"/>
      <c r="D69" s="1823"/>
      <c r="E69" s="1823"/>
      <c r="F69" s="1510"/>
      <c r="G69" s="1510"/>
      <c r="H69" s="1510"/>
      <c r="I69" s="1510"/>
      <c r="J69" s="1510"/>
    </row>
    <row r="70" spans="1:10" ht="12.75" customHeight="1">
      <c r="A70" s="1811" t="s">
        <v>1259</v>
      </c>
      <c r="B70" s="1811"/>
      <c r="C70" s="1811"/>
      <c r="D70" s="1811"/>
      <c r="E70" s="1811"/>
      <c r="F70" s="1811"/>
      <c r="G70" s="906"/>
      <c r="H70" s="906"/>
      <c r="I70" s="906"/>
      <c r="J70" s="906"/>
    </row>
    <row r="71" spans="1:8" ht="12.75" customHeight="1">
      <c r="A71" s="1393"/>
      <c r="B71" s="1393"/>
      <c r="C71" s="1815" t="s">
        <v>1261</v>
      </c>
      <c r="D71" s="2203"/>
      <c r="E71" s="2203"/>
      <c r="F71" s="1393"/>
      <c r="G71" s="1393"/>
      <c r="H71" s="1393"/>
    </row>
    <row r="72" spans="1:10" ht="40.5" customHeight="1">
      <c r="A72" s="1836" t="s">
        <v>1159</v>
      </c>
      <c r="B72" s="1836"/>
      <c r="C72" s="1836"/>
      <c r="D72" s="1836"/>
      <c r="E72" s="1836"/>
      <c r="F72" s="1836"/>
      <c r="G72" s="1836"/>
      <c r="H72" s="653"/>
      <c r="I72" s="653"/>
      <c r="J72" s="653"/>
    </row>
    <row r="73" spans="1:8" ht="12.75" customHeight="1">
      <c r="A73" s="653"/>
      <c r="B73" s="653"/>
      <c r="C73" s="653"/>
      <c r="D73" s="653"/>
      <c r="E73" s="653"/>
      <c r="F73" s="653"/>
      <c r="G73" s="653"/>
      <c r="H73" s="653"/>
    </row>
    <row r="74" spans="1:8" ht="12.75" customHeight="1">
      <c r="A74" s="1391"/>
      <c r="B74" s="1391"/>
      <c r="C74" s="1391"/>
      <c r="D74" s="1391"/>
      <c r="E74" s="1391"/>
      <c r="F74" s="1391"/>
      <c r="G74" s="1391"/>
      <c r="H74" s="1391"/>
    </row>
    <row r="75" spans="1:8" ht="12.75" customHeight="1">
      <c r="A75" s="1397"/>
      <c r="B75" s="1397"/>
      <c r="C75" s="1397"/>
      <c r="D75" s="1397"/>
      <c r="E75" s="1397"/>
      <c r="F75" s="1397"/>
      <c r="G75" s="1397"/>
      <c r="H75" s="1397"/>
    </row>
    <row r="76" spans="1:8" ht="12.75" customHeight="1" thickBot="1">
      <c r="A76" s="1397"/>
      <c r="B76" s="1397"/>
      <c r="C76" s="1397"/>
      <c r="D76" s="1397"/>
      <c r="E76" s="1838" t="s">
        <v>1075</v>
      </c>
      <c r="F76" s="1838"/>
      <c r="G76" s="1826"/>
      <c r="H76" s="1826"/>
    </row>
    <row r="77" spans="1:10" ht="21.75" customHeight="1" thickBot="1">
      <c r="A77" s="1827" t="s">
        <v>156</v>
      </c>
      <c r="B77" s="1828"/>
      <c r="C77" s="1824" t="s">
        <v>429</v>
      </c>
      <c r="D77" s="1834" t="s">
        <v>1076</v>
      </c>
      <c r="E77" s="1834" t="s">
        <v>1077</v>
      </c>
      <c r="F77" s="1834" t="s">
        <v>1165</v>
      </c>
      <c r="G77" s="1834" t="s">
        <v>1186</v>
      </c>
      <c r="H77" s="1809"/>
      <c r="I77" s="1809"/>
      <c r="J77" s="1809"/>
    </row>
    <row r="78" spans="1:10" ht="12.75" customHeight="1" thickBot="1">
      <c r="A78" s="1829"/>
      <c r="B78" s="1830"/>
      <c r="C78" s="1825"/>
      <c r="D78" s="1835"/>
      <c r="E78" s="1835"/>
      <c r="F78" s="1835"/>
      <c r="G78" s="1835"/>
      <c r="H78" s="1809"/>
      <c r="I78" s="1809"/>
      <c r="J78" s="1809"/>
    </row>
    <row r="79" spans="1:10" ht="12.75" customHeight="1">
      <c r="A79" s="1829"/>
      <c r="B79" s="1830"/>
      <c r="C79" s="911" t="s">
        <v>158</v>
      </c>
      <c r="D79" s="916" t="s">
        <v>159</v>
      </c>
      <c r="E79" s="916" t="s">
        <v>160</v>
      </c>
      <c r="F79" s="916" t="s">
        <v>161</v>
      </c>
      <c r="G79" s="916" t="s">
        <v>456</v>
      </c>
      <c r="H79" s="1488"/>
      <c r="I79" s="1488"/>
      <c r="J79" s="1488"/>
    </row>
    <row r="80" spans="1:10" ht="12.75" customHeight="1">
      <c r="A80" s="908" t="s">
        <v>38</v>
      </c>
      <c r="B80" s="655"/>
      <c r="C80" s="912" t="s">
        <v>430</v>
      </c>
      <c r="D80" s="917">
        <f>SUM(D81:D85)</f>
        <v>39839580</v>
      </c>
      <c r="E80" s="917">
        <f>SUM(E81:E85)</f>
        <v>34251741</v>
      </c>
      <c r="F80" s="917">
        <f>SUM(F81:F85)</f>
        <v>33378999</v>
      </c>
      <c r="G80" s="917">
        <f>SUM(G81:G85)</f>
        <v>37044136</v>
      </c>
      <c r="H80" s="1489"/>
      <c r="I80" s="1489"/>
      <c r="J80" s="1489"/>
    </row>
    <row r="81" spans="1:10" s="1683" customFormat="1" ht="12.75" customHeight="1">
      <c r="A81" s="1678" t="s">
        <v>40</v>
      </c>
      <c r="B81" s="1679"/>
      <c r="C81" s="1680" t="s">
        <v>431</v>
      </c>
      <c r="D81" s="1681">
        <v>11783000</v>
      </c>
      <c r="E81" s="1681">
        <v>11826840</v>
      </c>
      <c r="F81" s="1681">
        <v>6634000</v>
      </c>
      <c r="G81" s="1681">
        <v>6981000</v>
      </c>
      <c r="H81" s="1682"/>
      <c r="I81" s="1682"/>
      <c r="J81" s="1682"/>
    </row>
    <row r="82" spans="1:10" ht="12.75" customHeight="1">
      <c r="A82" s="1398" t="s">
        <v>47</v>
      </c>
      <c r="B82" s="1399"/>
      <c r="C82" s="913" t="s">
        <v>432</v>
      </c>
      <c r="D82" s="1401">
        <v>3175647</v>
      </c>
      <c r="E82" s="1401">
        <v>3175647</v>
      </c>
      <c r="F82" s="1401">
        <v>3175647</v>
      </c>
      <c r="G82" s="1401">
        <v>3251899</v>
      </c>
      <c r="H82" s="1491"/>
      <c r="I82" s="1491"/>
      <c r="J82" s="1491"/>
    </row>
    <row r="83" spans="1:10" ht="12.75" customHeight="1">
      <c r="A83" s="1398" t="s">
        <v>49</v>
      </c>
      <c r="B83" s="1399"/>
      <c r="C83" s="913" t="s">
        <v>433</v>
      </c>
      <c r="D83" s="1402">
        <v>24880933</v>
      </c>
      <c r="E83" s="1402">
        <v>19249254</v>
      </c>
      <c r="F83" s="1402">
        <v>23569352</v>
      </c>
      <c r="G83" s="1402">
        <v>26461237</v>
      </c>
      <c r="H83" s="1492"/>
      <c r="I83" s="1492"/>
      <c r="J83" s="1492"/>
    </row>
    <row r="84" spans="1:10" ht="12.75" customHeight="1">
      <c r="A84" s="1678" t="s">
        <v>51</v>
      </c>
      <c r="B84" s="1399"/>
      <c r="C84" s="913" t="s">
        <v>1202</v>
      </c>
      <c r="D84" s="1402"/>
      <c r="E84" s="1402"/>
      <c r="F84" s="1402"/>
      <c r="G84" s="1402">
        <v>350000</v>
      </c>
      <c r="H84" s="1492"/>
      <c r="I84" s="1492"/>
      <c r="J84" s="1492"/>
    </row>
    <row r="85" spans="1:10" ht="12.75" customHeight="1">
      <c r="A85" s="1678" t="s">
        <v>53</v>
      </c>
      <c r="B85" s="1399"/>
      <c r="C85" s="913"/>
      <c r="D85" s="1400">
        <v>0</v>
      </c>
      <c r="E85" s="1400">
        <v>0</v>
      </c>
      <c r="F85" s="1400">
        <v>0</v>
      </c>
      <c r="G85" s="1400">
        <v>0</v>
      </c>
      <c r="H85" s="1490"/>
      <c r="I85" s="1490"/>
      <c r="J85" s="1490"/>
    </row>
    <row r="86" spans="1:10" ht="12.75" customHeight="1">
      <c r="A86" s="908" t="s">
        <v>55</v>
      </c>
      <c r="B86" s="1399"/>
      <c r="C86" s="914" t="s">
        <v>434</v>
      </c>
      <c r="D86" s="917">
        <f>SUM(D87:D103)</f>
        <v>4300000</v>
      </c>
      <c r="E86" s="917">
        <f>SUM(E87:E102)</f>
        <v>10480000</v>
      </c>
      <c r="F86" s="917">
        <f>SUM(F87:F102)</f>
        <v>8840000</v>
      </c>
      <c r="G86" s="917">
        <f>SUM(G87:G104)</f>
        <v>8961105</v>
      </c>
      <c r="H86" s="1489"/>
      <c r="I86" s="1489"/>
      <c r="J86" s="1489"/>
    </row>
    <row r="87" spans="1:10" s="1380" customFormat="1" ht="12.75" customHeight="1">
      <c r="A87" s="1376" t="s">
        <v>57</v>
      </c>
      <c r="B87" s="1377"/>
      <c r="C87" s="1378" t="s">
        <v>1054</v>
      </c>
      <c r="D87" s="1379"/>
      <c r="E87" s="1379">
        <v>3500000</v>
      </c>
      <c r="F87" s="1379">
        <v>1500000</v>
      </c>
      <c r="G87" s="1379">
        <v>180000</v>
      </c>
      <c r="H87" s="1493"/>
      <c r="I87" s="1493"/>
      <c r="J87" s="1493"/>
    </row>
    <row r="88" spans="1:10" s="1380" customFormat="1" ht="12.75" customHeight="1">
      <c r="A88" s="1376" t="s">
        <v>86</v>
      </c>
      <c r="B88" s="1377"/>
      <c r="C88" s="1378" t="s">
        <v>1042</v>
      </c>
      <c r="D88" s="1379">
        <v>200000</v>
      </c>
      <c r="E88" s="1379"/>
      <c r="F88" s="1379"/>
      <c r="G88" s="1379"/>
      <c r="H88" s="1493"/>
      <c r="I88" s="1493"/>
      <c r="J88" s="1493"/>
    </row>
    <row r="89" spans="1:10" s="1380" customFormat="1" ht="12.75" customHeight="1">
      <c r="A89" s="1376" t="s">
        <v>59</v>
      </c>
      <c r="B89" s="1377"/>
      <c r="C89" s="1378" t="s">
        <v>1043</v>
      </c>
      <c r="D89" s="1379">
        <v>200000</v>
      </c>
      <c r="E89" s="1379"/>
      <c r="F89" s="1379"/>
      <c r="G89" s="1379"/>
      <c r="H89" s="1493"/>
      <c r="I89" s="1493"/>
      <c r="J89" s="1493"/>
    </row>
    <row r="90" spans="1:10" s="1380" customFormat="1" ht="12.75" customHeight="1">
      <c r="A90" s="1376" t="s">
        <v>61</v>
      </c>
      <c r="B90" s="1377"/>
      <c r="C90" s="1378" t="s">
        <v>1044</v>
      </c>
      <c r="D90" s="1379">
        <v>150000</v>
      </c>
      <c r="E90" s="1379"/>
      <c r="F90" s="1379"/>
      <c r="G90" s="1379"/>
      <c r="H90" s="1493"/>
      <c r="I90" s="1493"/>
      <c r="J90" s="1493"/>
    </row>
    <row r="91" spans="1:10" s="1380" customFormat="1" ht="12.75" customHeight="1">
      <c r="A91" s="1376" t="s">
        <v>63</v>
      </c>
      <c r="B91" s="1377"/>
      <c r="C91" s="1378" t="s">
        <v>1045</v>
      </c>
      <c r="D91" s="1379">
        <v>1500000</v>
      </c>
      <c r="E91" s="1379">
        <v>6480000</v>
      </c>
      <c r="F91" s="1379">
        <v>6480000</v>
      </c>
      <c r="G91" s="1379">
        <v>6480000</v>
      </c>
      <c r="H91" s="1493"/>
      <c r="I91" s="1493"/>
      <c r="J91" s="1493"/>
    </row>
    <row r="92" spans="1:10" s="1380" customFormat="1" ht="12.75" customHeight="1">
      <c r="A92" s="1376" t="s">
        <v>65</v>
      </c>
      <c r="B92" s="1377"/>
      <c r="C92" s="1378" t="s">
        <v>1178</v>
      </c>
      <c r="D92" s="1379"/>
      <c r="E92" s="1379"/>
      <c r="F92" s="1379">
        <v>150000</v>
      </c>
      <c r="G92" s="1379">
        <v>150000</v>
      </c>
      <c r="H92" s="1493"/>
      <c r="I92" s="1493"/>
      <c r="J92" s="1493"/>
    </row>
    <row r="93" spans="1:10" s="1380" customFormat="1" ht="12.75" customHeight="1">
      <c r="A93" s="1376" t="s">
        <v>92</v>
      </c>
      <c r="B93" s="1377"/>
      <c r="C93" s="1378" t="s">
        <v>1179</v>
      </c>
      <c r="D93" s="1379"/>
      <c r="E93" s="1379"/>
      <c r="F93" s="1379">
        <v>200000</v>
      </c>
      <c r="G93" s="1379">
        <v>200000</v>
      </c>
      <c r="H93" s="1493"/>
      <c r="I93" s="1493"/>
      <c r="J93" s="1493"/>
    </row>
    <row r="94" spans="1:10" s="1380" customFormat="1" ht="12.75" customHeight="1">
      <c r="A94" s="1376" t="s">
        <v>66</v>
      </c>
      <c r="B94" s="1377"/>
      <c r="C94" s="1378" t="s">
        <v>1046</v>
      </c>
      <c r="D94" s="1379">
        <v>200000</v>
      </c>
      <c r="E94" s="1379"/>
      <c r="F94" s="1379"/>
      <c r="G94" s="1379">
        <v>350000</v>
      </c>
      <c r="H94" s="1493"/>
      <c r="I94" s="1493"/>
      <c r="J94" s="1493"/>
    </row>
    <row r="95" spans="1:10" s="1380" customFormat="1" ht="12.75" customHeight="1">
      <c r="A95" s="1376" t="s">
        <v>67</v>
      </c>
      <c r="B95" s="1377"/>
      <c r="C95" s="1378" t="s">
        <v>1047</v>
      </c>
      <c r="D95" s="1379">
        <v>300000</v>
      </c>
      <c r="E95" s="1379"/>
      <c r="F95" s="1379"/>
      <c r="G95" s="1379">
        <v>330000</v>
      </c>
      <c r="H95" s="1493"/>
      <c r="I95" s="1493"/>
      <c r="J95" s="1493"/>
    </row>
    <row r="96" spans="1:10" s="1380" customFormat="1" ht="12.75" customHeight="1">
      <c r="A96" s="1376" t="s">
        <v>68</v>
      </c>
      <c r="B96" s="1377"/>
      <c r="C96" s="1378" t="s">
        <v>1048</v>
      </c>
      <c r="D96" s="1379">
        <v>600000</v>
      </c>
      <c r="E96" s="1379"/>
      <c r="F96" s="1379"/>
      <c r="G96" s="1379">
        <v>420000</v>
      </c>
      <c r="H96" s="1493"/>
      <c r="I96" s="1493"/>
      <c r="J96" s="1493"/>
    </row>
    <row r="97" spans="1:10" s="1380" customFormat="1" ht="12.75" customHeight="1">
      <c r="A97" s="1376" t="s">
        <v>70</v>
      </c>
      <c r="B97" s="1377"/>
      <c r="C97" s="1378" t="s">
        <v>1049</v>
      </c>
      <c r="D97" s="1379">
        <v>100000</v>
      </c>
      <c r="E97" s="1379"/>
      <c r="F97" s="1379">
        <v>10000</v>
      </c>
      <c r="G97" s="1379">
        <v>10000</v>
      </c>
      <c r="H97" s="1493"/>
      <c r="I97" s="1493"/>
      <c r="J97" s="1493"/>
    </row>
    <row r="98" spans="1:10" s="1380" customFormat="1" ht="12.75" customHeight="1">
      <c r="A98" s="1376" t="s">
        <v>97</v>
      </c>
      <c r="B98" s="1377"/>
      <c r="C98" s="1378" t="s">
        <v>1050</v>
      </c>
      <c r="D98" s="1379">
        <v>200000</v>
      </c>
      <c r="E98" s="1379"/>
      <c r="F98" s="1379"/>
      <c r="G98" s="1379">
        <v>200000</v>
      </c>
      <c r="H98" s="1493"/>
      <c r="I98" s="1493"/>
      <c r="J98" s="1493"/>
    </row>
    <row r="99" spans="1:10" s="1380" customFormat="1" ht="12.75" customHeight="1">
      <c r="A99" s="1376" t="s">
        <v>99</v>
      </c>
      <c r="B99" s="1377"/>
      <c r="C99" s="1378" t="s">
        <v>1051</v>
      </c>
      <c r="D99" s="1379">
        <v>100000</v>
      </c>
      <c r="E99" s="1379"/>
      <c r="F99" s="1379"/>
      <c r="G99" s="1379">
        <v>20000</v>
      </c>
      <c r="H99" s="1493"/>
      <c r="I99" s="1493"/>
      <c r="J99" s="1493"/>
    </row>
    <row r="100" spans="1:10" s="1380" customFormat="1" ht="12.75" customHeight="1">
      <c r="A100" s="1376" t="s">
        <v>101</v>
      </c>
      <c r="B100" s="1377"/>
      <c r="C100" s="1378" t="s">
        <v>1052</v>
      </c>
      <c r="D100" s="1379">
        <v>100000</v>
      </c>
      <c r="E100" s="1379"/>
      <c r="F100" s="1379"/>
      <c r="G100" s="1379"/>
      <c r="H100" s="1493"/>
      <c r="I100" s="1493"/>
      <c r="J100" s="1493"/>
    </row>
    <row r="101" spans="1:10" s="1380" customFormat="1" ht="23.25" customHeight="1">
      <c r="A101" s="1376" t="s">
        <v>103</v>
      </c>
      <c r="B101" s="1377"/>
      <c r="C101" s="1381" t="s">
        <v>1053</v>
      </c>
      <c r="D101" s="1379">
        <v>50000</v>
      </c>
      <c r="E101" s="1379"/>
      <c r="F101" s="1379"/>
      <c r="G101" s="1379"/>
      <c r="H101" s="1493"/>
      <c r="I101" s="1493"/>
      <c r="J101" s="1493"/>
    </row>
    <row r="102" spans="1:10" s="1380" customFormat="1" ht="12.75" customHeight="1">
      <c r="A102" s="1376" t="s">
        <v>105</v>
      </c>
      <c r="B102" s="1377"/>
      <c r="C102" s="1378" t="s">
        <v>1016</v>
      </c>
      <c r="D102" s="1379">
        <v>500000</v>
      </c>
      <c r="E102" s="1379">
        <v>500000</v>
      </c>
      <c r="F102" s="1379">
        <v>500000</v>
      </c>
      <c r="G102" s="1379">
        <v>500000</v>
      </c>
      <c r="H102" s="1493"/>
      <c r="I102" s="1493"/>
      <c r="J102" s="1493"/>
    </row>
    <row r="103" spans="1:10" s="1380" customFormat="1" ht="12.75" customHeight="1">
      <c r="A103" s="1376" t="s">
        <v>107</v>
      </c>
      <c r="B103" s="1377"/>
      <c r="C103" s="1378" t="s">
        <v>1074</v>
      </c>
      <c r="D103" s="1379">
        <v>100000</v>
      </c>
      <c r="E103" s="1379"/>
      <c r="F103" s="1379"/>
      <c r="G103" s="1379"/>
      <c r="H103" s="1493"/>
      <c r="I103" s="1493"/>
      <c r="J103" s="1493"/>
    </row>
    <row r="104" spans="1:10" s="1380" customFormat="1" ht="12.75" customHeight="1">
      <c r="A104" s="1376" t="s">
        <v>109</v>
      </c>
      <c r="B104" s="1377"/>
      <c r="C104" s="1378" t="s">
        <v>1204</v>
      </c>
      <c r="D104" s="1379"/>
      <c r="E104" s="1379"/>
      <c r="F104" s="1379"/>
      <c r="G104" s="1379">
        <v>121105</v>
      </c>
      <c r="H104" s="1493"/>
      <c r="I104" s="1493"/>
      <c r="J104" s="1493"/>
    </row>
    <row r="105" spans="1:10" s="301" customFormat="1" ht="12.75" customHeight="1">
      <c r="A105" s="908" t="s">
        <v>111</v>
      </c>
      <c r="B105" s="655"/>
      <c r="C105" s="912" t="s">
        <v>260</v>
      </c>
      <c r="D105" s="917">
        <f>SUM(D122)</f>
        <v>3228</v>
      </c>
      <c r="E105" s="917">
        <f>SUM(E122)</f>
        <v>40000</v>
      </c>
      <c r="F105" s="917">
        <f>SUM(F122)</f>
        <v>40000</v>
      </c>
      <c r="G105" s="917">
        <f>SUM(G122)</f>
        <v>30013</v>
      </c>
      <c r="H105" s="1489"/>
      <c r="I105" s="1489"/>
      <c r="J105" s="1489"/>
    </row>
    <row r="106" spans="1:10" ht="12.75" customHeight="1" thickBot="1">
      <c r="A106" s="910" t="s">
        <v>113</v>
      </c>
      <c r="B106" s="1403"/>
      <c r="C106" s="915" t="s">
        <v>25</v>
      </c>
      <c r="D106" s="919">
        <f>D80+D86+D105</f>
        <v>44142808</v>
      </c>
      <c r="E106" s="919">
        <f>E80+E86+E105</f>
        <v>44771741</v>
      </c>
      <c r="F106" s="919">
        <f>F80+F86+F105</f>
        <v>42258999</v>
      </c>
      <c r="G106" s="919">
        <f>G80+G86+G105</f>
        <v>46035254</v>
      </c>
      <c r="H106" s="1494"/>
      <c r="I106" s="1494"/>
      <c r="J106" s="1494"/>
    </row>
    <row r="107" spans="1:8" ht="12.75" customHeight="1">
      <c r="A107" s="1635"/>
      <c r="E107" s="1392"/>
      <c r="F107" s="1392"/>
      <c r="G107" s="1392"/>
      <c r="H107" s="1392"/>
    </row>
    <row r="108" spans="1:8" ht="12.75" customHeight="1">
      <c r="A108" s="1394"/>
      <c r="E108" s="1392"/>
      <c r="F108" s="1392"/>
      <c r="G108" s="1392"/>
      <c r="H108" s="1392"/>
    </row>
    <row r="110" spans="1:5" ht="12.75" customHeight="1">
      <c r="A110" s="1394"/>
      <c r="E110" s="1392"/>
    </row>
    <row r="111" spans="1:10" ht="12.75" customHeight="1">
      <c r="A111" s="1816" t="s">
        <v>435</v>
      </c>
      <c r="B111" s="1816"/>
      <c r="C111" s="1816"/>
      <c r="D111" s="1816"/>
      <c r="E111" s="1816"/>
      <c r="F111" s="1816"/>
      <c r="G111" s="1507"/>
      <c r="H111" s="1507"/>
      <c r="I111" s="1507"/>
      <c r="J111" s="1507"/>
    </row>
    <row r="112" spans="1:10" ht="12.75" customHeight="1">
      <c r="A112" s="1815" t="s">
        <v>1259</v>
      </c>
      <c r="B112" s="1815"/>
      <c r="C112" s="1815"/>
      <c r="D112" s="1815"/>
      <c r="E112" s="1815"/>
      <c r="F112" s="1815"/>
      <c r="G112" s="1815"/>
      <c r="H112" s="1508"/>
      <c r="I112" s="1508"/>
      <c r="J112" s="1508"/>
    </row>
    <row r="113" spans="1:10" ht="12.75" customHeight="1">
      <c r="A113" s="1735"/>
      <c r="B113" s="1735"/>
      <c r="C113" s="1815" t="s">
        <v>1261</v>
      </c>
      <c r="D113" s="1815"/>
      <c r="E113" s="1815"/>
      <c r="F113" s="1815"/>
      <c r="G113" s="1735"/>
      <c r="H113" s="1508"/>
      <c r="I113" s="1508"/>
      <c r="J113" s="1508"/>
    </row>
    <row r="114" spans="1:10" ht="12.75" customHeight="1">
      <c r="A114" s="1814" t="s">
        <v>1158</v>
      </c>
      <c r="B114" s="1814"/>
      <c r="C114" s="1814"/>
      <c r="D114" s="1814"/>
      <c r="E114" s="1814"/>
      <c r="F114" s="1814"/>
      <c r="G114" s="1814"/>
      <c r="H114" s="1509"/>
      <c r="I114" s="1509"/>
      <c r="J114" s="1509"/>
    </row>
    <row r="115" spans="1:5" ht="12.75" customHeight="1">
      <c r="A115" s="1394"/>
      <c r="C115" s="1397"/>
      <c r="E115" s="1392"/>
    </row>
    <row r="116" spans="1:10" ht="12.75" customHeight="1" thickBot="1">
      <c r="A116" s="1394"/>
      <c r="C116" s="1813" t="s">
        <v>214</v>
      </c>
      <c r="D116" s="1813"/>
      <c r="E116" s="1813"/>
      <c r="F116" s="1813"/>
      <c r="G116" s="1813"/>
      <c r="H116" s="1506"/>
      <c r="I116" s="1506"/>
      <c r="J116" s="1506"/>
    </row>
    <row r="117" spans="1:10" ht="26.25" customHeight="1">
      <c r="A117" s="1394"/>
      <c r="C117" s="1496" t="s">
        <v>24</v>
      </c>
      <c r="D117" s="1497" t="s">
        <v>1076</v>
      </c>
      <c r="E117" s="1498" t="s">
        <v>1077</v>
      </c>
      <c r="F117" s="1498" t="s">
        <v>1165</v>
      </c>
      <c r="G117" s="1498" t="s">
        <v>1186</v>
      </c>
      <c r="H117" s="1495"/>
      <c r="I117" s="1495"/>
      <c r="J117" s="1495"/>
    </row>
    <row r="118" spans="1:10" ht="12.75" customHeight="1">
      <c r="A118" s="1394"/>
      <c r="C118" s="1499" t="s">
        <v>965</v>
      </c>
      <c r="D118" s="1404">
        <v>3228</v>
      </c>
      <c r="E118" s="1500">
        <v>40000</v>
      </c>
      <c r="F118" s="1500">
        <v>40000</v>
      </c>
      <c r="G118" s="1500">
        <v>30013</v>
      </c>
      <c r="H118" s="1490"/>
      <c r="I118" s="1490"/>
      <c r="J118" s="1490"/>
    </row>
    <row r="119" spans="1:10" ht="12.75" customHeight="1">
      <c r="A119" s="1394"/>
      <c r="C119" s="1684" t="s">
        <v>1203</v>
      </c>
      <c r="D119" s="1405">
        <v>0</v>
      </c>
      <c r="E119" s="1502">
        <v>0</v>
      </c>
      <c r="F119" s="1502">
        <v>0</v>
      </c>
      <c r="G119" s="1502">
        <v>0</v>
      </c>
      <c r="H119" s="1490"/>
      <c r="I119" s="1490"/>
      <c r="J119" s="1490"/>
    </row>
    <row r="120" spans="1:10" ht="12.75" customHeight="1">
      <c r="A120" s="1394"/>
      <c r="C120" s="1501"/>
      <c r="D120" s="1405"/>
      <c r="E120" s="1502"/>
      <c r="F120" s="1502"/>
      <c r="G120" s="1502"/>
      <c r="H120" s="1490"/>
      <c r="I120" s="1490"/>
      <c r="J120" s="1490"/>
    </row>
    <row r="121" spans="1:10" ht="12.75" customHeight="1">
      <c r="A121" s="1394"/>
      <c r="C121" s="1501"/>
      <c r="D121" s="1405">
        <v>0</v>
      </c>
      <c r="E121" s="1502">
        <v>0</v>
      </c>
      <c r="F121" s="1502">
        <v>0</v>
      </c>
      <c r="G121" s="1502">
        <v>0</v>
      </c>
      <c r="H121" s="1490"/>
      <c r="I121" s="1490"/>
      <c r="J121" s="1490"/>
    </row>
    <row r="122" spans="1:10" ht="12.75" customHeight="1" thickBot="1">
      <c r="A122" s="1394"/>
      <c r="C122" s="1503" t="s">
        <v>29</v>
      </c>
      <c r="D122" s="1504">
        <f>SUM(D118:D121)</f>
        <v>3228</v>
      </c>
      <c r="E122" s="1505">
        <f>SUM(E118:E121)</f>
        <v>40000</v>
      </c>
      <c r="F122" s="1505">
        <f>SUM(F118:F121)</f>
        <v>40000</v>
      </c>
      <c r="G122" s="1505">
        <f>SUM(G118:G121)</f>
        <v>30013</v>
      </c>
      <c r="H122" s="1494"/>
      <c r="I122" s="1494"/>
      <c r="J122" s="1494"/>
    </row>
  </sheetData>
  <sheetProtection selectLockedCells="1" selectUnlockedCells="1"/>
  <mergeCells count="33">
    <mergeCell ref="C3:F3"/>
    <mergeCell ref="C71:E71"/>
    <mergeCell ref="C113:F113"/>
    <mergeCell ref="A72:G72"/>
    <mergeCell ref="I77:I78"/>
    <mergeCell ref="A9:E9"/>
    <mergeCell ref="E76:F76"/>
    <mergeCell ref="J77:J78"/>
    <mergeCell ref="F77:F78"/>
    <mergeCell ref="C10:C11"/>
    <mergeCell ref="D77:D78"/>
    <mergeCell ref="E77:E78"/>
    <mergeCell ref="D10:D11"/>
    <mergeCell ref="A69:E69"/>
    <mergeCell ref="C77:C78"/>
    <mergeCell ref="G76:H76"/>
    <mergeCell ref="A77:B79"/>
    <mergeCell ref="I10:I11"/>
    <mergeCell ref="E10:E11"/>
    <mergeCell ref="F10:F11"/>
    <mergeCell ref="G10:G11"/>
    <mergeCell ref="H10:H11"/>
    <mergeCell ref="G77:G78"/>
    <mergeCell ref="H77:H78"/>
    <mergeCell ref="A5:G5"/>
    <mergeCell ref="A2:G2"/>
    <mergeCell ref="A1:G1"/>
    <mergeCell ref="C116:G116"/>
    <mergeCell ref="A114:G114"/>
    <mergeCell ref="A112:G112"/>
    <mergeCell ref="A70:F70"/>
    <mergeCell ref="A111:F111"/>
    <mergeCell ref="A10:B12"/>
  </mergeCells>
  <printOptions horizontalCentered="1"/>
  <pageMargins left="0.2755905511811024" right="0.2362204724409449" top="0.15748031496062992" bottom="0.15748031496062992" header="0.5118110236220472" footer="0.5118110236220472"/>
  <pageSetup firstPageNumber="1" useFirstPageNumber="1" horizontalDpi="600" verticalDpi="600" orientation="portrait" paperSize="9" scale="80" r:id="rId1"/>
  <rowBreaks count="1" manualBreakCount="1">
    <brk id="6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9"/>
  <sheetViews>
    <sheetView view="pageBreakPreview" zoomScaleSheetLayoutView="100" zoomScalePageLayoutView="0" workbookViewId="0" topLeftCell="A1">
      <selection activeCell="D12" sqref="D12"/>
    </sheetView>
  </sheetViews>
  <sheetFormatPr defaultColWidth="11.7109375" defaultRowHeight="12.75" customHeight="1"/>
  <cols>
    <col min="1" max="1" width="27.140625" style="663" customWidth="1"/>
    <col min="2" max="2" width="14.57421875" style="663" customWidth="1"/>
    <col min="3" max="3" width="12.140625" style="663" customWidth="1"/>
    <col min="4" max="4" width="14.7109375" style="663" bestFit="1" customWidth="1"/>
    <col min="5" max="5" width="13.7109375" style="663" bestFit="1" customWidth="1"/>
    <col min="6" max="7" width="13.7109375" style="683" bestFit="1" customWidth="1"/>
    <col min="8" max="8" width="14.7109375" style="663" bestFit="1" customWidth="1"/>
    <col min="9" max="9" width="31.28125" style="663" customWidth="1"/>
    <col min="10" max="10" width="15.140625" style="663" customWidth="1"/>
    <col min="11" max="11" width="9.28125" style="663" customWidth="1"/>
    <col min="12" max="12" width="12.57421875" style="663" customWidth="1"/>
    <col min="13" max="13" width="14.7109375" style="663" bestFit="1" customWidth="1"/>
    <col min="14" max="14" width="14.57421875" style="663" bestFit="1" customWidth="1"/>
    <col min="15" max="15" width="14.7109375" style="663" customWidth="1"/>
    <col min="16" max="16" width="14.140625" style="663" customWidth="1"/>
    <col min="17" max="16384" width="11.7109375" style="663" customWidth="1"/>
  </cols>
  <sheetData>
    <row r="1" spans="1:16" s="662" customFormat="1" ht="12.75" customHeight="1">
      <c r="A1" s="1840"/>
      <c r="B1" s="1840"/>
      <c r="C1" s="1840"/>
      <c r="D1" s="1840"/>
      <c r="I1" s="1841" t="s">
        <v>436</v>
      </c>
      <c r="J1" s="1841"/>
      <c r="K1" s="1841"/>
      <c r="L1" s="1841"/>
      <c r="M1" s="1841"/>
      <c r="N1" s="1841"/>
      <c r="O1" s="1841"/>
      <c r="P1" s="1841"/>
    </row>
    <row r="2" spans="1:16" ht="12.75" customHeight="1">
      <c r="A2" s="1842" t="s">
        <v>1259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</row>
    <row r="3" spans="1:16" ht="12.75" customHeight="1">
      <c r="A3" s="1736"/>
      <c r="B3" s="1736"/>
      <c r="C3" s="1736"/>
      <c r="D3" s="1736"/>
      <c r="E3" s="1736"/>
      <c r="F3" s="1736"/>
      <c r="G3" s="1842" t="s">
        <v>1261</v>
      </c>
      <c r="H3" s="1842"/>
      <c r="I3" s="1842"/>
      <c r="J3" s="1736"/>
      <c r="K3" s="1736"/>
      <c r="L3" s="1736"/>
      <c r="M3" s="1736"/>
      <c r="N3" s="1736"/>
      <c r="O3" s="1736"/>
      <c r="P3" s="1736"/>
    </row>
    <row r="4" spans="1:256" ht="12.75" customHeight="1">
      <c r="A4" s="1843" t="s">
        <v>1160</v>
      </c>
      <c r="B4" s="1843"/>
      <c r="C4" s="1843"/>
      <c r="D4" s="1843"/>
      <c r="E4" s="1843"/>
      <c r="F4" s="1843"/>
      <c r="G4" s="1843"/>
      <c r="H4" s="1843"/>
      <c r="I4" s="1843"/>
      <c r="J4" s="1843"/>
      <c r="K4" s="1843"/>
      <c r="L4" s="1843"/>
      <c r="M4" s="1843"/>
      <c r="N4" s="1843"/>
      <c r="O4" s="1843"/>
      <c r="P4" s="1843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4"/>
      <c r="BB4" s="664"/>
      <c r="BC4" s="664"/>
      <c r="BD4" s="664"/>
      <c r="BE4" s="664"/>
      <c r="BF4" s="664"/>
      <c r="BG4" s="664"/>
      <c r="BH4" s="664"/>
      <c r="BI4" s="664"/>
      <c r="BJ4" s="664"/>
      <c r="BK4" s="664"/>
      <c r="BL4" s="664"/>
      <c r="BM4" s="664"/>
      <c r="BN4" s="664"/>
      <c r="BO4" s="664"/>
      <c r="BP4" s="664"/>
      <c r="BQ4" s="664"/>
      <c r="BR4" s="664"/>
      <c r="BS4" s="664"/>
      <c r="BT4" s="664"/>
      <c r="BU4" s="664"/>
      <c r="BV4" s="664"/>
      <c r="BW4" s="664"/>
      <c r="BX4" s="664"/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4"/>
      <c r="CN4" s="664"/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4"/>
      <c r="DP4" s="664"/>
      <c r="DQ4" s="664"/>
      <c r="DR4" s="664"/>
      <c r="DS4" s="664"/>
      <c r="DT4" s="664"/>
      <c r="DU4" s="664"/>
      <c r="DV4" s="664"/>
      <c r="DW4" s="664"/>
      <c r="DX4" s="664"/>
      <c r="DY4" s="664"/>
      <c r="DZ4" s="664"/>
      <c r="EA4" s="664"/>
      <c r="EB4" s="664"/>
      <c r="EC4" s="664"/>
      <c r="ED4" s="664"/>
      <c r="EE4" s="664"/>
      <c r="EF4" s="664"/>
      <c r="EG4" s="664"/>
      <c r="EH4" s="664"/>
      <c r="EI4" s="664"/>
      <c r="EJ4" s="664"/>
      <c r="EK4" s="664"/>
      <c r="EL4" s="664"/>
      <c r="EM4" s="664"/>
      <c r="EN4" s="664"/>
      <c r="EO4" s="664"/>
      <c r="EP4" s="664"/>
      <c r="EQ4" s="664"/>
      <c r="ER4" s="664"/>
      <c r="ES4" s="664"/>
      <c r="ET4" s="664"/>
      <c r="EU4" s="664"/>
      <c r="EV4" s="664"/>
      <c r="EW4" s="664"/>
      <c r="EX4" s="664"/>
      <c r="EY4" s="664"/>
      <c r="EZ4" s="664"/>
      <c r="FA4" s="664"/>
      <c r="FB4" s="664"/>
      <c r="FC4" s="664"/>
      <c r="FD4" s="664"/>
      <c r="FE4" s="664"/>
      <c r="FF4" s="664"/>
      <c r="FG4" s="664"/>
      <c r="FH4" s="664"/>
      <c r="FI4" s="664"/>
      <c r="FJ4" s="664"/>
      <c r="FK4" s="664"/>
      <c r="FL4" s="664"/>
      <c r="FM4" s="664"/>
      <c r="FN4" s="664"/>
      <c r="FO4" s="664"/>
      <c r="FP4" s="664"/>
      <c r="FQ4" s="664"/>
      <c r="FR4" s="664"/>
      <c r="FS4" s="664"/>
      <c r="FT4" s="664"/>
      <c r="FU4" s="664"/>
      <c r="FV4" s="664"/>
      <c r="FW4" s="664"/>
      <c r="FX4" s="664"/>
      <c r="FY4" s="664"/>
      <c r="FZ4" s="664"/>
      <c r="GA4" s="664"/>
      <c r="GB4" s="664"/>
      <c r="GC4" s="664"/>
      <c r="GD4" s="664"/>
      <c r="GE4" s="664"/>
      <c r="GF4" s="664"/>
      <c r="GG4" s="664"/>
      <c r="GH4" s="664"/>
      <c r="GI4" s="664"/>
      <c r="GJ4" s="664"/>
      <c r="GK4" s="664"/>
      <c r="GL4" s="664"/>
      <c r="GM4" s="664"/>
      <c r="GN4" s="664"/>
      <c r="GO4" s="664"/>
      <c r="GP4" s="664"/>
      <c r="GQ4" s="664"/>
      <c r="GR4" s="664"/>
      <c r="GS4" s="664"/>
      <c r="GT4" s="664"/>
      <c r="GU4" s="664"/>
      <c r="GV4" s="664"/>
      <c r="GW4" s="664"/>
      <c r="GX4" s="664"/>
      <c r="GY4" s="664"/>
      <c r="GZ4" s="664"/>
      <c r="HA4" s="664"/>
      <c r="HB4" s="664"/>
      <c r="HC4" s="664"/>
      <c r="HD4" s="664"/>
      <c r="HE4" s="664"/>
      <c r="HF4" s="664"/>
      <c r="HG4" s="664"/>
      <c r="HH4" s="664"/>
      <c r="HI4" s="664"/>
      <c r="HJ4" s="664"/>
      <c r="HK4" s="664"/>
      <c r="HL4" s="664"/>
      <c r="HM4" s="664"/>
      <c r="HN4" s="664"/>
      <c r="HO4" s="664"/>
      <c r="HP4" s="664"/>
      <c r="HQ4" s="664"/>
      <c r="HR4" s="664"/>
      <c r="HS4" s="664"/>
      <c r="HT4" s="664"/>
      <c r="HU4" s="664"/>
      <c r="HV4" s="664"/>
      <c r="HW4" s="664"/>
      <c r="HX4" s="664"/>
      <c r="HY4" s="664"/>
      <c r="HZ4" s="664"/>
      <c r="IA4" s="664"/>
      <c r="IB4" s="664"/>
      <c r="IC4" s="664"/>
      <c r="ID4" s="664"/>
      <c r="IE4" s="664"/>
      <c r="IF4" s="664"/>
      <c r="IG4" s="664"/>
      <c r="IH4" s="664"/>
      <c r="II4" s="664"/>
      <c r="IJ4" s="664"/>
      <c r="IK4" s="664"/>
      <c r="IL4" s="664"/>
      <c r="IM4" s="664"/>
      <c r="IN4" s="664"/>
      <c r="IO4" s="664"/>
      <c r="IP4" s="664"/>
      <c r="IQ4" s="664"/>
      <c r="IR4" s="664"/>
      <c r="IS4" s="664"/>
      <c r="IT4" s="664"/>
      <c r="IU4" s="664"/>
      <c r="IV4" s="664"/>
    </row>
    <row r="5" spans="1:256" ht="12.75" customHeight="1">
      <c r="A5" s="665"/>
      <c r="B5" s="665"/>
      <c r="C5" s="665"/>
      <c r="D5" s="665"/>
      <c r="E5" s="664"/>
      <c r="F5" s="664"/>
      <c r="G5" s="664"/>
      <c r="H5" s="664"/>
      <c r="I5" s="665"/>
      <c r="J5" s="665"/>
      <c r="K5" s="665"/>
      <c r="L5" s="665"/>
      <c r="M5" s="665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  <c r="BB5" s="664"/>
      <c r="BC5" s="664"/>
      <c r="BD5" s="664"/>
      <c r="BE5" s="664"/>
      <c r="BF5" s="664"/>
      <c r="BG5" s="664"/>
      <c r="BH5" s="664"/>
      <c r="BI5" s="664"/>
      <c r="BJ5" s="664"/>
      <c r="BK5" s="664"/>
      <c r="BL5" s="664"/>
      <c r="BM5" s="664"/>
      <c r="BN5" s="664"/>
      <c r="BO5" s="664"/>
      <c r="BP5" s="664"/>
      <c r="BQ5" s="664"/>
      <c r="BR5" s="664"/>
      <c r="BS5" s="664"/>
      <c r="BT5" s="664"/>
      <c r="BU5" s="664"/>
      <c r="BV5" s="664"/>
      <c r="BW5" s="664"/>
      <c r="BX5" s="664"/>
      <c r="BY5" s="664"/>
      <c r="BZ5" s="664"/>
      <c r="CA5" s="664"/>
      <c r="CB5" s="664"/>
      <c r="CC5" s="664"/>
      <c r="CD5" s="664"/>
      <c r="CE5" s="664"/>
      <c r="CF5" s="664"/>
      <c r="CG5" s="664"/>
      <c r="CH5" s="664"/>
      <c r="CI5" s="664"/>
      <c r="CJ5" s="664"/>
      <c r="CK5" s="664"/>
      <c r="CL5" s="664"/>
      <c r="CM5" s="664"/>
      <c r="CN5" s="664"/>
      <c r="CO5" s="664"/>
      <c r="CP5" s="664"/>
      <c r="CQ5" s="664"/>
      <c r="CR5" s="664"/>
      <c r="CS5" s="664"/>
      <c r="CT5" s="664"/>
      <c r="CU5" s="664"/>
      <c r="CV5" s="664"/>
      <c r="CW5" s="664"/>
      <c r="CX5" s="664"/>
      <c r="CY5" s="664"/>
      <c r="CZ5" s="664"/>
      <c r="DA5" s="664"/>
      <c r="DB5" s="664"/>
      <c r="DC5" s="664"/>
      <c r="DD5" s="664"/>
      <c r="DE5" s="664"/>
      <c r="DF5" s="664"/>
      <c r="DG5" s="664"/>
      <c r="DH5" s="664"/>
      <c r="DI5" s="664"/>
      <c r="DJ5" s="664"/>
      <c r="DK5" s="664"/>
      <c r="DL5" s="664"/>
      <c r="DM5" s="664"/>
      <c r="DN5" s="664"/>
      <c r="DO5" s="664"/>
      <c r="DP5" s="664"/>
      <c r="DQ5" s="664"/>
      <c r="DR5" s="664"/>
      <c r="DS5" s="664"/>
      <c r="DT5" s="664"/>
      <c r="DU5" s="664"/>
      <c r="DV5" s="664"/>
      <c r="DW5" s="664"/>
      <c r="DX5" s="664"/>
      <c r="DY5" s="664"/>
      <c r="DZ5" s="664"/>
      <c r="EA5" s="664"/>
      <c r="EB5" s="664"/>
      <c r="EC5" s="664"/>
      <c r="ED5" s="664"/>
      <c r="EE5" s="664"/>
      <c r="EF5" s="664"/>
      <c r="EG5" s="664"/>
      <c r="EH5" s="664"/>
      <c r="EI5" s="664"/>
      <c r="EJ5" s="664"/>
      <c r="EK5" s="664"/>
      <c r="EL5" s="664"/>
      <c r="EM5" s="664"/>
      <c r="EN5" s="664"/>
      <c r="EO5" s="664"/>
      <c r="EP5" s="664"/>
      <c r="EQ5" s="664"/>
      <c r="ER5" s="664"/>
      <c r="ES5" s="664"/>
      <c r="ET5" s="664"/>
      <c r="EU5" s="664"/>
      <c r="EV5" s="664"/>
      <c r="EW5" s="664"/>
      <c r="EX5" s="664"/>
      <c r="EY5" s="664"/>
      <c r="EZ5" s="664"/>
      <c r="FA5" s="664"/>
      <c r="FB5" s="664"/>
      <c r="FC5" s="664"/>
      <c r="FD5" s="664"/>
      <c r="FE5" s="664"/>
      <c r="FF5" s="664"/>
      <c r="FG5" s="664"/>
      <c r="FH5" s="664"/>
      <c r="FI5" s="664"/>
      <c r="FJ5" s="664"/>
      <c r="FK5" s="664"/>
      <c r="FL5" s="664"/>
      <c r="FM5" s="664"/>
      <c r="FN5" s="664"/>
      <c r="FO5" s="664"/>
      <c r="FP5" s="664"/>
      <c r="FQ5" s="664"/>
      <c r="FR5" s="664"/>
      <c r="FS5" s="664"/>
      <c r="FT5" s="664"/>
      <c r="FU5" s="664"/>
      <c r="FV5" s="664"/>
      <c r="FW5" s="664"/>
      <c r="FX5" s="664"/>
      <c r="FY5" s="664"/>
      <c r="FZ5" s="664"/>
      <c r="GA5" s="664"/>
      <c r="GB5" s="664"/>
      <c r="GC5" s="664"/>
      <c r="GD5" s="664"/>
      <c r="GE5" s="664"/>
      <c r="GF5" s="664"/>
      <c r="GG5" s="664"/>
      <c r="GH5" s="664"/>
      <c r="GI5" s="664"/>
      <c r="GJ5" s="664"/>
      <c r="GK5" s="664"/>
      <c r="GL5" s="664"/>
      <c r="GM5" s="664"/>
      <c r="GN5" s="664"/>
      <c r="GO5" s="664"/>
      <c r="GP5" s="664"/>
      <c r="GQ5" s="664"/>
      <c r="GR5" s="664"/>
      <c r="GS5" s="664"/>
      <c r="GT5" s="664"/>
      <c r="GU5" s="664"/>
      <c r="GV5" s="664"/>
      <c r="GW5" s="664"/>
      <c r="GX5" s="664"/>
      <c r="GY5" s="664"/>
      <c r="GZ5" s="664"/>
      <c r="HA5" s="664"/>
      <c r="HB5" s="664"/>
      <c r="HC5" s="664"/>
      <c r="HD5" s="664"/>
      <c r="HE5" s="664"/>
      <c r="HF5" s="664"/>
      <c r="HG5" s="664"/>
      <c r="HH5" s="664"/>
      <c r="HI5" s="664"/>
      <c r="HJ5" s="664"/>
      <c r="HK5" s="664"/>
      <c r="HL5" s="664"/>
      <c r="HM5" s="664"/>
      <c r="HN5" s="664"/>
      <c r="HO5" s="664"/>
      <c r="HP5" s="664"/>
      <c r="HQ5" s="664"/>
      <c r="HR5" s="664"/>
      <c r="HS5" s="664"/>
      <c r="HT5" s="664"/>
      <c r="HU5" s="664"/>
      <c r="HV5" s="664"/>
      <c r="HW5" s="664"/>
      <c r="HX5" s="664"/>
      <c r="HY5" s="664"/>
      <c r="HZ5" s="664"/>
      <c r="IA5" s="664"/>
      <c r="IB5" s="664"/>
      <c r="IC5" s="664"/>
      <c r="ID5" s="664"/>
      <c r="IE5" s="664"/>
      <c r="IF5" s="664"/>
      <c r="IG5" s="664"/>
      <c r="IH5" s="664"/>
      <c r="II5" s="664"/>
      <c r="IJ5" s="664"/>
      <c r="IK5" s="664"/>
      <c r="IL5" s="664"/>
      <c r="IM5" s="664"/>
      <c r="IN5" s="664"/>
      <c r="IO5" s="664"/>
      <c r="IP5" s="664"/>
      <c r="IQ5" s="664"/>
      <c r="IR5" s="664"/>
      <c r="IS5" s="664"/>
      <c r="IT5" s="664"/>
      <c r="IU5" s="664"/>
      <c r="IV5" s="664"/>
    </row>
    <row r="6" spans="1:256" ht="12.75" customHeight="1">
      <c r="A6" s="664"/>
      <c r="B6" s="664"/>
      <c r="C6" s="664"/>
      <c r="D6" s="664"/>
      <c r="E6" s="664"/>
      <c r="F6" s="664"/>
      <c r="G6" s="1844"/>
      <c r="H6" s="1844"/>
      <c r="I6" s="664"/>
      <c r="J6" s="664"/>
      <c r="K6" s="664"/>
      <c r="L6" s="664"/>
      <c r="M6" s="664"/>
      <c r="N6" s="1845" t="s">
        <v>155</v>
      </c>
      <c r="O6" s="1845"/>
      <c r="P6" s="1845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4"/>
      <c r="AT6" s="664"/>
      <c r="AU6" s="664"/>
      <c r="AV6" s="664"/>
      <c r="AW6" s="664"/>
      <c r="AX6" s="664"/>
      <c r="AY6" s="664"/>
      <c r="AZ6" s="664"/>
      <c r="BA6" s="664"/>
      <c r="BB6" s="664"/>
      <c r="BC6" s="664"/>
      <c r="BD6" s="664"/>
      <c r="BE6" s="664"/>
      <c r="BF6" s="664"/>
      <c r="BG6" s="664"/>
      <c r="BH6" s="664"/>
      <c r="BI6" s="664"/>
      <c r="BJ6" s="664"/>
      <c r="BK6" s="664"/>
      <c r="BL6" s="664"/>
      <c r="BM6" s="664"/>
      <c r="BN6" s="664"/>
      <c r="BO6" s="664"/>
      <c r="BP6" s="664"/>
      <c r="BQ6" s="664"/>
      <c r="BR6" s="664"/>
      <c r="BS6" s="664"/>
      <c r="BT6" s="664"/>
      <c r="BU6" s="664"/>
      <c r="BV6" s="664"/>
      <c r="BW6" s="664"/>
      <c r="BX6" s="664"/>
      <c r="BY6" s="664"/>
      <c r="BZ6" s="664"/>
      <c r="CA6" s="664"/>
      <c r="CB6" s="664"/>
      <c r="CC6" s="664"/>
      <c r="CD6" s="664"/>
      <c r="CE6" s="664"/>
      <c r="CF6" s="664"/>
      <c r="CG6" s="664"/>
      <c r="CH6" s="664"/>
      <c r="CI6" s="664"/>
      <c r="CJ6" s="664"/>
      <c r="CK6" s="664"/>
      <c r="CL6" s="664"/>
      <c r="CM6" s="664"/>
      <c r="CN6" s="664"/>
      <c r="CO6" s="664"/>
      <c r="CP6" s="664"/>
      <c r="CQ6" s="664"/>
      <c r="CR6" s="664"/>
      <c r="CS6" s="664"/>
      <c r="CT6" s="664"/>
      <c r="CU6" s="664"/>
      <c r="CV6" s="664"/>
      <c r="CW6" s="664"/>
      <c r="CX6" s="664"/>
      <c r="CY6" s="664"/>
      <c r="CZ6" s="664"/>
      <c r="DA6" s="664"/>
      <c r="DB6" s="664"/>
      <c r="DC6" s="664"/>
      <c r="DD6" s="664"/>
      <c r="DE6" s="664"/>
      <c r="DF6" s="664"/>
      <c r="DG6" s="664"/>
      <c r="DH6" s="664"/>
      <c r="DI6" s="664"/>
      <c r="DJ6" s="664"/>
      <c r="DK6" s="664"/>
      <c r="DL6" s="664"/>
      <c r="DM6" s="664"/>
      <c r="DN6" s="664"/>
      <c r="DO6" s="664"/>
      <c r="DP6" s="664"/>
      <c r="DQ6" s="664"/>
      <c r="DR6" s="664"/>
      <c r="DS6" s="664"/>
      <c r="DT6" s="664"/>
      <c r="DU6" s="664"/>
      <c r="DV6" s="664"/>
      <c r="DW6" s="664"/>
      <c r="DX6" s="664"/>
      <c r="DY6" s="664"/>
      <c r="DZ6" s="664"/>
      <c r="EA6" s="664"/>
      <c r="EB6" s="664"/>
      <c r="EC6" s="664"/>
      <c r="ED6" s="664"/>
      <c r="EE6" s="664"/>
      <c r="EF6" s="664"/>
      <c r="EG6" s="664"/>
      <c r="EH6" s="664"/>
      <c r="EI6" s="664"/>
      <c r="EJ6" s="664"/>
      <c r="EK6" s="664"/>
      <c r="EL6" s="664"/>
      <c r="EM6" s="664"/>
      <c r="EN6" s="664"/>
      <c r="EO6" s="664"/>
      <c r="EP6" s="664"/>
      <c r="EQ6" s="664"/>
      <c r="ER6" s="664"/>
      <c r="ES6" s="664"/>
      <c r="ET6" s="664"/>
      <c r="EU6" s="664"/>
      <c r="EV6" s="664"/>
      <c r="EW6" s="664"/>
      <c r="EX6" s="664"/>
      <c r="EY6" s="664"/>
      <c r="EZ6" s="664"/>
      <c r="FA6" s="664"/>
      <c r="FB6" s="664"/>
      <c r="FC6" s="664"/>
      <c r="FD6" s="664"/>
      <c r="FE6" s="664"/>
      <c r="FF6" s="664"/>
      <c r="FG6" s="664"/>
      <c r="FH6" s="664"/>
      <c r="FI6" s="664"/>
      <c r="FJ6" s="664"/>
      <c r="FK6" s="664"/>
      <c r="FL6" s="664"/>
      <c r="FM6" s="664"/>
      <c r="FN6" s="664"/>
      <c r="FO6" s="664"/>
      <c r="FP6" s="664"/>
      <c r="FQ6" s="664"/>
      <c r="FR6" s="664"/>
      <c r="FS6" s="664"/>
      <c r="FT6" s="664"/>
      <c r="FU6" s="664"/>
      <c r="FV6" s="664"/>
      <c r="FW6" s="664"/>
      <c r="FX6" s="664"/>
      <c r="FY6" s="664"/>
      <c r="FZ6" s="664"/>
      <c r="GA6" s="664"/>
      <c r="GB6" s="664"/>
      <c r="GC6" s="664"/>
      <c r="GD6" s="664"/>
      <c r="GE6" s="664"/>
      <c r="GF6" s="664"/>
      <c r="GG6" s="664"/>
      <c r="GH6" s="664"/>
      <c r="GI6" s="664"/>
      <c r="GJ6" s="664"/>
      <c r="GK6" s="664"/>
      <c r="GL6" s="664"/>
      <c r="GM6" s="664"/>
      <c r="GN6" s="664"/>
      <c r="GO6" s="664"/>
      <c r="GP6" s="664"/>
      <c r="GQ6" s="664"/>
      <c r="GR6" s="664"/>
      <c r="GS6" s="664"/>
      <c r="GT6" s="664"/>
      <c r="GU6" s="664"/>
      <c r="GV6" s="664"/>
      <c r="GW6" s="664"/>
      <c r="GX6" s="664"/>
      <c r="GY6" s="664"/>
      <c r="GZ6" s="664"/>
      <c r="HA6" s="664"/>
      <c r="HB6" s="664"/>
      <c r="HC6" s="664"/>
      <c r="HD6" s="664"/>
      <c r="HE6" s="664"/>
      <c r="HF6" s="664"/>
      <c r="HG6" s="664"/>
      <c r="HH6" s="664"/>
      <c r="HI6" s="664"/>
      <c r="HJ6" s="664"/>
      <c r="HK6" s="664"/>
      <c r="HL6" s="664"/>
      <c r="HM6" s="664"/>
      <c r="HN6" s="664"/>
      <c r="HO6" s="664"/>
      <c r="HP6" s="664"/>
      <c r="HQ6" s="664"/>
      <c r="HR6" s="664"/>
      <c r="HS6" s="664"/>
      <c r="HT6" s="664"/>
      <c r="HU6" s="664"/>
      <c r="HV6" s="664"/>
      <c r="HW6" s="664"/>
      <c r="HX6" s="664"/>
      <c r="HY6" s="664"/>
      <c r="HZ6" s="664"/>
      <c r="IA6" s="664"/>
      <c r="IB6" s="664"/>
      <c r="IC6" s="664"/>
      <c r="ID6" s="664"/>
      <c r="IE6" s="664"/>
      <c r="IF6" s="664"/>
      <c r="IG6" s="664"/>
      <c r="IH6" s="664"/>
      <c r="II6" s="664"/>
      <c r="IJ6" s="664"/>
      <c r="IK6" s="664"/>
      <c r="IL6" s="664"/>
      <c r="IM6" s="664"/>
      <c r="IN6" s="664"/>
      <c r="IO6" s="664"/>
      <c r="IP6" s="664"/>
      <c r="IQ6" s="664"/>
      <c r="IR6" s="664"/>
      <c r="IS6" s="664"/>
      <c r="IT6" s="664"/>
      <c r="IU6" s="664"/>
      <c r="IV6" s="664"/>
    </row>
    <row r="7" spans="1:256" ht="12.75" customHeight="1">
      <c r="A7" s="666" t="s">
        <v>437</v>
      </c>
      <c r="B7" s="667" t="s">
        <v>438</v>
      </c>
      <c r="C7" s="667" t="s">
        <v>439</v>
      </c>
      <c r="D7" s="667" t="s">
        <v>440</v>
      </c>
      <c r="E7" s="667" t="s">
        <v>441</v>
      </c>
      <c r="F7" s="667" t="s">
        <v>442</v>
      </c>
      <c r="G7" s="667" t="s">
        <v>443</v>
      </c>
      <c r="H7" s="668" t="s">
        <v>444</v>
      </c>
      <c r="I7" s="666" t="s">
        <v>78</v>
      </c>
      <c r="J7" s="667" t="s">
        <v>438</v>
      </c>
      <c r="K7" s="667" t="s">
        <v>439</v>
      </c>
      <c r="L7" s="667" t="s">
        <v>440</v>
      </c>
      <c r="M7" s="667" t="s">
        <v>441</v>
      </c>
      <c r="N7" s="667" t="s">
        <v>442</v>
      </c>
      <c r="O7" s="667" t="s">
        <v>443</v>
      </c>
      <c r="P7" s="668" t="s">
        <v>25</v>
      </c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664"/>
      <c r="BR7" s="664"/>
      <c r="BS7" s="664"/>
      <c r="BT7" s="664"/>
      <c r="BU7" s="664"/>
      <c r="BV7" s="664"/>
      <c r="BW7" s="664"/>
      <c r="BX7" s="664"/>
      <c r="BY7" s="664"/>
      <c r="BZ7" s="664"/>
      <c r="CA7" s="664"/>
      <c r="CB7" s="664"/>
      <c r="CC7" s="664"/>
      <c r="CD7" s="664"/>
      <c r="CE7" s="664"/>
      <c r="CF7" s="664"/>
      <c r="CG7" s="664"/>
      <c r="CH7" s="664"/>
      <c r="CI7" s="664"/>
      <c r="CJ7" s="664"/>
      <c r="CK7" s="664"/>
      <c r="CL7" s="664"/>
      <c r="CM7" s="664"/>
      <c r="CN7" s="664"/>
      <c r="CO7" s="664"/>
      <c r="CP7" s="664"/>
      <c r="CQ7" s="664"/>
      <c r="CR7" s="664"/>
      <c r="CS7" s="664"/>
      <c r="CT7" s="664"/>
      <c r="CU7" s="664"/>
      <c r="CV7" s="664"/>
      <c r="CW7" s="664"/>
      <c r="CX7" s="664"/>
      <c r="CY7" s="664"/>
      <c r="CZ7" s="664"/>
      <c r="DA7" s="664"/>
      <c r="DB7" s="664"/>
      <c r="DC7" s="664"/>
      <c r="DD7" s="664"/>
      <c r="DE7" s="664"/>
      <c r="DF7" s="664"/>
      <c r="DG7" s="664"/>
      <c r="DH7" s="664"/>
      <c r="DI7" s="664"/>
      <c r="DJ7" s="664"/>
      <c r="DK7" s="664"/>
      <c r="DL7" s="664"/>
      <c r="DM7" s="664"/>
      <c r="DN7" s="664"/>
      <c r="DO7" s="664"/>
      <c r="DP7" s="664"/>
      <c r="DQ7" s="664"/>
      <c r="DR7" s="664"/>
      <c r="DS7" s="664"/>
      <c r="DT7" s="664"/>
      <c r="DU7" s="664"/>
      <c r="DV7" s="664"/>
      <c r="DW7" s="664"/>
      <c r="DX7" s="664"/>
      <c r="DY7" s="664"/>
      <c r="DZ7" s="664"/>
      <c r="EA7" s="664"/>
      <c r="EB7" s="664"/>
      <c r="EC7" s="664"/>
      <c r="ED7" s="664"/>
      <c r="EE7" s="664"/>
      <c r="EF7" s="664"/>
      <c r="EG7" s="664"/>
      <c r="EH7" s="664"/>
      <c r="EI7" s="664"/>
      <c r="EJ7" s="664"/>
      <c r="EK7" s="664"/>
      <c r="EL7" s="664"/>
      <c r="EM7" s="664"/>
      <c r="EN7" s="664"/>
      <c r="EO7" s="664"/>
      <c r="EP7" s="664"/>
      <c r="EQ7" s="664"/>
      <c r="ER7" s="664"/>
      <c r="ES7" s="664"/>
      <c r="ET7" s="664"/>
      <c r="EU7" s="664"/>
      <c r="EV7" s="664"/>
      <c r="EW7" s="664"/>
      <c r="EX7" s="664"/>
      <c r="EY7" s="664"/>
      <c r="EZ7" s="664"/>
      <c r="FA7" s="664"/>
      <c r="FB7" s="664"/>
      <c r="FC7" s="664"/>
      <c r="FD7" s="664"/>
      <c r="FE7" s="664"/>
      <c r="FF7" s="664"/>
      <c r="FG7" s="664"/>
      <c r="FH7" s="664"/>
      <c r="FI7" s="664"/>
      <c r="FJ7" s="664"/>
      <c r="FK7" s="664"/>
      <c r="FL7" s="664"/>
      <c r="FM7" s="664"/>
      <c r="FN7" s="664"/>
      <c r="FO7" s="664"/>
      <c r="FP7" s="664"/>
      <c r="FQ7" s="664"/>
      <c r="FR7" s="664"/>
      <c r="FS7" s="664"/>
      <c r="FT7" s="664"/>
      <c r="FU7" s="664"/>
      <c r="FV7" s="664"/>
      <c r="FW7" s="664"/>
      <c r="FX7" s="664"/>
      <c r="FY7" s="664"/>
      <c r="FZ7" s="664"/>
      <c r="GA7" s="664"/>
      <c r="GB7" s="664"/>
      <c r="GC7" s="664"/>
      <c r="GD7" s="664"/>
      <c r="GE7" s="664"/>
      <c r="GF7" s="664"/>
      <c r="GG7" s="664"/>
      <c r="GH7" s="664"/>
      <c r="GI7" s="664"/>
      <c r="GJ7" s="664"/>
      <c r="GK7" s="664"/>
      <c r="GL7" s="664"/>
      <c r="GM7" s="664"/>
      <c r="GN7" s="664"/>
      <c r="GO7" s="664"/>
      <c r="GP7" s="664"/>
      <c r="GQ7" s="664"/>
      <c r="GR7" s="664"/>
      <c r="GS7" s="664"/>
      <c r="GT7" s="664"/>
      <c r="GU7" s="664"/>
      <c r="GV7" s="664"/>
      <c r="GW7" s="664"/>
      <c r="GX7" s="664"/>
      <c r="GY7" s="664"/>
      <c r="GZ7" s="664"/>
      <c r="HA7" s="664"/>
      <c r="HB7" s="664"/>
      <c r="HC7" s="664"/>
      <c r="HD7" s="664"/>
      <c r="HE7" s="664"/>
      <c r="HF7" s="664"/>
      <c r="HG7" s="664"/>
      <c r="HH7" s="664"/>
      <c r="HI7" s="664"/>
      <c r="HJ7" s="664"/>
      <c r="HK7" s="664"/>
      <c r="HL7" s="664"/>
      <c r="HM7" s="664"/>
      <c r="HN7" s="664"/>
      <c r="HO7" s="664"/>
      <c r="HP7" s="664"/>
      <c r="HQ7" s="664"/>
      <c r="HR7" s="664"/>
      <c r="HS7" s="664"/>
      <c r="HT7" s="664"/>
      <c r="HU7" s="664"/>
      <c r="HV7" s="664"/>
      <c r="HW7" s="664"/>
      <c r="HX7" s="664"/>
      <c r="HY7" s="664"/>
      <c r="HZ7" s="664"/>
      <c r="IA7" s="664"/>
      <c r="IB7" s="664"/>
      <c r="IC7" s="664"/>
      <c r="ID7" s="664"/>
      <c r="IE7" s="664"/>
      <c r="IF7" s="664"/>
      <c r="IG7" s="664"/>
      <c r="IH7" s="664"/>
      <c r="II7" s="664"/>
      <c r="IJ7" s="664"/>
      <c r="IK7" s="664"/>
      <c r="IL7" s="664"/>
      <c r="IM7" s="664"/>
      <c r="IN7" s="664"/>
      <c r="IO7" s="664"/>
      <c r="IP7" s="664"/>
      <c r="IQ7" s="664"/>
      <c r="IR7" s="664"/>
      <c r="IS7" s="664"/>
      <c r="IT7" s="664"/>
      <c r="IU7" s="664"/>
      <c r="IV7" s="664"/>
    </row>
    <row r="8" spans="1:256" ht="26.25" customHeight="1">
      <c r="A8" s="669" t="s">
        <v>445</v>
      </c>
      <c r="B8" s="670">
        <v>28638043</v>
      </c>
      <c r="C8" s="670">
        <v>966000</v>
      </c>
      <c r="D8" s="671">
        <v>78798803</v>
      </c>
      <c r="E8" s="671">
        <v>86486333</v>
      </c>
      <c r="F8" s="671">
        <v>12222435</v>
      </c>
      <c r="G8" s="671">
        <v>51234603</v>
      </c>
      <c r="H8" s="671">
        <f aca="true" t="shared" si="0" ref="H8:H18">SUM(B8:G8)</f>
        <v>258346217</v>
      </c>
      <c r="I8" s="669" t="s">
        <v>165</v>
      </c>
      <c r="J8" s="670">
        <v>233723592</v>
      </c>
      <c r="K8" s="670"/>
      <c r="L8" s="670">
        <v>0</v>
      </c>
      <c r="M8" s="671">
        <v>35340</v>
      </c>
      <c r="N8" s="671">
        <v>0</v>
      </c>
      <c r="O8" s="670">
        <v>0</v>
      </c>
      <c r="P8" s="672">
        <f aca="true" t="shared" si="1" ref="P8:P18">SUM(J8:O8)</f>
        <v>233758932</v>
      </c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  <c r="EE8" s="664"/>
      <c r="EF8" s="664"/>
      <c r="EG8" s="664"/>
      <c r="EH8" s="664"/>
      <c r="EI8" s="664"/>
      <c r="EJ8" s="664"/>
      <c r="EK8" s="664"/>
      <c r="EL8" s="664"/>
      <c r="EM8" s="664"/>
      <c r="EN8" s="664"/>
      <c r="EO8" s="664"/>
      <c r="EP8" s="664"/>
      <c r="EQ8" s="664"/>
      <c r="ER8" s="664"/>
      <c r="ES8" s="664"/>
      <c r="ET8" s="664"/>
      <c r="EU8" s="664"/>
      <c r="EV8" s="664"/>
      <c r="EW8" s="664"/>
      <c r="EX8" s="664"/>
      <c r="EY8" s="664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4"/>
      <c r="FL8" s="664"/>
      <c r="FM8" s="664"/>
      <c r="FN8" s="664"/>
      <c r="FO8" s="664"/>
      <c r="FP8" s="664"/>
      <c r="FQ8" s="664"/>
      <c r="FR8" s="664"/>
      <c r="FS8" s="664"/>
      <c r="FT8" s="664"/>
      <c r="FU8" s="664"/>
      <c r="FV8" s="664"/>
      <c r="FW8" s="664"/>
      <c r="FX8" s="664"/>
      <c r="FY8" s="664"/>
      <c r="FZ8" s="664"/>
      <c r="GA8" s="664"/>
      <c r="GB8" s="664"/>
      <c r="GC8" s="664"/>
      <c r="GD8" s="664"/>
      <c r="GE8" s="664"/>
      <c r="GF8" s="664"/>
      <c r="GG8" s="664"/>
      <c r="GH8" s="664"/>
      <c r="GI8" s="664"/>
      <c r="GJ8" s="664"/>
      <c r="GK8" s="664"/>
      <c r="GL8" s="664"/>
      <c r="GM8" s="664"/>
      <c r="GN8" s="664"/>
      <c r="GO8" s="664"/>
      <c r="GP8" s="664"/>
      <c r="GQ8" s="664"/>
      <c r="GR8" s="664"/>
      <c r="GS8" s="664"/>
      <c r="GT8" s="664"/>
      <c r="GU8" s="664"/>
      <c r="GV8" s="664"/>
      <c r="GW8" s="664"/>
      <c r="GX8" s="664"/>
      <c r="GY8" s="664"/>
      <c r="GZ8" s="664"/>
      <c r="HA8" s="664"/>
      <c r="HB8" s="664"/>
      <c r="HC8" s="664"/>
      <c r="HD8" s="664"/>
      <c r="HE8" s="664"/>
      <c r="HF8" s="664"/>
      <c r="HG8" s="664"/>
      <c r="HH8" s="664"/>
      <c r="HI8" s="664"/>
      <c r="HJ8" s="664"/>
      <c r="HK8" s="664"/>
      <c r="HL8" s="664"/>
      <c r="HM8" s="664"/>
      <c r="HN8" s="664"/>
      <c r="HO8" s="664"/>
      <c r="HP8" s="664"/>
      <c r="HQ8" s="664"/>
      <c r="HR8" s="664"/>
      <c r="HS8" s="664"/>
      <c r="HT8" s="664"/>
      <c r="HU8" s="664"/>
      <c r="HV8" s="664"/>
      <c r="HW8" s="664"/>
      <c r="HX8" s="664"/>
      <c r="HY8" s="664"/>
      <c r="HZ8" s="664"/>
      <c r="IA8" s="664"/>
      <c r="IB8" s="664"/>
      <c r="IC8" s="664"/>
      <c r="ID8" s="664"/>
      <c r="IE8" s="664"/>
      <c r="IF8" s="664"/>
      <c r="IG8" s="664"/>
      <c r="IH8" s="664"/>
      <c r="II8" s="664"/>
      <c r="IJ8" s="664"/>
      <c r="IK8" s="664"/>
      <c r="IL8" s="664"/>
      <c r="IM8" s="664"/>
      <c r="IN8" s="664"/>
      <c r="IO8" s="664"/>
      <c r="IP8" s="664"/>
      <c r="IQ8" s="664"/>
      <c r="IR8" s="664"/>
      <c r="IS8" s="664"/>
      <c r="IT8" s="664"/>
      <c r="IU8" s="664"/>
      <c r="IV8" s="664"/>
    </row>
    <row r="9" spans="1:256" ht="21.75" customHeight="1">
      <c r="A9" s="669" t="s">
        <v>616</v>
      </c>
      <c r="B9" s="670">
        <v>5015100</v>
      </c>
      <c r="C9" s="670">
        <v>169056</v>
      </c>
      <c r="D9" s="671">
        <v>13739698</v>
      </c>
      <c r="E9" s="671">
        <v>15727890</v>
      </c>
      <c r="F9" s="671">
        <v>2181127</v>
      </c>
      <c r="G9" s="676">
        <v>8544824</v>
      </c>
      <c r="H9" s="671">
        <f t="shared" si="0"/>
        <v>45377695</v>
      </c>
      <c r="I9" s="669" t="s">
        <v>450</v>
      </c>
      <c r="J9" s="670"/>
      <c r="K9" s="670"/>
      <c r="L9" s="670">
        <v>75719241</v>
      </c>
      <c r="M9" s="671">
        <v>103076884</v>
      </c>
      <c r="N9" s="671">
        <v>6201079</v>
      </c>
      <c r="O9" s="670">
        <v>23972641</v>
      </c>
      <c r="P9" s="672">
        <f t="shared" si="1"/>
        <v>208969845</v>
      </c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  <c r="BC9" s="664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4"/>
      <c r="CA9" s="664"/>
      <c r="CB9" s="664"/>
      <c r="CC9" s="664"/>
      <c r="CD9" s="664"/>
      <c r="CE9" s="664"/>
      <c r="CF9" s="664"/>
      <c r="CG9" s="664"/>
      <c r="CH9" s="664"/>
      <c r="CI9" s="664"/>
      <c r="CJ9" s="664"/>
      <c r="CK9" s="664"/>
      <c r="CL9" s="664"/>
      <c r="CM9" s="664"/>
      <c r="CN9" s="664"/>
      <c r="CO9" s="664"/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64"/>
      <c r="DB9" s="664"/>
      <c r="DC9" s="664"/>
      <c r="DD9" s="664"/>
      <c r="DE9" s="664"/>
      <c r="DF9" s="664"/>
      <c r="DG9" s="664"/>
      <c r="DH9" s="664"/>
      <c r="DI9" s="664"/>
      <c r="DJ9" s="664"/>
      <c r="DK9" s="664"/>
      <c r="DL9" s="664"/>
      <c r="DM9" s="664"/>
      <c r="DN9" s="664"/>
      <c r="DO9" s="664"/>
      <c r="DP9" s="664"/>
      <c r="DQ9" s="664"/>
      <c r="DR9" s="664"/>
      <c r="DS9" s="664"/>
      <c r="DT9" s="664"/>
      <c r="DU9" s="664"/>
      <c r="DV9" s="664"/>
      <c r="DW9" s="664"/>
      <c r="DX9" s="664"/>
      <c r="DY9" s="664"/>
      <c r="DZ9" s="664"/>
      <c r="EA9" s="664"/>
      <c r="EB9" s="664"/>
      <c r="EC9" s="664"/>
      <c r="ED9" s="664"/>
      <c r="EE9" s="664"/>
      <c r="EF9" s="664"/>
      <c r="EG9" s="664"/>
      <c r="EH9" s="664"/>
      <c r="EI9" s="664"/>
      <c r="EJ9" s="664"/>
      <c r="EK9" s="664"/>
      <c r="EL9" s="664"/>
      <c r="EM9" s="664"/>
      <c r="EN9" s="664"/>
      <c r="EO9" s="664"/>
      <c r="EP9" s="664"/>
      <c r="EQ9" s="664"/>
      <c r="ER9" s="664"/>
      <c r="ES9" s="664"/>
      <c r="ET9" s="664"/>
      <c r="EU9" s="664"/>
      <c r="EV9" s="664"/>
      <c r="EW9" s="664"/>
      <c r="EX9" s="664"/>
      <c r="EY9" s="664"/>
      <c r="EZ9" s="664"/>
      <c r="FA9" s="664"/>
      <c r="FB9" s="664"/>
      <c r="FC9" s="664"/>
      <c r="FD9" s="664"/>
      <c r="FE9" s="664"/>
      <c r="FF9" s="664"/>
      <c r="FG9" s="664"/>
      <c r="FH9" s="664"/>
      <c r="FI9" s="664"/>
      <c r="FJ9" s="664"/>
      <c r="FK9" s="664"/>
      <c r="FL9" s="664"/>
      <c r="FM9" s="664"/>
      <c r="FN9" s="664"/>
      <c r="FO9" s="664"/>
      <c r="FP9" s="664"/>
      <c r="FQ9" s="664"/>
      <c r="FR9" s="664"/>
      <c r="FS9" s="664"/>
      <c r="FT9" s="664"/>
      <c r="FU9" s="664"/>
      <c r="FV9" s="664"/>
      <c r="FW9" s="664"/>
      <c r="FX9" s="664"/>
      <c r="FY9" s="664"/>
      <c r="FZ9" s="664"/>
      <c r="GA9" s="664"/>
      <c r="GB9" s="664"/>
      <c r="GC9" s="664"/>
      <c r="GD9" s="664"/>
      <c r="GE9" s="664"/>
      <c r="GF9" s="664"/>
      <c r="GG9" s="664"/>
      <c r="GH9" s="664"/>
      <c r="GI9" s="664"/>
      <c r="GJ9" s="664"/>
      <c r="GK9" s="664"/>
      <c r="GL9" s="664"/>
      <c r="GM9" s="664"/>
      <c r="GN9" s="664"/>
      <c r="GO9" s="664"/>
      <c r="GP9" s="664"/>
      <c r="GQ9" s="664"/>
      <c r="GR9" s="664"/>
      <c r="GS9" s="664"/>
      <c r="GT9" s="664"/>
      <c r="GU9" s="664"/>
      <c r="GV9" s="664"/>
      <c r="GW9" s="664"/>
      <c r="GX9" s="664"/>
      <c r="GY9" s="664"/>
      <c r="GZ9" s="664"/>
      <c r="HA9" s="664"/>
      <c r="HB9" s="664"/>
      <c r="HC9" s="664"/>
      <c r="HD9" s="664"/>
      <c r="HE9" s="664"/>
      <c r="HF9" s="664"/>
      <c r="HG9" s="664"/>
      <c r="HH9" s="664"/>
      <c r="HI9" s="664"/>
      <c r="HJ9" s="664"/>
      <c r="HK9" s="664"/>
      <c r="HL9" s="664"/>
      <c r="HM9" s="664"/>
      <c r="HN9" s="664"/>
      <c r="HO9" s="664"/>
      <c r="HP9" s="664"/>
      <c r="HQ9" s="664"/>
      <c r="HR9" s="664"/>
      <c r="HS9" s="664"/>
      <c r="HT9" s="664"/>
      <c r="HU9" s="664"/>
      <c r="HV9" s="664"/>
      <c r="HW9" s="664"/>
      <c r="HX9" s="664"/>
      <c r="HY9" s="664"/>
      <c r="HZ9" s="664"/>
      <c r="IA9" s="664"/>
      <c r="IB9" s="664"/>
      <c r="IC9" s="664"/>
      <c r="ID9" s="664"/>
      <c r="IE9" s="664"/>
      <c r="IF9" s="664"/>
      <c r="IG9" s="664"/>
      <c r="IH9" s="664"/>
      <c r="II9" s="664"/>
      <c r="IJ9" s="664"/>
      <c r="IK9" s="664"/>
      <c r="IL9" s="664"/>
      <c r="IM9" s="664"/>
      <c r="IN9" s="664"/>
      <c r="IO9" s="664"/>
      <c r="IP9" s="664"/>
      <c r="IQ9" s="664"/>
      <c r="IR9" s="664"/>
      <c r="IS9" s="664"/>
      <c r="IT9" s="664"/>
      <c r="IU9" s="664"/>
      <c r="IV9" s="664"/>
    </row>
    <row r="10" spans="1:256" ht="16.5" customHeight="1">
      <c r="A10" s="669" t="s">
        <v>447</v>
      </c>
      <c r="B10" s="670">
        <v>63900760</v>
      </c>
      <c r="C10" s="670"/>
      <c r="D10" s="671">
        <v>12350031</v>
      </c>
      <c r="E10" s="671">
        <v>22620296</v>
      </c>
      <c r="F10" s="671">
        <v>9670020</v>
      </c>
      <c r="G10" s="676">
        <v>39316227</v>
      </c>
      <c r="H10" s="671">
        <f t="shared" si="0"/>
        <v>147857334</v>
      </c>
      <c r="I10" s="669" t="s">
        <v>451</v>
      </c>
      <c r="J10" s="673"/>
      <c r="K10" s="670"/>
      <c r="L10" s="670">
        <v>26965908</v>
      </c>
      <c r="M10" s="671">
        <v>19417554</v>
      </c>
      <c r="N10" s="671">
        <v>17202740</v>
      </c>
      <c r="O10" s="670">
        <v>52818350</v>
      </c>
      <c r="P10" s="672">
        <f t="shared" si="1"/>
        <v>116404552</v>
      </c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  <c r="AW10" s="664"/>
      <c r="AX10" s="664"/>
      <c r="AY10" s="664"/>
      <c r="AZ10" s="664"/>
      <c r="BA10" s="664"/>
      <c r="BB10" s="664"/>
      <c r="BC10" s="664"/>
      <c r="BD10" s="664"/>
      <c r="BE10" s="664"/>
      <c r="BF10" s="664"/>
      <c r="BG10" s="664"/>
      <c r="BH10" s="664"/>
      <c r="BI10" s="664"/>
      <c r="BJ10" s="664"/>
      <c r="BK10" s="664"/>
      <c r="BL10" s="664"/>
      <c r="BM10" s="664"/>
      <c r="BN10" s="664"/>
      <c r="BO10" s="664"/>
      <c r="BP10" s="664"/>
      <c r="BQ10" s="664"/>
      <c r="BR10" s="664"/>
      <c r="BS10" s="664"/>
      <c r="BT10" s="664"/>
      <c r="BU10" s="664"/>
      <c r="BV10" s="664"/>
      <c r="BW10" s="664"/>
      <c r="BX10" s="664"/>
      <c r="BY10" s="664"/>
      <c r="BZ10" s="664"/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664"/>
      <c r="CL10" s="664"/>
      <c r="CM10" s="664"/>
      <c r="CN10" s="664"/>
      <c r="CO10" s="664"/>
      <c r="CP10" s="664"/>
      <c r="CQ10" s="664"/>
      <c r="CR10" s="664"/>
      <c r="CS10" s="664"/>
      <c r="CT10" s="664"/>
      <c r="CU10" s="664"/>
      <c r="CV10" s="664"/>
      <c r="CW10" s="664"/>
      <c r="CX10" s="664"/>
      <c r="CY10" s="664"/>
      <c r="CZ10" s="664"/>
      <c r="DA10" s="664"/>
      <c r="DB10" s="664"/>
      <c r="DC10" s="664"/>
      <c r="DD10" s="664"/>
      <c r="DE10" s="664"/>
      <c r="DF10" s="664"/>
      <c r="DG10" s="664"/>
      <c r="DH10" s="664"/>
      <c r="DI10" s="664"/>
      <c r="DJ10" s="664"/>
      <c r="DK10" s="664"/>
      <c r="DL10" s="664"/>
      <c r="DM10" s="664"/>
      <c r="DN10" s="664"/>
      <c r="DO10" s="664"/>
      <c r="DP10" s="664"/>
      <c r="DQ10" s="664"/>
      <c r="DR10" s="664"/>
      <c r="DS10" s="664"/>
      <c r="DT10" s="664"/>
      <c r="DU10" s="664"/>
      <c r="DV10" s="664"/>
      <c r="DW10" s="664"/>
      <c r="DX10" s="664"/>
      <c r="DY10" s="664"/>
      <c r="DZ10" s="664"/>
      <c r="EA10" s="664"/>
      <c r="EB10" s="664"/>
      <c r="EC10" s="664"/>
      <c r="ED10" s="664"/>
      <c r="EE10" s="664"/>
      <c r="EF10" s="664"/>
      <c r="EG10" s="664"/>
      <c r="EH10" s="664"/>
      <c r="EI10" s="664"/>
      <c r="EJ10" s="664"/>
      <c r="EK10" s="664"/>
      <c r="EL10" s="664"/>
      <c r="EM10" s="664"/>
      <c r="EN10" s="664"/>
      <c r="EO10" s="664"/>
      <c r="EP10" s="664"/>
      <c r="EQ10" s="664"/>
      <c r="ER10" s="664"/>
      <c r="ES10" s="664"/>
      <c r="ET10" s="664"/>
      <c r="EU10" s="664"/>
      <c r="EV10" s="664"/>
      <c r="EW10" s="664"/>
      <c r="EX10" s="664"/>
      <c r="EY10" s="664"/>
      <c r="EZ10" s="664"/>
      <c r="FA10" s="664"/>
      <c r="FB10" s="664"/>
      <c r="FC10" s="664"/>
      <c r="FD10" s="664"/>
      <c r="FE10" s="664"/>
      <c r="FF10" s="664"/>
      <c r="FG10" s="664"/>
      <c r="FH10" s="664"/>
      <c r="FI10" s="664"/>
      <c r="FJ10" s="664"/>
      <c r="FK10" s="664"/>
      <c r="FL10" s="664"/>
      <c r="FM10" s="664"/>
      <c r="FN10" s="664"/>
      <c r="FO10" s="664"/>
      <c r="FP10" s="664"/>
      <c r="FQ10" s="664"/>
      <c r="FR10" s="664"/>
      <c r="FS10" s="664"/>
      <c r="FT10" s="664"/>
      <c r="FU10" s="664"/>
      <c r="FV10" s="664"/>
      <c r="FW10" s="664"/>
      <c r="FX10" s="664"/>
      <c r="FY10" s="664"/>
      <c r="FZ10" s="664"/>
      <c r="GA10" s="664"/>
      <c r="GB10" s="664"/>
      <c r="GC10" s="664"/>
      <c r="GD10" s="664"/>
      <c r="GE10" s="664"/>
      <c r="GF10" s="664"/>
      <c r="GG10" s="664"/>
      <c r="GH10" s="664"/>
      <c r="GI10" s="664"/>
      <c r="GJ10" s="664"/>
      <c r="GK10" s="664"/>
      <c r="GL10" s="664"/>
      <c r="GM10" s="664"/>
      <c r="GN10" s="664"/>
      <c r="GO10" s="664"/>
      <c r="GP10" s="664"/>
      <c r="GQ10" s="664"/>
      <c r="GR10" s="664"/>
      <c r="GS10" s="664"/>
      <c r="GT10" s="664"/>
      <c r="GU10" s="664"/>
      <c r="GV10" s="664"/>
      <c r="GW10" s="664"/>
      <c r="GX10" s="664"/>
      <c r="GY10" s="664"/>
      <c r="GZ10" s="664"/>
      <c r="HA10" s="664"/>
      <c r="HB10" s="664"/>
      <c r="HC10" s="664"/>
      <c r="HD10" s="664"/>
      <c r="HE10" s="664"/>
      <c r="HF10" s="664"/>
      <c r="HG10" s="664"/>
      <c r="HH10" s="664"/>
      <c r="HI10" s="664"/>
      <c r="HJ10" s="664"/>
      <c r="HK10" s="664"/>
      <c r="HL10" s="664"/>
      <c r="HM10" s="664"/>
      <c r="HN10" s="664"/>
      <c r="HO10" s="664"/>
      <c r="HP10" s="664"/>
      <c r="HQ10" s="664"/>
      <c r="HR10" s="664"/>
      <c r="HS10" s="664"/>
      <c r="HT10" s="664"/>
      <c r="HU10" s="664"/>
      <c r="HV10" s="664"/>
      <c r="HW10" s="664"/>
      <c r="HX10" s="664"/>
      <c r="HY10" s="664"/>
      <c r="HZ10" s="664"/>
      <c r="IA10" s="664"/>
      <c r="IB10" s="664"/>
      <c r="IC10" s="664"/>
      <c r="ID10" s="664"/>
      <c r="IE10" s="664"/>
      <c r="IF10" s="664"/>
      <c r="IG10" s="664"/>
      <c r="IH10" s="664"/>
      <c r="II10" s="664"/>
      <c r="IJ10" s="664"/>
      <c r="IK10" s="664"/>
      <c r="IL10" s="664"/>
      <c r="IM10" s="664"/>
      <c r="IN10" s="664"/>
      <c r="IO10" s="664"/>
      <c r="IP10" s="664"/>
      <c r="IQ10" s="664"/>
      <c r="IR10" s="664"/>
      <c r="IS10" s="664"/>
      <c r="IT10" s="664"/>
      <c r="IU10" s="664"/>
      <c r="IV10" s="664"/>
    </row>
    <row r="11" spans="1:256" ht="16.5" customHeight="1">
      <c r="A11" s="669" t="s">
        <v>201</v>
      </c>
      <c r="B11" s="670">
        <v>3453000</v>
      </c>
      <c r="C11" s="670"/>
      <c r="D11" s="670"/>
      <c r="E11" s="670"/>
      <c r="F11" s="670"/>
      <c r="G11" s="670"/>
      <c r="H11" s="670">
        <f t="shared" si="0"/>
        <v>3453000</v>
      </c>
      <c r="I11" s="669" t="s">
        <v>174</v>
      </c>
      <c r="J11" s="670">
        <v>157049463</v>
      </c>
      <c r="K11" s="670"/>
      <c r="L11" s="670"/>
      <c r="M11" s="671"/>
      <c r="N11" s="671"/>
      <c r="O11" s="670"/>
      <c r="P11" s="672">
        <f t="shared" si="1"/>
        <v>157049463</v>
      </c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  <c r="BC11" s="664"/>
      <c r="BD11" s="664"/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BW11" s="664"/>
      <c r="BX11" s="664"/>
      <c r="BY11" s="664"/>
      <c r="BZ11" s="664"/>
      <c r="CA11" s="664"/>
      <c r="CB11" s="664"/>
      <c r="CC11" s="664"/>
      <c r="CD11" s="664"/>
      <c r="CE11" s="664"/>
      <c r="CF11" s="664"/>
      <c r="CG11" s="664"/>
      <c r="CH11" s="664"/>
      <c r="CI11" s="664"/>
      <c r="CJ11" s="664"/>
      <c r="CK11" s="664"/>
      <c r="CL11" s="664"/>
      <c r="CM11" s="664"/>
      <c r="CN11" s="664"/>
      <c r="CO11" s="664"/>
      <c r="CP11" s="664"/>
      <c r="CQ11" s="664"/>
      <c r="CR11" s="664"/>
      <c r="CS11" s="664"/>
      <c r="CT11" s="664"/>
      <c r="CU11" s="664"/>
      <c r="CV11" s="664"/>
      <c r="CW11" s="664"/>
      <c r="CX11" s="664"/>
      <c r="CY11" s="664"/>
      <c r="CZ11" s="664"/>
      <c r="DA11" s="664"/>
      <c r="DB11" s="664"/>
      <c r="DC11" s="664"/>
      <c r="DD11" s="664"/>
      <c r="DE11" s="664"/>
      <c r="DF11" s="664"/>
      <c r="DG11" s="664"/>
      <c r="DH11" s="664"/>
      <c r="DI11" s="664"/>
      <c r="DJ11" s="664"/>
      <c r="DK11" s="664"/>
      <c r="DL11" s="664"/>
      <c r="DM11" s="664"/>
      <c r="DN11" s="664"/>
      <c r="DO11" s="664"/>
      <c r="DP11" s="664"/>
      <c r="DQ11" s="664"/>
      <c r="DR11" s="664"/>
      <c r="DS11" s="664"/>
      <c r="DT11" s="664"/>
      <c r="DU11" s="664"/>
      <c r="DV11" s="664"/>
      <c r="DW11" s="664"/>
      <c r="DX11" s="664"/>
      <c r="DY11" s="664"/>
      <c r="DZ11" s="664"/>
      <c r="EA11" s="664"/>
      <c r="EB11" s="664"/>
      <c r="EC11" s="664"/>
      <c r="ED11" s="664"/>
      <c r="EE11" s="664"/>
      <c r="EF11" s="664"/>
      <c r="EG11" s="664"/>
      <c r="EH11" s="664"/>
      <c r="EI11" s="664"/>
      <c r="EJ11" s="664"/>
      <c r="EK11" s="664"/>
      <c r="EL11" s="664"/>
      <c r="EM11" s="664"/>
      <c r="EN11" s="664"/>
      <c r="EO11" s="664"/>
      <c r="EP11" s="664"/>
      <c r="EQ11" s="664"/>
      <c r="ER11" s="664"/>
      <c r="ES11" s="664"/>
      <c r="ET11" s="664"/>
      <c r="EU11" s="664"/>
      <c r="EV11" s="664"/>
      <c r="EW11" s="664"/>
      <c r="EX11" s="664"/>
      <c r="EY11" s="664"/>
      <c r="EZ11" s="664"/>
      <c r="FA11" s="664"/>
      <c r="FB11" s="664"/>
      <c r="FC11" s="664"/>
      <c r="FD11" s="664"/>
      <c r="FE11" s="664"/>
      <c r="FF11" s="664"/>
      <c r="FG11" s="664"/>
      <c r="FH11" s="664"/>
      <c r="FI11" s="664"/>
      <c r="FJ11" s="664"/>
      <c r="FK11" s="664"/>
      <c r="FL11" s="664"/>
      <c r="FM11" s="664"/>
      <c r="FN11" s="664"/>
      <c r="FO11" s="664"/>
      <c r="FP11" s="664"/>
      <c r="FQ11" s="664"/>
      <c r="FR11" s="664"/>
      <c r="FS11" s="664"/>
      <c r="FT11" s="664"/>
      <c r="FU11" s="664"/>
      <c r="FV11" s="664"/>
      <c r="FW11" s="664"/>
      <c r="FX11" s="664"/>
      <c r="FY11" s="664"/>
      <c r="FZ11" s="664"/>
      <c r="GA11" s="664"/>
      <c r="GB11" s="664"/>
      <c r="GC11" s="664"/>
      <c r="GD11" s="664"/>
      <c r="GE11" s="664"/>
      <c r="GF11" s="664"/>
      <c r="GG11" s="664"/>
      <c r="GH11" s="664"/>
      <c r="GI11" s="664"/>
      <c r="GJ11" s="664"/>
      <c r="GK11" s="664"/>
      <c r="GL11" s="664"/>
      <c r="GM11" s="664"/>
      <c r="GN11" s="664"/>
      <c r="GO11" s="664"/>
      <c r="GP11" s="664"/>
      <c r="GQ11" s="664"/>
      <c r="GR11" s="664"/>
      <c r="GS11" s="664"/>
      <c r="GT11" s="664"/>
      <c r="GU11" s="664"/>
      <c r="GV11" s="664"/>
      <c r="GW11" s="664"/>
      <c r="GX11" s="664"/>
      <c r="GY11" s="664"/>
      <c r="GZ11" s="664"/>
      <c r="HA11" s="664"/>
      <c r="HB11" s="664"/>
      <c r="HC11" s="664"/>
      <c r="HD11" s="664"/>
      <c r="HE11" s="664"/>
      <c r="HF11" s="664"/>
      <c r="HG11" s="664"/>
      <c r="HH11" s="664"/>
      <c r="HI11" s="664"/>
      <c r="HJ11" s="664"/>
      <c r="HK11" s="664"/>
      <c r="HL11" s="664"/>
      <c r="HM11" s="664"/>
      <c r="HN11" s="664"/>
      <c r="HO11" s="664"/>
      <c r="HP11" s="664"/>
      <c r="HQ11" s="664"/>
      <c r="HR11" s="664"/>
      <c r="HS11" s="664"/>
      <c r="HT11" s="664"/>
      <c r="HU11" s="664"/>
      <c r="HV11" s="664"/>
      <c r="HW11" s="664"/>
      <c r="HX11" s="664"/>
      <c r="HY11" s="664"/>
      <c r="HZ11" s="664"/>
      <c r="IA11" s="664"/>
      <c r="IB11" s="664"/>
      <c r="IC11" s="664"/>
      <c r="ID11" s="664"/>
      <c r="IE11" s="664"/>
      <c r="IF11" s="664"/>
      <c r="IG11" s="664"/>
      <c r="IH11" s="664"/>
      <c r="II11" s="664"/>
      <c r="IJ11" s="664"/>
      <c r="IK11" s="664"/>
      <c r="IL11" s="664"/>
      <c r="IM11" s="664"/>
      <c r="IN11" s="664"/>
      <c r="IO11" s="664"/>
      <c r="IP11" s="664"/>
      <c r="IQ11" s="664"/>
      <c r="IR11" s="664"/>
      <c r="IS11" s="664"/>
      <c r="IT11" s="664"/>
      <c r="IU11" s="664"/>
      <c r="IV11" s="664"/>
    </row>
    <row r="12" spans="1:256" ht="30" customHeight="1">
      <c r="A12" s="669" t="s">
        <v>150</v>
      </c>
      <c r="B12" s="670">
        <v>27288863</v>
      </c>
      <c r="C12" s="670"/>
      <c r="D12" s="670"/>
      <c r="E12" s="670"/>
      <c r="F12" s="670"/>
      <c r="G12" s="670"/>
      <c r="H12" s="670">
        <f t="shared" si="0"/>
        <v>27288863</v>
      </c>
      <c r="I12" s="669" t="s">
        <v>78</v>
      </c>
      <c r="J12" s="670">
        <v>17000100</v>
      </c>
      <c r="K12" s="670"/>
      <c r="L12" s="670">
        <v>2000031</v>
      </c>
      <c r="M12" s="671">
        <v>2111040</v>
      </c>
      <c r="N12" s="671">
        <v>400020</v>
      </c>
      <c r="O12" s="670">
        <v>21773727</v>
      </c>
      <c r="P12" s="672">
        <f>SUM(J12:O12)</f>
        <v>43284918</v>
      </c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664"/>
      <c r="AN12" s="664"/>
      <c r="AO12" s="664"/>
      <c r="AP12" s="664"/>
      <c r="AQ12" s="664"/>
      <c r="AR12" s="664"/>
      <c r="AS12" s="664"/>
      <c r="AT12" s="664"/>
      <c r="AU12" s="664"/>
      <c r="AV12" s="664"/>
      <c r="AW12" s="664"/>
      <c r="AX12" s="664"/>
      <c r="AY12" s="664"/>
      <c r="AZ12" s="664"/>
      <c r="BA12" s="664"/>
      <c r="BB12" s="664"/>
      <c r="BC12" s="664"/>
      <c r="BD12" s="664"/>
      <c r="BE12" s="664"/>
      <c r="BF12" s="664"/>
      <c r="BG12" s="664"/>
      <c r="BH12" s="664"/>
      <c r="BI12" s="664"/>
      <c r="BJ12" s="664"/>
      <c r="BK12" s="664"/>
      <c r="BL12" s="664"/>
      <c r="BM12" s="664"/>
      <c r="BN12" s="664"/>
      <c r="BO12" s="664"/>
      <c r="BP12" s="664"/>
      <c r="BQ12" s="664"/>
      <c r="BR12" s="664"/>
      <c r="BS12" s="664"/>
      <c r="BT12" s="664"/>
      <c r="BU12" s="664"/>
      <c r="BV12" s="664"/>
      <c r="BW12" s="664"/>
      <c r="BX12" s="664"/>
      <c r="BY12" s="664"/>
      <c r="BZ12" s="664"/>
      <c r="CA12" s="664"/>
      <c r="CB12" s="664"/>
      <c r="CC12" s="664"/>
      <c r="CD12" s="664"/>
      <c r="CE12" s="664"/>
      <c r="CF12" s="664"/>
      <c r="CG12" s="664"/>
      <c r="CH12" s="664"/>
      <c r="CI12" s="664"/>
      <c r="CJ12" s="664"/>
      <c r="CK12" s="664"/>
      <c r="CL12" s="664"/>
      <c r="CM12" s="664"/>
      <c r="CN12" s="664"/>
      <c r="CO12" s="664"/>
      <c r="CP12" s="664"/>
      <c r="CQ12" s="664"/>
      <c r="CR12" s="664"/>
      <c r="CS12" s="664"/>
      <c r="CT12" s="664"/>
      <c r="CU12" s="664"/>
      <c r="CV12" s="664"/>
      <c r="CW12" s="664"/>
      <c r="CX12" s="664"/>
      <c r="CY12" s="664"/>
      <c r="CZ12" s="664"/>
      <c r="DA12" s="664"/>
      <c r="DB12" s="664"/>
      <c r="DC12" s="664"/>
      <c r="DD12" s="664"/>
      <c r="DE12" s="664"/>
      <c r="DF12" s="664"/>
      <c r="DG12" s="664"/>
      <c r="DH12" s="664"/>
      <c r="DI12" s="664"/>
      <c r="DJ12" s="664"/>
      <c r="DK12" s="664"/>
      <c r="DL12" s="664"/>
      <c r="DM12" s="664"/>
      <c r="DN12" s="664"/>
      <c r="DO12" s="664"/>
      <c r="DP12" s="664"/>
      <c r="DQ12" s="664"/>
      <c r="DR12" s="664"/>
      <c r="DS12" s="664"/>
      <c r="DT12" s="664"/>
      <c r="DU12" s="664"/>
      <c r="DV12" s="664"/>
      <c r="DW12" s="664"/>
      <c r="DX12" s="664"/>
      <c r="DY12" s="664"/>
      <c r="DZ12" s="664"/>
      <c r="EA12" s="664"/>
      <c r="EB12" s="664"/>
      <c r="EC12" s="664"/>
      <c r="ED12" s="664"/>
      <c r="EE12" s="664"/>
      <c r="EF12" s="664"/>
      <c r="EG12" s="664"/>
      <c r="EH12" s="664"/>
      <c r="EI12" s="664"/>
      <c r="EJ12" s="664"/>
      <c r="EK12" s="664"/>
      <c r="EL12" s="664"/>
      <c r="EM12" s="664"/>
      <c r="EN12" s="664"/>
      <c r="EO12" s="664"/>
      <c r="EP12" s="664"/>
      <c r="EQ12" s="664"/>
      <c r="ER12" s="664"/>
      <c r="ES12" s="664"/>
      <c r="ET12" s="664"/>
      <c r="EU12" s="664"/>
      <c r="EV12" s="664"/>
      <c r="EW12" s="664"/>
      <c r="EX12" s="664"/>
      <c r="EY12" s="664"/>
      <c r="EZ12" s="664"/>
      <c r="FA12" s="664"/>
      <c r="FB12" s="664"/>
      <c r="FC12" s="664"/>
      <c r="FD12" s="664"/>
      <c r="FE12" s="664"/>
      <c r="FF12" s="664"/>
      <c r="FG12" s="664"/>
      <c r="FH12" s="664"/>
      <c r="FI12" s="664"/>
      <c r="FJ12" s="664"/>
      <c r="FK12" s="664"/>
      <c r="FL12" s="664"/>
      <c r="FM12" s="664"/>
      <c r="FN12" s="664"/>
      <c r="FO12" s="664"/>
      <c r="FP12" s="664"/>
      <c r="FQ12" s="664"/>
      <c r="FR12" s="664"/>
      <c r="FS12" s="664"/>
      <c r="FT12" s="664"/>
      <c r="FU12" s="664"/>
      <c r="FV12" s="664"/>
      <c r="FW12" s="664"/>
      <c r="FX12" s="664"/>
      <c r="FY12" s="664"/>
      <c r="FZ12" s="664"/>
      <c r="GA12" s="664"/>
      <c r="GB12" s="664"/>
      <c r="GC12" s="664"/>
      <c r="GD12" s="664"/>
      <c r="GE12" s="664"/>
      <c r="GF12" s="664"/>
      <c r="GG12" s="664"/>
      <c r="GH12" s="664"/>
      <c r="GI12" s="664"/>
      <c r="GJ12" s="664"/>
      <c r="GK12" s="664"/>
      <c r="GL12" s="664"/>
      <c r="GM12" s="664"/>
      <c r="GN12" s="664"/>
      <c r="GO12" s="664"/>
      <c r="GP12" s="664"/>
      <c r="GQ12" s="664"/>
      <c r="GR12" s="664"/>
      <c r="GS12" s="664"/>
      <c r="GT12" s="664"/>
      <c r="GU12" s="664"/>
      <c r="GV12" s="664"/>
      <c r="GW12" s="664"/>
      <c r="GX12" s="664"/>
      <c r="GY12" s="664"/>
      <c r="GZ12" s="664"/>
      <c r="HA12" s="664"/>
      <c r="HB12" s="664"/>
      <c r="HC12" s="664"/>
      <c r="HD12" s="664"/>
      <c r="HE12" s="664"/>
      <c r="HF12" s="664"/>
      <c r="HG12" s="664"/>
      <c r="HH12" s="664"/>
      <c r="HI12" s="664"/>
      <c r="HJ12" s="664"/>
      <c r="HK12" s="664"/>
      <c r="HL12" s="664"/>
      <c r="HM12" s="664"/>
      <c r="HN12" s="664"/>
      <c r="HO12" s="664"/>
      <c r="HP12" s="664"/>
      <c r="HQ12" s="664"/>
      <c r="HR12" s="664"/>
      <c r="HS12" s="664"/>
      <c r="HT12" s="664"/>
      <c r="HU12" s="664"/>
      <c r="HV12" s="664"/>
      <c r="HW12" s="664"/>
      <c r="HX12" s="664"/>
      <c r="HY12" s="664"/>
      <c r="HZ12" s="664"/>
      <c r="IA12" s="664"/>
      <c r="IB12" s="664"/>
      <c r="IC12" s="664"/>
      <c r="ID12" s="664"/>
      <c r="IE12" s="664"/>
      <c r="IF12" s="664"/>
      <c r="IG12" s="664"/>
      <c r="IH12" s="664"/>
      <c r="II12" s="664"/>
      <c r="IJ12" s="664"/>
      <c r="IK12" s="664"/>
      <c r="IL12" s="664"/>
      <c r="IM12" s="664"/>
      <c r="IN12" s="664"/>
      <c r="IO12" s="664"/>
      <c r="IP12" s="664"/>
      <c r="IQ12" s="664"/>
      <c r="IR12" s="664"/>
      <c r="IS12" s="664"/>
      <c r="IT12" s="664"/>
      <c r="IU12" s="664"/>
      <c r="IV12" s="664"/>
    </row>
    <row r="13" spans="1:256" ht="16.5" customHeight="1">
      <c r="A13" s="669" t="s">
        <v>202</v>
      </c>
      <c r="B13" s="670">
        <v>46035254</v>
      </c>
      <c r="C13" s="670"/>
      <c r="D13" s="670"/>
      <c r="E13" s="670"/>
      <c r="F13" s="670"/>
      <c r="G13" s="670"/>
      <c r="H13" s="670">
        <f t="shared" si="0"/>
        <v>46035254</v>
      </c>
      <c r="I13" s="669" t="s">
        <v>185</v>
      </c>
      <c r="J13" s="670">
        <v>1640020</v>
      </c>
      <c r="K13" s="670"/>
      <c r="L13" s="670"/>
      <c r="M13" s="671">
        <v>0</v>
      </c>
      <c r="N13" s="671"/>
      <c r="O13" s="670"/>
      <c r="P13" s="672">
        <f t="shared" si="1"/>
        <v>1640020</v>
      </c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664"/>
      <c r="AO13" s="664"/>
      <c r="AP13" s="664"/>
      <c r="AQ13" s="664"/>
      <c r="AR13" s="664"/>
      <c r="AS13" s="664"/>
      <c r="AT13" s="664"/>
      <c r="AU13" s="664"/>
      <c r="AV13" s="664"/>
      <c r="AW13" s="664"/>
      <c r="AX13" s="664"/>
      <c r="AY13" s="664"/>
      <c r="AZ13" s="664"/>
      <c r="BA13" s="664"/>
      <c r="BB13" s="664"/>
      <c r="BC13" s="664"/>
      <c r="BD13" s="664"/>
      <c r="BE13" s="664"/>
      <c r="BF13" s="664"/>
      <c r="BG13" s="664"/>
      <c r="BH13" s="664"/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664"/>
      <c r="CL13" s="664"/>
      <c r="CM13" s="664"/>
      <c r="CN13" s="664"/>
      <c r="CO13" s="664"/>
      <c r="CP13" s="664"/>
      <c r="CQ13" s="664"/>
      <c r="CR13" s="664"/>
      <c r="CS13" s="664"/>
      <c r="CT13" s="664"/>
      <c r="CU13" s="664"/>
      <c r="CV13" s="664"/>
      <c r="CW13" s="664"/>
      <c r="CX13" s="664"/>
      <c r="CY13" s="664"/>
      <c r="CZ13" s="664"/>
      <c r="DA13" s="664"/>
      <c r="DB13" s="664"/>
      <c r="DC13" s="664"/>
      <c r="DD13" s="664"/>
      <c r="DE13" s="664"/>
      <c r="DF13" s="664"/>
      <c r="DG13" s="664"/>
      <c r="DH13" s="664"/>
      <c r="DI13" s="664"/>
      <c r="DJ13" s="664"/>
      <c r="DK13" s="664"/>
      <c r="DL13" s="664"/>
      <c r="DM13" s="664"/>
      <c r="DN13" s="664"/>
      <c r="DO13" s="664"/>
      <c r="DP13" s="664"/>
      <c r="DQ13" s="664"/>
      <c r="DR13" s="664"/>
      <c r="DS13" s="664"/>
      <c r="DT13" s="664"/>
      <c r="DU13" s="664"/>
      <c r="DV13" s="664"/>
      <c r="DW13" s="664"/>
      <c r="DX13" s="664"/>
      <c r="DY13" s="664"/>
      <c r="DZ13" s="664"/>
      <c r="EA13" s="664"/>
      <c r="EB13" s="664"/>
      <c r="EC13" s="664"/>
      <c r="ED13" s="664"/>
      <c r="EE13" s="664"/>
      <c r="EF13" s="664"/>
      <c r="EG13" s="664"/>
      <c r="EH13" s="664"/>
      <c r="EI13" s="664"/>
      <c r="EJ13" s="664"/>
      <c r="EK13" s="664"/>
      <c r="EL13" s="664"/>
      <c r="EM13" s="664"/>
      <c r="EN13" s="664"/>
      <c r="EO13" s="664"/>
      <c r="EP13" s="664"/>
      <c r="EQ13" s="664"/>
      <c r="ER13" s="664"/>
      <c r="ES13" s="664"/>
      <c r="ET13" s="664"/>
      <c r="EU13" s="664"/>
      <c r="EV13" s="664"/>
      <c r="EW13" s="664"/>
      <c r="EX13" s="664"/>
      <c r="EY13" s="664"/>
      <c r="EZ13" s="664"/>
      <c r="FA13" s="664"/>
      <c r="FB13" s="664"/>
      <c r="FC13" s="664"/>
      <c r="FD13" s="664"/>
      <c r="FE13" s="664"/>
      <c r="FF13" s="664"/>
      <c r="FG13" s="664"/>
      <c r="FH13" s="664"/>
      <c r="FI13" s="664"/>
      <c r="FJ13" s="664"/>
      <c r="FK13" s="664"/>
      <c r="FL13" s="664"/>
      <c r="FM13" s="664"/>
      <c r="FN13" s="664"/>
      <c r="FO13" s="664"/>
      <c r="FP13" s="664"/>
      <c r="FQ13" s="664"/>
      <c r="FR13" s="664"/>
      <c r="FS13" s="664"/>
      <c r="FT13" s="664"/>
      <c r="FU13" s="664"/>
      <c r="FV13" s="664"/>
      <c r="FW13" s="664"/>
      <c r="FX13" s="664"/>
      <c r="FY13" s="664"/>
      <c r="FZ13" s="664"/>
      <c r="GA13" s="664"/>
      <c r="GB13" s="664"/>
      <c r="GC13" s="664"/>
      <c r="GD13" s="664"/>
      <c r="GE13" s="664"/>
      <c r="GF13" s="664"/>
      <c r="GG13" s="664"/>
      <c r="GH13" s="664"/>
      <c r="GI13" s="664"/>
      <c r="GJ13" s="664"/>
      <c r="GK13" s="664"/>
      <c r="GL13" s="664"/>
      <c r="GM13" s="664"/>
      <c r="GN13" s="664"/>
      <c r="GO13" s="664"/>
      <c r="GP13" s="664"/>
      <c r="GQ13" s="664"/>
      <c r="GR13" s="664"/>
      <c r="GS13" s="664"/>
      <c r="GT13" s="664"/>
      <c r="GU13" s="664"/>
      <c r="GV13" s="664"/>
      <c r="GW13" s="664"/>
      <c r="GX13" s="664"/>
      <c r="GY13" s="664"/>
      <c r="GZ13" s="664"/>
      <c r="HA13" s="664"/>
      <c r="HB13" s="664"/>
      <c r="HC13" s="664"/>
      <c r="HD13" s="664"/>
      <c r="HE13" s="664"/>
      <c r="HF13" s="664"/>
      <c r="HG13" s="664"/>
      <c r="HH13" s="664"/>
      <c r="HI13" s="664"/>
      <c r="HJ13" s="664"/>
      <c r="HK13" s="664"/>
      <c r="HL13" s="664"/>
      <c r="HM13" s="664"/>
      <c r="HN13" s="664"/>
      <c r="HO13" s="664"/>
      <c r="HP13" s="664"/>
      <c r="HQ13" s="664"/>
      <c r="HR13" s="664"/>
      <c r="HS13" s="664"/>
      <c r="HT13" s="664"/>
      <c r="HU13" s="664"/>
      <c r="HV13" s="664"/>
      <c r="HW13" s="664"/>
      <c r="HX13" s="664"/>
      <c r="HY13" s="664"/>
      <c r="HZ13" s="664"/>
      <c r="IA13" s="664"/>
      <c r="IB13" s="664"/>
      <c r="IC13" s="664"/>
      <c r="ID13" s="664"/>
      <c r="IE13" s="664"/>
      <c r="IF13" s="664"/>
      <c r="IG13" s="664"/>
      <c r="IH13" s="664"/>
      <c r="II13" s="664"/>
      <c r="IJ13" s="664"/>
      <c r="IK13" s="664"/>
      <c r="IL13" s="664"/>
      <c r="IM13" s="664"/>
      <c r="IN13" s="664"/>
      <c r="IO13" s="664"/>
      <c r="IP13" s="664"/>
      <c r="IQ13" s="664"/>
      <c r="IR13" s="664"/>
      <c r="IS13" s="664"/>
      <c r="IT13" s="664"/>
      <c r="IU13" s="664"/>
      <c r="IV13" s="664"/>
    </row>
    <row r="14" spans="1:256" ht="22.5">
      <c r="A14" s="669" t="s">
        <v>617</v>
      </c>
      <c r="B14" s="670"/>
      <c r="C14" s="670"/>
      <c r="D14" s="670"/>
      <c r="E14" s="670"/>
      <c r="F14" s="670"/>
      <c r="G14" s="670"/>
      <c r="H14" s="670">
        <f t="shared" si="0"/>
        <v>0</v>
      </c>
      <c r="I14" s="669" t="s">
        <v>618</v>
      </c>
      <c r="J14" s="670"/>
      <c r="K14" s="670"/>
      <c r="L14" s="670"/>
      <c r="M14" s="671"/>
      <c r="N14" s="671"/>
      <c r="O14" s="670"/>
      <c r="P14" s="672">
        <f t="shared" si="1"/>
        <v>0</v>
      </c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664"/>
      <c r="AP14" s="664"/>
      <c r="AQ14" s="664"/>
      <c r="AR14" s="664"/>
      <c r="AS14" s="664"/>
      <c r="AT14" s="664"/>
      <c r="AU14" s="664"/>
      <c r="AV14" s="664"/>
      <c r="AW14" s="664"/>
      <c r="AX14" s="664"/>
      <c r="AY14" s="664"/>
      <c r="AZ14" s="664"/>
      <c r="BA14" s="664"/>
      <c r="BB14" s="664"/>
      <c r="BC14" s="664"/>
      <c r="BD14" s="664"/>
      <c r="BE14" s="664"/>
      <c r="BF14" s="664"/>
      <c r="BG14" s="664"/>
      <c r="BH14" s="664"/>
      <c r="BI14" s="664"/>
      <c r="BJ14" s="664"/>
      <c r="BK14" s="664"/>
      <c r="BL14" s="664"/>
      <c r="BM14" s="664"/>
      <c r="BN14" s="664"/>
      <c r="BO14" s="664"/>
      <c r="BP14" s="664"/>
      <c r="BQ14" s="664"/>
      <c r="BR14" s="664"/>
      <c r="BS14" s="664"/>
      <c r="BT14" s="664"/>
      <c r="BU14" s="664"/>
      <c r="BV14" s="664"/>
      <c r="BW14" s="664"/>
      <c r="BX14" s="664"/>
      <c r="BY14" s="664"/>
      <c r="BZ14" s="664"/>
      <c r="CA14" s="664"/>
      <c r="CB14" s="664"/>
      <c r="CC14" s="664"/>
      <c r="CD14" s="664"/>
      <c r="CE14" s="664"/>
      <c r="CF14" s="664"/>
      <c r="CG14" s="664"/>
      <c r="CH14" s="664"/>
      <c r="CI14" s="664"/>
      <c r="CJ14" s="664"/>
      <c r="CK14" s="664"/>
      <c r="CL14" s="664"/>
      <c r="CM14" s="664"/>
      <c r="CN14" s="664"/>
      <c r="CO14" s="664"/>
      <c r="CP14" s="664"/>
      <c r="CQ14" s="664"/>
      <c r="CR14" s="664"/>
      <c r="CS14" s="664"/>
      <c r="CT14" s="664"/>
      <c r="CU14" s="664"/>
      <c r="CV14" s="664"/>
      <c r="CW14" s="664"/>
      <c r="CX14" s="664"/>
      <c r="CY14" s="664"/>
      <c r="CZ14" s="664"/>
      <c r="DA14" s="664"/>
      <c r="DB14" s="664"/>
      <c r="DC14" s="664"/>
      <c r="DD14" s="664"/>
      <c r="DE14" s="664"/>
      <c r="DF14" s="664"/>
      <c r="DG14" s="664"/>
      <c r="DH14" s="664"/>
      <c r="DI14" s="664"/>
      <c r="DJ14" s="664"/>
      <c r="DK14" s="664"/>
      <c r="DL14" s="664"/>
      <c r="DM14" s="664"/>
      <c r="DN14" s="664"/>
      <c r="DO14" s="664"/>
      <c r="DP14" s="664"/>
      <c r="DQ14" s="664"/>
      <c r="DR14" s="664"/>
      <c r="DS14" s="664"/>
      <c r="DT14" s="664"/>
      <c r="DU14" s="664"/>
      <c r="DV14" s="664"/>
      <c r="DW14" s="664"/>
      <c r="DX14" s="664"/>
      <c r="DY14" s="664"/>
      <c r="DZ14" s="664"/>
      <c r="EA14" s="664"/>
      <c r="EB14" s="664"/>
      <c r="EC14" s="664"/>
      <c r="ED14" s="664"/>
      <c r="EE14" s="664"/>
      <c r="EF14" s="664"/>
      <c r="EG14" s="664"/>
      <c r="EH14" s="664"/>
      <c r="EI14" s="664"/>
      <c r="EJ14" s="664"/>
      <c r="EK14" s="664"/>
      <c r="EL14" s="664"/>
      <c r="EM14" s="664"/>
      <c r="EN14" s="664"/>
      <c r="EO14" s="664"/>
      <c r="EP14" s="664"/>
      <c r="EQ14" s="664"/>
      <c r="ER14" s="664"/>
      <c r="ES14" s="664"/>
      <c r="ET14" s="664"/>
      <c r="EU14" s="664"/>
      <c r="EV14" s="664"/>
      <c r="EW14" s="664"/>
      <c r="EX14" s="664"/>
      <c r="EY14" s="664"/>
      <c r="EZ14" s="664"/>
      <c r="FA14" s="664"/>
      <c r="FB14" s="664"/>
      <c r="FC14" s="664"/>
      <c r="FD14" s="664"/>
      <c r="FE14" s="664"/>
      <c r="FF14" s="664"/>
      <c r="FG14" s="664"/>
      <c r="FH14" s="664"/>
      <c r="FI14" s="664"/>
      <c r="FJ14" s="664"/>
      <c r="FK14" s="664"/>
      <c r="FL14" s="664"/>
      <c r="FM14" s="664"/>
      <c r="FN14" s="664"/>
      <c r="FO14" s="664"/>
      <c r="FP14" s="664"/>
      <c r="FQ14" s="664"/>
      <c r="FR14" s="664"/>
      <c r="FS14" s="664"/>
      <c r="FT14" s="664"/>
      <c r="FU14" s="664"/>
      <c r="FV14" s="664"/>
      <c r="FW14" s="664"/>
      <c r="FX14" s="664"/>
      <c r="FY14" s="664"/>
      <c r="FZ14" s="664"/>
      <c r="GA14" s="664"/>
      <c r="GB14" s="664"/>
      <c r="GC14" s="664"/>
      <c r="GD14" s="664"/>
      <c r="GE14" s="664"/>
      <c r="GF14" s="664"/>
      <c r="GG14" s="664"/>
      <c r="GH14" s="664"/>
      <c r="GI14" s="664"/>
      <c r="GJ14" s="664"/>
      <c r="GK14" s="664"/>
      <c r="GL14" s="664"/>
      <c r="GM14" s="664"/>
      <c r="GN14" s="664"/>
      <c r="GO14" s="664"/>
      <c r="GP14" s="664"/>
      <c r="GQ14" s="664"/>
      <c r="GR14" s="664"/>
      <c r="GS14" s="664"/>
      <c r="GT14" s="664"/>
      <c r="GU14" s="664"/>
      <c r="GV14" s="664"/>
      <c r="GW14" s="664"/>
      <c r="GX14" s="664"/>
      <c r="GY14" s="664"/>
      <c r="GZ14" s="664"/>
      <c r="HA14" s="664"/>
      <c r="HB14" s="664"/>
      <c r="HC14" s="664"/>
      <c r="HD14" s="664"/>
      <c r="HE14" s="664"/>
      <c r="HF14" s="664"/>
      <c r="HG14" s="664"/>
      <c r="HH14" s="664"/>
      <c r="HI14" s="664"/>
      <c r="HJ14" s="664"/>
      <c r="HK14" s="664"/>
      <c r="HL14" s="664"/>
      <c r="HM14" s="664"/>
      <c r="HN14" s="664"/>
      <c r="HO14" s="664"/>
      <c r="HP14" s="664"/>
      <c r="HQ14" s="664"/>
      <c r="HR14" s="664"/>
      <c r="HS14" s="664"/>
      <c r="HT14" s="664"/>
      <c r="HU14" s="664"/>
      <c r="HV14" s="664"/>
      <c r="HW14" s="664"/>
      <c r="HX14" s="664"/>
      <c r="HY14" s="664"/>
      <c r="HZ14" s="664"/>
      <c r="IA14" s="664"/>
      <c r="IB14" s="664"/>
      <c r="IC14" s="664"/>
      <c r="ID14" s="664"/>
      <c r="IE14" s="664"/>
      <c r="IF14" s="664"/>
      <c r="IG14" s="664"/>
      <c r="IH14" s="664"/>
      <c r="II14" s="664"/>
      <c r="IJ14" s="664"/>
      <c r="IK14" s="664"/>
      <c r="IL14" s="664"/>
      <c r="IM14" s="664"/>
      <c r="IN14" s="664"/>
      <c r="IO14" s="664"/>
      <c r="IP14" s="664"/>
      <c r="IQ14" s="664"/>
      <c r="IR14" s="664"/>
      <c r="IS14" s="664"/>
      <c r="IT14" s="664"/>
      <c r="IU14" s="664"/>
      <c r="IV14" s="664"/>
    </row>
    <row r="15" spans="1:256" ht="24" customHeight="1">
      <c r="A15" s="669" t="s">
        <v>269</v>
      </c>
      <c r="B15" s="670">
        <v>8432007</v>
      </c>
      <c r="C15" s="670"/>
      <c r="D15" s="670"/>
      <c r="E15" s="670"/>
      <c r="F15" s="670"/>
      <c r="G15" s="670"/>
      <c r="H15" s="670">
        <f t="shared" si="0"/>
        <v>8432007</v>
      </c>
      <c r="I15" s="669" t="s">
        <v>448</v>
      </c>
      <c r="J15" s="674">
        <v>8341969</v>
      </c>
      <c r="K15" s="670"/>
      <c r="L15" s="675"/>
      <c r="M15" s="671"/>
      <c r="N15" s="671"/>
      <c r="O15" s="675"/>
      <c r="P15" s="672">
        <f t="shared" si="1"/>
        <v>8341969</v>
      </c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4"/>
      <c r="BD15" s="664"/>
      <c r="BE15" s="664"/>
      <c r="BF15" s="664"/>
      <c r="BG15" s="664"/>
      <c r="BH15" s="664"/>
      <c r="BI15" s="664"/>
      <c r="BJ15" s="664"/>
      <c r="BK15" s="664"/>
      <c r="BL15" s="664"/>
      <c r="BM15" s="664"/>
      <c r="BN15" s="664"/>
      <c r="BO15" s="664"/>
      <c r="BP15" s="664"/>
      <c r="BQ15" s="664"/>
      <c r="BR15" s="664"/>
      <c r="BS15" s="664"/>
      <c r="BT15" s="664"/>
      <c r="BU15" s="664"/>
      <c r="BV15" s="664"/>
      <c r="BW15" s="664"/>
      <c r="BX15" s="664"/>
      <c r="BY15" s="664"/>
      <c r="BZ15" s="664"/>
      <c r="CA15" s="664"/>
      <c r="CB15" s="664"/>
      <c r="CC15" s="664"/>
      <c r="CD15" s="664"/>
      <c r="CE15" s="664"/>
      <c r="CF15" s="664"/>
      <c r="CG15" s="664"/>
      <c r="CH15" s="664"/>
      <c r="CI15" s="664"/>
      <c r="CJ15" s="664"/>
      <c r="CK15" s="664"/>
      <c r="CL15" s="664"/>
      <c r="CM15" s="664"/>
      <c r="CN15" s="664"/>
      <c r="CO15" s="664"/>
      <c r="CP15" s="664"/>
      <c r="CQ15" s="664"/>
      <c r="CR15" s="664"/>
      <c r="CS15" s="664"/>
      <c r="CT15" s="664"/>
      <c r="CU15" s="664"/>
      <c r="CV15" s="664"/>
      <c r="CW15" s="664"/>
      <c r="CX15" s="664"/>
      <c r="CY15" s="664"/>
      <c r="CZ15" s="664"/>
      <c r="DA15" s="664"/>
      <c r="DB15" s="664"/>
      <c r="DC15" s="664"/>
      <c r="DD15" s="664"/>
      <c r="DE15" s="664"/>
      <c r="DF15" s="664"/>
      <c r="DG15" s="664"/>
      <c r="DH15" s="664"/>
      <c r="DI15" s="664"/>
      <c r="DJ15" s="664"/>
      <c r="DK15" s="664"/>
      <c r="DL15" s="664"/>
      <c r="DM15" s="664"/>
      <c r="DN15" s="664"/>
      <c r="DO15" s="664"/>
      <c r="DP15" s="664"/>
      <c r="DQ15" s="664"/>
      <c r="DR15" s="664"/>
      <c r="DS15" s="664"/>
      <c r="DT15" s="664"/>
      <c r="DU15" s="664"/>
      <c r="DV15" s="664"/>
      <c r="DW15" s="664"/>
      <c r="DX15" s="664"/>
      <c r="DY15" s="664"/>
      <c r="DZ15" s="664"/>
      <c r="EA15" s="664"/>
      <c r="EB15" s="664"/>
      <c r="EC15" s="664"/>
      <c r="ED15" s="664"/>
      <c r="EE15" s="664"/>
      <c r="EF15" s="664"/>
      <c r="EG15" s="664"/>
      <c r="EH15" s="664"/>
      <c r="EI15" s="664"/>
      <c r="EJ15" s="664"/>
      <c r="EK15" s="664"/>
      <c r="EL15" s="664"/>
      <c r="EM15" s="664"/>
      <c r="EN15" s="664"/>
      <c r="EO15" s="664"/>
      <c r="EP15" s="664"/>
      <c r="EQ15" s="664"/>
      <c r="ER15" s="664"/>
      <c r="ES15" s="664"/>
      <c r="ET15" s="664"/>
      <c r="EU15" s="664"/>
      <c r="EV15" s="664"/>
      <c r="EW15" s="664"/>
      <c r="EX15" s="664"/>
      <c r="EY15" s="664"/>
      <c r="EZ15" s="664"/>
      <c r="FA15" s="664"/>
      <c r="FB15" s="664"/>
      <c r="FC15" s="664"/>
      <c r="FD15" s="664"/>
      <c r="FE15" s="664"/>
      <c r="FF15" s="664"/>
      <c r="FG15" s="664"/>
      <c r="FH15" s="664"/>
      <c r="FI15" s="664"/>
      <c r="FJ15" s="664"/>
      <c r="FK15" s="664"/>
      <c r="FL15" s="664"/>
      <c r="FM15" s="664"/>
      <c r="FN15" s="664"/>
      <c r="FO15" s="664"/>
      <c r="FP15" s="664"/>
      <c r="FQ15" s="664"/>
      <c r="FR15" s="664"/>
      <c r="FS15" s="664"/>
      <c r="FT15" s="664"/>
      <c r="FU15" s="664"/>
      <c r="FV15" s="664"/>
      <c r="FW15" s="664"/>
      <c r="FX15" s="664"/>
      <c r="FY15" s="664"/>
      <c r="FZ15" s="664"/>
      <c r="GA15" s="664"/>
      <c r="GB15" s="664"/>
      <c r="GC15" s="664"/>
      <c r="GD15" s="664"/>
      <c r="GE15" s="664"/>
      <c r="GF15" s="664"/>
      <c r="GG15" s="664"/>
      <c r="GH15" s="664"/>
      <c r="GI15" s="664"/>
      <c r="GJ15" s="664"/>
      <c r="GK15" s="664"/>
      <c r="GL15" s="664"/>
      <c r="GM15" s="664"/>
      <c r="GN15" s="664"/>
      <c r="GO15" s="664"/>
      <c r="GP15" s="664"/>
      <c r="GQ15" s="664"/>
      <c r="GR15" s="664"/>
      <c r="GS15" s="664"/>
      <c r="GT15" s="664"/>
      <c r="GU15" s="664"/>
      <c r="GV15" s="664"/>
      <c r="GW15" s="664"/>
      <c r="GX15" s="664"/>
      <c r="GY15" s="664"/>
      <c r="GZ15" s="664"/>
      <c r="HA15" s="664"/>
      <c r="HB15" s="664"/>
      <c r="HC15" s="664"/>
      <c r="HD15" s="664"/>
      <c r="HE15" s="664"/>
      <c r="HF15" s="664"/>
      <c r="HG15" s="664"/>
      <c r="HH15" s="664"/>
      <c r="HI15" s="664"/>
      <c r="HJ15" s="664"/>
      <c r="HK15" s="664"/>
      <c r="HL15" s="664"/>
      <c r="HM15" s="664"/>
      <c r="HN15" s="664"/>
      <c r="HO15" s="664"/>
      <c r="HP15" s="664"/>
      <c r="HQ15" s="664"/>
      <c r="HR15" s="664"/>
      <c r="HS15" s="664"/>
      <c r="HT15" s="664"/>
      <c r="HU15" s="664"/>
      <c r="HV15" s="664"/>
      <c r="HW15" s="664"/>
      <c r="HX15" s="664"/>
      <c r="HY15" s="664"/>
      <c r="HZ15" s="664"/>
      <c r="IA15" s="664"/>
      <c r="IB15" s="664"/>
      <c r="IC15" s="664"/>
      <c r="ID15" s="664"/>
      <c r="IE15" s="664"/>
      <c r="IF15" s="664"/>
      <c r="IG15" s="664"/>
      <c r="IH15" s="664"/>
      <c r="II15" s="664"/>
      <c r="IJ15" s="664"/>
      <c r="IK15" s="664"/>
      <c r="IL15" s="664"/>
      <c r="IM15" s="664"/>
      <c r="IN15" s="664"/>
      <c r="IO15" s="664"/>
      <c r="IP15" s="664"/>
      <c r="IQ15" s="664"/>
      <c r="IR15" s="664"/>
      <c r="IS15" s="664"/>
      <c r="IT15" s="664"/>
      <c r="IU15" s="664"/>
      <c r="IV15" s="664"/>
    </row>
    <row r="16" spans="1:256" ht="24" customHeight="1">
      <c r="A16" s="669" t="s">
        <v>810</v>
      </c>
      <c r="B16" s="670">
        <v>354027</v>
      </c>
      <c r="C16" s="670"/>
      <c r="D16" s="670"/>
      <c r="E16" s="670"/>
      <c r="F16" s="670"/>
      <c r="G16" s="670"/>
      <c r="H16" s="670">
        <f t="shared" si="0"/>
        <v>354027</v>
      </c>
      <c r="I16" s="669"/>
      <c r="J16" s="674"/>
      <c r="K16" s="670"/>
      <c r="L16" s="675"/>
      <c r="M16" s="671"/>
      <c r="N16" s="671"/>
      <c r="O16" s="675"/>
      <c r="P16" s="672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4"/>
      <c r="BG16" s="664"/>
      <c r="BH16" s="664"/>
      <c r="BI16" s="664"/>
      <c r="BJ16" s="664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664"/>
      <c r="BV16" s="664"/>
      <c r="BW16" s="664"/>
      <c r="BX16" s="664"/>
      <c r="BY16" s="664"/>
      <c r="BZ16" s="664"/>
      <c r="CA16" s="664"/>
      <c r="CB16" s="664"/>
      <c r="CC16" s="664"/>
      <c r="CD16" s="664"/>
      <c r="CE16" s="664"/>
      <c r="CF16" s="664"/>
      <c r="CG16" s="664"/>
      <c r="CH16" s="664"/>
      <c r="CI16" s="664"/>
      <c r="CJ16" s="664"/>
      <c r="CK16" s="664"/>
      <c r="CL16" s="664"/>
      <c r="CM16" s="664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4"/>
      <c r="CY16" s="664"/>
      <c r="CZ16" s="664"/>
      <c r="DA16" s="664"/>
      <c r="DB16" s="664"/>
      <c r="DC16" s="664"/>
      <c r="DD16" s="664"/>
      <c r="DE16" s="664"/>
      <c r="DF16" s="664"/>
      <c r="DG16" s="664"/>
      <c r="DH16" s="664"/>
      <c r="DI16" s="664"/>
      <c r="DJ16" s="664"/>
      <c r="DK16" s="664"/>
      <c r="DL16" s="664"/>
      <c r="DM16" s="664"/>
      <c r="DN16" s="664"/>
      <c r="DO16" s="664"/>
      <c r="DP16" s="664"/>
      <c r="DQ16" s="664"/>
      <c r="DR16" s="664"/>
      <c r="DS16" s="664"/>
      <c r="DT16" s="664"/>
      <c r="DU16" s="664"/>
      <c r="DV16" s="664"/>
      <c r="DW16" s="664"/>
      <c r="DX16" s="664"/>
      <c r="DY16" s="664"/>
      <c r="DZ16" s="664"/>
      <c r="EA16" s="664"/>
      <c r="EB16" s="664"/>
      <c r="EC16" s="664"/>
      <c r="ED16" s="664"/>
      <c r="EE16" s="664"/>
      <c r="EF16" s="664"/>
      <c r="EG16" s="664"/>
      <c r="EH16" s="664"/>
      <c r="EI16" s="664"/>
      <c r="EJ16" s="664"/>
      <c r="EK16" s="664"/>
      <c r="EL16" s="664"/>
      <c r="EM16" s="664"/>
      <c r="EN16" s="664"/>
      <c r="EO16" s="664"/>
      <c r="EP16" s="664"/>
      <c r="EQ16" s="664"/>
      <c r="ER16" s="664"/>
      <c r="ES16" s="664"/>
      <c r="ET16" s="664"/>
      <c r="EU16" s="664"/>
      <c r="EV16" s="664"/>
      <c r="EW16" s="664"/>
      <c r="EX16" s="664"/>
      <c r="EY16" s="664"/>
      <c r="EZ16" s="664"/>
      <c r="FA16" s="664"/>
      <c r="FB16" s="664"/>
      <c r="FC16" s="664"/>
      <c r="FD16" s="664"/>
      <c r="FE16" s="664"/>
      <c r="FF16" s="664"/>
      <c r="FG16" s="664"/>
      <c r="FH16" s="664"/>
      <c r="FI16" s="664"/>
      <c r="FJ16" s="664"/>
      <c r="FK16" s="664"/>
      <c r="FL16" s="664"/>
      <c r="FM16" s="664"/>
      <c r="FN16" s="664"/>
      <c r="FO16" s="664"/>
      <c r="FP16" s="664"/>
      <c r="FQ16" s="664"/>
      <c r="FR16" s="664"/>
      <c r="FS16" s="664"/>
      <c r="FT16" s="664"/>
      <c r="FU16" s="664"/>
      <c r="FV16" s="664"/>
      <c r="FW16" s="664"/>
      <c r="FX16" s="664"/>
      <c r="FY16" s="664"/>
      <c r="FZ16" s="664"/>
      <c r="GA16" s="664"/>
      <c r="GB16" s="664"/>
      <c r="GC16" s="664"/>
      <c r="GD16" s="664"/>
      <c r="GE16" s="664"/>
      <c r="GF16" s="664"/>
      <c r="GG16" s="664"/>
      <c r="GH16" s="664"/>
      <c r="GI16" s="664"/>
      <c r="GJ16" s="664"/>
      <c r="GK16" s="664"/>
      <c r="GL16" s="664"/>
      <c r="GM16" s="664"/>
      <c r="GN16" s="664"/>
      <c r="GO16" s="664"/>
      <c r="GP16" s="664"/>
      <c r="GQ16" s="664"/>
      <c r="GR16" s="664"/>
      <c r="GS16" s="664"/>
      <c r="GT16" s="664"/>
      <c r="GU16" s="664"/>
      <c r="GV16" s="664"/>
      <c r="GW16" s="664"/>
      <c r="GX16" s="664"/>
      <c r="GY16" s="664"/>
      <c r="GZ16" s="664"/>
      <c r="HA16" s="664"/>
      <c r="HB16" s="664"/>
      <c r="HC16" s="664"/>
      <c r="HD16" s="664"/>
      <c r="HE16" s="664"/>
      <c r="HF16" s="664"/>
      <c r="HG16" s="664"/>
      <c r="HH16" s="664"/>
      <c r="HI16" s="664"/>
      <c r="HJ16" s="664"/>
      <c r="HK16" s="664"/>
      <c r="HL16" s="664"/>
      <c r="HM16" s="664"/>
      <c r="HN16" s="664"/>
      <c r="HO16" s="664"/>
      <c r="HP16" s="664"/>
      <c r="HQ16" s="664"/>
      <c r="HR16" s="664"/>
      <c r="HS16" s="664"/>
      <c r="HT16" s="664"/>
      <c r="HU16" s="664"/>
      <c r="HV16" s="664"/>
      <c r="HW16" s="664"/>
      <c r="HX16" s="664"/>
      <c r="HY16" s="664"/>
      <c r="HZ16" s="664"/>
      <c r="IA16" s="664"/>
      <c r="IB16" s="664"/>
      <c r="IC16" s="664"/>
      <c r="ID16" s="664"/>
      <c r="IE16" s="664"/>
      <c r="IF16" s="664"/>
      <c r="IG16" s="664"/>
      <c r="IH16" s="664"/>
      <c r="II16" s="664"/>
      <c r="IJ16" s="664"/>
      <c r="IK16" s="664"/>
      <c r="IL16" s="664"/>
      <c r="IM16" s="664"/>
      <c r="IN16" s="664"/>
      <c r="IO16" s="664"/>
      <c r="IP16" s="664"/>
      <c r="IQ16" s="664"/>
      <c r="IR16" s="664"/>
      <c r="IS16" s="664"/>
      <c r="IT16" s="664"/>
      <c r="IU16" s="664"/>
      <c r="IV16" s="664"/>
    </row>
    <row r="17" spans="1:256" ht="24" customHeight="1">
      <c r="A17" s="669" t="s">
        <v>1233</v>
      </c>
      <c r="B17" s="673">
        <v>2017050</v>
      </c>
      <c r="C17" s="673"/>
      <c r="D17" s="673"/>
      <c r="E17" s="673"/>
      <c r="F17" s="673"/>
      <c r="G17" s="673"/>
      <c r="H17" s="673">
        <f t="shared" si="0"/>
        <v>2017050</v>
      </c>
      <c r="I17" s="669"/>
      <c r="J17" s="674"/>
      <c r="K17" s="673"/>
      <c r="L17" s="675"/>
      <c r="M17" s="676"/>
      <c r="N17" s="676"/>
      <c r="O17" s="675"/>
      <c r="P17" s="672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664"/>
      <c r="BV17" s="664"/>
      <c r="BW17" s="664"/>
      <c r="BX17" s="664"/>
      <c r="BY17" s="664"/>
      <c r="BZ17" s="664"/>
      <c r="CA17" s="664"/>
      <c r="CB17" s="664"/>
      <c r="CC17" s="664"/>
      <c r="CD17" s="664"/>
      <c r="CE17" s="664"/>
      <c r="CF17" s="664"/>
      <c r="CG17" s="664"/>
      <c r="CH17" s="664"/>
      <c r="CI17" s="664"/>
      <c r="CJ17" s="664"/>
      <c r="CK17" s="664"/>
      <c r="CL17" s="664"/>
      <c r="CM17" s="664"/>
      <c r="CN17" s="664"/>
      <c r="CO17" s="664"/>
      <c r="CP17" s="664"/>
      <c r="CQ17" s="664"/>
      <c r="CR17" s="664"/>
      <c r="CS17" s="664"/>
      <c r="CT17" s="664"/>
      <c r="CU17" s="664"/>
      <c r="CV17" s="664"/>
      <c r="CW17" s="664"/>
      <c r="CX17" s="664"/>
      <c r="CY17" s="664"/>
      <c r="CZ17" s="664"/>
      <c r="DA17" s="664"/>
      <c r="DB17" s="664"/>
      <c r="DC17" s="664"/>
      <c r="DD17" s="664"/>
      <c r="DE17" s="664"/>
      <c r="DF17" s="664"/>
      <c r="DG17" s="664"/>
      <c r="DH17" s="664"/>
      <c r="DI17" s="664"/>
      <c r="DJ17" s="664"/>
      <c r="DK17" s="664"/>
      <c r="DL17" s="664"/>
      <c r="DM17" s="664"/>
      <c r="DN17" s="664"/>
      <c r="DO17" s="664"/>
      <c r="DP17" s="664"/>
      <c r="DQ17" s="664"/>
      <c r="DR17" s="664"/>
      <c r="DS17" s="664"/>
      <c r="DT17" s="664"/>
      <c r="DU17" s="664"/>
      <c r="DV17" s="664"/>
      <c r="DW17" s="664"/>
      <c r="DX17" s="664"/>
      <c r="DY17" s="664"/>
      <c r="DZ17" s="664"/>
      <c r="EA17" s="664"/>
      <c r="EB17" s="664"/>
      <c r="EC17" s="664"/>
      <c r="ED17" s="664"/>
      <c r="EE17" s="664"/>
      <c r="EF17" s="664"/>
      <c r="EG17" s="664"/>
      <c r="EH17" s="664"/>
      <c r="EI17" s="664"/>
      <c r="EJ17" s="664"/>
      <c r="EK17" s="664"/>
      <c r="EL17" s="664"/>
      <c r="EM17" s="664"/>
      <c r="EN17" s="664"/>
      <c r="EO17" s="664"/>
      <c r="EP17" s="664"/>
      <c r="EQ17" s="664"/>
      <c r="ER17" s="664"/>
      <c r="ES17" s="664"/>
      <c r="ET17" s="664"/>
      <c r="EU17" s="664"/>
      <c r="EV17" s="664"/>
      <c r="EW17" s="664"/>
      <c r="EX17" s="664"/>
      <c r="EY17" s="664"/>
      <c r="EZ17" s="664"/>
      <c r="FA17" s="664"/>
      <c r="FB17" s="664"/>
      <c r="FC17" s="664"/>
      <c r="FD17" s="664"/>
      <c r="FE17" s="664"/>
      <c r="FF17" s="664"/>
      <c r="FG17" s="664"/>
      <c r="FH17" s="664"/>
      <c r="FI17" s="664"/>
      <c r="FJ17" s="664"/>
      <c r="FK17" s="664"/>
      <c r="FL17" s="664"/>
      <c r="FM17" s="664"/>
      <c r="FN17" s="664"/>
      <c r="FO17" s="664"/>
      <c r="FP17" s="664"/>
      <c r="FQ17" s="664"/>
      <c r="FR17" s="664"/>
      <c r="FS17" s="664"/>
      <c r="FT17" s="664"/>
      <c r="FU17" s="664"/>
      <c r="FV17" s="664"/>
      <c r="FW17" s="664"/>
      <c r="FX17" s="664"/>
      <c r="FY17" s="664"/>
      <c r="FZ17" s="664"/>
      <c r="GA17" s="664"/>
      <c r="GB17" s="664"/>
      <c r="GC17" s="664"/>
      <c r="GD17" s="664"/>
      <c r="GE17" s="664"/>
      <c r="GF17" s="664"/>
      <c r="GG17" s="664"/>
      <c r="GH17" s="664"/>
      <c r="GI17" s="664"/>
      <c r="GJ17" s="664"/>
      <c r="GK17" s="664"/>
      <c r="GL17" s="664"/>
      <c r="GM17" s="664"/>
      <c r="GN17" s="664"/>
      <c r="GO17" s="664"/>
      <c r="GP17" s="664"/>
      <c r="GQ17" s="664"/>
      <c r="GR17" s="664"/>
      <c r="GS17" s="664"/>
      <c r="GT17" s="664"/>
      <c r="GU17" s="664"/>
      <c r="GV17" s="664"/>
      <c r="GW17" s="664"/>
      <c r="GX17" s="664"/>
      <c r="GY17" s="664"/>
      <c r="GZ17" s="664"/>
      <c r="HA17" s="664"/>
      <c r="HB17" s="664"/>
      <c r="HC17" s="664"/>
      <c r="HD17" s="664"/>
      <c r="HE17" s="664"/>
      <c r="HF17" s="664"/>
      <c r="HG17" s="664"/>
      <c r="HH17" s="664"/>
      <c r="HI17" s="664"/>
      <c r="HJ17" s="664"/>
      <c r="HK17" s="664"/>
      <c r="HL17" s="664"/>
      <c r="HM17" s="664"/>
      <c r="HN17" s="664"/>
      <c r="HO17" s="664"/>
      <c r="HP17" s="664"/>
      <c r="HQ17" s="664"/>
      <c r="HR17" s="664"/>
      <c r="HS17" s="664"/>
      <c r="HT17" s="664"/>
      <c r="HU17" s="664"/>
      <c r="HV17" s="664"/>
      <c r="HW17" s="664"/>
      <c r="HX17" s="664"/>
      <c r="HY17" s="664"/>
      <c r="HZ17" s="664"/>
      <c r="IA17" s="664"/>
      <c r="IB17" s="664"/>
      <c r="IC17" s="664"/>
      <c r="ID17" s="664"/>
      <c r="IE17" s="664"/>
      <c r="IF17" s="664"/>
      <c r="IG17" s="664"/>
      <c r="IH17" s="664"/>
      <c r="II17" s="664"/>
      <c r="IJ17" s="664"/>
      <c r="IK17" s="664"/>
      <c r="IL17" s="664"/>
      <c r="IM17" s="664"/>
      <c r="IN17" s="664"/>
      <c r="IO17" s="664"/>
      <c r="IP17" s="664"/>
      <c r="IQ17" s="664"/>
      <c r="IR17" s="664"/>
      <c r="IS17" s="664"/>
      <c r="IT17" s="664"/>
      <c r="IU17" s="664"/>
      <c r="IV17" s="664"/>
    </row>
    <row r="18" spans="1:256" ht="24" customHeight="1">
      <c r="A18" s="669" t="s">
        <v>209</v>
      </c>
      <c r="B18" s="670">
        <v>327974397</v>
      </c>
      <c r="C18" s="670"/>
      <c r="D18" s="670"/>
      <c r="E18" s="670"/>
      <c r="F18" s="670"/>
      <c r="G18" s="670"/>
      <c r="H18" s="670">
        <f t="shared" si="0"/>
        <v>327974397</v>
      </c>
      <c r="I18" s="669" t="s">
        <v>619</v>
      </c>
      <c r="J18" s="1721">
        <v>93888413</v>
      </c>
      <c r="K18" s="670"/>
      <c r="L18" s="676">
        <v>203352</v>
      </c>
      <c r="M18" s="671">
        <v>193701</v>
      </c>
      <c r="N18" s="671">
        <v>269743</v>
      </c>
      <c r="O18" s="676">
        <v>530936</v>
      </c>
      <c r="P18" s="672">
        <f t="shared" si="1"/>
        <v>95086145</v>
      </c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4"/>
      <c r="AL18" s="664"/>
      <c r="AM18" s="664"/>
      <c r="AN18" s="664"/>
      <c r="AO18" s="664"/>
      <c r="AP18" s="664"/>
      <c r="AQ18" s="664"/>
      <c r="AR18" s="664"/>
      <c r="AS18" s="664"/>
      <c r="AT18" s="664"/>
      <c r="AU18" s="664"/>
      <c r="AV18" s="664"/>
      <c r="AW18" s="664"/>
      <c r="AX18" s="664"/>
      <c r="AY18" s="664"/>
      <c r="AZ18" s="664"/>
      <c r="BA18" s="664"/>
      <c r="BB18" s="664"/>
      <c r="BC18" s="664"/>
      <c r="BD18" s="664"/>
      <c r="BE18" s="664"/>
      <c r="BF18" s="664"/>
      <c r="BG18" s="664"/>
      <c r="BH18" s="664"/>
      <c r="BI18" s="664"/>
      <c r="BJ18" s="664"/>
      <c r="BK18" s="664"/>
      <c r="BL18" s="664"/>
      <c r="BM18" s="664"/>
      <c r="BN18" s="664"/>
      <c r="BO18" s="664"/>
      <c r="BP18" s="664"/>
      <c r="BQ18" s="664"/>
      <c r="BR18" s="664"/>
      <c r="BS18" s="664"/>
      <c r="BT18" s="664"/>
      <c r="BU18" s="664"/>
      <c r="BV18" s="664"/>
      <c r="BW18" s="664"/>
      <c r="BX18" s="664"/>
      <c r="BY18" s="664"/>
      <c r="BZ18" s="664"/>
      <c r="CA18" s="664"/>
      <c r="CB18" s="664"/>
      <c r="CC18" s="664"/>
      <c r="CD18" s="664"/>
      <c r="CE18" s="664"/>
      <c r="CF18" s="664"/>
      <c r="CG18" s="664"/>
      <c r="CH18" s="664"/>
      <c r="CI18" s="664"/>
      <c r="CJ18" s="664"/>
      <c r="CK18" s="664"/>
      <c r="CL18" s="664"/>
      <c r="CM18" s="664"/>
      <c r="CN18" s="664"/>
      <c r="CO18" s="664"/>
      <c r="CP18" s="664"/>
      <c r="CQ18" s="664"/>
      <c r="CR18" s="664"/>
      <c r="CS18" s="664"/>
      <c r="CT18" s="664"/>
      <c r="CU18" s="664"/>
      <c r="CV18" s="664"/>
      <c r="CW18" s="664"/>
      <c r="CX18" s="664"/>
      <c r="CY18" s="664"/>
      <c r="CZ18" s="664"/>
      <c r="DA18" s="664"/>
      <c r="DB18" s="664"/>
      <c r="DC18" s="664"/>
      <c r="DD18" s="664"/>
      <c r="DE18" s="664"/>
      <c r="DF18" s="664"/>
      <c r="DG18" s="664"/>
      <c r="DH18" s="664"/>
      <c r="DI18" s="664"/>
      <c r="DJ18" s="664"/>
      <c r="DK18" s="664"/>
      <c r="DL18" s="664"/>
      <c r="DM18" s="664"/>
      <c r="DN18" s="664"/>
      <c r="DO18" s="664"/>
      <c r="DP18" s="664"/>
      <c r="DQ18" s="664"/>
      <c r="DR18" s="664"/>
      <c r="DS18" s="664"/>
      <c r="DT18" s="664"/>
      <c r="DU18" s="664"/>
      <c r="DV18" s="664"/>
      <c r="DW18" s="664"/>
      <c r="DX18" s="664"/>
      <c r="DY18" s="664"/>
      <c r="DZ18" s="664"/>
      <c r="EA18" s="664"/>
      <c r="EB18" s="664"/>
      <c r="EC18" s="664"/>
      <c r="ED18" s="664"/>
      <c r="EE18" s="664"/>
      <c r="EF18" s="664"/>
      <c r="EG18" s="664"/>
      <c r="EH18" s="664"/>
      <c r="EI18" s="664"/>
      <c r="EJ18" s="664"/>
      <c r="EK18" s="664"/>
      <c r="EL18" s="664"/>
      <c r="EM18" s="664"/>
      <c r="EN18" s="664"/>
      <c r="EO18" s="664"/>
      <c r="EP18" s="664"/>
      <c r="EQ18" s="664"/>
      <c r="ER18" s="664"/>
      <c r="ES18" s="664"/>
      <c r="ET18" s="664"/>
      <c r="EU18" s="664"/>
      <c r="EV18" s="664"/>
      <c r="EW18" s="664"/>
      <c r="EX18" s="664"/>
      <c r="EY18" s="664"/>
      <c r="EZ18" s="664"/>
      <c r="FA18" s="664"/>
      <c r="FB18" s="664"/>
      <c r="FC18" s="664"/>
      <c r="FD18" s="664"/>
      <c r="FE18" s="664"/>
      <c r="FF18" s="664"/>
      <c r="FG18" s="664"/>
      <c r="FH18" s="664"/>
      <c r="FI18" s="664"/>
      <c r="FJ18" s="664"/>
      <c r="FK18" s="664"/>
      <c r="FL18" s="664"/>
      <c r="FM18" s="664"/>
      <c r="FN18" s="664"/>
      <c r="FO18" s="664"/>
      <c r="FP18" s="664"/>
      <c r="FQ18" s="664"/>
      <c r="FR18" s="664"/>
      <c r="FS18" s="664"/>
      <c r="FT18" s="664"/>
      <c r="FU18" s="664"/>
      <c r="FV18" s="664"/>
      <c r="FW18" s="664"/>
      <c r="FX18" s="664"/>
      <c r="FY18" s="664"/>
      <c r="FZ18" s="664"/>
      <c r="GA18" s="664"/>
      <c r="GB18" s="664"/>
      <c r="GC18" s="664"/>
      <c r="GD18" s="664"/>
      <c r="GE18" s="664"/>
      <c r="GF18" s="664"/>
      <c r="GG18" s="664"/>
      <c r="GH18" s="664"/>
      <c r="GI18" s="664"/>
      <c r="GJ18" s="664"/>
      <c r="GK18" s="664"/>
      <c r="GL18" s="664"/>
      <c r="GM18" s="664"/>
      <c r="GN18" s="664"/>
      <c r="GO18" s="664"/>
      <c r="GP18" s="664"/>
      <c r="GQ18" s="664"/>
      <c r="GR18" s="664"/>
      <c r="GS18" s="664"/>
      <c r="GT18" s="664"/>
      <c r="GU18" s="664"/>
      <c r="GV18" s="664"/>
      <c r="GW18" s="664"/>
      <c r="GX18" s="664"/>
      <c r="GY18" s="664"/>
      <c r="GZ18" s="664"/>
      <c r="HA18" s="664"/>
      <c r="HB18" s="664"/>
      <c r="HC18" s="664"/>
      <c r="HD18" s="664"/>
      <c r="HE18" s="664"/>
      <c r="HF18" s="664"/>
      <c r="HG18" s="664"/>
      <c r="HH18" s="664"/>
      <c r="HI18" s="664"/>
      <c r="HJ18" s="664"/>
      <c r="HK18" s="664"/>
      <c r="HL18" s="664"/>
      <c r="HM18" s="664"/>
      <c r="HN18" s="664"/>
      <c r="HO18" s="664"/>
      <c r="HP18" s="664"/>
      <c r="HQ18" s="664"/>
      <c r="HR18" s="664"/>
      <c r="HS18" s="664"/>
      <c r="HT18" s="664"/>
      <c r="HU18" s="664"/>
      <c r="HV18" s="664"/>
      <c r="HW18" s="664"/>
      <c r="HX18" s="664"/>
      <c r="HY18" s="664"/>
      <c r="HZ18" s="664"/>
      <c r="IA18" s="664"/>
      <c r="IB18" s="664"/>
      <c r="IC18" s="664"/>
      <c r="ID18" s="664"/>
      <c r="IE18" s="664"/>
      <c r="IF18" s="664"/>
      <c r="IG18" s="664"/>
      <c r="IH18" s="664"/>
      <c r="II18" s="664"/>
      <c r="IJ18" s="664"/>
      <c r="IK18" s="664"/>
      <c r="IL18" s="664"/>
      <c r="IM18" s="664"/>
      <c r="IN18" s="664"/>
      <c r="IO18" s="664"/>
      <c r="IP18" s="664"/>
      <c r="IQ18" s="664"/>
      <c r="IR18" s="664"/>
      <c r="IS18" s="664"/>
      <c r="IT18" s="664"/>
      <c r="IU18" s="664"/>
      <c r="IV18" s="664"/>
    </row>
    <row r="19" spans="1:256" ht="16.5" customHeight="1">
      <c r="A19" s="677" t="s">
        <v>444</v>
      </c>
      <c r="B19" s="678">
        <f>SUM(B8:B18)</f>
        <v>513108501</v>
      </c>
      <c r="C19" s="678">
        <f>SUM(C8:C15)</f>
        <v>1135056</v>
      </c>
      <c r="D19" s="678">
        <f>SUM(D8:D15)</f>
        <v>104888532</v>
      </c>
      <c r="E19" s="678">
        <f>SUM(E8:E15)</f>
        <v>124834519</v>
      </c>
      <c r="F19" s="678">
        <f>SUM(F8:F15)</f>
        <v>24073582</v>
      </c>
      <c r="G19" s="678">
        <f>SUM(G8:G15)</f>
        <v>99095654</v>
      </c>
      <c r="H19" s="678">
        <f>SUM(H8:H18)</f>
        <v>867135844</v>
      </c>
      <c r="I19" s="677" t="s">
        <v>444</v>
      </c>
      <c r="J19" s="678">
        <f aca="true" t="shared" si="2" ref="J19:O19">SUM(J8:J18)</f>
        <v>511643557</v>
      </c>
      <c r="K19" s="678">
        <f t="shared" si="2"/>
        <v>0</v>
      </c>
      <c r="L19" s="678">
        <f t="shared" si="2"/>
        <v>104888532</v>
      </c>
      <c r="M19" s="678">
        <f>SUM(M8:M18)</f>
        <v>124834519</v>
      </c>
      <c r="N19" s="678">
        <f t="shared" si="2"/>
        <v>24073582</v>
      </c>
      <c r="O19" s="678">
        <f t="shared" si="2"/>
        <v>99095654</v>
      </c>
      <c r="P19" s="678">
        <f>SUM(P8+P11+P12+P13+P15+P18)+P9+P10+P25</f>
        <v>867135844</v>
      </c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664"/>
      <c r="AO19" s="664"/>
      <c r="AP19" s="664"/>
      <c r="AQ19" s="664"/>
      <c r="AR19" s="664"/>
      <c r="AS19" s="664"/>
      <c r="AT19" s="664"/>
      <c r="AU19" s="664"/>
      <c r="AV19" s="664"/>
      <c r="AW19" s="664"/>
      <c r="AX19" s="664"/>
      <c r="AY19" s="664"/>
      <c r="AZ19" s="664"/>
      <c r="BA19" s="664"/>
      <c r="BB19" s="664"/>
      <c r="BC19" s="664"/>
      <c r="BD19" s="664"/>
      <c r="BE19" s="664"/>
      <c r="BF19" s="664"/>
      <c r="BG19" s="664"/>
      <c r="BH19" s="664"/>
      <c r="BI19" s="664"/>
      <c r="BJ19" s="664"/>
      <c r="BK19" s="664"/>
      <c r="BL19" s="664"/>
      <c r="BM19" s="664"/>
      <c r="BN19" s="664"/>
      <c r="BO19" s="664"/>
      <c r="BP19" s="664"/>
      <c r="BQ19" s="664"/>
      <c r="BR19" s="664"/>
      <c r="BS19" s="664"/>
      <c r="BT19" s="664"/>
      <c r="BU19" s="664"/>
      <c r="BV19" s="664"/>
      <c r="BW19" s="664"/>
      <c r="BX19" s="664"/>
      <c r="BY19" s="664"/>
      <c r="BZ19" s="664"/>
      <c r="CA19" s="664"/>
      <c r="CB19" s="664"/>
      <c r="CC19" s="664"/>
      <c r="CD19" s="664"/>
      <c r="CE19" s="664"/>
      <c r="CF19" s="664"/>
      <c r="CG19" s="664"/>
      <c r="CH19" s="664"/>
      <c r="CI19" s="664"/>
      <c r="CJ19" s="664"/>
      <c r="CK19" s="664"/>
      <c r="CL19" s="664"/>
      <c r="CM19" s="664"/>
      <c r="CN19" s="664"/>
      <c r="CO19" s="664"/>
      <c r="CP19" s="664"/>
      <c r="CQ19" s="664"/>
      <c r="CR19" s="664"/>
      <c r="CS19" s="664"/>
      <c r="CT19" s="664"/>
      <c r="CU19" s="664"/>
      <c r="CV19" s="664"/>
      <c r="CW19" s="664"/>
      <c r="CX19" s="664"/>
      <c r="CY19" s="664"/>
      <c r="CZ19" s="664"/>
      <c r="DA19" s="664"/>
      <c r="DB19" s="664"/>
      <c r="DC19" s="664"/>
      <c r="DD19" s="664"/>
      <c r="DE19" s="664"/>
      <c r="DF19" s="664"/>
      <c r="DG19" s="664"/>
      <c r="DH19" s="664"/>
      <c r="DI19" s="664"/>
      <c r="DJ19" s="664"/>
      <c r="DK19" s="664"/>
      <c r="DL19" s="664"/>
      <c r="DM19" s="664"/>
      <c r="DN19" s="664"/>
      <c r="DO19" s="664"/>
      <c r="DP19" s="664"/>
      <c r="DQ19" s="664"/>
      <c r="DR19" s="664"/>
      <c r="DS19" s="664"/>
      <c r="DT19" s="664"/>
      <c r="DU19" s="664"/>
      <c r="DV19" s="664"/>
      <c r="DW19" s="664"/>
      <c r="DX19" s="664"/>
      <c r="DY19" s="664"/>
      <c r="DZ19" s="664"/>
      <c r="EA19" s="664"/>
      <c r="EB19" s="664"/>
      <c r="EC19" s="664"/>
      <c r="ED19" s="664"/>
      <c r="EE19" s="664"/>
      <c r="EF19" s="664"/>
      <c r="EG19" s="664"/>
      <c r="EH19" s="664"/>
      <c r="EI19" s="664"/>
      <c r="EJ19" s="664"/>
      <c r="EK19" s="664"/>
      <c r="EL19" s="664"/>
      <c r="EM19" s="664"/>
      <c r="EN19" s="664"/>
      <c r="EO19" s="664"/>
      <c r="EP19" s="664"/>
      <c r="EQ19" s="664"/>
      <c r="ER19" s="664"/>
      <c r="ES19" s="664"/>
      <c r="ET19" s="664"/>
      <c r="EU19" s="664"/>
      <c r="EV19" s="664"/>
      <c r="EW19" s="664"/>
      <c r="EX19" s="664"/>
      <c r="EY19" s="664"/>
      <c r="EZ19" s="664"/>
      <c r="FA19" s="664"/>
      <c r="FB19" s="664"/>
      <c r="FC19" s="664"/>
      <c r="FD19" s="664"/>
      <c r="FE19" s="664"/>
      <c r="FF19" s="664"/>
      <c r="FG19" s="664"/>
      <c r="FH19" s="664"/>
      <c r="FI19" s="664"/>
      <c r="FJ19" s="664"/>
      <c r="FK19" s="664"/>
      <c r="FL19" s="664"/>
      <c r="FM19" s="664"/>
      <c r="FN19" s="664"/>
      <c r="FO19" s="664"/>
      <c r="FP19" s="664"/>
      <c r="FQ19" s="664"/>
      <c r="FR19" s="664"/>
      <c r="FS19" s="664"/>
      <c r="FT19" s="664"/>
      <c r="FU19" s="664"/>
      <c r="FV19" s="664"/>
      <c r="FW19" s="664"/>
      <c r="FX19" s="664"/>
      <c r="FY19" s="664"/>
      <c r="FZ19" s="664"/>
      <c r="GA19" s="664"/>
      <c r="GB19" s="664"/>
      <c r="GC19" s="664"/>
      <c r="GD19" s="664"/>
      <c r="GE19" s="664"/>
      <c r="GF19" s="664"/>
      <c r="GG19" s="664"/>
      <c r="GH19" s="664"/>
      <c r="GI19" s="664"/>
      <c r="GJ19" s="664"/>
      <c r="GK19" s="664"/>
      <c r="GL19" s="664"/>
      <c r="GM19" s="664"/>
      <c r="GN19" s="664"/>
      <c r="GO19" s="664"/>
      <c r="GP19" s="664"/>
      <c r="GQ19" s="664"/>
      <c r="GR19" s="664"/>
      <c r="GS19" s="664"/>
      <c r="GT19" s="664"/>
      <c r="GU19" s="664"/>
      <c r="GV19" s="664"/>
      <c r="GW19" s="664"/>
      <c r="GX19" s="664"/>
      <c r="GY19" s="664"/>
      <c r="GZ19" s="664"/>
      <c r="HA19" s="664"/>
      <c r="HB19" s="664"/>
      <c r="HC19" s="664"/>
      <c r="HD19" s="664"/>
      <c r="HE19" s="664"/>
      <c r="HF19" s="664"/>
      <c r="HG19" s="664"/>
      <c r="HH19" s="664"/>
      <c r="HI19" s="664"/>
      <c r="HJ19" s="664"/>
      <c r="HK19" s="664"/>
      <c r="HL19" s="664"/>
      <c r="HM19" s="664"/>
      <c r="HN19" s="664"/>
      <c r="HO19" s="664"/>
      <c r="HP19" s="664"/>
      <c r="HQ19" s="664"/>
      <c r="HR19" s="664"/>
      <c r="HS19" s="664"/>
      <c r="HT19" s="664"/>
      <c r="HU19" s="664"/>
      <c r="HV19" s="664"/>
      <c r="HW19" s="664"/>
      <c r="HX19" s="664"/>
      <c r="HY19" s="664"/>
      <c r="HZ19" s="664"/>
      <c r="IA19" s="664"/>
      <c r="IB19" s="664"/>
      <c r="IC19" s="664"/>
      <c r="ID19" s="664"/>
      <c r="IE19" s="664"/>
      <c r="IF19" s="664"/>
      <c r="IG19" s="664"/>
      <c r="IH19" s="664"/>
      <c r="II19" s="664"/>
      <c r="IJ19" s="664"/>
      <c r="IK19" s="664"/>
      <c r="IL19" s="664"/>
      <c r="IM19" s="664"/>
      <c r="IN19" s="664"/>
      <c r="IO19" s="664"/>
      <c r="IP19" s="664"/>
      <c r="IQ19" s="664"/>
      <c r="IR19" s="664"/>
      <c r="IS19" s="664"/>
      <c r="IT19" s="664"/>
      <c r="IU19" s="664"/>
      <c r="IV19" s="664"/>
    </row>
    <row r="20" spans="1:256" ht="16.5" customHeight="1">
      <c r="A20" s="1839"/>
      <c r="B20" s="1839"/>
      <c r="C20" s="1839"/>
      <c r="D20" s="1839"/>
      <c r="E20" s="1839"/>
      <c r="F20" s="1839"/>
      <c r="G20" s="1839"/>
      <c r="H20" s="1839"/>
      <c r="I20" s="1839"/>
      <c r="J20" s="1839"/>
      <c r="K20" s="1839"/>
      <c r="L20" s="1839"/>
      <c r="M20" s="1839"/>
      <c r="N20" s="1839"/>
      <c r="O20" s="1839"/>
      <c r="P20" s="1839"/>
      <c r="Q20" s="664"/>
      <c r="R20" s="664"/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4"/>
      <c r="AL20" s="664"/>
      <c r="AM20" s="664"/>
      <c r="AN20" s="664"/>
      <c r="AO20" s="664"/>
      <c r="AP20" s="664"/>
      <c r="AQ20" s="664"/>
      <c r="AR20" s="664"/>
      <c r="AS20" s="664"/>
      <c r="AT20" s="664"/>
      <c r="AU20" s="664"/>
      <c r="AV20" s="664"/>
      <c r="AW20" s="664"/>
      <c r="AX20" s="664"/>
      <c r="AY20" s="664"/>
      <c r="AZ20" s="664"/>
      <c r="BA20" s="664"/>
      <c r="BB20" s="664"/>
      <c r="BC20" s="664"/>
      <c r="BD20" s="664"/>
      <c r="BE20" s="664"/>
      <c r="BF20" s="664"/>
      <c r="BG20" s="664"/>
      <c r="BH20" s="664"/>
      <c r="BI20" s="664"/>
      <c r="BJ20" s="664"/>
      <c r="BK20" s="664"/>
      <c r="BL20" s="664"/>
      <c r="BM20" s="664"/>
      <c r="BN20" s="664"/>
      <c r="BO20" s="664"/>
      <c r="BP20" s="664"/>
      <c r="BQ20" s="664"/>
      <c r="BR20" s="664"/>
      <c r="BS20" s="664"/>
      <c r="BT20" s="664"/>
      <c r="BU20" s="664"/>
      <c r="BV20" s="664"/>
      <c r="BW20" s="664"/>
      <c r="BX20" s="664"/>
      <c r="BY20" s="664"/>
      <c r="BZ20" s="664"/>
      <c r="CA20" s="664"/>
      <c r="CB20" s="664"/>
      <c r="CC20" s="664"/>
      <c r="CD20" s="664"/>
      <c r="CE20" s="664"/>
      <c r="CF20" s="664"/>
      <c r="CG20" s="664"/>
      <c r="CH20" s="664"/>
      <c r="CI20" s="664"/>
      <c r="CJ20" s="664"/>
      <c r="CK20" s="664"/>
      <c r="CL20" s="664"/>
      <c r="CM20" s="664"/>
      <c r="CN20" s="664"/>
      <c r="CO20" s="664"/>
      <c r="CP20" s="664"/>
      <c r="CQ20" s="664"/>
      <c r="CR20" s="664"/>
      <c r="CS20" s="664"/>
      <c r="CT20" s="664"/>
      <c r="CU20" s="664"/>
      <c r="CV20" s="664"/>
      <c r="CW20" s="664"/>
      <c r="CX20" s="664"/>
      <c r="CY20" s="664"/>
      <c r="CZ20" s="664"/>
      <c r="DA20" s="664"/>
      <c r="DB20" s="664"/>
      <c r="DC20" s="664"/>
      <c r="DD20" s="664"/>
      <c r="DE20" s="664"/>
      <c r="DF20" s="664"/>
      <c r="DG20" s="664"/>
      <c r="DH20" s="664"/>
      <c r="DI20" s="664"/>
      <c r="DJ20" s="664"/>
      <c r="DK20" s="664"/>
      <c r="DL20" s="664"/>
      <c r="DM20" s="664"/>
      <c r="DN20" s="664"/>
      <c r="DO20" s="664"/>
      <c r="DP20" s="664"/>
      <c r="DQ20" s="664"/>
      <c r="DR20" s="664"/>
      <c r="DS20" s="664"/>
      <c r="DT20" s="664"/>
      <c r="DU20" s="664"/>
      <c r="DV20" s="664"/>
      <c r="DW20" s="664"/>
      <c r="DX20" s="664"/>
      <c r="DY20" s="664"/>
      <c r="DZ20" s="664"/>
      <c r="EA20" s="664"/>
      <c r="EB20" s="664"/>
      <c r="EC20" s="664"/>
      <c r="ED20" s="664"/>
      <c r="EE20" s="664"/>
      <c r="EF20" s="664"/>
      <c r="EG20" s="664"/>
      <c r="EH20" s="664"/>
      <c r="EI20" s="664"/>
      <c r="EJ20" s="664"/>
      <c r="EK20" s="664"/>
      <c r="EL20" s="664"/>
      <c r="EM20" s="664"/>
      <c r="EN20" s="664"/>
      <c r="EO20" s="664"/>
      <c r="EP20" s="664"/>
      <c r="EQ20" s="664"/>
      <c r="ER20" s="664"/>
      <c r="ES20" s="664"/>
      <c r="ET20" s="664"/>
      <c r="EU20" s="664"/>
      <c r="EV20" s="664"/>
      <c r="EW20" s="664"/>
      <c r="EX20" s="664"/>
      <c r="EY20" s="664"/>
      <c r="EZ20" s="664"/>
      <c r="FA20" s="664"/>
      <c r="FB20" s="664"/>
      <c r="FC20" s="664"/>
      <c r="FD20" s="664"/>
      <c r="FE20" s="664"/>
      <c r="FF20" s="664"/>
      <c r="FG20" s="664"/>
      <c r="FH20" s="664"/>
      <c r="FI20" s="664"/>
      <c r="FJ20" s="664"/>
      <c r="FK20" s="664"/>
      <c r="FL20" s="664"/>
      <c r="FM20" s="664"/>
      <c r="FN20" s="664"/>
      <c r="FO20" s="664"/>
      <c r="FP20" s="664"/>
      <c r="FQ20" s="664"/>
      <c r="FR20" s="664"/>
      <c r="FS20" s="664"/>
      <c r="FT20" s="664"/>
      <c r="FU20" s="664"/>
      <c r="FV20" s="664"/>
      <c r="FW20" s="664"/>
      <c r="FX20" s="664"/>
      <c r="FY20" s="664"/>
      <c r="FZ20" s="664"/>
      <c r="GA20" s="664"/>
      <c r="GB20" s="664"/>
      <c r="GC20" s="664"/>
      <c r="GD20" s="664"/>
      <c r="GE20" s="664"/>
      <c r="GF20" s="664"/>
      <c r="GG20" s="664"/>
      <c r="GH20" s="664"/>
      <c r="GI20" s="664"/>
      <c r="GJ20" s="664"/>
      <c r="GK20" s="664"/>
      <c r="GL20" s="664"/>
      <c r="GM20" s="664"/>
      <c r="GN20" s="664"/>
      <c r="GO20" s="664"/>
      <c r="GP20" s="664"/>
      <c r="GQ20" s="664"/>
      <c r="GR20" s="664"/>
      <c r="GS20" s="664"/>
      <c r="GT20" s="664"/>
      <c r="GU20" s="664"/>
      <c r="GV20" s="664"/>
      <c r="GW20" s="664"/>
      <c r="GX20" s="664"/>
      <c r="GY20" s="664"/>
      <c r="GZ20" s="664"/>
      <c r="HA20" s="664"/>
      <c r="HB20" s="664"/>
      <c r="HC20" s="664"/>
      <c r="HD20" s="664"/>
      <c r="HE20" s="664"/>
      <c r="HF20" s="664"/>
      <c r="HG20" s="664"/>
      <c r="HH20" s="664"/>
      <c r="HI20" s="664"/>
      <c r="HJ20" s="664"/>
      <c r="HK20" s="664"/>
      <c r="HL20" s="664"/>
      <c r="HM20" s="664"/>
      <c r="HN20" s="664"/>
      <c r="HO20" s="664"/>
      <c r="HP20" s="664"/>
      <c r="HQ20" s="664"/>
      <c r="HR20" s="664"/>
      <c r="HS20" s="664"/>
      <c r="HT20" s="664"/>
      <c r="HU20" s="664"/>
      <c r="HV20" s="664"/>
      <c r="HW20" s="664"/>
      <c r="HX20" s="664"/>
      <c r="HY20" s="664"/>
      <c r="HZ20" s="664"/>
      <c r="IA20" s="664"/>
      <c r="IB20" s="664"/>
      <c r="IC20" s="664"/>
      <c r="ID20" s="664"/>
      <c r="IE20" s="664"/>
      <c r="IF20" s="664"/>
      <c r="IG20" s="664"/>
      <c r="IH20" s="664"/>
      <c r="II20" s="664"/>
      <c r="IJ20" s="664"/>
      <c r="IK20" s="664"/>
      <c r="IL20" s="664"/>
      <c r="IM20" s="664"/>
      <c r="IN20" s="664"/>
      <c r="IO20" s="664"/>
      <c r="IP20" s="664"/>
      <c r="IQ20" s="664"/>
      <c r="IR20" s="664"/>
      <c r="IS20" s="664"/>
      <c r="IT20" s="664"/>
      <c r="IU20" s="664"/>
      <c r="IV20" s="664"/>
    </row>
    <row r="21" spans="1:256" ht="16.5" customHeight="1">
      <c r="A21" s="666" t="s">
        <v>15</v>
      </c>
      <c r="B21" s="679"/>
      <c r="C21" s="679"/>
      <c r="D21" s="679"/>
      <c r="E21" s="679"/>
      <c r="F21" s="679"/>
      <c r="G21" s="679"/>
      <c r="H21" s="679"/>
      <c r="I21" s="666" t="s">
        <v>13</v>
      </c>
      <c r="J21" s="679"/>
      <c r="K21" s="679"/>
      <c r="L21" s="679"/>
      <c r="M21" s="679"/>
      <c r="N21" s="679"/>
      <c r="O21" s="679"/>
      <c r="P21" s="679"/>
      <c r="Q21" s="664"/>
      <c r="R21" s="664"/>
      <c r="S21" s="664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4"/>
      <c r="AF21" s="664"/>
      <c r="AG21" s="664"/>
      <c r="AH21" s="664"/>
      <c r="AI21" s="664"/>
      <c r="AJ21" s="664"/>
      <c r="AK21" s="664"/>
      <c r="AL21" s="664"/>
      <c r="AM21" s="664"/>
      <c r="AN21" s="664"/>
      <c r="AO21" s="664"/>
      <c r="AP21" s="664"/>
      <c r="AQ21" s="664"/>
      <c r="AR21" s="664"/>
      <c r="AS21" s="664"/>
      <c r="AT21" s="664"/>
      <c r="AU21" s="664"/>
      <c r="AV21" s="664"/>
      <c r="AW21" s="664"/>
      <c r="AX21" s="664"/>
      <c r="AY21" s="664"/>
      <c r="AZ21" s="664"/>
      <c r="BA21" s="664"/>
      <c r="BB21" s="664"/>
      <c r="BC21" s="664"/>
      <c r="BD21" s="664"/>
      <c r="BE21" s="664"/>
      <c r="BF21" s="664"/>
      <c r="BG21" s="664"/>
      <c r="BH21" s="664"/>
      <c r="BI21" s="664"/>
      <c r="BJ21" s="664"/>
      <c r="BK21" s="664"/>
      <c r="BL21" s="664"/>
      <c r="BM21" s="664"/>
      <c r="BN21" s="664"/>
      <c r="BO21" s="664"/>
      <c r="BP21" s="664"/>
      <c r="BQ21" s="664"/>
      <c r="BR21" s="664"/>
      <c r="BS21" s="664"/>
      <c r="BT21" s="664"/>
      <c r="BU21" s="664"/>
      <c r="BV21" s="664"/>
      <c r="BW21" s="664"/>
      <c r="BX21" s="664"/>
      <c r="BY21" s="664"/>
      <c r="BZ21" s="664"/>
      <c r="CA21" s="664"/>
      <c r="CB21" s="664"/>
      <c r="CC21" s="664"/>
      <c r="CD21" s="664"/>
      <c r="CE21" s="664"/>
      <c r="CF21" s="664"/>
      <c r="CG21" s="664"/>
      <c r="CH21" s="664"/>
      <c r="CI21" s="664"/>
      <c r="CJ21" s="664"/>
      <c r="CK21" s="664"/>
      <c r="CL21" s="664"/>
      <c r="CM21" s="664"/>
      <c r="CN21" s="664"/>
      <c r="CO21" s="664"/>
      <c r="CP21" s="664"/>
      <c r="CQ21" s="664"/>
      <c r="CR21" s="664"/>
      <c r="CS21" s="664"/>
      <c r="CT21" s="664"/>
      <c r="CU21" s="664"/>
      <c r="CV21" s="664"/>
      <c r="CW21" s="664"/>
      <c r="CX21" s="664"/>
      <c r="CY21" s="664"/>
      <c r="CZ21" s="664"/>
      <c r="DA21" s="664"/>
      <c r="DB21" s="664"/>
      <c r="DC21" s="664"/>
      <c r="DD21" s="664"/>
      <c r="DE21" s="664"/>
      <c r="DF21" s="664"/>
      <c r="DG21" s="664"/>
      <c r="DH21" s="664"/>
      <c r="DI21" s="664"/>
      <c r="DJ21" s="664"/>
      <c r="DK21" s="664"/>
      <c r="DL21" s="664"/>
      <c r="DM21" s="664"/>
      <c r="DN21" s="664"/>
      <c r="DO21" s="664"/>
      <c r="DP21" s="664"/>
      <c r="DQ21" s="664"/>
      <c r="DR21" s="664"/>
      <c r="DS21" s="664"/>
      <c r="DT21" s="664"/>
      <c r="DU21" s="664"/>
      <c r="DV21" s="664"/>
      <c r="DW21" s="664"/>
      <c r="DX21" s="664"/>
      <c r="DY21" s="664"/>
      <c r="DZ21" s="664"/>
      <c r="EA21" s="664"/>
      <c r="EB21" s="664"/>
      <c r="EC21" s="664"/>
      <c r="ED21" s="664"/>
      <c r="EE21" s="664"/>
      <c r="EF21" s="664"/>
      <c r="EG21" s="664"/>
      <c r="EH21" s="664"/>
      <c r="EI21" s="664"/>
      <c r="EJ21" s="664"/>
      <c r="EK21" s="664"/>
      <c r="EL21" s="664"/>
      <c r="EM21" s="664"/>
      <c r="EN21" s="664"/>
      <c r="EO21" s="664"/>
      <c r="EP21" s="664"/>
      <c r="EQ21" s="664"/>
      <c r="ER21" s="664"/>
      <c r="ES21" s="664"/>
      <c r="ET21" s="664"/>
      <c r="EU21" s="664"/>
      <c r="EV21" s="664"/>
      <c r="EW21" s="664"/>
      <c r="EX21" s="664"/>
      <c r="EY21" s="664"/>
      <c r="EZ21" s="664"/>
      <c r="FA21" s="664"/>
      <c r="FB21" s="664"/>
      <c r="FC21" s="664"/>
      <c r="FD21" s="664"/>
      <c r="FE21" s="664"/>
      <c r="FF21" s="664"/>
      <c r="FG21" s="664"/>
      <c r="FH21" s="664"/>
      <c r="FI21" s="664"/>
      <c r="FJ21" s="664"/>
      <c r="FK21" s="664"/>
      <c r="FL21" s="664"/>
      <c r="FM21" s="664"/>
      <c r="FN21" s="664"/>
      <c r="FO21" s="664"/>
      <c r="FP21" s="664"/>
      <c r="FQ21" s="664"/>
      <c r="FR21" s="664"/>
      <c r="FS21" s="664"/>
      <c r="FT21" s="664"/>
      <c r="FU21" s="664"/>
      <c r="FV21" s="664"/>
      <c r="FW21" s="664"/>
      <c r="FX21" s="664"/>
      <c r="FY21" s="664"/>
      <c r="FZ21" s="664"/>
      <c r="GA21" s="664"/>
      <c r="GB21" s="664"/>
      <c r="GC21" s="664"/>
      <c r="GD21" s="664"/>
      <c r="GE21" s="664"/>
      <c r="GF21" s="664"/>
      <c r="GG21" s="664"/>
      <c r="GH21" s="664"/>
      <c r="GI21" s="664"/>
      <c r="GJ21" s="664"/>
      <c r="GK21" s="664"/>
      <c r="GL21" s="664"/>
      <c r="GM21" s="664"/>
      <c r="GN21" s="664"/>
      <c r="GO21" s="664"/>
      <c r="GP21" s="664"/>
      <c r="GQ21" s="664"/>
      <c r="GR21" s="664"/>
      <c r="GS21" s="664"/>
      <c r="GT21" s="664"/>
      <c r="GU21" s="664"/>
      <c r="GV21" s="664"/>
      <c r="GW21" s="664"/>
      <c r="GX21" s="664"/>
      <c r="GY21" s="664"/>
      <c r="GZ21" s="664"/>
      <c r="HA21" s="664"/>
      <c r="HB21" s="664"/>
      <c r="HC21" s="664"/>
      <c r="HD21" s="664"/>
      <c r="HE21" s="664"/>
      <c r="HF21" s="664"/>
      <c r="HG21" s="664"/>
      <c r="HH21" s="664"/>
      <c r="HI21" s="664"/>
      <c r="HJ21" s="664"/>
      <c r="HK21" s="664"/>
      <c r="HL21" s="664"/>
      <c r="HM21" s="664"/>
      <c r="HN21" s="664"/>
      <c r="HO21" s="664"/>
      <c r="HP21" s="664"/>
      <c r="HQ21" s="664"/>
      <c r="HR21" s="664"/>
      <c r="HS21" s="664"/>
      <c r="HT21" s="664"/>
      <c r="HU21" s="664"/>
      <c r="HV21" s="664"/>
      <c r="HW21" s="664"/>
      <c r="HX21" s="664"/>
      <c r="HY21" s="664"/>
      <c r="HZ21" s="664"/>
      <c r="IA21" s="664"/>
      <c r="IB21" s="664"/>
      <c r="IC21" s="664"/>
      <c r="ID21" s="664"/>
      <c r="IE21" s="664"/>
      <c r="IF21" s="664"/>
      <c r="IG21" s="664"/>
      <c r="IH21" s="664"/>
      <c r="II21" s="664"/>
      <c r="IJ21" s="664"/>
      <c r="IK21" s="664"/>
      <c r="IL21" s="664"/>
      <c r="IM21" s="664"/>
      <c r="IN21" s="664"/>
      <c r="IO21" s="664"/>
      <c r="IP21" s="664"/>
      <c r="IQ21" s="664"/>
      <c r="IR21" s="664"/>
      <c r="IS21" s="664"/>
      <c r="IT21" s="664"/>
      <c r="IU21" s="664"/>
      <c r="IV21" s="664"/>
    </row>
    <row r="22" spans="1:256" ht="29.25" customHeight="1">
      <c r="A22" s="669" t="s">
        <v>267</v>
      </c>
      <c r="B22" s="670">
        <v>245864172</v>
      </c>
      <c r="C22" s="670">
        <v>2977923</v>
      </c>
      <c r="D22" s="670">
        <v>600000</v>
      </c>
      <c r="E22" s="670">
        <v>500000</v>
      </c>
      <c r="F22" s="670">
        <v>500000</v>
      </c>
      <c r="G22" s="670">
        <v>1000000</v>
      </c>
      <c r="H22" s="670">
        <f aca="true" t="shared" si="3" ref="H22:H27">SUM(B22:G22)</f>
        <v>251442095</v>
      </c>
      <c r="I22" s="669" t="s">
        <v>167</v>
      </c>
      <c r="J22" s="670">
        <v>225628568</v>
      </c>
      <c r="K22" s="670"/>
      <c r="L22" s="670"/>
      <c r="M22" s="670"/>
      <c r="N22" s="670"/>
      <c r="O22" s="670"/>
      <c r="P22" s="680">
        <f aca="true" t="shared" si="4" ref="P22:P27">SUM(J22:O22)</f>
        <v>225628568</v>
      </c>
      <c r="Q22" s="664"/>
      <c r="R22" s="664"/>
      <c r="S22" s="664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4"/>
      <c r="AF22" s="664"/>
      <c r="AG22" s="664"/>
      <c r="AH22" s="664"/>
      <c r="AI22" s="664"/>
      <c r="AJ22" s="664"/>
      <c r="AK22" s="664"/>
      <c r="AL22" s="664"/>
      <c r="AM22" s="664"/>
      <c r="AN22" s="664"/>
      <c r="AO22" s="664"/>
      <c r="AP22" s="664"/>
      <c r="AQ22" s="664"/>
      <c r="AR22" s="664"/>
      <c r="AS22" s="664"/>
      <c r="AT22" s="664"/>
      <c r="AU22" s="664"/>
      <c r="AV22" s="664"/>
      <c r="AW22" s="664"/>
      <c r="AX22" s="664"/>
      <c r="AY22" s="664"/>
      <c r="AZ22" s="664"/>
      <c r="BA22" s="664"/>
      <c r="BB22" s="664"/>
      <c r="BC22" s="664"/>
      <c r="BD22" s="664"/>
      <c r="BE22" s="664"/>
      <c r="BF22" s="664"/>
      <c r="BG22" s="664"/>
      <c r="BH22" s="664"/>
      <c r="BI22" s="664"/>
      <c r="BJ22" s="664"/>
      <c r="BK22" s="664"/>
      <c r="BL22" s="664"/>
      <c r="BM22" s="664"/>
      <c r="BN22" s="664"/>
      <c r="BO22" s="664"/>
      <c r="BP22" s="664"/>
      <c r="BQ22" s="664"/>
      <c r="BR22" s="664"/>
      <c r="BS22" s="664"/>
      <c r="BT22" s="664"/>
      <c r="BU22" s="664"/>
      <c r="BV22" s="664"/>
      <c r="BW22" s="664"/>
      <c r="BX22" s="664"/>
      <c r="BY22" s="664"/>
      <c r="BZ22" s="664"/>
      <c r="CA22" s="664"/>
      <c r="CB22" s="664"/>
      <c r="CC22" s="664"/>
      <c r="CD22" s="664"/>
      <c r="CE22" s="664"/>
      <c r="CF22" s="664"/>
      <c r="CG22" s="664"/>
      <c r="CH22" s="664"/>
      <c r="CI22" s="664"/>
      <c r="CJ22" s="664"/>
      <c r="CK22" s="664"/>
      <c r="CL22" s="664"/>
      <c r="CM22" s="664"/>
      <c r="CN22" s="664"/>
      <c r="CO22" s="664"/>
      <c r="CP22" s="664"/>
      <c r="CQ22" s="664"/>
      <c r="CR22" s="664"/>
      <c r="CS22" s="664"/>
      <c r="CT22" s="664"/>
      <c r="CU22" s="664"/>
      <c r="CV22" s="664"/>
      <c r="CW22" s="664"/>
      <c r="CX22" s="664"/>
      <c r="CY22" s="664"/>
      <c r="CZ22" s="664"/>
      <c r="DA22" s="664"/>
      <c r="DB22" s="664"/>
      <c r="DC22" s="664"/>
      <c r="DD22" s="664"/>
      <c r="DE22" s="664"/>
      <c r="DF22" s="664"/>
      <c r="DG22" s="664"/>
      <c r="DH22" s="664"/>
      <c r="DI22" s="664"/>
      <c r="DJ22" s="664"/>
      <c r="DK22" s="664"/>
      <c r="DL22" s="664"/>
      <c r="DM22" s="664"/>
      <c r="DN22" s="664"/>
      <c r="DO22" s="664"/>
      <c r="DP22" s="664"/>
      <c r="DQ22" s="664"/>
      <c r="DR22" s="664"/>
      <c r="DS22" s="664"/>
      <c r="DT22" s="664"/>
      <c r="DU22" s="664"/>
      <c r="DV22" s="664"/>
      <c r="DW22" s="664"/>
      <c r="DX22" s="664"/>
      <c r="DY22" s="664"/>
      <c r="DZ22" s="664"/>
      <c r="EA22" s="664"/>
      <c r="EB22" s="664"/>
      <c r="EC22" s="664"/>
      <c r="ED22" s="664"/>
      <c r="EE22" s="664"/>
      <c r="EF22" s="664"/>
      <c r="EG22" s="664"/>
      <c r="EH22" s="664"/>
      <c r="EI22" s="664"/>
      <c r="EJ22" s="664"/>
      <c r="EK22" s="664"/>
      <c r="EL22" s="664"/>
      <c r="EM22" s="664"/>
      <c r="EN22" s="664"/>
      <c r="EO22" s="664"/>
      <c r="EP22" s="664"/>
      <c r="EQ22" s="664"/>
      <c r="ER22" s="664"/>
      <c r="ES22" s="664"/>
      <c r="ET22" s="664"/>
      <c r="EU22" s="664"/>
      <c r="EV22" s="664"/>
      <c r="EW22" s="664"/>
      <c r="EX22" s="664"/>
      <c r="EY22" s="664"/>
      <c r="EZ22" s="664"/>
      <c r="FA22" s="664"/>
      <c r="FB22" s="664"/>
      <c r="FC22" s="664"/>
      <c r="FD22" s="664"/>
      <c r="FE22" s="664"/>
      <c r="FF22" s="664"/>
      <c r="FG22" s="664"/>
      <c r="FH22" s="664"/>
      <c r="FI22" s="664"/>
      <c r="FJ22" s="664"/>
      <c r="FK22" s="664"/>
      <c r="FL22" s="664"/>
      <c r="FM22" s="664"/>
      <c r="FN22" s="664"/>
      <c r="FO22" s="664"/>
      <c r="FP22" s="664"/>
      <c r="FQ22" s="664"/>
      <c r="FR22" s="664"/>
      <c r="FS22" s="664"/>
      <c r="FT22" s="664"/>
      <c r="FU22" s="664"/>
      <c r="FV22" s="664"/>
      <c r="FW22" s="664"/>
      <c r="FX22" s="664"/>
      <c r="FY22" s="664"/>
      <c r="FZ22" s="664"/>
      <c r="GA22" s="664"/>
      <c r="GB22" s="664"/>
      <c r="GC22" s="664"/>
      <c r="GD22" s="664"/>
      <c r="GE22" s="664"/>
      <c r="GF22" s="664"/>
      <c r="GG22" s="664"/>
      <c r="GH22" s="664"/>
      <c r="GI22" s="664"/>
      <c r="GJ22" s="664"/>
      <c r="GK22" s="664"/>
      <c r="GL22" s="664"/>
      <c r="GM22" s="664"/>
      <c r="GN22" s="664"/>
      <c r="GO22" s="664"/>
      <c r="GP22" s="664"/>
      <c r="GQ22" s="664"/>
      <c r="GR22" s="664"/>
      <c r="GS22" s="664"/>
      <c r="GT22" s="664"/>
      <c r="GU22" s="664"/>
      <c r="GV22" s="664"/>
      <c r="GW22" s="664"/>
      <c r="GX22" s="664"/>
      <c r="GY22" s="664"/>
      <c r="GZ22" s="664"/>
      <c r="HA22" s="664"/>
      <c r="HB22" s="664"/>
      <c r="HC22" s="664"/>
      <c r="HD22" s="664"/>
      <c r="HE22" s="664"/>
      <c r="HF22" s="664"/>
      <c r="HG22" s="664"/>
      <c r="HH22" s="664"/>
      <c r="HI22" s="664"/>
      <c r="HJ22" s="664"/>
      <c r="HK22" s="664"/>
      <c r="HL22" s="664"/>
      <c r="HM22" s="664"/>
      <c r="HN22" s="664"/>
      <c r="HO22" s="664"/>
      <c r="HP22" s="664"/>
      <c r="HQ22" s="664"/>
      <c r="HR22" s="664"/>
      <c r="HS22" s="664"/>
      <c r="HT22" s="664"/>
      <c r="HU22" s="664"/>
      <c r="HV22" s="664"/>
      <c r="HW22" s="664"/>
      <c r="HX22" s="664"/>
      <c r="HY22" s="664"/>
      <c r="HZ22" s="664"/>
      <c r="IA22" s="664"/>
      <c r="IB22" s="664"/>
      <c r="IC22" s="664"/>
      <c r="ID22" s="664"/>
      <c r="IE22" s="664"/>
      <c r="IF22" s="664"/>
      <c r="IG22" s="664"/>
      <c r="IH22" s="664"/>
      <c r="II22" s="664"/>
      <c r="IJ22" s="664"/>
      <c r="IK22" s="664"/>
      <c r="IL22" s="664"/>
      <c r="IM22" s="664"/>
      <c r="IN22" s="664"/>
      <c r="IO22" s="664"/>
      <c r="IP22" s="664"/>
      <c r="IQ22" s="664"/>
      <c r="IR22" s="664"/>
      <c r="IS22" s="664"/>
      <c r="IT22" s="664"/>
      <c r="IU22" s="664"/>
      <c r="IV22" s="664"/>
    </row>
    <row r="23" spans="1:256" ht="16.5" customHeight="1">
      <c r="A23" s="669" t="s">
        <v>427</v>
      </c>
      <c r="B23" s="670">
        <v>23442555</v>
      </c>
      <c r="C23" s="670" t="s">
        <v>1163</v>
      </c>
      <c r="D23" s="671"/>
      <c r="E23" s="671"/>
      <c r="F23" s="671"/>
      <c r="G23" s="670"/>
      <c r="H23" s="670">
        <f t="shared" si="3"/>
        <v>23442555</v>
      </c>
      <c r="I23" s="669" t="s">
        <v>13</v>
      </c>
      <c r="J23" s="670">
        <v>22893160</v>
      </c>
      <c r="K23" s="670"/>
      <c r="L23" s="670"/>
      <c r="M23" s="670"/>
      <c r="N23" s="670"/>
      <c r="O23" s="670"/>
      <c r="P23" s="680">
        <f t="shared" si="4"/>
        <v>22893160</v>
      </c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  <c r="AE23" s="664"/>
      <c r="AF23" s="664"/>
      <c r="AG23" s="664"/>
      <c r="AH23" s="664"/>
      <c r="AI23" s="664"/>
      <c r="AJ23" s="664"/>
      <c r="AK23" s="664"/>
      <c r="AL23" s="664"/>
      <c r="AM23" s="664"/>
      <c r="AN23" s="664"/>
      <c r="AO23" s="664"/>
      <c r="AP23" s="664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664"/>
      <c r="BB23" s="664"/>
      <c r="BC23" s="664"/>
      <c r="BD23" s="664"/>
      <c r="BE23" s="664"/>
      <c r="BF23" s="664"/>
      <c r="BG23" s="664"/>
      <c r="BH23" s="664"/>
      <c r="BI23" s="664"/>
      <c r="BJ23" s="664"/>
      <c r="BK23" s="664"/>
      <c r="BL23" s="664"/>
      <c r="BM23" s="664"/>
      <c r="BN23" s="664"/>
      <c r="BO23" s="664"/>
      <c r="BP23" s="664"/>
      <c r="BQ23" s="664"/>
      <c r="BR23" s="664"/>
      <c r="BS23" s="664"/>
      <c r="BT23" s="664"/>
      <c r="BU23" s="664"/>
      <c r="BV23" s="664"/>
      <c r="BW23" s="664"/>
      <c r="BX23" s="664"/>
      <c r="BY23" s="664"/>
      <c r="BZ23" s="664"/>
      <c r="CA23" s="664"/>
      <c r="CB23" s="664"/>
      <c r="CC23" s="664"/>
      <c r="CD23" s="664"/>
      <c r="CE23" s="664"/>
      <c r="CF23" s="664"/>
      <c r="CG23" s="664"/>
      <c r="CH23" s="664"/>
      <c r="CI23" s="664"/>
      <c r="CJ23" s="664"/>
      <c r="CK23" s="664"/>
      <c r="CL23" s="664"/>
      <c r="CM23" s="664"/>
      <c r="CN23" s="664"/>
      <c r="CO23" s="664"/>
      <c r="CP23" s="664"/>
      <c r="CQ23" s="664"/>
      <c r="CR23" s="664"/>
      <c r="CS23" s="664"/>
      <c r="CT23" s="664"/>
      <c r="CU23" s="664"/>
      <c r="CV23" s="664"/>
      <c r="CW23" s="664"/>
      <c r="CX23" s="664"/>
      <c r="CY23" s="664"/>
      <c r="CZ23" s="664"/>
      <c r="DA23" s="664"/>
      <c r="DB23" s="664"/>
      <c r="DC23" s="664"/>
      <c r="DD23" s="664"/>
      <c r="DE23" s="664"/>
      <c r="DF23" s="664"/>
      <c r="DG23" s="664"/>
      <c r="DH23" s="664"/>
      <c r="DI23" s="664"/>
      <c r="DJ23" s="664"/>
      <c r="DK23" s="664"/>
      <c r="DL23" s="664"/>
      <c r="DM23" s="664"/>
      <c r="DN23" s="664"/>
      <c r="DO23" s="664"/>
      <c r="DP23" s="664"/>
      <c r="DQ23" s="664"/>
      <c r="DR23" s="664"/>
      <c r="DS23" s="664"/>
      <c r="DT23" s="664"/>
      <c r="DU23" s="664"/>
      <c r="DV23" s="664"/>
      <c r="DW23" s="664"/>
      <c r="DX23" s="664"/>
      <c r="DY23" s="664"/>
      <c r="DZ23" s="664"/>
      <c r="EA23" s="664"/>
      <c r="EB23" s="664"/>
      <c r="EC23" s="664"/>
      <c r="ED23" s="664"/>
      <c r="EE23" s="664"/>
      <c r="EF23" s="664"/>
      <c r="EG23" s="664"/>
      <c r="EH23" s="664"/>
      <c r="EI23" s="664"/>
      <c r="EJ23" s="664"/>
      <c r="EK23" s="664"/>
      <c r="EL23" s="664"/>
      <c r="EM23" s="664"/>
      <c r="EN23" s="664"/>
      <c r="EO23" s="664"/>
      <c r="EP23" s="664"/>
      <c r="EQ23" s="664"/>
      <c r="ER23" s="664"/>
      <c r="ES23" s="664"/>
      <c r="ET23" s="664"/>
      <c r="EU23" s="664"/>
      <c r="EV23" s="664"/>
      <c r="EW23" s="664"/>
      <c r="EX23" s="664"/>
      <c r="EY23" s="664"/>
      <c r="EZ23" s="664"/>
      <c r="FA23" s="664"/>
      <c r="FB23" s="664"/>
      <c r="FC23" s="664"/>
      <c r="FD23" s="664"/>
      <c r="FE23" s="664"/>
      <c r="FF23" s="664"/>
      <c r="FG23" s="664"/>
      <c r="FH23" s="664"/>
      <c r="FI23" s="664"/>
      <c r="FJ23" s="664"/>
      <c r="FK23" s="664"/>
      <c r="FL23" s="664"/>
      <c r="FM23" s="664"/>
      <c r="FN23" s="664"/>
      <c r="FO23" s="664"/>
      <c r="FP23" s="664"/>
      <c r="FQ23" s="664"/>
      <c r="FR23" s="664"/>
      <c r="FS23" s="664"/>
      <c r="FT23" s="664"/>
      <c r="FU23" s="664"/>
      <c r="FV23" s="664"/>
      <c r="FW23" s="664"/>
      <c r="FX23" s="664"/>
      <c r="FY23" s="664"/>
      <c r="FZ23" s="664"/>
      <c r="GA23" s="664"/>
      <c r="GB23" s="664"/>
      <c r="GC23" s="664"/>
      <c r="GD23" s="664"/>
      <c r="GE23" s="664"/>
      <c r="GF23" s="664"/>
      <c r="GG23" s="664"/>
      <c r="GH23" s="664"/>
      <c r="GI23" s="664"/>
      <c r="GJ23" s="664"/>
      <c r="GK23" s="664"/>
      <c r="GL23" s="664"/>
      <c r="GM23" s="664"/>
      <c r="GN23" s="664"/>
      <c r="GO23" s="664"/>
      <c r="GP23" s="664"/>
      <c r="GQ23" s="664"/>
      <c r="GR23" s="664"/>
      <c r="GS23" s="664"/>
      <c r="GT23" s="664"/>
      <c r="GU23" s="664"/>
      <c r="GV23" s="664"/>
      <c r="GW23" s="664"/>
      <c r="GX23" s="664"/>
      <c r="GY23" s="664"/>
      <c r="GZ23" s="664"/>
      <c r="HA23" s="664"/>
      <c r="HB23" s="664"/>
      <c r="HC23" s="664"/>
      <c r="HD23" s="664"/>
      <c r="HE23" s="664"/>
      <c r="HF23" s="664"/>
      <c r="HG23" s="664"/>
      <c r="HH23" s="664"/>
      <c r="HI23" s="664"/>
      <c r="HJ23" s="664"/>
      <c r="HK23" s="664"/>
      <c r="HL23" s="664"/>
      <c r="HM23" s="664"/>
      <c r="HN23" s="664"/>
      <c r="HO23" s="664"/>
      <c r="HP23" s="664"/>
      <c r="HQ23" s="664"/>
      <c r="HR23" s="664"/>
      <c r="HS23" s="664"/>
      <c r="HT23" s="664"/>
      <c r="HU23" s="664"/>
      <c r="HV23" s="664"/>
      <c r="HW23" s="664"/>
      <c r="HX23" s="664"/>
      <c r="HY23" s="664"/>
      <c r="HZ23" s="664"/>
      <c r="IA23" s="664"/>
      <c r="IB23" s="664"/>
      <c r="IC23" s="664"/>
      <c r="ID23" s="664"/>
      <c r="IE23" s="664"/>
      <c r="IF23" s="664"/>
      <c r="IG23" s="664"/>
      <c r="IH23" s="664"/>
      <c r="II23" s="664"/>
      <c r="IJ23" s="664"/>
      <c r="IK23" s="664"/>
      <c r="IL23" s="664"/>
      <c r="IM23" s="664"/>
      <c r="IN23" s="664"/>
      <c r="IO23" s="664"/>
      <c r="IP23" s="664"/>
      <c r="IQ23" s="664"/>
      <c r="IR23" s="664"/>
      <c r="IS23" s="664"/>
      <c r="IT23" s="664"/>
      <c r="IU23" s="664"/>
      <c r="IV23" s="664"/>
    </row>
    <row r="24" spans="1:256" ht="31.5" customHeight="1">
      <c r="A24" s="669" t="s">
        <v>906</v>
      </c>
      <c r="B24" s="670"/>
      <c r="C24" s="670"/>
      <c r="D24" s="670"/>
      <c r="E24" s="670"/>
      <c r="F24" s="670"/>
      <c r="G24" s="670"/>
      <c r="H24" s="670">
        <f t="shared" si="3"/>
        <v>0</v>
      </c>
      <c r="I24" s="669" t="s">
        <v>225</v>
      </c>
      <c r="J24" s="670"/>
      <c r="K24" s="670"/>
      <c r="L24" s="670"/>
      <c r="M24" s="670"/>
      <c r="N24" s="670"/>
      <c r="O24" s="670"/>
      <c r="P24" s="680">
        <f t="shared" si="4"/>
        <v>0</v>
      </c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664"/>
      <c r="AK24" s="664"/>
      <c r="AL24" s="664"/>
      <c r="AM24" s="664"/>
      <c r="AN24" s="664"/>
      <c r="AO24" s="664"/>
      <c r="AP24" s="664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C24" s="664"/>
      <c r="BD24" s="664"/>
      <c r="BE24" s="664"/>
      <c r="BF24" s="664"/>
      <c r="BG24" s="664"/>
      <c r="BH24" s="664"/>
      <c r="BI24" s="664"/>
      <c r="BJ24" s="664"/>
      <c r="BK24" s="664"/>
      <c r="BL24" s="664"/>
      <c r="BM24" s="664"/>
      <c r="BN24" s="664"/>
      <c r="BO24" s="664"/>
      <c r="BP24" s="664"/>
      <c r="BQ24" s="664"/>
      <c r="BR24" s="664"/>
      <c r="BS24" s="664"/>
      <c r="BT24" s="664"/>
      <c r="BU24" s="664"/>
      <c r="BV24" s="664"/>
      <c r="BW24" s="664"/>
      <c r="BX24" s="664"/>
      <c r="BY24" s="664"/>
      <c r="BZ24" s="664"/>
      <c r="CA24" s="664"/>
      <c r="CB24" s="664"/>
      <c r="CC24" s="664"/>
      <c r="CD24" s="664"/>
      <c r="CE24" s="664"/>
      <c r="CF24" s="664"/>
      <c r="CG24" s="664"/>
      <c r="CH24" s="664"/>
      <c r="CI24" s="664"/>
      <c r="CJ24" s="664"/>
      <c r="CK24" s="664"/>
      <c r="CL24" s="664"/>
      <c r="CM24" s="664"/>
      <c r="CN24" s="664"/>
      <c r="CO24" s="664"/>
      <c r="CP24" s="664"/>
      <c r="CQ24" s="664"/>
      <c r="CR24" s="664"/>
      <c r="CS24" s="664"/>
      <c r="CT24" s="664"/>
      <c r="CU24" s="664"/>
      <c r="CV24" s="664"/>
      <c r="CW24" s="664"/>
      <c r="CX24" s="664"/>
      <c r="CY24" s="664"/>
      <c r="CZ24" s="664"/>
      <c r="DA24" s="664"/>
      <c r="DB24" s="664"/>
      <c r="DC24" s="664"/>
      <c r="DD24" s="664"/>
      <c r="DE24" s="664"/>
      <c r="DF24" s="664"/>
      <c r="DG24" s="664"/>
      <c r="DH24" s="664"/>
      <c r="DI24" s="664"/>
      <c r="DJ24" s="664"/>
      <c r="DK24" s="664"/>
      <c r="DL24" s="664"/>
      <c r="DM24" s="664"/>
      <c r="DN24" s="664"/>
      <c r="DO24" s="664"/>
      <c r="DP24" s="664"/>
      <c r="DQ24" s="664"/>
      <c r="DR24" s="664"/>
      <c r="DS24" s="664"/>
      <c r="DT24" s="664"/>
      <c r="DU24" s="664"/>
      <c r="DV24" s="664"/>
      <c r="DW24" s="664"/>
      <c r="DX24" s="664"/>
      <c r="DY24" s="664"/>
      <c r="DZ24" s="664"/>
      <c r="EA24" s="664"/>
      <c r="EB24" s="664"/>
      <c r="EC24" s="664"/>
      <c r="ED24" s="664"/>
      <c r="EE24" s="664"/>
      <c r="EF24" s="664"/>
      <c r="EG24" s="664"/>
      <c r="EH24" s="664"/>
      <c r="EI24" s="664"/>
      <c r="EJ24" s="664"/>
      <c r="EK24" s="664"/>
      <c r="EL24" s="664"/>
      <c r="EM24" s="664"/>
      <c r="EN24" s="664"/>
      <c r="EO24" s="664"/>
      <c r="EP24" s="664"/>
      <c r="EQ24" s="664"/>
      <c r="ER24" s="664"/>
      <c r="ES24" s="664"/>
      <c r="ET24" s="664"/>
      <c r="EU24" s="664"/>
      <c r="EV24" s="664"/>
      <c r="EW24" s="664"/>
      <c r="EX24" s="664"/>
      <c r="EY24" s="664"/>
      <c r="EZ24" s="664"/>
      <c r="FA24" s="664"/>
      <c r="FB24" s="664"/>
      <c r="FC24" s="664"/>
      <c r="FD24" s="664"/>
      <c r="FE24" s="664"/>
      <c r="FF24" s="664"/>
      <c r="FG24" s="664"/>
      <c r="FH24" s="664"/>
      <c r="FI24" s="664"/>
      <c r="FJ24" s="664"/>
      <c r="FK24" s="664"/>
      <c r="FL24" s="664"/>
      <c r="FM24" s="664"/>
      <c r="FN24" s="664"/>
      <c r="FO24" s="664"/>
      <c r="FP24" s="664"/>
      <c r="FQ24" s="664"/>
      <c r="FR24" s="664"/>
      <c r="FS24" s="664"/>
      <c r="FT24" s="664"/>
      <c r="FU24" s="664"/>
      <c r="FV24" s="664"/>
      <c r="FW24" s="664"/>
      <c r="FX24" s="664"/>
      <c r="FY24" s="664"/>
      <c r="FZ24" s="664"/>
      <c r="GA24" s="664"/>
      <c r="GB24" s="664"/>
      <c r="GC24" s="664"/>
      <c r="GD24" s="664"/>
      <c r="GE24" s="664"/>
      <c r="GF24" s="664"/>
      <c r="GG24" s="664"/>
      <c r="GH24" s="664"/>
      <c r="GI24" s="664"/>
      <c r="GJ24" s="664"/>
      <c r="GK24" s="664"/>
      <c r="GL24" s="664"/>
      <c r="GM24" s="664"/>
      <c r="GN24" s="664"/>
      <c r="GO24" s="664"/>
      <c r="GP24" s="664"/>
      <c r="GQ24" s="664"/>
      <c r="GR24" s="664"/>
      <c r="GS24" s="664"/>
      <c r="GT24" s="664"/>
      <c r="GU24" s="664"/>
      <c r="GV24" s="664"/>
      <c r="GW24" s="664"/>
      <c r="GX24" s="664"/>
      <c r="GY24" s="664"/>
      <c r="GZ24" s="664"/>
      <c r="HA24" s="664"/>
      <c r="HB24" s="664"/>
      <c r="HC24" s="664"/>
      <c r="HD24" s="664"/>
      <c r="HE24" s="664"/>
      <c r="HF24" s="664"/>
      <c r="HG24" s="664"/>
      <c r="HH24" s="664"/>
      <c r="HI24" s="664"/>
      <c r="HJ24" s="664"/>
      <c r="HK24" s="664"/>
      <c r="HL24" s="664"/>
      <c r="HM24" s="664"/>
      <c r="HN24" s="664"/>
      <c r="HO24" s="664"/>
      <c r="HP24" s="664"/>
      <c r="HQ24" s="664"/>
      <c r="HR24" s="664"/>
      <c r="HS24" s="664"/>
      <c r="HT24" s="664"/>
      <c r="HU24" s="664"/>
      <c r="HV24" s="664"/>
      <c r="HW24" s="664"/>
      <c r="HX24" s="664"/>
      <c r="HY24" s="664"/>
      <c r="HZ24" s="664"/>
      <c r="IA24" s="664"/>
      <c r="IB24" s="664"/>
      <c r="IC24" s="664"/>
      <c r="ID24" s="664"/>
      <c r="IE24" s="664"/>
      <c r="IF24" s="664"/>
      <c r="IG24" s="664"/>
      <c r="IH24" s="664"/>
      <c r="II24" s="664"/>
      <c r="IJ24" s="664"/>
      <c r="IK24" s="664"/>
      <c r="IL24" s="664"/>
      <c r="IM24" s="664"/>
      <c r="IN24" s="664"/>
      <c r="IO24" s="664"/>
      <c r="IP24" s="664"/>
      <c r="IQ24" s="664"/>
      <c r="IR24" s="664"/>
      <c r="IS24" s="664"/>
      <c r="IT24" s="664"/>
      <c r="IU24" s="664"/>
      <c r="IV24" s="664"/>
    </row>
    <row r="25" spans="1:256" ht="16.5" customHeight="1">
      <c r="A25" s="669" t="s">
        <v>16</v>
      </c>
      <c r="B25" s="670">
        <v>391757471</v>
      </c>
      <c r="C25" s="670"/>
      <c r="D25" s="670"/>
      <c r="E25" s="670"/>
      <c r="F25" s="670"/>
      <c r="G25" s="670"/>
      <c r="H25" s="670">
        <f t="shared" si="3"/>
        <v>391757471</v>
      </c>
      <c r="I25" s="669" t="s">
        <v>452</v>
      </c>
      <c r="J25" s="670"/>
      <c r="K25" s="670"/>
      <c r="L25" s="670">
        <v>600000</v>
      </c>
      <c r="M25" s="671">
        <v>500000</v>
      </c>
      <c r="N25" s="670">
        <v>500000</v>
      </c>
      <c r="O25" s="670">
        <v>1000000</v>
      </c>
      <c r="P25" s="680">
        <f t="shared" si="4"/>
        <v>2600000</v>
      </c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C25" s="664"/>
      <c r="BD25" s="664"/>
      <c r="BE25" s="664"/>
      <c r="BF25" s="664"/>
      <c r="BG25" s="664"/>
      <c r="BH25" s="664"/>
      <c r="BI25" s="664"/>
      <c r="BJ25" s="664"/>
      <c r="BK25" s="664"/>
      <c r="BL25" s="664"/>
      <c r="BM25" s="664"/>
      <c r="BN25" s="664"/>
      <c r="BO25" s="664"/>
      <c r="BP25" s="664"/>
      <c r="BQ25" s="664"/>
      <c r="BR25" s="664"/>
      <c r="BS25" s="664"/>
      <c r="BT25" s="664"/>
      <c r="BU25" s="664"/>
      <c r="BV25" s="664"/>
      <c r="BW25" s="664"/>
      <c r="BX25" s="664"/>
      <c r="BY25" s="664"/>
      <c r="BZ25" s="664"/>
      <c r="CA25" s="664"/>
      <c r="CB25" s="664"/>
      <c r="CC25" s="664"/>
      <c r="CD25" s="664"/>
      <c r="CE25" s="664"/>
      <c r="CF25" s="664"/>
      <c r="CG25" s="664"/>
      <c r="CH25" s="664"/>
      <c r="CI25" s="664"/>
      <c r="CJ25" s="664"/>
      <c r="CK25" s="664"/>
      <c r="CL25" s="664"/>
      <c r="CM25" s="664"/>
      <c r="CN25" s="664"/>
      <c r="CO25" s="664"/>
      <c r="CP25" s="664"/>
      <c r="CQ25" s="664"/>
      <c r="CR25" s="664"/>
      <c r="CS25" s="664"/>
      <c r="CT25" s="664"/>
      <c r="CU25" s="664"/>
      <c r="CV25" s="664"/>
      <c r="CW25" s="664"/>
      <c r="CX25" s="664"/>
      <c r="CY25" s="664"/>
      <c r="CZ25" s="664"/>
      <c r="DA25" s="664"/>
      <c r="DB25" s="664"/>
      <c r="DC25" s="664"/>
      <c r="DD25" s="664"/>
      <c r="DE25" s="664"/>
      <c r="DF25" s="664"/>
      <c r="DG25" s="664"/>
      <c r="DH25" s="664"/>
      <c r="DI25" s="664"/>
      <c r="DJ25" s="664"/>
      <c r="DK25" s="664"/>
      <c r="DL25" s="664"/>
      <c r="DM25" s="664"/>
      <c r="DN25" s="664"/>
      <c r="DO25" s="664"/>
      <c r="DP25" s="664"/>
      <c r="DQ25" s="664"/>
      <c r="DR25" s="664"/>
      <c r="DS25" s="664"/>
      <c r="DT25" s="664"/>
      <c r="DU25" s="664"/>
      <c r="DV25" s="664"/>
      <c r="DW25" s="664"/>
      <c r="DX25" s="664"/>
      <c r="DY25" s="664"/>
      <c r="DZ25" s="664"/>
      <c r="EA25" s="664"/>
      <c r="EB25" s="664"/>
      <c r="EC25" s="664"/>
      <c r="ED25" s="664"/>
      <c r="EE25" s="664"/>
      <c r="EF25" s="664"/>
      <c r="EG25" s="664"/>
      <c r="EH25" s="664"/>
      <c r="EI25" s="664"/>
      <c r="EJ25" s="664"/>
      <c r="EK25" s="664"/>
      <c r="EL25" s="664"/>
      <c r="EM25" s="664"/>
      <c r="EN25" s="664"/>
      <c r="EO25" s="664"/>
      <c r="EP25" s="664"/>
      <c r="EQ25" s="664"/>
      <c r="ER25" s="664"/>
      <c r="ES25" s="664"/>
      <c r="ET25" s="664"/>
      <c r="EU25" s="664"/>
      <c r="EV25" s="664"/>
      <c r="EW25" s="664"/>
      <c r="EX25" s="664"/>
      <c r="EY25" s="664"/>
      <c r="EZ25" s="664"/>
      <c r="FA25" s="664"/>
      <c r="FB25" s="664"/>
      <c r="FC25" s="664"/>
      <c r="FD25" s="664"/>
      <c r="FE25" s="664"/>
      <c r="FF25" s="664"/>
      <c r="FG25" s="664"/>
      <c r="FH25" s="664"/>
      <c r="FI25" s="664"/>
      <c r="FJ25" s="664"/>
      <c r="FK25" s="664"/>
      <c r="FL25" s="664"/>
      <c r="FM25" s="664"/>
      <c r="FN25" s="664"/>
      <c r="FO25" s="664"/>
      <c r="FP25" s="664"/>
      <c r="FQ25" s="664"/>
      <c r="FR25" s="664"/>
      <c r="FS25" s="664"/>
      <c r="FT25" s="664"/>
      <c r="FU25" s="664"/>
      <c r="FV25" s="664"/>
      <c r="FW25" s="664"/>
      <c r="FX25" s="664"/>
      <c r="FY25" s="664"/>
      <c r="FZ25" s="664"/>
      <c r="GA25" s="664"/>
      <c r="GB25" s="664"/>
      <c r="GC25" s="664"/>
      <c r="GD25" s="664"/>
      <c r="GE25" s="664"/>
      <c r="GF25" s="664"/>
      <c r="GG25" s="664"/>
      <c r="GH25" s="664"/>
      <c r="GI25" s="664"/>
      <c r="GJ25" s="664"/>
      <c r="GK25" s="664"/>
      <c r="GL25" s="664"/>
      <c r="GM25" s="664"/>
      <c r="GN25" s="664"/>
      <c r="GO25" s="664"/>
      <c r="GP25" s="664"/>
      <c r="GQ25" s="664"/>
      <c r="GR25" s="664"/>
      <c r="GS25" s="664"/>
      <c r="GT25" s="664"/>
      <c r="GU25" s="664"/>
      <c r="GV25" s="664"/>
      <c r="GW25" s="664"/>
      <c r="GX25" s="664"/>
      <c r="GY25" s="664"/>
      <c r="GZ25" s="664"/>
      <c r="HA25" s="664"/>
      <c r="HB25" s="664"/>
      <c r="HC25" s="664"/>
      <c r="HD25" s="664"/>
      <c r="HE25" s="664"/>
      <c r="HF25" s="664"/>
      <c r="HG25" s="664"/>
      <c r="HH25" s="664"/>
      <c r="HI25" s="664"/>
      <c r="HJ25" s="664"/>
      <c r="HK25" s="664"/>
      <c r="HL25" s="664"/>
      <c r="HM25" s="664"/>
      <c r="HN25" s="664"/>
      <c r="HO25" s="664"/>
      <c r="HP25" s="664"/>
      <c r="HQ25" s="664"/>
      <c r="HR25" s="664"/>
      <c r="HS25" s="664"/>
      <c r="HT25" s="664"/>
      <c r="HU25" s="664"/>
      <c r="HV25" s="664"/>
      <c r="HW25" s="664"/>
      <c r="HX25" s="664"/>
      <c r="HY25" s="664"/>
      <c r="HZ25" s="664"/>
      <c r="IA25" s="664"/>
      <c r="IB25" s="664"/>
      <c r="IC25" s="664"/>
      <c r="ID25" s="664"/>
      <c r="IE25" s="664"/>
      <c r="IF25" s="664"/>
      <c r="IG25" s="664"/>
      <c r="IH25" s="664"/>
      <c r="II25" s="664"/>
      <c r="IJ25" s="664"/>
      <c r="IK25" s="664"/>
      <c r="IL25" s="664"/>
      <c r="IM25" s="664"/>
      <c r="IN25" s="664"/>
      <c r="IO25" s="664"/>
      <c r="IP25" s="664"/>
      <c r="IQ25" s="664"/>
      <c r="IR25" s="664"/>
      <c r="IS25" s="664"/>
      <c r="IT25" s="664"/>
      <c r="IU25" s="664"/>
      <c r="IV25" s="664"/>
    </row>
    <row r="26" spans="1:256" ht="16.5" customHeight="1">
      <c r="A26" s="669"/>
      <c r="B26" s="670"/>
      <c r="C26" s="670"/>
      <c r="D26" s="670"/>
      <c r="E26" s="670"/>
      <c r="F26" s="670"/>
      <c r="G26" s="670"/>
      <c r="H26" s="670">
        <f t="shared" si="3"/>
        <v>0</v>
      </c>
      <c r="I26" s="669" t="s">
        <v>453</v>
      </c>
      <c r="J26" s="670"/>
      <c r="K26" s="681"/>
      <c r="L26" s="681"/>
      <c r="M26" s="681"/>
      <c r="N26" s="681"/>
      <c r="O26" s="681"/>
      <c r="P26" s="680">
        <f t="shared" si="4"/>
        <v>0</v>
      </c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C26" s="664"/>
      <c r="BD26" s="664"/>
      <c r="BE26" s="664"/>
      <c r="BF26" s="664"/>
      <c r="BG26" s="664"/>
      <c r="BH26" s="664"/>
      <c r="BI26" s="664"/>
      <c r="BJ26" s="664"/>
      <c r="BK26" s="664"/>
      <c r="BL26" s="664"/>
      <c r="BM26" s="664"/>
      <c r="BN26" s="664"/>
      <c r="BO26" s="664"/>
      <c r="BP26" s="664"/>
      <c r="BQ26" s="664"/>
      <c r="BR26" s="664"/>
      <c r="BS26" s="664"/>
      <c r="BT26" s="664"/>
      <c r="BU26" s="664"/>
      <c r="BV26" s="664"/>
      <c r="BW26" s="664"/>
      <c r="BX26" s="664"/>
      <c r="BY26" s="664"/>
      <c r="BZ26" s="664"/>
      <c r="CA26" s="664"/>
      <c r="CB26" s="664"/>
      <c r="CC26" s="664"/>
      <c r="CD26" s="664"/>
      <c r="CE26" s="664"/>
      <c r="CF26" s="664"/>
      <c r="CG26" s="664"/>
      <c r="CH26" s="664"/>
      <c r="CI26" s="664"/>
      <c r="CJ26" s="664"/>
      <c r="CK26" s="664"/>
      <c r="CL26" s="664"/>
      <c r="CM26" s="664"/>
      <c r="CN26" s="664"/>
      <c r="CO26" s="664"/>
      <c r="CP26" s="664"/>
      <c r="CQ26" s="664"/>
      <c r="CR26" s="664"/>
      <c r="CS26" s="664"/>
      <c r="CT26" s="664"/>
      <c r="CU26" s="664"/>
      <c r="CV26" s="664"/>
      <c r="CW26" s="664"/>
      <c r="CX26" s="664"/>
      <c r="CY26" s="664"/>
      <c r="CZ26" s="664"/>
      <c r="DA26" s="664"/>
      <c r="DB26" s="664"/>
      <c r="DC26" s="664"/>
      <c r="DD26" s="664"/>
      <c r="DE26" s="664"/>
      <c r="DF26" s="664"/>
      <c r="DG26" s="664"/>
      <c r="DH26" s="664"/>
      <c r="DI26" s="664"/>
      <c r="DJ26" s="664"/>
      <c r="DK26" s="664"/>
      <c r="DL26" s="664"/>
      <c r="DM26" s="664"/>
      <c r="DN26" s="664"/>
      <c r="DO26" s="664"/>
      <c r="DP26" s="664"/>
      <c r="DQ26" s="664"/>
      <c r="DR26" s="664"/>
      <c r="DS26" s="664"/>
      <c r="DT26" s="664"/>
      <c r="DU26" s="664"/>
      <c r="DV26" s="664"/>
      <c r="DW26" s="664"/>
      <c r="DX26" s="664"/>
      <c r="DY26" s="664"/>
      <c r="DZ26" s="664"/>
      <c r="EA26" s="664"/>
      <c r="EB26" s="664"/>
      <c r="EC26" s="664"/>
      <c r="ED26" s="664"/>
      <c r="EE26" s="664"/>
      <c r="EF26" s="664"/>
      <c r="EG26" s="664"/>
      <c r="EH26" s="664"/>
      <c r="EI26" s="664"/>
      <c r="EJ26" s="664"/>
      <c r="EK26" s="664"/>
      <c r="EL26" s="664"/>
      <c r="EM26" s="664"/>
      <c r="EN26" s="664"/>
      <c r="EO26" s="664"/>
      <c r="EP26" s="664"/>
      <c r="EQ26" s="664"/>
      <c r="ER26" s="664"/>
      <c r="ES26" s="664"/>
      <c r="ET26" s="664"/>
      <c r="EU26" s="664"/>
      <c r="EV26" s="664"/>
      <c r="EW26" s="664"/>
      <c r="EX26" s="664"/>
      <c r="EY26" s="664"/>
      <c r="EZ26" s="664"/>
      <c r="FA26" s="664"/>
      <c r="FB26" s="664"/>
      <c r="FC26" s="664"/>
      <c r="FD26" s="664"/>
      <c r="FE26" s="664"/>
      <c r="FF26" s="664"/>
      <c r="FG26" s="664"/>
      <c r="FH26" s="664"/>
      <c r="FI26" s="664"/>
      <c r="FJ26" s="664"/>
      <c r="FK26" s="664"/>
      <c r="FL26" s="664"/>
      <c r="FM26" s="664"/>
      <c r="FN26" s="664"/>
      <c r="FO26" s="664"/>
      <c r="FP26" s="664"/>
      <c r="FQ26" s="664"/>
      <c r="FR26" s="664"/>
      <c r="FS26" s="664"/>
      <c r="FT26" s="664"/>
      <c r="FU26" s="664"/>
      <c r="FV26" s="664"/>
      <c r="FW26" s="664"/>
      <c r="FX26" s="664"/>
      <c r="FY26" s="664"/>
      <c r="FZ26" s="664"/>
      <c r="GA26" s="664"/>
      <c r="GB26" s="664"/>
      <c r="GC26" s="664"/>
      <c r="GD26" s="664"/>
      <c r="GE26" s="664"/>
      <c r="GF26" s="664"/>
      <c r="GG26" s="664"/>
      <c r="GH26" s="664"/>
      <c r="GI26" s="664"/>
      <c r="GJ26" s="664"/>
      <c r="GK26" s="664"/>
      <c r="GL26" s="664"/>
      <c r="GM26" s="664"/>
      <c r="GN26" s="664"/>
      <c r="GO26" s="664"/>
      <c r="GP26" s="664"/>
      <c r="GQ26" s="664"/>
      <c r="GR26" s="664"/>
      <c r="GS26" s="664"/>
      <c r="GT26" s="664"/>
      <c r="GU26" s="664"/>
      <c r="GV26" s="664"/>
      <c r="GW26" s="664"/>
      <c r="GX26" s="664"/>
      <c r="GY26" s="664"/>
      <c r="GZ26" s="664"/>
      <c r="HA26" s="664"/>
      <c r="HB26" s="664"/>
      <c r="HC26" s="664"/>
      <c r="HD26" s="664"/>
      <c r="HE26" s="664"/>
      <c r="HF26" s="664"/>
      <c r="HG26" s="664"/>
      <c r="HH26" s="664"/>
      <c r="HI26" s="664"/>
      <c r="HJ26" s="664"/>
      <c r="HK26" s="664"/>
      <c r="HL26" s="664"/>
      <c r="HM26" s="664"/>
      <c r="HN26" s="664"/>
      <c r="HO26" s="664"/>
      <c r="HP26" s="664"/>
      <c r="HQ26" s="664"/>
      <c r="HR26" s="664"/>
      <c r="HS26" s="664"/>
      <c r="HT26" s="664"/>
      <c r="HU26" s="664"/>
      <c r="HV26" s="664"/>
      <c r="HW26" s="664"/>
      <c r="HX26" s="664"/>
      <c r="HY26" s="664"/>
      <c r="HZ26" s="664"/>
      <c r="IA26" s="664"/>
      <c r="IB26" s="664"/>
      <c r="IC26" s="664"/>
      <c r="ID26" s="664"/>
      <c r="IE26" s="664"/>
      <c r="IF26" s="664"/>
      <c r="IG26" s="664"/>
      <c r="IH26" s="664"/>
      <c r="II26" s="664"/>
      <c r="IJ26" s="664"/>
      <c r="IK26" s="664"/>
      <c r="IL26" s="664"/>
      <c r="IM26" s="664"/>
      <c r="IN26" s="664"/>
      <c r="IO26" s="664"/>
      <c r="IP26" s="664"/>
      <c r="IQ26" s="664"/>
      <c r="IR26" s="664"/>
      <c r="IS26" s="664"/>
      <c r="IT26" s="664"/>
      <c r="IU26" s="664"/>
      <c r="IV26" s="664"/>
    </row>
    <row r="27" spans="1:256" ht="16.5" customHeight="1">
      <c r="A27" s="669"/>
      <c r="B27" s="670"/>
      <c r="C27" s="670"/>
      <c r="D27" s="670"/>
      <c r="E27" s="670"/>
      <c r="F27" s="670"/>
      <c r="G27" s="670"/>
      <c r="H27" s="670">
        <f t="shared" si="3"/>
        <v>0</v>
      </c>
      <c r="I27" s="669" t="s">
        <v>446</v>
      </c>
      <c r="J27" s="1722">
        <v>418120393</v>
      </c>
      <c r="K27" s="670"/>
      <c r="L27" s="670"/>
      <c r="M27" s="670"/>
      <c r="N27" s="670"/>
      <c r="O27" s="670"/>
      <c r="P27" s="680">
        <f t="shared" si="4"/>
        <v>418120393</v>
      </c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664"/>
      <c r="AN27" s="664"/>
      <c r="AO27" s="664"/>
      <c r="AP27" s="664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C27" s="664"/>
      <c r="BD27" s="664"/>
      <c r="BE27" s="664"/>
      <c r="BF27" s="664"/>
      <c r="BG27" s="664"/>
      <c r="BH27" s="664"/>
      <c r="BI27" s="664"/>
      <c r="BJ27" s="664"/>
      <c r="BK27" s="664"/>
      <c r="BL27" s="664"/>
      <c r="BM27" s="664"/>
      <c r="BN27" s="664"/>
      <c r="BO27" s="664"/>
      <c r="BP27" s="664"/>
      <c r="BQ27" s="664"/>
      <c r="BR27" s="664"/>
      <c r="BS27" s="664"/>
      <c r="BT27" s="664"/>
      <c r="BU27" s="664"/>
      <c r="BV27" s="664"/>
      <c r="BW27" s="664"/>
      <c r="BX27" s="664"/>
      <c r="BY27" s="664"/>
      <c r="BZ27" s="664"/>
      <c r="CA27" s="664"/>
      <c r="CB27" s="664"/>
      <c r="CC27" s="664"/>
      <c r="CD27" s="664"/>
      <c r="CE27" s="664"/>
      <c r="CF27" s="664"/>
      <c r="CG27" s="664"/>
      <c r="CH27" s="664"/>
      <c r="CI27" s="664"/>
      <c r="CJ27" s="664"/>
      <c r="CK27" s="664"/>
      <c r="CL27" s="664"/>
      <c r="CM27" s="664"/>
      <c r="CN27" s="664"/>
      <c r="CO27" s="664"/>
      <c r="CP27" s="664"/>
      <c r="CQ27" s="664"/>
      <c r="CR27" s="664"/>
      <c r="CS27" s="664"/>
      <c r="CT27" s="664"/>
      <c r="CU27" s="664"/>
      <c r="CV27" s="664"/>
      <c r="CW27" s="664"/>
      <c r="CX27" s="664"/>
      <c r="CY27" s="664"/>
      <c r="CZ27" s="664"/>
      <c r="DA27" s="664"/>
      <c r="DB27" s="664"/>
      <c r="DC27" s="664"/>
      <c r="DD27" s="664"/>
      <c r="DE27" s="664"/>
      <c r="DF27" s="664"/>
      <c r="DG27" s="664"/>
      <c r="DH27" s="664"/>
      <c r="DI27" s="664"/>
      <c r="DJ27" s="664"/>
      <c r="DK27" s="664"/>
      <c r="DL27" s="664"/>
      <c r="DM27" s="664"/>
      <c r="DN27" s="664"/>
      <c r="DO27" s="664"/>
      <c r="DP27" s="664"/>
      <c r="DQ27" s="664"/>
      <c r="DR27" s="664"/>
      <c r="DS27" s="664"/>
      <c r="DT27" s="664"/>
      <c r="DU27" s="664"/>
      <c r="DV27" s="664"/>
      <c r="DW27" s="664"/>
      <c r="DX27" s="664"/>
      <c r="DY27" s="664"/>
      <c r="DZ27" s="664"/>
      <c r="EA27" s="664"/>
      <c r="EB27" s="664"/>
      <c r="EC27" s="664"/>
      <c r="ED27" s="664"/>
      <c r="EE27" s="664"/>
      <c r="EF27" s="664"/>
      <c r="EG27" s="664"/>
      <c r="EH27" s="664"/>
      <c r="EI27" s="664"/>
      <c r="EJ27" s="664"/>
      <c r="EK27" s="664"/>
      <c r="EL27" s="664"/>
      <c r="EM27" s="664"/>
      <c r="EN27" s="664"/>
      <c r="EO27" s="664"/>
      <c r="EP27" s="664"/>
      <c r="EQ27" s="664"/>
      <c r="ER27" s="664"/>
      <c r="ES27" s="664"/>
      <c r="ET27" s="664"/>
      <c r="EU27" s="664"/>
      <c r="EV27" s="664"/>
      <c r="EW27" s="664"/>
      <c r="EX27" s="664"/>
      <c r="EY27" s="664"/>
      <c r="EZ27" s="664"/>
      <c r="FA27" s="664"/>
      <c r="FB27" s="664"/>
      <c r="FC27" s="664"/>
      <c r="FD27" s="664"/>
      <c r="FE27" s="664"/>
      <c r="FF27" s="664"/>
      <c r="FG27" s="664"/>
      <c r="FH27" s="664"/>
      <c r="FI27" s="664"/>
      <c r="FJ27" s="664"/>
      <c r="FK27" s="664"/>
      <c r="FL27" s="664"/>
      <c r="FM27" s="664"/>
      <c r="FN27" s="664"/>
      <c r="FO27" s="664"/>
      <c r="FP27" s="664"/>
      <c r="FQ27" s="664"/>
      <c r="FR27" s="664"/>
      <c r="FS27" s="664"/>
      <c r="FT27" s="664"/>
      <c r="FU27" s="664"/>
      <c r="FV27" s="664"/>
      <c r="FW27" s="664"/>
      <c r="FX27" s="664"/>
      <c r="FY27" s="664"/>
      <c r="FZ27" s="664"/>
      <c r="GA27" s="664"/>
      <c r="GB27" s="664"/>
      <c r="GC27" s="664"/>
      <c r="GD27" s="664"/>
      <c r="GE27" s="664"/>
      <c r="GF27" s="664"/>
      <c r="GG27" s="664"/>
      <c r="GH27" s="664"/>
      <c r="GI27" s="664"/>
      <c r="GJ27" s="664"/>
      <c r="GK27" s="664"/>
      <c r="GL27" s="664"/>
      <c r="GM27" s="664"/>
      <c r="GN27" s="664"/>
      <c r="GO27" s="664"/>
      <c r="GP27" s="664"/>
      <c r="GQ27" s="664"/>
      <c r="GR27" s="664"/>
      <c r="GS27" s="664"/>
      <c r="GT27" s="664"/>
      <c r="GU27" s="664"/>
      <c r="GV27" s="664"/>
      <c r="GW27" s="664"/>
      <c r="GX27" s="664"/>
      <c r="GY27" s="664"/>
      <c r="GZ27" s="664"/>
      <c r="HA27" s="664"/>
      <c r="HB27" s="664"/>
      <c r="HC27" s="664"/>
      <c r="HD27" s="664"/>
      <c r="HE27" s="664"/>
      <c r="HF27" s="664"/>
      <c r="HG27" s="664"/>
      <c r="HH27" s="664"/>
      <c r="HI27" s="664"/>
      <c r="HJ27" s="664"/>
      <c r="HK27" s="664"/>
      <c r="HL27" s="664"/>
      <c r="HM27" s="664"/>
      <c r="HN27" s="664"/>
      <c r="HO27" s="664"/>
      <c r="HP27" s="664"/>
      <c r="HQ27" s="664"/>
      <c r="HR27" s="664"/>
      <c r="HS27" s="664"/>
      <c r="HT27" s="664"/>
      <c r="HU27" s="664"/>
      <c r="HV27" s="664"/>
      <c r="HW27" s="664"/>
      <c r="HX27" s="664"/>
      <c r="HY27" s="664"/>
      <c r="HZ27" s="664"/>
      <c r="IA27" s="664"/>
      <c r="IB27" s="664"/>
      <c r="IC27" s="664"/>
      <c r="ID27" s="664"/>
      <c r="IE27" s="664"/>
      <c r="IF27" s="664"/>
      <c r="IG27" s="664"/>
      <c r="IH27" s="664"/>
      <c r="II27" s="664"/>
      <c r="IJ27" s="664"/>
      <c r="IK27" s="664"/>
      <c r="IL27" s="664"/>
      <c r="IM27" s="664"/>
      <c r="IN27" s="664"/>
      <c r="IO27" s="664"/>
      <c r="IP27" s="664"/>
      <c r="IQ27" s="664"/>
      <c r="IR27" s="664"/>
      <c r="IS27" s="664"/>
      <c r="IT27" s="664"/>
      <c r="IU27" s="664"/>
      <c r="IV27" s="664"/>
    </row>
    <row r="28" spans="1:256" ht="16.5" customHeight="1">
      <c r="A28" s="677" t="s">
        <v>444</v>
      </c>
      <c r="B28" s="678">
        <f aca="true" t="shared" si="5" ref="B28:H28">SUM(B22:B27)</f>
        <v>661064198</v>
      </c>
      <c r="C28" s="678">
        <f t="shared" si="5"/>
        <v>2977923</v>
      </c>
      <c r="D28" s="678">
        <f t="shared" si="5"/>
        <v>600000</v>
      </c>
      <c r="E28" s="678">
        <f t="shared" si="5"/>
        <v>500000</v>
      </c>
      <c r="F28" s="678">
        <f t="shared" si="5"/>
        <v>500000</v>
      </c>
      <c r="G28" s="678">
        <f t="shared" si="5"/>
        <v>1000000</v>
      </c>
      <c r="H28" s="678">
        <f t="shared" si="5"/>
        <v>666642121</v>
      </c>
      <c r="I28" s="677" t="s">
        <v>444</v>
      </c>
      <c r="J28" s="678">
        <f aca="true" t="shared" si="6" ref="J28:O28">SUM(J22:J27)</f>
        <v>666642121</v>
      </c>
      <c r="K28" s="678">
        <f t="shared" si="6"/>
        <v>0</v>
      </c>
      <c r="L28" s="678">
        <f t="shared" si="6"/>
        <v>600000</v>
      </c>
      <c r="M28" s="678">
        <f t="shared" si="6"/>
        <v>500000</v>
      </c>
      <c r="N28" s="678">
        <f t="shared" si="6"/>
        <v>500000</v>
      </c>
      <c r="O28" s="678">
        <f t="shared" si="6"/>
        <v>1000000</v>
      </c>
      <c r="P28" s="678">
        <f>SUM(P23+P27)+P24+P22</f>
        <v>666642121</v>
      </c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4"/>
      <c r="BI28" s="664"/>
      <c r="BJ28" s="664"/>
      <c r="BK28" s="664"/>
      <c r="BL28" s="664"/>
      <c r="BM28" s="664"/>
      <c r="BN28" s="664"/>
      <c r="BO28" s="664"/>
      <c r="BP28" s="664"/>
      <c r="BQ28" s="664"/>
      <c r="BR28" s="664"/>
      <c r="BS28" s="664"/>
      <c r="BT28" s="664"/>
      <c r="BU28" s="664"/>
      <c r="BV28" s="664"/>
      <c r="BW28" s="664"/>
      <c r="BX28" s="664"/>
      <c r="BY28" s="664"/>
      <c r="BZ28" s="664"/>
      <c r="CA28" s="664"/>
      <c r="CB28" s="664"/>
      <c r="CC28" s="664"/>
      <c r="CD28" s="664"/>
      <c r="CE28" s="664"/>
      <c r="CF28" s="664"/>
      <c r="CG28" s="664"/>
      <c r="CH28" s="664"/>
      <c r="CI28" s="664"/>
      <c r="CJ28" s="664"/>
      <c r="CK28" s="664"/>
      <c r="CL28" s="664"/>
      <c r="CM28" s="664"/>
      <c r="CN28" s="664"/>
      <c r="CO28" s="664"/>
      <c r="CP28" s="664"/>
      <c r="CQ28" s="664"/>
      <c r="CR28" s="664"/>
      <c r="CS28" s="664"/>
      <c r="CT28" s="664"/>
      <c r="CU28" s="664"/>
      <c r="CV28" s="664"/>
      <c r="CW28" s="664"/>
      <c r="CX28" s="664"/>
      <c r="CY28" s="664"/>
      <c r="CZ28" s="664"/>
      <c r="DA28" s="664"/>
      <c r="DB28" s="664"/>
      <c r="DC28" s="664"/>
      <c r="DD28" s="664"/>
      <c r="DE28" s="664"/>
      <c r="DF28" s="664"/>
      <c r="DG28" s="664"/>
      <c r="DH28" s="664"/>
      <c r="DI28" s="664"/>
      <c r="DJ28" s="664"/>
      <c r="DK28" s="664"/>
      <c r="DL28" s="664"/>
      <c r="DM28" s="664"/>
      <c r="DN28" s="664"/>
      <c r="DO28" s="664"/>
      <c r="DP28" s="664"/>
      <c r="DQ28" s="664"/>
      <c r="DR28" s="664"/>
      <c r="DS28" s="664"/>
      <c r="DT28" s="664"/>
      <c r="DU28" s="664"/>
      <c r="DV28" s="664"/>
      <c r="DW28" s="664"/>
      <c r="DX28" s="664"/>
      <c r="DY28" s="664"/>
      <c r="DZ28" s="664"/>
      <c r="EA28" s="664"/>
      <c r="EB28" s="664"/>
      <c r="EC28" s="664"/>
      <c r="ED28" s="664"/>
      <c r="EE28" s="664"/>
      <c r="EF28" s="664"/>
      <c r="EG28" s="664"/>
      <c r="EH28" s="664"/>
      <c r="EI28" s="664"/>
      <c r="EJ28" s="664"/>
      <c r="EK28" s="664"/>
      <c r="EL28" s="664"/>
      <c r="EM28" s="664"/>
      <c r="EN28" s="664"/>
      <c r="EO28" s="664"/>
      <c r="EP28" s="664"/>
      <c r="EQ28" s="664"/>
      <c r="ER28" s="664"/>
      <c r="ES28" s="664"/>
      <c r="ET28" s="664"/>
      <c r="EU28" s="664"/>
      <c r="EV28" s="664"/>
      <c r="EW28" s="664"/>
      <c r="EX28" s="664"/>
      <c r="EY28" s="664"/>
      <c r="EZ28" s="664"/>
      <c r="FA28" s="664"/>
      <c r="FB28" s="664"/>
      <c r="FC28" s="664"/>
      <c r="FD28" s="664"/>
      <c r="FE28" s="664"/>
      <c r="FF28" s="664"/>
      <c r="FG28" s="664"/>
      <c r="FH28" s="664"/>
      <c r="FI28" s="664"/>
      <c r="FJ28" s="664"/>
      <c r="FK28" s="664"/>
      <c r="FL28" s="664"/>
      <c r="FM28" s="664"/>
      <c r="FN28" s="664"/>
      <c r="FO28" s="664"/>
      <c r="FP28" s="664"/>
      <c r="FQ28" s="664"/>
      <c r="FR28" s="664"/>
      <c r="FS28" s="664"/>
      <c r="FT28" s="664"/>
      <c r="FU28" s="664"/>
      <c r="FV28" s="664"/>
      <c r="FW28" s="664"/>
      <c r="FX28" s="664"/>
      <c r="FY28" s="664"/>
      <c r="FZ28" s="664"/>
      <c r="GA28" s="664"/>
      <c r="GB28" s="664"/>
      <c r="GC28" s="664"/>
      <c r="GD28" s="664"/>
      <c r="GE28" s="664"/>
      <c r="GF28" s="664"/>
      <c r="GG28" s="664"/>
      <c r="GH28" s="664"/>
      <c r="GI28" s="664"/>
      <c r="GJ28" s="664"/>
      <c r="GK28" s="664"/>
      <c r="GL28" s="664"/>
      <c r="GM28" s="664"/>
      <c r="GN28" s="664"/>
      <c r="GO28" s="664"/>
      <c r="GP28" s="664"/>
      <c r="GQ28" s="664"/>
      <c r="GR28" s="664"/>
      <c r="GS28" s="664"/>
      <c r="GT28" s="664"/>
      <c r="GU28" s="664"/>
      <c r="GV28" s="664"/>
      <c r="GW28" s="664"/>
      <c r="GX28" s="664"/>
      <c r="GY28" s="664"/>
      <c r="GZ28" s="664"/>
      <c r="HA28" s="664"/>
      <c r="HB28" s="664"/>
      <c r="HC28" s="664"/>
      <c r="HD28" s="664"/>
      <c r="HE28" s="664"/>
      <c r="HF28" s="664"/>
      <c r="HG28" s="664"/>
      <c r="HH28" s="664"/>
      <c r="HI28" s="664"/>
      <c r="HJ28" s="664"/>
      <c r="HK28" s="664"/>
      <c r="HL28" s="664"/>
      <c r="HM28" s="664"/>
      <c r="HN28" s="664"/>
      <c r="HO28" s="664"/>
      <c r="HP28" s="664"/>
      <c r="HQ28" s="664"/>
      <c r="HR28" s="664"/>
      <c r="HS28" s="664"/>
      <c r="HT28" s="664"/>
      <c r="HU28" s="664"/>
      <c r="HV28" s="664"/>
      <c r="HW28" s="664"/>
      <c r="HX28" s="664"/>
      <c r="HY28" s="664"/>
      <c r="HZ28" s="664"/>
      <c r="IA28" s="664"/>
      <c r="IB28" s="664"/>
      <c r="IC28" s="664"/>
      <c r="ID28" s="664"/>
      <c r="IE28" s="664"/>
      <c r="IF28" s="664"/>
      <c r="IG28" s="664"/>
      <c r="IH28" s="664"/>
      <c r="II28" s="664"/>
      <c r="IJ28" s="664"/>
      <c r="IK28" s="664"/>
      <c r="IL28" s="664"/>
      <c r="IM28" s="664"/>
      <c r="IN28" s="664"/>
      <c r="IO28" s="664"/>
      <c r="IP28" s="664"/>
      <c r="IQ28" s="664"/>
      <c r="IR28" s="664"/>
      <c r="IS28" s="664"/>
      <c r="IT28" s="664"/>
      <c r="IU28" s="664"/>
      <c r="IV28" s="664"/>
    </row>
    <row r="29" spans="1:256" ht="16.5" customHeight="1">
      <c r="A29" s="666" t="s">
        <v>454</v>
      </c>
      <c r="B29" s="682">
        <f>SUM(B19+B28)</f>
        <v>1174172699</v>
      </c>
      <c r="C29" s="682">
        <f aca="true" t="shared" si="7" ref="C29:H29">SUM(C19+C28)</f>
        <v>4112979</v>
      </c>
      <c r="D29" s="682">
        <f t="shared" si="7"/>
        <v>105488532</v>
      </c>
      <c r="E29" s="682">
        <f t="shared" si="7"/>
        <v>125334519</v>
      </c>
      <c r="F29" s="682">
        <f t="shared" si="7"/>
        <v>24573582</v>
      </c>
      <c r="G29" s="682">
        <f t="shared" si="7"/>
        <v>100095654</v>
      </c>
      <c r="H29" s="682">
        <f t="shared" si="7"/>
        <v>1533777965</v>
      </c>
      <c r="I29" s="666" t="s">
        <v>455</v>
      </c>
      <c r="J29" s="682">
        <f aca="true" t="shared" si="8" ref="J29:O29">SUM(J19+J28)</f>
        <v>1178285678</v>
      </c>
      <c r="K29" s="682">
        <f t="shared" si="8"/>
        <v>0</v>
      </c>
      <c r="L29" s="682">
        <f t="shared" si="8"/>
        <v>105488532</v>
      </c>
      <c r="M29" s="682">
        <f t="shared" si="8"/>
        <v>125334519</v>
      </c>
      <c r="N29" s="682">
        <f t="shared" si="8"/>
        <v>24573582</v>
      </c>
      <c r="O29" s="682">
        <f t="shared" si="8"/>
        <v>100095654</v>
      </c>
      <c r="P29" s="682">
        <f>SUM(J29:O29)</f>
        <v>1533777965</v>
      </c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4"/>
      <c r="AC29" s="664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664"/>
      <c r="AW29" s="664"/>
      <c r="AX29" s="664"/>
      <c r="AY29" s="664"/>
      <c r="AZ29" s="664"/>
      <c r="BA29" s="664"/>
      <c r="BB29" s="664"/>
      <c r="BC29" s="664"/>
      <c r="BD29" s="664"/>
      <c r="BE29" s="664"/>
      <c r="BF29" s="664"/>
      <c r="BG29" s="664"/>
      <c r="BH29" s="664"/>
      <c r="BI29" s="664"/>
      <c r="BJ29" s="664"/>
      <c r="BK29" s="664"/>
      <c r="BL29" s="664"/>
      <c r="BM29" s="664"/>
      <c r="BN29" s="664"/>
      <c r="BO29" s="664"/>
      <c r="BP29" s="664"/>
      <c r="BQ29" s="664"/>
      <c r="BR29" s="664"/>
      <c r="BS29" s="664"/>
      <c r="BT29" s="664"/>
      <c r="BU29" s="664"/>
      <c r="BV29" s="664"/>
      <c r="BW29" s="664"/>
      <c r="BX29" s="664"/>
      <c r="BY29" s="664"/>
      <c r="BZ29" s="664"/>
      <c r="CA29" s="664"/>
      <c r="CB29" s="664"/>
      <c r="CC29" s="664"/>
      <c r="CD29" s="664"/>
      <c r="CE29" s="664"/>
      <c r="CF29" s="664"/>
      <c r="CG29" s="664"/>
      <c r="CH29" s="664"/>
      <c r="CI29" s="664"/>
      <c r="CJ29" s="664"/>
      <c r="CK29" s="664"/>
      <c r="CL29" s="664"/>
      <c r="CM29" s="664"/>
      <c r="CN29" s="664"/>
      <c r="CO29" s="664"/>
      <c r="CP29" s="664"/>
      <c r="CQ29" s="664"/>
      <c r="CR29" s="664"/>
      <c r="CS29" s="664"/>
      <c r="CT29" s="664"/>
      <c r="CU29" s="664"/>
      <c r="CV29" s="664"/>
      <c r="CW29" s="664"/>
      <c r="CX29" s="664"/>
      <c r="CY29" s="664"/>
      <c r="CZ29" s="664"/>
      <c r="DA29" s="664"/>
      <c r="DB29" s="664"/>
      <c r="DC29" s="664"/>
      <c r="DD29" s="664"/>
      <c r="DE29" s="664"/>
      <c r="DF29" s="664"/>
      <c r="DG29" s="664"/>
      <c r="DH29" s="664"/>
      <c r="DI29" s="664"/>
      <c r="DJ29" s="664"/>
      <c r="DK29" s="664"/>
      <c r="DL29" s="664"/>
      <c r="DM29" s="664"/>
      <c r="DN29" s="664"/>
      <c r="DO29" s="664"/>
      <c r="DP29" s="664"/>
      <c r="DQ29" s="664"/>
      <c r="DR29" s="664"/>
      <c r="DS29" s="664"/>
      <c r="DT29" s="664"/>
      <c r="DU29" s="664"/>
      <c r="DV29" s="664"/>
      <c r="DW29" s="664"/>
      <c r="DX29" s="664"/>
      <c r="DY29" s="664"/>
      <c r="DZ29" s="664"/>
      <c r="EA29" s="664"/>
      <c r="EB29" s="664"/>
      <c r="EC29" s="664"/>
      <c r="ED29" s="664"/>
      <c r="EE29" s="664"/>
      <c r="EF29" s="664"/>
      <c r="EG29" s="664"/>
      <c r="EH29" s="664"/>
      <c r="EI29" s="664"/>
      <c r="EJ29" s="664"/>
      <c r="EK29" s="664"/>
      <c r="EL29" s="664"/>
      <c r="EM29" s="664"/>
      <c r="EN29" s="664"/>
      <c r="EO29" s="664"/>
      <c r="EP29" s="664"/>
      <c r="EQ29" s="664"/>
      <c r="ER29" s="664"/>
      <c r="ES29" s="664"/>
      <c r="ET29" s="664"/>
      <c r="EU29" s="664"/>
      <c r="EV29" s="664"/>
      <c r="EW29" s="664"/>
      <c r="EX29" s="664"/>
      <c r="EY29" s="664"/>
      <c r="EZ29" s="664"/>
      <c r="FA29" s="664"/>
      <c r="FB29" s="664"/>
      <c r="FC29" s="664"/>
      <c r="FD29" s="664"/>
      <c r="FE29" s="664"/>
      <c r="FF29" s="664"/>
      <c r="FG29" s="664"/>
      <c r="FH29" s="664"/>
      <c r="FI29" s="664"/>
      <c r="FJ29" s="664"/>
      <c r="FK29" s="664"/>
      <c r="FL29" s="664"/>
      <c r="FM29" s="664"/>
      <c r="FN29" s="664"/>
      <c r="FO29" s="664"/>
      <c r="FP29" s="664"/>
      <c r="FQ29" s="664"/>
      <c r="FR29" s="664"/>
      <c r="FS29" s="664"/>
      <c r="FT29" s="664"/>
      <c r="FU29" s="664"/>
      <c r="FV29" s="664"/>
      <c r="FW29" s="664"/>
      <c r="FX29" s="664"/>
      <c r="FY29" s="664"/>
      <c r="FZ29" s="664"/>
      <c r="GA29" s="664"/>
      <c r="GB29" s="664"/>
      <c r="GC29" s="664"/>
      <c r="GD29" s="664"/>
      <c r="GE29" s="664"/>
      <c r="GF29" s="664"/>
      <c r="GG29" s="664"/>
      <c r="GH29" s="664"/>
      <c r="GI29" s="664"/>
      <c r="GJ29" s="664"/>
      <c r="GK29" s="664"/>
      <c r="GL29" s="664"/>
      <c r="GM29" s="664"/>
      <c r="GN29" s="664"/>
      <c r="GO29" s="664"/>
      <c r="GP29" s="664"/>
      <c r="GQ29" s="664"/>
      <c r="GR29" s="664"/>
      <c r="GS29" s="664"/>
      <c r="GT29" s="664"/>
      <c r="GU29" s="664"/>
      <c r="GV29" s="664"/>
      <c r="GW29" s="664"/>
      <c r="GX29" s="664"/>
      <c r="GY29" s="664"/>
      <c r="GZ29" s="664"/>
      <c r="HA29" s="664"/>
      <c r="HB29" s="664"/>
      <c r="HC29" s="664"/>
      <c r="HD29" s="664"/>
      <c r="HE29" s="664"/>
      <c r="HF29" s="664"/>
      <c r="HG29" s="664"/>
      <c r="HH29" s="664"/>
      <c r="HI29" s="664"/>
      <c r="HJ29" s="664"/>
      <c r="HK29" s="664"/>
      <c r="HL29" s="664"/>
      <c r="HM29" s="664"/>
      <c r="HN29" s="664"/>
      <c r="HO29" s="664"/>
      <c r="HP29" s="664"/>
      <c r="HQ29" s="664"/>
      <c r="HR29" s="664"/>
      <c r="HS29" s="664"/>
      <c r="HT29" s="664"/>
      <c r="HU29" s="664"/>
      <c r="HV29" s="664"/>
      <c r="HW29" s="664"/>
      <c r="HX29" s="664"/>
      <c r="HY29" s="664"/>
      <c r="HZ29" s="664"/>
      <c r="IA29" s="664"/>
      <c r="IB29" s="664"/>
      <c r="IC29" s="664"/>
      <c r="ID29" s="664"/>
      <c r="IE29" s="664"/>
      <c r="IF29" s="664"/>
      <c r="IG29" s="664"/>
      <c r="IH29" s="664"/>
      <c r="II29" s="664"/>
      <c r="IJ29" s="664"/>
      <c r="IK29" s="664"/>
      <c r="IL29" s="664"/>
      <c r="IM29" s="664"/>
      <c r="IN29" s="664"/>
      <c r="IO29" s="664"/>
      <c r="IP29" s="664"/>
      <c r="IQ29" s="664"/>
      <c r="IR29" s="664"/>
      <c r="IS29" s="664"/>
      <c r="IT29" s="664"/>
      <c r="IU29" s="664"/>
      <c r="IV29" s="664"/>
    </row>
    <row r="30" ht="18" customHeight="1"/>
    <row r="31" ht="20.25" customHeight="1"/>
    <row r="32" ht="20.25" customHeight="1"/>
    <row r="33" ht="20.25" customHeight="1"/>
    <row r="34" ht="20.25" customHeight="1"/>
  </sheetData>
  <sheetProtection selectLockedCells="1" selectUnlockedCells="1"/>
  <mergeCells count="9">
    <mergeCell ref="A20:H20"/>
    <mergeCell ref="I20:P20"/>
    <mergeCell ref="A1:D1"/>
    <mergeCell ref="I1:P1"/>
    <mergeCell ref="A2:P2"/>
    <mergeCell ref="A4:P4"/>
    <mergeCell ref="G6:H6"/>
    <mergeCell ref="N6:P6"/>
    <mergeCell ref="G3:I3"/>
  </mergeCells>
  <printOptions/>
  <pageMargins left="0.25" right="0.25" top="0.75" bottom="0.75" header="0.3" footer="0.3"/>
  <pageSetup fitToHeight="1" fitToWidth="1" horizontalDpi="600" verticalDpi="600" orientation="landscape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9"/>
  <sheetViews>
    <sheetView showGridLines="0" view="pageBreakPreview" zoomScale="110" zoomScaleSheetLayoutView="110" zoomScalePageLayoutView="0" workbookViewId="0" topLeftCell="A1">
      <selection activeCell="J13" sqref="J13"/>
    </sheetView>
  </sheetViews>
  <sheetFormatPr defaultColWidth="11.7109375" defaultRowHeight="12.75" customHeight="1"/>
  <cols>
    <col min="1" max="1" width="6.421875" style="5" customWidth="1"/>
    <col min="2" max="2" width="23.7109375" style="5" customWidth="1"/>
    <col min="3" max="3" width="22.00390625" style="5" customWidth="1"/>
    <col min="4" max="5" width="10.7109375" style="5" customWidth="1"/>
    <col min="6" max="6" width="7.421875" style="87" customWidth="1"/>
    <col min="7" max="16384" width="11.7109375" style="5" customWidth="1"/>
  </cols>
  <sheetData>
    <row r="1" spans="1:6" s="88" customFormat="1" ht="18" customHeight="1">
      <c r="A1" s="1846" t="s">
        <v>811</v>
      </c>
      <c r="B1" s="1846"/>
      <c r="C1" s="1846"/>
      <c r="D1" s="1846"/>
      <c r="E1" s="1846"/>
      <c r="F1" s="1846"/>
    </row>
    <row r="2" spans="1:6" ht="12.75" customHeight="1">
      <c r="A2" s="1847" t="s">
        <v>1259</v>
      </c>
      <c r="B2" s="1847"/>
      <c r="C2" s="1847"/>
      <c r="D2" s="1847"/>
      <c r="E2" s="1847"/>
      <c r="F2" s="1847"/>
    </row>
    <row r="3" spans="1:5" ht="22.5" customHeight="1">
      <c r="A3" s="144"/>
      <c r="B3" s="2204" t="s">
        <v>1261</v>
      </c>
      <c r="C3" s="2204"/>
      <c r="D3" s="2204"/>
      <c r="E3" s="2204"/>
    </row>
    <row r="4" spans="1:256" ht="29.25" customHeight="1">
      <c r="A4"/>
      <c r="B4" s="1794" t="s">
        <v>1117</v>
      </c>
      <c r="C4" s="1794"/>
      <c r="D4" s="1794"/>
      <c r="E4" s="1794"/>
      <c r="F4" s="179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857"/>
      <c r="C5" s="857"/>
      <c r="D5" s="857"/>
      <c r="E5" s="857"/>
      <c r="F5" s="85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857"/>
      <c r="C6" s="857"/>
      <c r="D6" s="857"/>
      <c r="E6" s="857"/>
      <c r="F6" s="857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1848" t="s">
        <v>33</v>
      </c>
      <c r="B8" s="854" t="s">
        <v>24</v>
      </c>
      <c r="C8" s="858" t="s">
        <v>812</v>
      </c>
      <c r="D8" s="859" t="s">
        <v>813</v>
      </c>
      <c r="E8" s="859" t="s">
        <v>814</v>
      </c>
      <c r="F8" s="859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848"/>
      <c r="B9" s="854" t="s">
        <v>158</v>
      </c>
      <c r="C9" s="858" t="s">
        <v>159</v>
      </c>
      <c r="D9" s="859" t="s">
        <v>160</v>
      </c>
      <c r="E9" s="859" t="s">
        <v>161</v>
      </c>
      <c r="F9" s="859" t="s">
        <v>456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860" t="s">
        <v>38</v>
      </c>
      <c r="B10" s="861" t="s">
        <v>255</v>
      </c>
      <c r="C10" s="862">
        <v>0</v>
      </c>
      <c r="D10" s="862">
        <v>1</v>
      </c>
      <c r="E10" s="862"/>
      <c r="F10" s="862">
        <f>SUM(C10:E10)</f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860" t="s">
        <v>40</v>
      </c>
      <c r="B11" s="863" t="s">
        <v>815</v>
      </c>
      <c r="C11" s="1540">
        <v>4</v>
      </c>
      <c r="D11" s="862"/>
      <c r="E11" s="862">
        <v>8</v>
      </c>
      <c r="F11" s="862">
        <f>SUM(C11:E11)</f>
        <v>12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860" t="s">
        <v>53</v>
      </c>
      <c r="B12" s="864" t="s">
        <v>236</v>
      </c>
      <c r="C12" s="865">
        <f>SUM(C10:C11)</f>
        <v>4</v>
      </c>
      <c r="D12" s="865">
        <f>SUM(D10:D11)</f>
        <v>1</v>
      </c>
      <c r="E12" s="865">
        <f>SUM(E10:E11)</f>
        <v>8</v>
      </c>
      <c r="F12" s="865">
        <f>SUM(F10:F11)</f>
        <v>13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860" t="s">
        <v>55</v>
      </c>
      <c r="B13" s="863" t="s">
        <v>305</v>
      </c>
      <c r="C13" s="862">
        <v>14</v>
      </c>
      <c r="D13" s="862"/>
      <c r="E13" s="862"/>
      <c r="F13" s="862">
        <f>SUM(C13:E13)</f>
        <v>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860" t="s">
        <v>57</v>
      </c>
      <c r="B14" s="863" t="s">
        <v>816</v>
      </c>
      <c r="C14" s="862">
        <v>20</v>
      </c>
      <c r="D14" s="862"/>
      <c r="E14" s="862"/>
      <c r="F14" s="862">
        <f>SUM(C14:E14)</f>
        <v>20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860" t="s">
        <v>86</v>
      </c>
      <c r="B15" s="863" t="s">
        <v>239</v>
      </c>
      <c r="C15" s="862">
        <v>27</v>
      </c>
      <c r="D15" s="862"/>
      <c r="E15" s="862"/>
      <c r="F15" s="862">
        <f>SUM(C15:E15)</f>
        <v>27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860" t="s">
        <v>59</v>
      </c>
      <c r="B16" s="863" t="s">
        <v>1020</v>
      </c>
      <c r="C16" s="862">
        <v>5</v>
      </c>
      <c r="D16" s="862">
        <v>0</v>
      </c>
      <c r="E16" s="862"/>
      <c r="F16" s="862">
        <f>SUM(C16:E16)</f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860" t="s">
        <v>61</v>
      </c>
      <c r="B17" s="864" t="s">
        <v>444</v>
      </c>
      <c r="C17" s="865">
        <f>SUM(C12:C16)</f>
        <v>70</v>
      </c>
      <c r="D17" s="865">
        <f>SUM(D12:D16)</f>
        <v>1</v>
      </c>
      <c r="E17" s="865">
        <f>SUM(E12:E16)</f>
        <v>8</v>
      </c>
      <c r="F17" s="865">
        <f>SUM(F12:F16)</f>
        <v>79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860" t="s">
        <v>63</v>
      </c>
      <c r="B18" s="863" t="s">
        <v>817</v>
      </c>
      <c r="C18" s="865">
        <v>1</v>
      </c>
      <c r="D18" s="865"/>
      <c r="E18" s="865"/>
      <c r="F18" s="865">
        <f>SUM(C18:E18)</f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860" t="s">
        <v>65</v>
      </c>
      <c r="B19" s="866" t="s">
        <v>818</v>
      </c>
      <c r="C19" s="148">
        <f>SUM(C17:C18)</f>
        <v>71</v>
      </c>
      <c r="D19" s="148">
        <f>SUM(D17:D18)</f>
        <v>1</v>
      </c>
      <c r="E19" s="148">
        <f>SUM(E17:E18)</f>
        <v>8</v>
      </c>
      <c r="F19" s="148">
        <f>SUM(F17:F18)</f>
        <v>80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selectLockedCells="1" selectUnlockedCells="1"/>
  <mergeCells count="5">
    <mergeCell ref="A1:F1"/>
    <mergeCell ref="A2:F2"/>
    <mergeCell ref="B4:F4"/>
    <mergeCell ref="A8:A9"/>
    <mergeCell ref="B3:E3"/>
  </mergeCells>
  <printOptions/>
  <pageMargins left="1.299212598425197" right="0.2362204724409449" top="0.3937007874015748" bottom="0.15748031496062992" header="0.5118110236220472" footer="0.5118110236220472"/>
  <pageSetup firstPageNumber="1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39"/>
  <sheetViews>
    <sheetView showGridLines="0" view="pageBreakPreview" zoomScaleNormal="98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11.7109375" defaultRowHeight="12.75" customHeight="1"/>
  <cols>
    <col min="1" max="1" width="21.7109375" style="5" customWidth="1"/>
    <col min="2" max="2" width="11.7109375" style="5" customWidth="1"/>
    <col min="3" max="3" width="11.28125" style="5" customWidth="1"/>
    <col min="4" max="4" width="12.140625" style="5" bestFit="1" customWidth="1"/>
    <col min="5" max="5" width="11.28125" style="5" bestFit="1" customWidth="1"/>
    <col min="6" max="6" width="11.28125" style="87" bestFit="1" customWidth="1"/>
    <col min="7" max="9" width="12.140625" style="5" bestFit="1" customWidth="1"/>
    <col min="10" max="10" width="11.28125" style="5" bestFit="1" customWidth="1"/>
    <col min="11" max="11" width="12.421875" style="5" bestFit="1" customWidth="1"/>
    <col min="12" max="13" width="11.28125" style="5" bestFit="1" customWidth="1"/>
    <col min="14" max="14" width="14.140625" style="5" customWidth="1"/>
    <col min="15" max="25" width="10.7109375" style="5" customWidth="1"/>
    <col min="26" max="16384" width="11.7109375" style="5" customWidth="1"/>
  </cols>
  <sheetData>
    <row r="1" spans="9:14" s="88" customFormat="1" ht="18" customHeight="1">
      <c r="I1" s="1849" t="s">
        <v>457</v>
      </c>
      <c r="J1" s="1849"/>
      <c r="K1" s="1849"/>
      <c r="L1" s="1849"/>
      <c r="M1" s="1849"/>
      <c r="N1" s="1849"/>
    </row>
    <row r="2" spans="1:14" ht="12.75" customHeight="1">
      <c r="A2" s="1850" t="s">
        <v>1259</v>
      </c>
      <c r="B2" s="1850"/>
      <c r="C2" s="1850"/>
      <c r="D2" s="1850"/>
      <c r="E2" s="1850"/>
      <c r="F2" s="1850"/>
      <c r="G2" s="1850"/>
      <c r="H2" s="1850"/>
      <c r="I2" s="1850"/>
      <c r="J2" s="1850"/>
      <c r="K2" s="1850"/>
      <c r="L2" s="1850"/>
      <c r="M2" s="1850"/>
      <c r="N2" s="1850"/>
    </row>
    <row r="3" spans="1:8" ht="12.75">
      <c r="A3" s="144"/>
      <c r="B3" s="144"/>
      <c r="C3" s="144"/>
      <c r="D3" s="144"/>
      <c r="E3" s="144"/>
      <c r="F3" s="2205" t="s">
        <v>1261</v>
      </c>
      <c r="G3" s="2205"/>
      <c r="H3" s="2205"/>
    </row>
    <row r="4" spans="1:256" ht="12.75" customHeight="1">
      <c r="A4" s="1851" t="s">
        <v>1161</v>
      </c>
      <c r="B4" s="1851"/>
      <c r="C4" s="1851"/>
      <c r="D4" s="1851"/>
      <c r="E4" s="1851"/>
      <c r="F4" s="1851"/>
      <c r="G4" s="1851"/>
      <c r="H4" s="1851"/>
      <c r="I4" s="1851"/>
      <c r="J4" s="1851"/>
      <c r="K4" s="1851"/>
      <c r="L4" s="1851"/>
      <c r="M4" s="1851"/>
      <c r="N4" s="185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851"/>
      <c r="B5" s="1851"/>
      <c r="C5" s="1851"/>
      <c r="D5" s="1851"/>
      <c r="E5" s="1851"/>
      <c r="F5" s="1851"/>
      <c r="G5" s="1851"/>
      <c r="H5" s="1851"/>
      <c r="I5" s="1851"/>
      <c r="J5" s="1851"/>
      <c r="K5" s="1851"/>
      <c r="L5" s="1851"/>
      <c r="M5" s="1851"/>
      <c r="N5" s="185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/>
      <c r="M6" s="1852" t="s">
        <v>155</v>
      </c>
      <c r="N6" s="185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401" t="s">
        <v>24</v>
      </c>
      <c r="B7" s="402" t="s">
        <v>458</v>
      </c>
      <c r="C7" s="402" t="s">
        <v>459</v>
      </c>
      <c r="D7" s="402" t="s">
        <v>460</v>
      </c>
      <c r="E7" s="402" t="s">
        <v>461</v>
      </c>
      <c r="F7" s="402" t="s">
        <v>462</v>
      </c>
      <c r="G7" s="402" t="s">
        <v>463</v>
      </c>
      <c r="H7" s="402" t="s">
        <v>464</v>
      </c>
      <c r="I7" s="402" t="s">
        <v>465</v>
      </c>
      <c r="J7" s="402" t="s">
        <v>466</v>
      </c>
      <c r="K7" s="402" t="s">
        <v>467</v>
      </c>
      <c r="L7" s="402" t="s">
        <v>468</v>
      </c>
      <c r="M7" s="402" t="s">
        <v>469</v>
      </c>
      <c r="N7" s="403" t="s">
        <v>470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404" t="s">
        <v>157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405">
        <f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 s="406" t="s">
        <v>162</v>
      </c>
      <c r="B9" s="150">
        <v>17191522</v>
      </c>
      <c r="C9" s="150">
        <v>17191522</v>
      </c>
      <c r="D9" s="150">
        <v>32447822</v>
      </c>
      <c r="E9" s="150">
        <v>17191522</v>
      </c>
      <c r="F9" s="150">
        <v>17191522</v>
      </c>
      <c r="G9" s="150">
        <v>17191522</v>
      </c>
      <c r="H9" s="150">
        <v>27848151</v>
      </c>
      <c r="I9" s="150">
        <v>17191521</v>
      </c>
      <c r="J9" s="150">
        <v>17191521</v>
      </c>
      <c r="K9" s="150">
        <v>17191521</v>
      </c>
      <c r="L9" s="150">
        <v>17191521</v>
      </c>
      <c r="M9" s="150">
        <v>17191521</v>
      </c>
      <c r="N9" s="405">
        <f>SUM(B9:M9)</f>
        <v>232211188</v>
      </c>
      <c r="O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406" t="s">
        <v>620</v>
      </c>
      <c r="B10" s="150">
        <v>125000</v>
      </c>
      <c r="C10" s="150">
        <v>125000</v>
      </c>
      <c r="D10" s="150">
        <v>35340</v>
      </c>
      <c r="E10" s="150">
        <v>0</v>
      </c>
      <c r="F10" s="150">
        <v>0</v>
      </c>
      <c r="G10" s="150">
        <v>0</v>
      </c>
      <c r="H10" s="150">
        <v>1262404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405">
        <f>SUM(B10:M10)</f>
        <v>1547744</v>
      </c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406" t="s">
        <v>167</v>
      </c>
      <c r="B11" s="150"/>
      <c r="C11" s="150"/>
      <c r="D11" s="150">
        <v>204583492</v>
      </c>
      <c r="E11" s="150"/>
      <c r="F11" s="150"/>
      <c r="G11" s="150"/>
      <c r="H11" s="150">
        <v>21045076</v>
      </c>
      <c r="I11" s="150"/>
      <c r="J11" s="150"/>
      <c r="K11" s="150"/>
      <c r="L11" s="150"/>
      <c r="M11" s="150"/>
      <c r="N11" s="405">
        <f>SUM(B11:M11)</f>
        <v>225628568</v>
      </c>
      <c r="O11" s="151"/>
      <c r="Q11" s="15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406" t="s">
        <v>174</v>
      </c>
      <c r="B12" s="150">
        <v>15662500</v>
      </c>
      <c r="C12" s="150">
        <v>15662500</v>
      </c>
      <c r="D12" s="150">
        <v>15662500</v>
      </c>
      <c r="E12" s="150">
        <v>15662500</v>
      </c>
      <c r="F12" s="150">
        <v>11787433</v>
      </c>
      <c r="G12" s="150">
        <v>11787433</v>
      </c>
      <c r="H12" s="150">
        <v>11887433</v>
      </c>
      <c r="I12" s="150">
        <v>11787433</v>
      </c>
      <c r="J12" s="150">
        <v>11787433</v>
      </c>
      <c r="K12" s="150">
        <v>11787433</v>
      </c>
      <c r="L12" s="150">
        <v>11787433</v>
      </c>
      <c r="M12" s="150">
        <v>11787432</v>
      </c>
      <c r="N12" s="405">
        <f>SUM(B12:M12)</f>
        <v>157049463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406" t="s">
        <v>78</v>
      </c>
      <c r="B13" s="150">
        <v>4298292</v>
      </c>
      <c r="C13" s="150">
        <v>4298292</v>
      </c>
      <c r="D13" s="150">
        <v>4298292</v>
      </c>
      <c r="E13" s="150">
        <v>4298292</v>
      </c>
      <c r="F13" s="150">
        <v>3447944</v>
      </c>
      <c r="G13" s="150">
        <v>3447944</v>
      </c>
      <c r="H13" s="150">
        <v>1956148</v>
      </c>
      <c r="I13" s="150">
        <v>3447944</v>
      </c>
      <c r="J13" s="150">
        <v>3447944</v>
      </c>
      <c r="K13" s="150">
        <v>3447944</v>
      </c>
      <c r="L13" s="150">
        <v>3447944</v>
      </c>
      <c r="M13" s="150">
        <v>3447938</v>
      </c>
      <c r="N13" s="405">
        <f aca="true" t="shared" si="0" ref="N13:N19">SUM(B13:M13)</f>
        <v>43284918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406" t="s">
        <v>13</v>
      </c>
      <c r="B14" s="150"/>
      <c r="C14" s="150"/>
      <c r="D14" s="150"/>
      <c r="E14" s="150">
        <v>2968160</v>
      </c>
      <c r="F14" s="150">
        <v>14000000</v>
      </c>
      <c r="G14" s="150">
        <v>5925000</v>
      </c>
      <c r="H14" s="150"/>
      <c r="I14" s="150"/>
      <c r="J14" s="150"/>
      <c r="K14" s="150"/>
      <c r="L14" s="150"/>
      <c r="M14" s="150"/>
      <c r="N14" s="405">
        <f t="shared" si="0"/>
        <v>22893160</v>
      </c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406" t="s">
        <v>185</v>
      </c>
      <c r="B15" s="150">
        <v>6500</v>
      </c>
      <c r="C15" s="150">
        <v>6500</v>
      </c>
      <c r="D15" s="150">
        <v>6500</v>
      </c>
      <c r="E15" s="150">
        <v>6500</v>
      </c>
      <c r="F15" s="150">
        <v>6500</v>
      </c>
      <c r="G15" s="150">
        <v>1568520</v>
      </c>
      <c r="H15" s="150">
        <v>6500</v>
      </c>
      <c r="I15" s="150">
        <v>6500</v>
      </c>
      <c r="J15" s="150">
        <v>6500</v>
      </c>
      <c r="K15" s="150">
        <v>6500</v>
      </c>
      <c r="L15" s="150">
        <v>6500</v>
      </c>
      <c r="M15" s="150">
        <v>6500</v>
      </c>
      <c r="N15" s="405">
        <f t="shared" si="0"/>
        <v>1640020</v>
      </c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406" t="s">
        <v>225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405">
        <f t="shared" si="0"/>
        <v>0</v>
      </c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406" t="s">
        <v>621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405">
        <f t="shared" si="0"/>
        <v>0</v>
      </c>
      <c r="O17" s="15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406" t="s">
        <v>220</v>
      </c>
      <c r="B18" s="150">
        <v>96347455</v>
      </c>
      <c r="C18" s="150">
        <v>0</v>
      </c>
      <c r="D18" s="150">
        <v>31954181</v>
      </c>
      <c r="E18" s="150">
        <v>42767212</v>
      </c>
      <c r="F18" s="150">
        <v>42767212</v>
      </c>
      <c r="G18" s="150">
        <v>42767212</v>
      </c>
      <c r="H18" s="150">
        <v>42767212</v>
      </c>
      <c r="I18" s="150">
        <v>42767211</v>
      </c>
      <c r="J18" s="150">
        <v>42767211</v>
      </c>
      <c r="K18" s="150">
        <v>42767211</v>
      </c>
      <c r="L18" s="150">
        <v>42767211</v>
      </c>
      <c r="M18" s="150">
        <v>42767210</v>
      </c>
      <c r="N18" s="405">
        <f t="shared" si="0"/>
        <v>513206538</v>
      </c>
      <c r="O18" s="15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406" t="s">
        <v>223</v>
      </c>
      <c r="B19" s="150">
        <v>8251931</v>
      </c>
      <c r="C19" s="150"/>
      <c r="D19" s="150">
        <v>90038</v>
      </c>
      <c r="E19" s="150"/>
      <c r="F19" s="150"/>
      <c r="G19" s="150"/>
      <c r="H19" s="150"/>
      <c r="I19" s="150">
        <v>0</v>
      </c>
      <c r="J19" s="150"/>
      <c r="K19" s="150"/>
      <c r="L19" s="150"/>
      <c r="M19" s="150"/>
      <c r="N19" s="405">
        <f t="shared" si="0"/>
        <v>8341969</v>
      </c>
      <c r="O19" s="15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407" t="s">
        <v>471</v>
      </c>
      <c r="B20" s="12">
        <f>SUM(B8:B19)</f>
        <v>141883200</v>
      </c>
      <c r="C20" s="12">
        <f aca="true" t="shared" si="1" ref="C20:M20">SUM(C8:C19)</f>
        <v>37283814</v>
      </c>
      <c r="D20" s="12">
        <f t="shared" si="1"/>
        <v>289078165</v>
      </c>
      <c r="E20" s="12">
        <f t="shared" si="1"/>
        <v>82894186</v>
      </c>
      <c r="F20" s="12">
        <f t="shared" si="1"/>
        <v>89200611</v>
      </c>
      <c r="G20" s="12">
        <f t="shared" si="1"/>
        <v>82687631</v>
      </c>
      <c r="H20" s="12">
        <f t="shared" si="1"/>
        <v>106772924</v>
      </c>
      <c r="I20" s="12">
        <f t="shared" si="1"/>
        <v>75200609</v>
      </c>
      <c r="J20" s="12">
        <f t="shared" si="1"/>
        <v>75200609</v>
      </c>
      <c r="K20" s="12">
        <f t="shared" si="1"/>
        <v>75200609</v>
      </c>
      <c r="L20" s="12">
        <f t="shared" si="1"/>
        <v>75200609</v>
      </c>
      <c r="M20" s="12">
        <f t="shared" si="1"/>
        <v>75200601</v>
      </c>
      <c r="N20" s="12">
        <f>SUM(N8:N19)</f>
        <v>1205803568</v>
      </c>
      <c r="O20" s="1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404" t="s">
        <v>119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09"/>
      <c r="O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406" t="s">
        <v>622</v>
      </c>
      <c r="B22" s="17">
        <v>21347518</v>
      </c>
      <c r="C22" s="17">
        <v>21347518</v>
      </c>
      <c r="D22" s="17">
        <v>21347518</v>
      </c>
      <c r="E22" s="17">
        <v>21347518</v>
      </c>
      <c r="F22" s="17">
        <v>21347518</v>
      </c>
      <c r="G22" s="17">
        <v>23523518</v>
      </c>
      <c r="H22" s="17">
        <v>21347518</v>
      </c>
      <c r="I22" s="17">
        <v>21347518</v>
      </c>
      <c r="J22" s="17">
        <v>21347518</v>
      </c>
      <c r="K22" s="17">
        <v>21347518</v>
      </c>
      <c r="L22" s="17">
        <v>21347518</v>
      </c>
      <c r="M22" s="17">
        <v>21347519</v>
      </c>
      <c r="N22" s="409">
        <f>SUM(B22:M22)</f>
        <v>258346217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406" t="s">
        <v>123</v>
      </c>
      <c r="B23" s="17">
        <v>3751341</v>
      </c>
      <c r="C23" s="150">
        <v>3751341</v>
      </c>
      <c r="D23" s="150">
        <v>3751341</v>
      </c>
      <c r="E23" s="150">
        <v>3751341</v>
      </c>
      <c r="F23" s="150">
        <v>3751341</v>
      </c>
      <c r="G23" s="150">
        <v>4112946</v>
      </c>
      <c r="H23" s="150">
        <v>3751341</v>
      </c>
      <c r="I23" s="150">
        <v>3751341</v>
      </c>
      <c r="J23" s="150">
        <v>3751341</v>
      </c>
      <c r="K23" s="150">
        <v>3751341</v>
      </c>
      <c r="L23" s="150">
        <v>3751341</v>
      </c>
      <c r="M23" s="150">
        <v>3751339</v>
      </c>
      <c r="N23" s="409">
        <f>SUM(B23:M23)</f>
        <v>45377695</v>
      </c>
      <c r="O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406" t="s">
        <v>125</v>
      </c>
      <c r="B24" s="17">
        <v>12959269</v>
      </c>
      <c r="C24" s="150">
        <v>6875622</v>
      </c>
      <c r="D24" s="150">
        <v>16528141</v>
      </c>
      <c r="E24" s="150">
        <v>11944494</v>
      </c>
      <c r="F24" s="150">
        <v>11944494</v>
      </c>
      <c r="G24" s="150">
        <v>15938350</v>
      </c>
      <c r="H24" s="150">
        <v>11944494</v>
      </c>
      <c r="I24" s="150">
        <v>11944494</v>
      </c>
      <c r="J24" s="150">
        <v>11944494</v>
      </c>
      <c r="K24" s="150">
        <v>11944494</v>
      </c>
      <c r="L24" s="150">
        <v>11944494</v>
      </c>
      <c r="M24" s="150">
        <v>11944494</v>
      </c>
      <c r="N24" s="409">
        <f>SUM(B24:M24)</f>
        <v>147857334</v>
      </c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406" t="s">
        <v>449</v>
      </c>
      <c r="B25" s="17">
        <v>287750</v>
      </c>
      <c r="C25" s="150">
        <v>287750</v>
      </c>
      <c r="D25" s="150">
        <v>637750</v>
      </c>
      <c r="E25" s="150">
        <v>287750</v>
      </c>
      <c r="F25" s="150">
        <v>287750</v>
      </c>
      <c r="G25" s="150"/>
      <c r="H25" s="150">
        <v>225500</v>
      </c>
      <c r="I25" s="150">
        <v>287750</v>
      </c>
      <c r="J25" s="150">
        <v>287750</v>
      </c>
      <c r="K25" s="150">
        <v>287750</v>
      </c>
      <c r="L25" s="150">
        <v>287750</v>
      </c>
      <c r="M25" s="150">
        <v>287750</v>
      </c>
      <c r="N25" s="409">
        <f>SUM(B25:M25)</f>
        <v>3453000</v>
      </c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406" t="s">
        <v>150</v>
      </c>
      <c r="B26" s="17"/>
      <c r="C26" s="17"/>
      <c r="D26" s="17">
        <v>242757729</v>
      </c>
      <c r="E26" s="17">
        <v>42041500</v>
      </c>
      <c r="F26" s="17">
        <v>45530875</v>
      </c>
      <c r="G26" s="17"/>
      <c r="H26" s="17"/>
      <c r="I26" s="17"/>
      <c r="J26" s="17"/>
      <c r="K26" s="17">
        <v>20520394</v>
      </c>
      <c r="L26" s="17">
        <v>33847923</v>
      </c>
      <c r="M26" s="17">
        <v>34347913</v>
      </c>
      <c r="N26" s="409">
        <f aca="true" t="shared" si="2" ref="N26:N32">SUM(B26:M26)</f>
        <v>419046334</v>
      </c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406" t="s">
        <v>202</v>
      </c>
      <c r="B27" s="17">
        <v>3521583</v>
      </c>
      <c r="C27" s="150">
        <v>3521583</v>
      </c>
      <c r="D27" s="150">
        <v>3521583</v>
      </c>
      <c r="E27" s="150">
        <v>3521583</v>
      </c>
      <c r="F27" s="150">
        <v>3521583</v>
      </c>
      <c r="G27" s="150">
        <v>7297838</v>
      </c>
      <c r="H27" s="150">
        <v>3521583</v>
      </c>
      <c r="I27" s="150">
        <v>3521583</v>
      </c>
      <c r="J27" s="150">
        <v>3521583</v>
      </c>
      <c r="K27" s="150">
        <v>3521583</v>
      </c>
      <c r="L27" s="150">
        <v>3521583</v>
      </c>
      <c r="M27" s="150">
        <v>3521586</v>
      </c>
      <c r="N27" s="409">
        <f t="shared" si="2"/>
        <v>46035254</v>
      </c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406" t="s">
        <v>132</v>
      </c>
      <c r="B28" s="17">
        <v>91763808</v>
      </c>
      <c r="C28" s="150">
        <v>1500000</v>
      </c>
      <c r="D28" s="150"/>
      <c r="E28" s="150"/>
      <c r="F28" s="150">
        <v>800000</v>
      </c>
      <c r="G28" s="150">
        <v>31414979</v>
      </c>
      <c r="H28" s="150">
        <v>42939933</v>
      </c>
      <c r="I28" s="150">
        <v>34347923</v>
      </c>
      <c r="J28" s="150">
        <v>34347923</v>
      </c>
      <c r="K28" s="150">
        <v>13827529</v>
      </c>
      <c r="L28" s="150">
        <v>500000</v>
      </c>
      <c r="M28" s="150"/>
      <c r="N28" s="409">
        <f>SUM(B28:M28)</f>
        <v>251442095</v>
      </c>
      <c r="O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406" t="s">
        <v>134</v>
      </c>
      <c r="B29" s="17"/>
      <c r="C29" s="150"/>
      <c r="D29" s="150"/>
      <c r="E29" s="150"/>
      <c r="F29" s="150"/>
      <c r="G29" s="150">
        <v>400000</v>
      </c>
      <c r="H29" s="150">
        <v>23042555</v>
      </c>
      <c r="I29" s="150"/>
      <c r="J29" s="150"/>
      <c r="K29" s="150"/>
      <c r="L29" s="150"/>
      <c r="M29" s="150"/>
      <c r="N29" s="409">
        <f t="shared" si="2"/>
        <v>23442555</v>
      </c>
      <c r="O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406" t="s">
        <v>472</v>
      </c>
      <c r="B30" s="150"/>
      <c r="C30" s="150"/>
      <c r="D30" s="150">
        <v>354027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409">
        <f t="shared" si="2"/>
        <v>354027</v>
      </c>
      <c r="O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406" t="s">
        <v>1255</v>
      </c>
      <c r="B31" s="150"/>
      <c r="C31" s="150"/>
      <c r="D31" s="150"/>
      <c r="E31" s="150"/>
      <c r="F31" s="150">
        <v>2017050</v>
      </c>
      <c r="G31" s="150"/>
      <c r="H31" s="150"/>
      <c r="I31" s="150"/>
      <c r="J31" s="150"/>
      <c r="K31" s="150"/>
      <c r="L31" s="150"/>
      <c r="M31" s="150"/>
      <c r="N31" s="409">
        <f t="shared" si="2"/>
        <v>2017050</v>
      </c>
      <c r="O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406" t="s">
        <v>623</v>
      </c>
      <c r="B32" s="150">
        <v>8251931</v>
      </c>
      <c r="C32" s="150"/>
      <c r="D32" s="150">
        <v>180076</v>
      </c>
      <c r="E32" s="150"/>
      <c r="F32" s="150"/>
      <c r="G32" s="150"/>
      <c r="H32" s="150"/>
      <c r="I32" s="150"/>
      <c r="J32" s="150"/>
      <c r="K32" s="150"/>
      <c r="L32" s="150"/>
      <c r="M32" s="150"/>
      <c r="N32" s="409">
        <f t="shared" si="2"/>
        <v>8432007</v>
      </c>
      <c r="O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407" t="s">
        <v>473</v>
      </c>
      <c r="B33" s="12">
        <f>SUM(B22:B32)</f>
        <v>141883200</v>
      </c>
      <c r="C33" s="12">
        <f aca="true" t="shared" si="3" ref="C33:N33">SUM(C22:C32)</f>
        <v>37283814</v>
      </c>
      <c r="D33" s="12">
        <f t="shared" si="3"/>
        <v>289078165</v>
      </c>
      <c r="E33" s="12">
        <f t="shared" si="3"/>
        <v>82894186</v>
      </c>
      <c r="F33" s="12">
        <f t="shared" si="3"/>
        <v>89200611</v>
      </c>
      <c r="G33" s="12">
        <f t="shared" si="3"/>
        <v>82687631</v>
      </c>
      <c r="H33" s="12">
        <f t="shared" si="3"/>
        <v>106772924</v>
      </c>
      <c r="I33" s="12">
        <f t="shared" si="3"/>
        <v>75200609</v>
      </c>
      <c r="J33" s="12">
        <f t="shared" si="3"/>
        <v>75200609</v>
      </c>
      <c r="K33" s="12">
        <f t="shared" si="3"/>
        <v>75200609</v>
      </c>
      <c r="L33" s="12">
        <f t="shared" si="3"/>
        <v>75200609</v>
      </c>
      <c r="M33" s="12">
        <f t="shared" si="3"/>
        <v>75200601</v>
      </c>
      <c r="N33" s="408">
        <f t="shared" si="3"/>
        <v>1205803568</v>
      </c>
      <c r="O33" s="10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406" t="s">
        <v>474</v>
      </c>
      <c r="B34" s="17">
        <f>SUM(B20-B33)</f>
        <v>0</v>
      </c>
      <c r="C34" s="17">
        <f aca="true" t="shared" si="4" ref="C34:L34">SUM(C20-C33)</f>
        <v>0</v>
      </c>
      <c r="D34" s="17">
        <f t="shared" si="4"/>
        <v>0</v>
      </c>
      <c r="E34" s="17">
        <f t="shared" si="4"/>
        <v>0</v>
      </c>
      <c r="F34" s="17">
        <f t="shared" si="4"/>
        <v>0</v>
      </c>
      <c r="G34" s="17">
        <f t="shared" si="4"/>
        <v>0</v>
      </c>
      <c r="H34" s="17">
        <f t="shared" si="4"/>
        <v>0</v>
      </c>
      <c r="I34" s="17">
        <f t="shared" si="4"/>
        <v>0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v>0</v>
      </c>
      <c r="N34" s="409">
        <f>SUM(N20-N33)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410" t="s">
        <v>475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2">
        <f>SUM(N33:N34)</f>
        <v>1205803568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/>
      <c r="B36"/>
      <c r="C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9" ht="12.75" customHeight="1">
      <c r="N39" s="5">
        <f>N20-N35</f>
        <v>0</v>
      </c>
    </row>
  </sheetData>
  <sheetProtection selectLockedCells="1" selectUnlockedCells="1"/>
  <mergeCells count="5">
    <mergeCell ref="I1:N1"/>
    <mergeCell ref="A2:N2"/>
    <mergeCell ref="A4:N5"/>
    <mergeCell ref="M6:N6"/>
    <mergeCell ref="F3:H3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9" r:id="rId1"/>
  <rowBreaks count="2" manualBreakCount="2">
    <brk id="20" max="13" man="1"/>
    <brk id="23" max="13" man="1"/>
  </rowBreaks>
  <colBreaks count="1" manualBreakCount="1">
    <brk id="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0" zoomScaleSheetLayoutView="110" zoomScalePageLayoutView="0" workbookViewId="0" topLeftCell="A1">
      <selection activeCell="C15" sqref="C15"/>
    </sheetView>
  </sheetViews>
  <sheetFormatPr defaultColWidth="9.140625" defaultRowHeight="12.75"/>
  <cols>
    <col min="1" max="1" width="5.00390625" style="880" customWidth="1"/>
    <col min="2" max="2" width="15.57421875" style="0" customWidth="1"/>
    <col min="3" max="3" width="76.140625" style="0" customWidth="1"/>
    <col min="4" max="4" width="9.28125" style="0" customWidth="1"/>
    <col min="5" max="5" width="6.57421875" style="0" customWidth="1"/>
    <col min="6" max="6" width="14.7109375" style="52" customWidth="1"/>
    <col min="7" max="8" width="20.8515625" style="52" customWidth="1"/>
    <col min="9" max="9" width="15.28125" style="52" customWidth="1"/>
    <col min="11" max="11" width="16.28125" style="0" customWidth="1"/>
  </cols>
  <sheetData>
    <row r="1" spans="1:9" s="10" customFormat="1" ht="15">
      <c r="A1" s="500"/>
      <c r="F1" s="1855" t="s">
        <v>819</v>
      </c>
      <c r="G1" s="1855"/>
      <c r="I1" s="52"/>
    </row>
    <row r="2" spans="1:8" ht="12.75">
      <c r="A2" s="1856" t="s">
        <v>1259</v>
      </c>
      <c r="B2" s="1856"/>
      <c r="C2" s="1856"/>
      <c r="D2" s="1856"/>
      <c r="E2" s="1856"/>
      <c r="F2" s="1856"/>
      <c r="G2" s="1856"/>
      <c r="H2"/>
    </row>
    <row r="4" spans="1:9" s="10" customFormat="1" ht="15.75" customHeight="1">
      <c r="A4" s="1866" t="s">
        <v>1119</v>
      </c>
      <c r="B4" s="1866"/>
      <c r="C4" s="1866"/>
      <c r="D4" s="1866"/>
      <c r="E4" s="1866"/>
      <c r="F4" s="1866"/>
      <c r="G4" s="1866"/>
      <c r="H4" s="1866"/>
      <c r="I4" s="52"/>
    </row>
    <row r="6" ht="13.5" thickBot="1"/>
    <row r="7" spans="1:9" s="10" customFormat="1" ht="16.5" thickBot="1">
      <c r="A7" s="500"/>
      <c r="C7" s="10" t="s">
        <v>820</v>
      </c>
      <c r="F7" s="52"/>
      <c r="G7" s="867">
        <f>SUM(G28+G38+G49+G51)</f>
        <v>206298258</v>
      </c>
      <c r="H7" s="867">
        <f>SUM(H28+H38+H49+H51)</f>
        <v>221554558</v>
      </c>
      <c r="I7" s="52"/>
    </row>
    <row r="9" spans="1:9" s="500" customFormat="1" ht="38.25">
      <c r="A9" s="868" t="s">
        <v>33</v>
      </c>
      <c r="B9" s="153" t="s">
        <v>821</v>
      </c>
      <c r="C9" s="153" t="s">
        <v>822</v>
      </c>
      <c r="D9" s="868" t="s">
        <v>823</v>
      </c>
      <c r="E9" s="153" t="s">
        <v>824</v>
      </c>
      <c r="F9" s="897" t="s">
        <v>825</v>
      </c>
      <c r="G9" s="143" t="s">
        <v>826</v>
      </c>
      <c r="H9" s="143" t="s">
        <v>1167</v>
      </c>
      <c r="I9" s="154"/>
    </row>
    <row r="10" spans="1:8" ht="12.75">
      <c r="A10" s="869" t="s">
        <v>38</v>
      </c>
      <c r="B10" s="95" t="s">
        <v>827</v>
      </c>
      <c r="C10" s="95" t="s">
        <v>828</v>
      </c>
      <c r="D10" s="95" t="s">
        <v>829</v>
      </c>
      <c r="E10" s="870">
        <v>15.5</v>
      </c>
      <c r="F10" s="1470">
        <v>5450000</v>
      </c>
      <c r="G10" s="1470">
        <v>71173200</v>
      </c>
      <c r="H10" s="1470">
        <v>84529500</v>
      </c>
    </row>
    <row r="11" spans="1:8" ht="12.75">
      <c r="A11" s="153" t="s">
        <v>40</v>
      </c>
      <c r="B11" s="94" t="s">
        <v>1120</v>
      </c>
      <c r="C11" s="94" t="s">
        <v>830</v>
      </c>
      <c r="D11" s="94" t="s">
        <v>831</v>
      </c>
      <c r="E11" s="94"/>
      <c r="F11" s="78"/>
      <c r="G11" s="78">
        <v>61975191</v>
      </c>
      <c r="H11" s="78">
        <v>75331491</v>
      </c>
    </row>
    <row r="12" spans="1:8" ht="12.75">
      <c r="A12" s="869" t="s">
        <v>47</v>
      </c>
      <c r="B12" s="95" t="s">
        <v>832</v>
      </c>
      <c r="C12" s="95" t="s">
        <v>833</v>
      </c>
      <c r="D12" s="95" t="s">
        <v>831</v>
      </c>
      <c r="E12" s="95"/>
      <c r="F12" s="78"/>
      <c r="G12" s="78">
        <v>15391900</v>
      </c>
      <c r="H12" s="78">
        <v>15391900</v>
      </c>
    </row>
    <row r="13" spans="1:8" ht="12.75">
      <c r="A13" s="869" t="s">
        <v>49</v>
      </c>
      <c r="B13" s="95" t="s">
        <v>834</v>
      </c>
      <c r="C13" s="95" t="s">
        <v>835</v>
      </c>
      <c r="D13" s="95" t="s">
        <v>836</v>
      </c>
      <c r="E13" s="95"/>
      <c r="F13" s="78">
        <v>25200</v>
      </c>
      <c r="G13" s="78">
        <v>4528440</v>
      </c>
      <c r="H13" s="78">
        <v>4528440</v>
      </c>
    </row>
    <row r="14" spans="1:8" ht="12.75">
      <c r="A14" s="869" t="s">
        <v>51</v>
      </c>
      <c r="B14" s="95" t="s">
        <v>837</v>
      </c>
      <c r="C14" s="95" t="s">
        <v>838</v>
      </c>
      <c r="D14" s="95" t="s">
        <v>839</v>
      </c>
      <c r="E14" s="95"/>
      <c r="F14" s="78"/>
      <c r="G14" s="78">
        <v>7136000</v>
      </c>
      <c r="H14" s="78">
        <v>7136000</v>
      </c>
    </row>
    <row r="15" spans="1:8" ht="12.75">
      <c r="A15" s="869" t="s">
        <v>53</v>
      </c>
      <c r="B15" s="95" t="s">
        <v>840</v>
      </c>
      <c r="C15" s="95" t="s">
        <v>841</v>
      </c>
      <c r="D15" s="95" t="s">
        <v>842</v>
      </c>
      <c r="E15" s="95"/>
      <c r="F15" s="78"/>
      <c r="G15" s="78">
        <v>100000</v>
      </c>
      <c r="H15" s="78">
        <v>100000</v>
      </c>
    </row>
    <row r="16" spans="1:8" ht="12.75">
      <c r="A16" s="869" t="s">
        <v>55</v>
      </c>
      <c r="B16" s="95" t="s">
        <v>843</v>
      </c>
      <c r="C16" s="95" t="s">
        <v>844</v>
      </c>
      <c r="D16" s="95" t="s">
        <v>839</v>
      </c>
      <c r="E16" s="95"/>
      <c r="F16" s="78"/>
      <c r="G16" s="78">
        <v>3627460</v>
      </c>
      <c r="H16" s="78">
        <v>3627460</v>
      </c>
    </row>
    <row r="17" spans="1:9" s="10" customFormat="1" ht="12.75">
      <c r="A17" s="153" t="s">
        <v>57</v>
      </c>
      <c r="B17" s="94" t="s">
        <v>1121</v>
      </c>
      <c r="C17" s="94" t="s">
        <v>1122</v>
      </c>
      <c r="D17" s="94" t="s">
        <v>831</v>
      </c>
      <c r="E17" s="94"/>
      <c r="F17" s="78"/>
      <c r="G17" s="78">
        <v>0</v>
      </c>
      <c r="H17" s="78">
        <v>0</v>
      </c>
      <c r="I17" s="52"/>
    </row>
    <row r="18" spans="1:9" s="1460" customFormat="1" ht="25.5">
      <c r="A18" s="1456" t="s">
        <v>86</v>
      </c>
      <c r="B18" s="1457" t="s">
        <v>1123</v>
      </c>
      <c r="C18" s="1458" t="s">
        <v>1124</v>
      </c>
      <c r="D18" s="1457" t="s">
        <v>831</v>
      </c>
      <c r="E18" s="1457"/>
      <c r="F18" s="1459">
        <v>25200</v>
      </c>
      <c r="G18" s="1459">
        <v>0</v>
      </c>
      <c r="H18" s="1459">
        <v>0</v>
      </c>
      <c r="I18" s="1461"/>
    </row>
    <row r="19" spans="1:9" s="1460" customFormat="1" ht="12.75">
      <c r="A19" s="1456" t="s">
        <v>59</v>
      </c>
      <c r="B19" s="1457" t="s">
        <v>1125</v>
      </c>
      <c r="C19" s="1457" t="s">
        <v>1126</v>
      </c>
      <c r="D19" s="1457" t="s">
        <v>831</v>
      </c>
      <c r="E19" s="1457"/>
      <c r="F19" s="1459"/>
      <c r="G19" s="1459">
        <v>0</v>
      </c>
      <c r="H19" s="1459">
        <v>0</v>
      </c>
      <c r="I19" s="1461"/>
    </row>
    <row r="20" spans="1:9" s="1460" customFormat="1" ht="12.75">
      <c r="A20" s="1456" t="s">
        <v>61</v>
      </c>
      <c r="B20" s="1457" t="s">
        <v>1127</v>
      </c>
      <c r="C20" s="1457" t="s">
        <v>1129</v>
      </c>
      <c r="D20" s="1457" t="s">
        <v>831</v>
      </c>
      <c r="E20" s="1457"/>
      <c r="F20" s="1459"/>
      <c r="G20" s="1459">
        <v>0</v>
      </c>
      <c r="H20" s="1459">
        <v>0</v>
      </c>
      <c r="I20" s="1461"/>
    </row>
    <row r="21" spans="1:9" s="1460" customFormat="1" ht="12.75">
      <c r="A21" s="1456" t="s">
        <v>63</v>
      </c>
      <c r="B21" s="1457" t="s">
        <v>1128</v>
      </c>
      <c r="C21" s="1457" t="s">
        <v>1130</v>
      </c>
      <c r="D21" s="1457" t="s">
        <v>831</v>
      </c>
      <c r="E21" s="1457"/>
      <c r="F21" s="1459"/>
      <c r="G21" s="1459">
        <v>0</v>
      </c>
      <c r="H21" s="1459">
        <v>0</v>
      </c>
      <c r="I21" s="1461"/>
    </row>
    <row r="22" spans="1:8" ht="12.75">
      <c r="A22" s="869" t="s">
        <v>65</v>
      </c>
      <c r="B22" s="95" t="s">
        <v>845</v>
      </c>
      <c r="C22" s="95" t="s">
        <v>846</v>
      </c>
      <c r="D22" s="95" t="s">
        <v>847</v>
      </c>
      <c r="E22" s="95"/>
      <c r="F22" s="78">
        <v>2700</v>
      </c>
      <c r="G22" s="78">
        <v>9404100</v>
      </c>
      <c r="H22" s="78">
        <v>9404100</v>
      </c>
    </row>
    <row r="23" spans="1:9" s="1460" customFormat="1" ht="12.75">
      <c r="A23" s="1456" t="s">
        <v>92</v>
      </c>
      <c r="B23" s="1457" t="s">
        <v>1131</v>
      </c>
      <c r="C23" s="1457" t="s">
        <v>848</v>
      </c>
      <c r="D23" s="1457" t="s">
        <v>831</v>
      </c>
      <c r="E23" s="1457"/>
      <c r="F23" s="1459">
        <v>2700</v>
      </c>
      <c r="G23" s="1459">
        <v>0</v>
      </c>
      <c r="H23" s="1459">
        <v>0</v>
      </c>
      <c r="I23" s="1461"/>
    </row>
    <row r="24" spans="1:8" ht="25.5">
      <c r="A24" s="869" t="s">
        <v>66</v>
      </c>
      <c r="B24" s="95" t="s">
        <v>849</v>
      </c>
      <c r="C24" s="95" t="s">
        <v>850</v>
      </c>
      <c r="D24" s="96" t="s">
        <v>851</v>
      </c>
      <c r="E24" s="95"/>
      <c r="F24" s="78">
        <v>2550</v>
      </c>
      <c r="G24" s="78">
        <v>293250</v>
      </c>
      <c r="H24" s="78">
        <v>293250</v>
      </c>
    </row>
    <row r="25" spans="1:9" s="1460" customFormat="1" ht="12.75">
      <c r="A25" s="1456" t="s">
        <v>67</v>
      </c>
      <c r="B25" s="1457" t="s">
        <v>1132</v>
      </c>
      <c r="C25" s="1457" t="s">
        <v>852</v>
      </c>
      <c r="D25" s="1457" t="s">
        <v>831</v>
      </c>
      <c r="E25" s="1457"/>
      <c r="F25" s="1459">
        <v>2550</v>
      </c>
      <c r="G25" s="1459">
        <v>0</v>
      </c>
      <c r="H25" s="1459">
        <v>0</v>
      </c>
      <c r="I25" s="1461"/>
    </row>
    <row r="26" spans="1:9" s="10" customFormat="1" ht="12.75">
      <c r="A26" s="153" t="s">
        <v>68</v>
      </c>
      <c r="B26" s="94" t="s">
        <v>1133</v>
      </c>
      <c r="C26" s="94" t="s">
        <v>854</v>
      </c>
      <c r="D26" s="94" t="s">
        <v>831</v>
      </c>
      <c r="E26" s="94"/>
      <c r="F26" s="62"/>
      <c r="G26" s="82">
        <v>34287259</v>
      </c>
      <c r="H26" s="82">
        <v>34287259</v>
      </c>
      <c r="I26" s="1462"/>
    </row>
    <row r="27" spans="1:9" s="10" customFormat="1" ht="13.5" thickBot="1">
      <c r="A27" s="222" t="s">
        <v>70</v>
      </c>
      <c r="B27" s="1463" t="s">
        <v>1134</v>
      </c>
      <c r="C27" s="382" t="s">
        <v>853</v>
      </c>
      <c r="D27" s="382" t="s">
        <v>831</v>
      </c>
      <c r="E27" s="382"/>
      <c r="F27" s="1464"/>
      <c r="G27" s="392">
        <v>61975191</v>
      </c>
      <c r="H27" s="392">
        <v>75331491</v>
      </c>
      <c r="I27" s="1462"/>
    </row>
    <row r="28" spans="1:9" s="10" customFormat="1" ht="32.25" thickBot="1">
      <c r="A28" s="1465" t="s">
        <v>97</v>
      </c>
      <c r="B28" s="1466" t="s">
        <v>855</v>
      </c>
      <c r="C28" s="1467" t="s">
        <v>856</v>
      </c>
      <c r="D28" s="1466" t="s">
        <v>831</v>
      </c>
      <c r="E28" s="1466"/>
      <c r="F28" s="1468"/>
      <c r="G28" s="1469">
        <f>SUM(G27)</f>
        <v>61975191</v>
      </c>
      <c r="H28" s="1469">
        <f>SUM(H27)</f>
        <v>75331491</v>
      </c>
      <c r="I28" s="52"/>
    </row>
    <row r="29" spans="1:9" s="10" customFormat="1" ht="12.75">
      <c r="A29" s="1862" t="s">
        <v>1135</v>
      </c>
      <c r="B29" s="1862"/>
      <c r="C29" s="1862"/>
      <c r="D29" s="1862"/>
      <c r="E29" s="1862"/>
      <c r="F29" s="1862"/>
      <c r="G29" s="1862"/>
      <c r="I29" s="52"/>
    </row>
    <row r="30" spans="1:8" ht="12.75">
      <c r="A30" s="869" t="s">
        <v>99</v>
      </c>
      <c r="B30" s="95" t="s">
        <v>1136</v>
      </c>
      <c r="C30" s="95" t="s">
        <v>1137</v>
      </c>
      <c r="D30" s="95" t="s">
        <v>847</v>
      </c>
      <c r="E30" s="875">
        <v>9.4</v>
      </c>
      <c r="F30" s="78">
        <v>4371500</v>
      </c>
      <c r="G30" s="78">
        <v>41092100</v>
      </c>
      <c r="H30" s="78">
        <v>41092100</v>
      </c>
    </row>
    <row r="31" spans="1:8" ht="25.5">
      <c r="A31" s="869" t="s">
        <v>101</v>
      </c>
      <c r="B31" s="95" t="s">
        <v>1138</v>
      </c>
      <c r="C31" s="96" t="s">
        <v>857</v>
      </c>
      <c r="D31" s="95" t="s">
        <v>847</v>
      </c>
      <c r="E31" s="875">
        <v>7</v>
      </c>
      <c r="F31" s="78">
        <v>2400000</v>
      </c>
      <c r="G31" s="78">
        <v>16800000</v>
      </c>
      <c r="H31" s="78">
        <v>16800000</v>
      </c>
    </row>
    <row r="32" spans="1:8" ht="12.75">
      <c r="A32" s="1860" t="s">
        <v>858</v>
      </c>
      <c r="B32" s="1860"/>
      <c r="C32" s="1860"/>
      <c r="D32" s="1860"/>
      <c r="E32" s="1860"/>
      <c r="F32" s="1860"/>
      <c r="G32" s="1861"/>
      <c r="H32"/>
    </row>
    <row r="33" spans="1:8" ht="12.75">
      <c r="A33" s="869" t="s">
        <v>103</v>
      </c>
      <c r="B33" s="95" t="s">
        <v>1140</v>
      </c>
      <c r="C33" s="95" t="s">
        <v>1139</v>
      </c>
      <c r="D33" s="95" t="s">
        <v>847</v>
      </c>
      <c r="E33" s="17">
        <v>103.3</v>
      </c>
      <c r="F33" s="78">
        <v>97400</v>
      </c>
      <c r="G33" s="78">
        <v>10061420</v>
      </c>
      <c r="H33" s="78">
        <v>10061420</v>
      </c>
    </row>
    <row r="34" spans="1:8" ht="12.75">
      <c r="A34" s="1860" t="s">
        <v>1141</v>
      </c>
      <c r="B34" s="1860"/>
      <c r="C34" s="1860"/>
      <c r="D34" s="1860"/>
      <c r="E34" s="1860"/>
      <c r="F34" s="1860"/>
      <c r="G34" s="1861"/>
      <c r="H34"/>
    </row>
    <row r="35" spans="1:8" ht="38.25">
      <c r="A35" s="869" t="s">
        <v>105</v>
      </c>
      <c r="B35" s="95" t="s">
        <v>894</v>
      </c>
      <c r="C35" s="96" t="s">
        <v>1142</v>
      </c>
      <c r="D35" s="95" t="s">
        <v>847</v>
      </c>
      <c r="E35" s="95">
        <v>3</v>
      </c>
      <c r="F35" s="78">
        <v>396700</v>
      </c>
      <c r="G35" s="78">
        <v>1190100</v>
      </c>
      <c r="H35" s="78">
        <v>1190100</v>
      </c>
    </row>
    <row r="36" spans="1:8" ht="12.75">
      <c r="A36" s="1863" t="s">
        <v>910</v>
      </c>
      <c r="B36" s="1864"/>
      <c r="C36" s="1864"/>
      <c r="D36" s="1864"/>
      <c r="E36" s="1864"/>
      <c r="F36" s="1864"/>
      <c r="G36" s="1865"/>
      <c r="H36"/>
    </row>
    <row r="37" spans="1:8" ht="12.75">
      <c r="A37" s="869" t="s">
        <v>107</v>
      </c>
      <c r="B37" s="95" t="s">
        <v>911</v>
      </c>
      <c r="C37" s="96" t="s">
        <v>912</v>
      </c>
      <c r="D37" s="95" t="s">
        <v>847</v>
      </c>
      <c r="E37" s="95">
        <v>3</v>
      </c>
      <c r="F37" s="78">
        <v>811600</v>
      </c>
      <c r="G37" s="78">
        <v>2434800</v>
      </c>
      <c r="H37" s="78">
        <v>2434800</v>
      </c>
    </row>
    <row r="38" spans="1:8" ht="31.5">
      <c r="A38" s="871" t="s">
        <v>109</v>
      </c>
      <c r="B38" s="872" t="s">
        <v>859</v>
      </c>
      <c r="C38" s="873" t="s">
        <v>860</v>
      </c>
      <c r="D38" s="872" t="s">
        <v>831</v>
      </c>
      <c r="E38" s="872"/>
      <c r="F38" s="896"/>
      <c r="G38" s="874">
        <f>SUM(G30+G31+G33+G35+G37)</f>
        <v>71578420</v>
      </c>
      <c r="H38" s="874">
        <f>SUM(H30+H31+H33+H35+H37)</f>
        <v>71578420</v>
      </c>
    </row>
    <row r="39" spans="1:9" s="155" customFormat="1" ht="12.75">
      <c r="A39" s="876" t="s">
        <v>111</v>
      </c>
      <c r="B39" s="877" t="s">
        <v>1143</v>
      </c>
      <c r="C39" s="878" t="s">
        <v>861</v>
      </c>
      <c r="D39" s="877" t="s">
        <v>831</v>
      </c>
      <c r="E39" s="877"/>
      <c r="F39" s="81"/>
      <c r="G39" s="63">
        <v>3453000</v>
      </c>
      <c r="H39" s="63">
        <v>3453000</v>
      </c>
      <c r="I39" s="879"/>
    </row>
    <row r="40" spans="1:8" ht="12.75">
      <c r="A40" s="1860" t="s">
        <v>862</v>
      </c>
      <c r="B40" s="1860"/>
      <c r="C40" s="1860"/>
      <c r="D40" s="1860"/>
      <c r="E40" s="1860"/>
      <c r="F40" s="1860"/>
      <c r="G40" s="1861"/>
      <c r="H40"/>
    </row>
    <row r="41" spans="1:9" s="423" customFormat="1" ht="25.5" customHeight="1">
      <c r="A41" s="869" t="s">
        <v>113</v>
      </c>
      <c r="B41" s="892" t="s">
        <v>1144</v>
      </c>
      <c r="C41" s="892" t="s">
        <v>863</v>
      </c>
      <c r="D41" s="1853" t="s">
        <v>864</v>
      </c>
      <c r="E41" s="1854"/>
      <c r="F41" s="893">
        <v>3780000</v>
      </c>
      <c r="G41" s="893">
        <v>17000000</v>
      </c>
      <c r="H41" s="893">
        <v>18900000</v>
      </c>
      <c r="I41" s="894"/>
    </row>
    <row r="42" spans="1:8" ht="12.75">
      <c r="A42" s="1857" t="s">
        <v>913</v>
      </c>
      <c r="B42" s="1858"/>
      <c r="C42" s="1858"/>
      <c r="D42" s="1858"/>
      <c r="E42" s="1858"/>
      <c r="F42" s="1858"/>
      <c r="G42" s="1859"/>
      <c r="H42"/>
    </row>
    <row r="43" spans="1:8" ht="25.5">
      <c r="A43" s="1426" t="s">
        <v>115</v>
      </c>
      <c r="B43" s="1427" t="s">
        <v>1145</v>
      </c>
      <c r="C43" s="1428" t="s">
        <v>1146</v>
      </c>
      <c r="D43" s="1427" t="s">
        <v>847</v>
      </c>
      <c r="E43" s="1427">
        <v>1</v>
      </c>
      <c r="F43" s="1429">
        <v>4419000</v>
      </c>
      <c r="G43" s="1429">
        <v>4419000</v>
      </c>
      <c r="H43" s="1429">
        <v>4419000</v>
      </c>
    </row>
    <row r="44" spans="1:11" ht="25.5">
      <c r="A44" s="1425" t="s">
        <v>117</v>
      </c>
      <c r="B44" s="228" t="s">
        <v>1147</v>
      </c>
      <c r="C44" s="104" t="s">
        <v>1148</v>
      </c>
      <c r="D44" s="228" t="s">
        <v>847</v>
      </c>
      <c r="E44" s="228">
        <v>3.7</v>
      </c>
      <c r="F44" s="121">
        <v>2993000</v>
      </c>
      <c r="G44" s="121">
        <v>11074100</v>
      </c>
      <c r="H44" s="121">
        <v>11074100</v>
      </c>
      <c r="K44" s="52"/>
    </row>
    <row r="45" spans="1:11" ht="12.75">
      <c r="A45" s="869" t="s">
        <v>118</v>
      </c>
      <c r="B45" s="95" t="s">
        <v>1149</v>
      </c>
      <c r="C45" s="95" t="s">
        <v>896</v>
      </c>
      <c r="D45" s="95" t="s">
        <v>831</v>
      </c>
      <c r="E45" s="95"/>
      <c r="F45" s="78"/>
      <c r="G45" s="78">
        <v>1691000</v>
      </c>
      <c r="H45" s="78">
        <v>1691000</v>
      </c>
      <c r="K45" s="52"/>
    </row>
    <row r="46" spans="1:8" ht="12.75">
      <c r="A46" s="1860" t="s">
        <v>865</v>
      </c>
      <c r="B46" s="1860"/>
      <c r="C46" s="1860"/>
      <c r="D46" s="1860"/>
      <c r="E46" s="1860"/>
      <c r="F46" s="1860"/>
      <c r="G46" s="1861"/>
      <c r="H46"/>
    </row>
    <row r="47" spans="1:8" ht="12.75">
      <c r="A47" s="869" t="s">
        <v>120</v>
      </c>
      <c r="B47" s="95" t="s">
        <v>1150</v>
      </c>
      <c r="C47" s="95" t="s">
        <v>895</v>
      </c>
      <c r="D47" s="95" t="s">
        <v>847</v>
      </c>
      <c r="E47" s="95">
        <v>9.33</v>
      </c>
      <c r="F47" s="78">
        <v>2200000</v>
      </c>
      <c r="G47" s="78">
        <v>20526000</v>
      </c>
      <c r="H47" s="78">
        <v>20526000</v>
      </c>
    </row>
    <row r="48" spans="1:8" ht="12.75">
      <c r="A48" s="869" t="s">
        <v>122</v>
      </c>
      <c r="B48" s="95" t="s">
        <v>1151</v>
      </c>
      <c r="C48" s="95" t="s">
        <v>866</v>
      </c>
      <c r="D48" s="95" t="s">
        <v>831</v>
      </c>
      <c r="E48" s="95">
        <v>0</v>
      </c>
      <c r="F48" s="78"/>
      <c r="G48" s="78">
        <v>10224314</v>
      </c>
      <c r="H48" s="78">
        <v>10224314</v>
      </c>
    </row>
    <row r="49" spans="1:9" s="772" customFormat="1" ht="31.5">
      <c r="A49" s="871" t="s">
        <v>124</v>
      </c>
      <c r="B49" s="895" t="s">
        <v>173</v>
      </c>
      <c r="C49" s="873" t="s">
        <v>867</v>
      </c>
      <c r="D49" s="872" t="s">
        <v>831</v>
      </c>
      <c r="E49" s="872"/>
      <c r="F49" s="896"/>
      <c r="G49" s="874">
        <f>SUM(G39+G41+G43+G44+G45+G47+G48)</f>
        <v>68387414</v>
      </c>
      <c r="H49" s="874">
        <f>SUM(H39+H41+H43+H44+H45+H47+H48)</f>
        <v>70287414</v>
      </c>
      <c r="I49" s="52"/>
    </row>
    <row r="50" spans="1:8" ht="38.25">
      <c r="A50" s="869" t="s">
        <v>126</v>
      </c>
      <c r="B50" s="95" t="s">
        <v>1152</v>
      </c>
      <c r="C50" s="96" t="s">
        <v>869</v>
      </c>
      <c r="D50" s="95" t="s">
        <v>868</v>
      </c>
      <c r="E50" s="95"/>
      <c r="F50" s="78">
        <v>1210</v>
      </c>
      <c r="G50" s="78">
        <v>4357233</v>
      </c>
      <c r="H50" s="78">
        <v>4357233</v>
      </c>
    </row>
    <row r="51" spans="1:8" ht="15.75">
      <c r="A51" s="871" t="s">
        <v>128</v>
      </c>
      <c r="B51" s="872" t="s">
        <v>182</v>
      </c>
      <c r="C51" s="872" t="s">
        <v>870</v>
      </c>
      <c r="D51" s="872" t="s">
        <v>868</v>
      </c>
      <c r="E51" s="872"/>
      <c r="F51" s="896"/>
      <c r="G51" s="874">
        <f>SUM(G50)</f>
        <v>4357233</v>
      </c>
      <c r="H51" s="874">
        <f>SUM(H50)</f>
        <v>4357233</v>
      </c>
    </row>
  </sheetData>
  <sheetProtection selectLockedCells="1" selectUnlockedCells="1"/>
  <mergeCells count="11">
    <mergeCell ref="A40:G40"/>
    <mergeCell ref="D41:E41"/>
    <mergeCell ref="F1:G1"/>
    <mergeCell ref="A2:G2"/>
    <mergeCell ref="A42:G42"/>
    <mergeCell ref="A46:G46"/>
    <mergeCell ref="A29:G29"/>
    <mergeCell ref="A32:G32"/>
    <mergeCell ref="A34:G34"/>
    <mergeCell ref="A36:G36"/>
    <mergeCell ref="A4:H4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B16" sqref="B16:E17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1:15" ht="15.75" customHeight="1">
      <c r="A1" s="1871" t="s">
        <v>871</v>
      </c>
      <c r="B1" s="1871"/>
      <c r="C1" s="1871"/>
      <c r="D1" s="1871"/>
      <c r="E1" s="1871"/>
      <c r="F1" s="1871"/>
      <c r="G1" s="1871"/>
      <c r="H1" s="1871"/>
      <c r="I1" s="1871"/>
      <c r="J1" s="1871"/>
      <c r="K1" s="1871"/>
      <c r="L1" s="1871"/>
      <c r="M1" s="1871"/>
      <c r="N1" s="1871"/>
      <c r="O1" s="1871"/>
    </row>
    <row r="2" spans="1:15" ht="15.75" customHeight="1">
      <c r="A2" s="1872"/>
      <c r="B2" s="1872"/>
      <c r="C2" s="1872"/>
      <c r="D2" s="1872"/>
      <c r="E2" s="1872"/>
      <c r="F2" s="849"/>
      <c r="G2" s="849"/>
      <c r="H2" s="849"/>
      <c r="I2" s="849"/>
      <c r="J2" s="849"/>
      <c r="K2" s="849"/>
      <c r="L2" s="849"/>
      <c r="M2" s="849"/>
      <c r="N2" s="849"/>
      <c r="O2" s="849"/>
    </row>
    <row r="3" spans="1:15" ht="18" customHeight="1">
      <c r="A3" s="1866" t="s">
        <v>1259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</row>
    <row r="4" ht="18" customHeight="1">
      <c r="F4" s="881"/>
    </row>
    <row r="5" spans="2:15" ht="37.5" customHeight="1">
      <c r="B5" s="1740" t="s">
        <v>872</v>
      </c>
      <c r="C5" s="1740"/>
      <c r="D5" s="1740"/>
      <c r="E5" s="1740"/>
      <c r="F5" s="1740"/>
      <c r="G5" s="1740"/>
      <c r="H5" s="1740"/>
      <c r="I5" s="1740"/>
      <c r="J5" s="1740"/>
      <c r="K5" s="1740"/>
      <c r="L5" s="1740"/>
      <c r="M5" s="1740"/>
      <c r="N5" s="1740"/>
      <c r="O5" s="1740"/>
    </row>
    <row r="6" spans="2:15" ht="12.75">
      <c r="B6" s="882"/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</row>
    <row r="8" spans="14:15" ht="12.75">
      <c r="N8" s="1873" t="s">
        <v>155</v>
      </c>
      <c r="O8" s="1873"/>
    </row>
    <row r="9" spans="1:15" ht="14.25" customHeight="1">
      <c r="A9" s="1874" t="s">
        <v>33</v>
      </c>
      <c r="B9" s="1848" t="s">
        <v>873</v>
      </c>
      <c r="C9" s="1876" t="s">
        <v>874</v>
      </c>
      <c r="D9" s="1848" t="s">
        <v>875</v>
      </c>
      <c r="E9" s="1876" t="s">
        <v>876</v>
      </c>
      <c r="F9" s="1875"/>
      <c r="G9" s="1875"/>
      <c r="H9" s="1875"/>
      <c r="I9" s="1875"/>
      <c r="J9" s="1875"/>
      <c r="K9" s="1875"/>
      <c r="L9" s="1875"/>
      <c r="M9" s="1875"/>
      <c r="N9" s="1875"/>
      <c r="O9" s="1875"/>
    </row>
    <row r="10" spans="1:15" ht="12.75">
      <c r="A10" s="1874"/>
      <c r="B10" s="1848"/>
      <c r="C10" s="1876"/>
      <c r="D10" s="1848"/>
      <c r="E10" s="1876"/>
      <c r="F10" s="883" t="s">
        <v>877</v>
      </c>
      <c r="G10" s="883">
        <v>2021</v>
      </c>
      <c r="H10" s="883">
        <v>2022</v>
      </c>
      <c r="I10" s="883">
        <v>2023</v>
      </c>
      <c r="J10" s="883">
        <v>2024</v>
      </c>
      <c r="K10" s="883">
        <v>2025</v>
      </c>
      <c r="L10" s="883">
        <v>2026</v>
      </c>
      <c r="M10" s="883">
        <v>2027</v>
      </c>
      <c r="N10" s="883">
        <v>2028</v>
      </c>
      <c r="O10" s="883">
        <v>2029</v>
      </c>
    </row>
    <row r="11" spans="1:15" ht="12.75">
      <c r="A11" s="1874"/>
      <c r="B11" s="884" t="s">
        <v>158</v>
      </c>
      <c r="C11" s="885" t="s">
        <v>159</v>
      </c>
      <c r="D11" s="884" t="s">
        <v>160</v>
      </c>
      <c r="E11" s="885" t="s">
        <v>161</v>
      </c>
      <c r="F11" s="885" t="s">
        <v>456</v>
      </c>
      <c r="G11" s="885" t="s">
        <v>476</v>
      </c>
      <c r="H11" s="885" t="s">
        <v>704</v>
      </c>
      <c r="I11" s="885" t="s">
        <v>785</v>
      </c>
      <c r="J11" s="885" t="s">
        <v>788</v>
      </c>
      <c r="K11" s="885" t="s">
        <v>878</v>
      </c>
      <c r="L11" s="885" t="s">
        <v>879</v>
      </c>
      <c r="M11" s="885" t="s">
        <v>880</v>
      </c>
      <c r="N11" s="885" t="s">
        <v>881</v>
      </c>
      <c r="O11" s="885" t="s">
        <v>882</v>
      </c>
    </row>
    <row r="12" spans="1:15" ht="12.75">
      <c r="A12" s="157" t="s">
        <v>38</v>
      </c>
      <c r="B12" s="96"/>
      <c r="C12" s="95"/>
      <c r="D12" s="95">
        <v>0</v>
      </c>
      <c r="E12" s="95"/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</row>
    <row r="15" ht="12.75">
      <c r="B15" t="s">
        <v>883</v>
      </c>
    </row>
    <row r="16" spans="1:15" ht="14.25" customHeight="1">
      <c r="A16" s="1877" t="s">
        <v>33</v>
      </c>
      <c r="B16" s="1878" t="s">
        <v>215</v>
      </c>
      <c r="C16" s="1878"/>
      <c r="D16" s="1878"/>
      <c r="E16" s="1878"/>
      <c r="F16" s="1869" t="s">
        <v>883</v>
      </c>
      <c r="G16" s="1869"/>
      <c r="H16" s="1869"/>
      <c r="I16" s="1869"/>
      <c r="J16" s="1869"/>
      <c r="K16" s="1869"/>
      <c r="L16" s="1869"/>
      <c r="M16" s="1869"/>
      <c r="N16" s="1869"/>
      <c r="O16" s="1869"/>
    </row>
    <row r="17" spans="1:15" ht="12.75">
      <c r="A17" s="1877"/>
      <c r="B17" s="1878"/>
      <c r="C17" s="1878"/>
      <c r="D17" s="1878"/>
      <c r="E17" s="1878"/>
      <c r="F17" s="886" t="s">
        <v>884</v>
      </c>
      <c r="G17" s="886">
        <v>2021</v>
      </c>
      <c r="H17" s="886">
        <v>2022</v>
      </c>
      <c r="I17" s="886">
        <v>2023</v>
      </c>
      <c r="J17" s="886">
        <v>2024</v>
      </c>
      <c r="K17" s="886">
        <v>2025</v>
      </c>
      <c r="L17" s="886">
        <v>2026</v>
      </c>
      <c r="M17" s="886">
        <v>2027</v>
      </c>
      <c r="N17" s="886">
        <v>2028</v>
      </c>
      <c r="O17" s="886">
        <v>2029</v>
      </c>
    </row>
    <row r="18" spans="1:15" ht="14.25" customHeight="1">
      <c r="A18" s="1877"/>
      <c r="B18" s="1848" t="s">
        <v>158</v>
      </c>
      <c r="C18" s="1848"/>
      <c r="D18" s="1848"/>
      <c r="E18" s="1848"/>
      <c r="F18" s="854" t="s">
        <v>159</v>
      </c>
      <c r="G18" s="854" t="s">
        <v>160</v>
      </c>
      <c r="H18" s="854" t="s">
        <v>161</v>
      </c>
      <c r="I18" s="854" t="s">
        <v>456</v>
      </c>
      <c r="J18" s="854" t="s">
        <v>476</v>
      </c>
      <c r="K18" s="854" t="s">
        <v>704</v>
      </c>
      <c r="L18" s="854" t="s">
        <v>785</v>
      </c>
      <c r="M18" s="854" t="s">
        <v>788</v>
      </c>
      <c r="N18" s="854" t="s">
        <v>878</v>
      </c>
      <c r="O18" s="854" t="s">
        <v>879</v>
      </c>
    </row>
    <row r="19" spans="1:15" ht="14.25" customHeight="1">
      <c r="A19" s="887" t="s">
        <v>38</v>
      </c>
      <c r="B19" s="1870" t="s">
        <v>39</v>
      </c>
      <c r="C19" s="1870"/>
      <c r="D19" s="1870"/>
      <c r="E19" s="1870"/>
      <c r="F19" s="888"/>
      <c r="G19" s="888"/>
      <c r="H19" s="888"/>
      <c r="I19" s="888"/>
      <c r="J19" s="888"/>
      <c r="K19" s="888"/>
      <c r="L19" s="888"/>
      <c r="M19" s="888"/>
      <c r="N19" s="888"/>
      <c r="O19" s="888"/>
    </row>
    <row r="20" spans="1:15" ht="14.25" customHeight="1">
      <c r="A20" s="887" t="s">
        <v>40</v>
      </c>
      <c r="B20" s="1868" t="s">
        <v>885</v>
      </c>
      <c r="C20" s="1868"/>
      <c r="D20" s="1868"/>
      <c r="E20" s="1868"/>
      <c r="F20" s="889"/>
      <c r="G20" s="889"/>
      <c r="H20" s="889"/>
      <c r="I20" s="889"/>
      <c r="J20" s="889"/>
      <c r="K20" s="889"/>
      <c r="L20" s="889"/>
      <c r="M20" s="889"/>
      <c r="N20" s="889"/>
      <c r="O20" s="889"/>
    </row>
    <row r="21" spans="1:15" ht="14.25" customHeight="1">
      <c r="A21" s="887" t="s">
        <v>47</v>
      </c>
      <c r="B21" s="1868" t="s">
        <v>886</v>
      </c>
      <c r="C21" s="1868"/>
      <c r="D21" s="1868"/>
      <c r="E21" s="1868"/>
      <c r="F21" s="889"/>
      <c r="G21" s="889"/>
      <c r="H21" s="889"/>
      <c r="I21" s="889"/>
      <c r="J21" s="889"/>
      <c r="K21" s="889"/>
      <c r="L21" s="889"/>
      <c r="M21" s="889"/>
      <c r="N21" s="889"/>
      <c r="O21" s="889"/>
    </row>
    <row r="22" spans="1:15" ht="26.25" customHeight="1">
      <c r="A22" s="887" t="s">
        <v>49</v>
      </c>
      <c r="B22" s="1868" t="s">
        <v>887</v>
      </c>
      <c r="C22" s="1868"/>
      <c r="D22" s="1868"/>
      <c r="E22" s="1868"/>
      <c r="F22" s="889"/>
      <c r="G22" s="889"/>
      <c r="H22" s="889"/>
      <c r="I22" s="889"/>
      <c r="J22" s="889"/>
      <c r="K22" s="889"/>
      <c r="L22" s="889"/>
      <c r="M22" s="889"/>
      <c r="N22" s="889"/>
      <c r="O22" s="889"/>
    </row>
    <row r="23" spans="1:15" ht="14.25" customHeight="1">
      <c r="A23" s="887" t="s">
        <v>51</v>
      </c>
      <c r="B23" s="1868" t="s">
        <v>888</v>
      </c>
      <c r="C23" s="1868"/>
      <c r="D23" s="1868"/>
      <c r="E23" s="1868"/>
      <c r="F23" s="889"/>
      <c r="G23" s="889"/>
      <c r="H23" s="889"/>
      <c r="I23" s="889"/>
      <c r="J23" s="889"/>
      <c r="K23" s="889"/>
      <c r="L23" s="889"/>
      <c r="M23" s="889"/>
      <c r="N23" s="889"/>
      <c r="O23" s="889"/>
    </row>
    <row r="24" spans="1:15" ht="14.25" customHeight="1">
      <c r="A24" s="887" t="s">
        <v>53</v>
      </c>
      <c r="B24" s="1868" t="s">
        <v>889</v>
      </c>
      <c r="C24" s="1868"/>
      <c r="D24" s="1868"/>
      <c r="E24" s="1868"/>
      <c r="F24" s="889"/>
      <c r="G24" s="889"/>
      <c r="H24" s="889"/>
      <c r="I24" s="889"/>
      <c r="J24" s="889"/>
      <c r="K24" s="889"/>
      <c r="L24" s="889"/>
      <c r="M24" s="889"/>
      <c r="N24" s="889"/>
      <c r="O24" s="889"/>
    </row>
    <row r="25" spans="1:15" ht="14.25" customHeight="1">
      <c r="A25" s="887" t="s">
        <v>55</v>
      </c>
      <c r="B25" s="1868" t="s">
        <v>890</v>
      </c>
      <c r="C25" s="1868"/>
      <c r="D25" s="1868"/>
      <c r="E25" s="1868"/>
      <c r="F25" s="889"/>
      <c r="G25" s="889"/>
      <c r="H25" s="889"/>
      <c r="I25" s="889"/>
      <c r="J25" s="889"/>
      <c r="K25" s="889"/>
      <c r="L25" s="889"/>
      <c r="M25" s="889"/>
      <c r="N25" s="889"/>
      <c r="O25" s="889"/>
    </row>
    <row r="26" spans="1:15" ht="14.25" customHeight="1">
      <c r="A26" s="887" t="s">
        <v>57</v>
      </c>
      <c r="B26" s="1867" t="s">
        <v>891</v>
      </c>
      <c r="C26" s="1867"/>
      <c r="D26" s="1867"/>
      <c r="E26" s="1867"/>
      <c r="F26" s="890">
        <f aca="true" t="shared" si="0" ref="F26:O26">SUM(F19:F25)</f>
        <v>0</v>
      </c>
      <c r="G26" s="890">
        <f t="shared" si="0"/>
        <v>0</v>
      </c>
      <c r="H26" s="890">
        <f t="shared" si="0"/>
        <v>0</v>
      </c>
      <c r="I26" s="890">
        <f t="shared" si="0"/>
        <v>0</v>
      </c>
      <c r="J26" s="890">
        <f t="shared" si="0"/>
        <v>0</v>
      </c>
      <c r="K26" s="890">
        <f t="shared" si="0"/>
        <v>0</v>
      </c>
      <c r="L26" s="890">
        <f t="shared" si="0"/>
        <v>0</v>
      </c>
      <c r="M26" s="890">
        <f t="shared" si="0"/>
        <v>0</v>
      </c>
      <c r="N26" s="890">
        <f t="shared" si="0"/>
        <v>0</v>
      </c>
      <c r="O26" s="890">
        <f t="shared" si="0"/>
        <v>0</v>
      </c>
    </row>
    <row r="27" spans="1:15" ht="14.25" customHeight="1">
      <c r="A27" s="887" t="s">
        <v>86</v>
      </c>
      <c r="B27" s="1867" t="s">
        <v>892</v>
      </c>
      <c r="C27" s="1867"/>
      <c r="D27" s="1867"/>
      <c r="E27" s="1867"/>
      <c r="F27" s="891">
        <f aca="true" t="shared" si="1" ref="F27:O27">F26/2</f>
        <v>0</v>
      </c>
      <c r="G27" s="891">
        <f t="shared" si="1"/>
        <v>0</v>
      </c>
      <c r="H27" s="891">
        <f t="shared" si="1"/>
        <v>0</v>
      </c>
      <c r="I27" s="891">
        <f t="shared" si="1"/>
        <v>0</v>
      </c>
      <c r="J27" s="891">
        <f t="shared" si="1"/>
        <v>0</v>
      </c>
      <c r="K27" s="891">
        <f t="shared" si="1"/>
        <v>0</v>
      </c>
      <c r="L27" s="891">
        <f t="shared" si="1"/>
        <v>0</v>
      </c>
      <c r="M27" s="891">
        <f t="shared" si="1"/>
        <v>0</v>
      </c>
      <c r="N27" s="891">
        <f t="shared" si="1"/>
        <v>0</v>
      </c>
      <c r="O27" s="891">
        <f t="shared" si="1"/>
        <v>0</v>
      </c>
    </row>
  </sheetData>
  <sheetProtection selectLockedCells="1" selectUnlockedCells="1"/>
  <mergeCells count="24">
    <mergeCell ref="B9:B10"/>
    <mergeCell ref="C9:C10"/>
    <mergeCell ref="D9:D10"/>
    <mergeCell ref="E9:E10"/>
    <mergeCell ref="A16:A18"/>
    <mergeCell ref="B16:E17"/>
    <mergeCell ref="F16:O16"/>
    <mergeCell ref="B18:E18"/>
    <mergeCell ref="B19:E19"/>
    <mergeCell ref="A1:O1"/>
    <mergeCell ref="A2:E2"/>
    <mergeCell ref="B5:O5"/>
    <mergeCell ref="N8:O8"/>
    <mergeCell ref="A9:A11"/>
    <mergeCell ref="A3:O3"/>
    <mergeCell ref="F9:O9"/>
    <mergeCell ref="B26:E26"/>
    <mergeCell ref="B27:E27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5118055555555555" footer="0.511805555555555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0"/>
  <sheetViews>
    <sheetView view="pageBreakPreview" zoomScaleSheetLayoutView="100" zoomScalePageLayoutView="0" workbookViewId="0" topLeftCell="A1">
      <selection activeCell="B14" sqref="B14"/>
    </sheetView>
  </sheetViews>
  <sheetFormatPr defaultColWidth="11.7109375" defaultRowHeight="12.75" customHeight="1"/>
  <cols>
    <col min="1" max="1" width="7.57421875" style="74" customWidth="1"/>
    <col min="2" max="2" width="36.8515625" style="5" customWidth="1"/>
    <col min="3" max="6" width="20.57421875" style="5" bestFit="1" customWidth="1"/>
    <col min="7" max="16384" width="11.7109375" style="5" customWidth="1"/>
  </cols>
  <sheetData>
    <row r="1" spans="1:6" s="88" customFormat="1" ht="25.5" customHeight="1">
      <c r="A1" s="1846" t="s">
        <v>477</v>
      </c>
      <c r="B1" s="1846"/>
      <c r="C1" s="1846"/>
      <c r="D1" s="1846"/>
      <c r="E1" s="1846"/>
      <c r="F1" s="1846"/>
    </row>
    <row r="2" spans="1:6" ht="12.75" customHeight="1">
      <c r="A2" s="1850" t="s">
        <v>1259</v>
      </c>
      <c r="B2" s="1850"/>
      <c r="C2" s="1850"/>
      <c r="D2" s="1850"/>
      <c r="E2" s="1850"/>
      <c r="F2" s="1850"/>
    </row>
    <row r="3" spans="1:6" ht="15.75">
      <c r="A3" s="1850" t="s">
        <v>1262</v>
      </c>
      <c r="B3" s="1850"/>
      <c r="C3" s="1850"/>
      <c r="D3" s="1850"/>
      <c r="E3" s="1850"/>
      <c r="F3" s="2206" t="s">
        <v>819</v>
      </c>
    </row>
    <row r="4" spans="1:6" ht="12.75" customHeight="1">
      <c r="A4" s="1850"/>
      <c r="B4" s="1850"/>
      <c r="C4" s="1850"/>
      <c r="D4" s="1850"/>
      <c r="E4" s="1850"/>
      <c r="F4" s="87"/>
    </row>
    <row r="5" spans="1:256" ht="12.75" customHeight="1">
      <c r="A5" s="1856" t="s">
        <v>73</v>
      </c>
      <c r="B5" s="1856"/>
      <c r="C5" s="1856"/>
      <c r="D5" s="1856"/>
      <c r="E5" s="1856"/>
      <c r="F5" s="1856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856" t="s">
        <v>1118</v>
      </c>
      <c r="B6" s="1856"/>
      <c r="C6" s="1856"/>
      <c r="D6" s="1856"/>
      <c r="E6" s="1856"/>
      <c r="F6" s="185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58"/>
      <c r="B7" s="158"/>
      <c r="C7" s="159"/>
      <c r="D7" s="159"/>
      <c r="E7" s="159"/>
      <c r="F7" s="15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60"/>
      <c r="B8"/>
      <c r="C8"/>
      <c r="D8" s="1879" t="s">
        <v>214</v>
      </c>
      <c r="E8" s="1879"/>
      <c r="F8" s="187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848" t="s">
        <v>33</v>
      </c>
      <c r="B9" s="156" t="s">
        <v>24</v>
      </c>
      <c r="C9" s="148">
        <v>2020</v>
      </c>
      <c r="D9" s="148">
        <v>2021</v>
      </c>
      <c r="E9" s="148">
        <v>2022</v>
      </c>
      <c r="F9" s="148">
        <v>2023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848"/>
      <c r="B10" s="156" t="s">
        <v>158</v>
      </c>
      <c r="C10" s="148" t="s">
        <v>159</v>
      </c>
      <c r="D10" s="148" t="s">
        <v>160</v>
      </c>
      <c r="E10" s="148" t="s">
        <v>161</v>
      </c>
      <c r="F10" s="148" t="s">
        <v>456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161" t="s">
        <v>38</v>
      </c>
      <c r="B11" s="511" t="s">
        <v>165</v>
      </c>
      <c r="C11" s="162">
        <v>233758932</v>
      </c>
      <c r="D11" s="162">
        <v>200000000</v>
      </c>
      <c r="E11" s="162">
        <v>200000000</v>
      </c>
      <c r="F11" s="162">
        <v>200000000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4" customFormat="1" ht="27" customHeight="1">
      <c r="A12" s="166" t="s">
        <v>40</v>
      </c>
      <c r="B12" s="167" t="s">
        <v>167</v>
      </c>
      <c r="C12" s="162">
        <v>225628568</v>
      </c>
      <c r="D12" s="162">
        <v>0</v>
      </c>
      <c r="E12" s="162">
        <v>0</v>
      </c>
      <c r="F12" s="162"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4" customFormat="1" ht="12.75" customHeight="1">
      <c r="A13" s="161" t="s">
        <v>47</v>
      </c>
      <c r="B13" s="165" t="s">
        <v>174</v>
      </c>
      <c r="C13" s="162">
        <v>157049463</v>
      </c>
      <c r="D13" s="162">
        <f>SUM(D14:D18)</f>
        <v>187950000</v>
      </c>
      <c r="E13" s="162">
        <f>SUM(E14:E18)</f>
        <v>187950000</v>
      </c>
      <c r="F13" s="162">
        <f>SUM(F14:F18)</f>
        <v>187950000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516" customFormat="1" ht="12.75" customHeight="1">
      <c r="A14" s="512" t="s">
        <v>49</v>
      </c>
      <c r="B14" s="518" t="s">
        <v>666</v>
      </c>
      <c r="C14" s="514">
        <v>7000000</v>
      </c>
      <c r="D14" s="514">
        <v>7000000</v>
      </c>
      <c r="E14" s="514">
        <v>7000000</v>
      </c>
      <c r="F14" s="514">
        <v>7000000</v>
      </c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  <c r="HX14" s="515"/>
      <c r="HY14" s="515"/>
      <c r="HZ14" s="515"/>
      <c r="IA14" s="515"/>
      <c r="IB14" s="515"/>
      <c r="IC14" s="515"/>
      <c r="ID14" s="515"/>
      <c r="IE14" s="515"/>
      <c r="IF14" s="515"/>
      <c r="IG14" s="515"/>
      <c r="IH14" s="515"/>
      <c r="II14" s="515"/>
      <c r="IJ14" s="515"/>
      <c r="IK14" s="515"/>
      <c r="IL14" s="515"/>
      <c r="IM14" s="515"/>
      <c r="IN14" s="515"/>
      <c r="IO14" s="515"/>
      <c r="IP14" s="515"/>
      <c r="IQ14" s="515"/>
      <c r="IR14" s="515"/>
      <c r="IS14" s="515"/>
      <c r="IT14" s="515"/>
      <c r="IU14" s="515"/>
      <c r="IV14" s="515"/>
    </row>
    <row r="15" spans="1:256" s="516" customFormat="1" ht="12.75" customHeight="1">
      <c r="A15" s="517" t="s">
        <v>51</v>
      </c>
      <c r="B15" s="513" t="s">
        <v>665</v>
      </c>
      <c r="C15" s="514">
        <v>149699463</v>
      </c>
      <c r="D15" s="514">
        <v>170000000</v>
      </c>
      <c r="E15" s="514">
        <v>170000000</v>
      </c>
      <c r="F15" s="514">
        <v>170000000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5"/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5"/>
      <c r="FL15" s="515"/>
      <c r="FM15" s="515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  <c r="GD15" s="515"/>
      <c r="GE15" s="515"/>
      <c r="GF15" s="515"/>
      <c r="GG15" s="515"/>
      <c r="GH15" s="515"/>
      <c r="GI15" s="515"/>
      <c r="GJ15" s="515"/>
      <c r="GK15" s="515"/>
      <c r="GL15" s="515"/>
      <c r="GM15" s="515"/>
      <c r="GN15" s="515"/>
      <c r="GO15" s="515"/>
      <c r="GP15" s="515"/>
      <c r="GQ15" s="515"/>
      <c r="GR15" s="515"/>
      <c r="GS15" s="515"/>
      <c r="GT15" s="515"/>
      <c r="GU15" s="515"/>
      <c r="GV15" s="515"/>
      <c r="GW15" s="515"/>
      <c r="GX15" s="515"/>
      <c r="GY15" s="515"/>
      <c r="GZ15" s="515"/>
      <c r="HA15" s="515"/>
      <c r="HB15" s="515"/>
      <c r="HC15" s="515"/>
      <c r="HD15" s="515"/>
      <c r="HE15" s="515"/>
      <c r="HF15" s="515"/>
      <c r="HG15" s="515"/>
      <c r="HH15" s="515"/>
      <c r="HI15" s="515"/>
      <c r="HJ15" s="515"/>
      <c r="HK15" s="515"/>
      <c r="HL15" s="515"/>
      <c r="HM15" s="515"/>
      <c r="HN15" s="515"/>
      <c r="HO15" s="515"/>
      <c r="HP15" s="515"/>
      <c r="HQ15" s="515"/>
      <c r="HR15" s="515"/>
      <c r="HS15" s="515"/>
      <c r="HT15" s="515"/>
      <c r="HU15" s="515"/>
      <c r="HV15" s="515"/>
      <c r="HW15" s="515"/>
      <c r="HX15" s="515"/>
      <c r="HY15" s="515"/>
      <c r="HZ15" s="515"/>
      <c r="IA15" s="515"/>
      <c r="IB15" s="515"/>
      <c r="IC15" s="515"/>
      <c r="ID15" s="515"/>
      <c r="IE15" s="515"/>
      <c r="IF15" s="515"/>
      <c r="IG15" s="515"/>
      <c r="IH15" s="515"/>
      <c r="II15" s="515"/>
      <c r="IJ15" s="515"/>
      <c r="IK15" s="515"/>
      <c r="IL15" s="515"/>
      <c r="IM15" s="515"/>
      <c r="IN15" s="515"/>
      <c r="IO15" s="515"/>
      <c r="IP15" s="515"/>
      <c r="IQ15" s="515"/>
      <c r="IR15" s="515"/>
      <c r="IS15" s="515"/>
      <c r="IT15" s="515"/>
      <c r="IU15" s="515"/>
      <c r="IV15" s="515"/>
    </row>
    <row r="16" spans="1:256" s="516" customFormat="1" ht="12.75" customHeight="1">
      <c r="A16" s="512" t="s">
        <v>53</v>
      </c>
      <c r="B16" s="513" t="s">
        <v>590</v>
      </c>
      <c r="C16" s="514">
        <v>0</v>
      </c>
      <c r="D16" s="514">
        <v>10700000</v>
      </c>
      <c r="E16" s="514">
        <v>10700000</v>
      </c>
      <c r="F16" s="514">
        <v>10700000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515"/>
      <c r="DL16" s="515"/>
      <c r="DM16" s="515"/>
      <c r="DN16" s="515"/>
      <c r="DO16" s="515"/>
      <c r="DP16" s="515"/>
      <c r="DQ16" s="515"/>
      <c r="DR16" s="515"/>
      <c r="DS16" s="515"/>
      <c r="DT16" s="515"/>
      <c r="DU16" s="515"/>
      <c r="DV16" s="515"/>
      <c r="DW16" s="515"/>
      <c r="DX16" s="515"/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15"/>
      <c r="ER16" s="515"/>
      <c r="ES16" s="515"/>
      <c r="ET16" s="515"/>
      <c r="EU16" s="515"/>
      <c r="EV16" s="515"/>
      <c r="EW16" s="515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15"/>
      <c r="FL16" s="515"/>
      <c r="FM16" s="515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  <c r="GD16" s="515"/>
      <c r="GE16" s="515"/>
      <c r="GF16" s="515"/>
      <c r="GG16" s="515"/>
      <c r="GH16" s="515"/>
      <c r="GI16" s="515"/>
      <c r="GJ16" s="515"/>
      <c r="GK16" s="515"/>
      <c r="GL16" s="515"/>
      <c r="GM16" s="515"/>
      <c r="GN16" s="515"/>
      <c r="GO16" s="515"/>
      <c r="GP16" s="515"/>
      <c r="GQ16" s="515"/>
      <c r="GR16" s="515"/>
      <c r="GS16" s="515"/>
      <c r="GT16" s="515"/>
      <c r="GU16" s="515"/>
      <c r="GV16" s="515"/>
      <c r="GW16" s="515"/>
      <c r="GX16" s="515"/>
      <c r="GY16" s="515"/>
      <c r="GZ16" s="515"/>
      <c r="HA16" s="515"/>
      <c r="HB16" s="515"/>
      <c r="HC16" s="515"/>
      <c r="HD16" s="515"/>
      <c r="HE16" s="515"/>
      <c r="HF16" s="515"/>
      <c r="HG16" s="515"/>
      <c r="HH16" s="515"/>
      <c r="HI16" s="515"/>
      <c r="HJ16" s="515"/>
      <c r="HK16" s="515"/>
      <c r="HL16" s="515"/>
      <c r="HM16" s="515"/>
      <c r="HN16" s="515"/>
      <c r="HO16" s="515"/>
      <c r="HP16" s="515"/>
      <c r="HQ16" s="515"/>
      <c r="HR16" s="515"/>
      <c r="HS16" s="515"/>
      <c r="HT16" s="515"/>
      <c r="HU16" s="515"/>
      <c r="HV16" s="515"/>
      <c r="HW16" s="515"/>
      <c r="HX16" s="515"/>
      <c r="HY16" s="515"/>
      <c r="HZ16" s="515"/>
      <c r="IA16" s="515"/>
      <c r="IB16" s="515"/>
      <c r="IC16" s="515"/>
      <c r="ID16" s="515"/>
      <c r="IE16" s="515"/>
      <c r="IF16" s="515"/>
      <c r="IG16" s="515"/>
      <c r="IH16" s="515"/>
      <c r="II16" s="515"/>
      <c r="IJ16" s="515"/>
      <c r="IK16" s="515"/>
      <c r="IL16" s="515"/>
      <c r="IM16" s="515"/>
      <c r="IN16" s="515"/>
      <c r="IO16" s="515"/>
      <c r="IP16" s="515"/>
      <c r="IQ16" s="515"/>
      <c r="IR16" s="515"/>
      <c r="IS16" s="515"/>
      <c r="IT16" s="515"/>
      <c r="IU16" s="515"/>
      <c r="IV16" s="515"/>
    </row>
    <row r="17" spans="1:256" s="516" customFormat="1" ht="12.75" customHeight="1">
      <c r="A17" s="517" t="s">
        <v>55</v>
      </c>
      <c r="B17" s="513" t="s">
        <v>96</v>
      </c>
      <c r="C17" s="514">
        <v>0</v>
      </c>
      <c r="D17" s="514">
        <v>0</v>
      </c>
      <c r="E17" s="514">
        <v>0</v>
      </c>
      <c r="F17" s="514">
        <v>0</v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5"/>
      <c r="DJ17" s="515"/>
      <c r="DK17" s="515"/>
      <c r="DL17" s="515"/>
      <c r="DM17" s="515"/>
      <c r="DN17" s="515"/>
      <c r="DO17" s="515"/>
      <c r="DP17" s="515"/>
      <c r="DQ17" s="515"/>
      <c r="DR17" s="515"/>
      <c r="DS17" s="515"/>
      <c r="DT17" s="515"/>
      <c r="DU17" s="515"/>
      <c r="DV17" s="515"/>
      <c r="DW17" s="515"/>
      <c r="DX17" s="515"/>
      <c r="DY17" s="515"/>
      <c r="DZ17" s="515"/>
      <c r="EA17" s="515"/>
      <c r="EB17" s="515"/>
      <c r="EC17" s="515"/>
      <c r="ED17" s="515"/>
      <c r="EE17" s="515"/>
      <c r="EF17" s="515"/>
      <c r="EG17" s="515"/>
      <c r="EH17" s="515"/>
      <c r="EI17" s="515"/>
      <c r="EJ17" s="515"/>
      <c r="EK17" s="515"/>
      <c r="EL17" s="515"/>
      <c r="EM17" s="515"/>
      <c r="EN17" s="515"/>
      <c r="EO17" s="515"/>
      <c r="EP17" s="515"/>
      <c r="EQ17" s="515"/>
      <c r="ER17" s="515"/>
      <c r="ES17" s="515"/>
      <c r="ET17" s="515"/>
      <c r="EU17" s="515"/>
      <c r="EV17" s="515"/>
      <c r="EW17" s="515"/>
      <c r="EX17" s="515"/>
      <c r="EY17" s="515"/>
      <c r="EZ17" s="515"/>
      <c r="FA17" s="515"/>
      <c r="FB17" s="515"/>
      <c r="FC17" s="515"/>
      <c r="FD17" s="515"/>
      <c r="FE17" s="515"/>
      <c r="FF17" s="515"/>
      <c r="FG17" s="515"/>
      <c r="FH17" s="515"/>
      <c r="FI17" s="515"/>
      <c r="FJ17" s="515"/>
      <c r="FK17" s="515"/>
      <c r="FL17" s="515"/>
      <c r="FM17" s="515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  <c r="GD17" s="515"/>
      <c r="GE17" s="515"/>
      <c r="GF17" s="515"/>
      <c r="GG17" s="515"/>
      <c r="GH17" s="515"/>
      <c r="GI17" s="515"/>
      <c r="GJ17" s="515"/>
      <c r="GK17" s="515"/>
      <c r="GL17" s="515"/>
      <c r="GM17" s="515"/>
      <c r="GN17" s="515"/>
      <c r="GO17" s="515"/>
      <c r="GP17" s="515"/>
      <c r="GQ17" s="515"/>
      <c r="GR17" s="515"/>
      <c r="GS17" s="515"/>
      <c r="GT17" s="515"/>
      <c r="GU17" s="515"/>
      <c r="GV17" s="515"/>
      <c r="GW17" s="515"/>
      <c r="GX17" s="515"/>
      <c r="GY17" s="515"/>
      <c r="GZ17" s="515"/>
      <c r="HA17" s="515"/>
      <c r="HB17" s="515"/>
      <c r="HC17" s="515"/>
      <c r="HD17" s="515"/>
      <c r="HE17" s="515"/>
      <c r="HF17" s="515"/>
      <c r="HG17" s="515"/>
      <c r="HH17" s="515"/>
      <c r="HI17" s="515"/>
      <c r="HJ17" s="515"/>
      <c r="HK17" s="515"/>
      <c r="HL17" s="515"/>
      <c r="HM17" s="515"/>
      <c r="HN17" s="515"/>
      <c r="HO17" s="515"/>
      <c r="HP17" s="515"/>
      <c r="HQ17" s="515"/>
      <c r="HR17" s="515"/>
      <c r="HS17" s="515"/>
      <c r="HT17" s="515"/>
      <c r="HU17" s="515"/>
      <c r="HV17" s="515"/>
      <c r="HW17" s="515"/>
      <c r="HX17" s="515"/>
      <c r="HY17" s="515"/>
      <c r="HZ17" s="515"/>
      <c r="IA17" s="515"/>
      <c r="IB17" s="515"/>
      <c r="IC17" s="515"/>
      <c r="ID17" s="515"/>
      <c r="IE17" s="515"/>
      <c r="IF17" s="515"/>
      <c r="IG17" s="515"/>
      <c r="IH17" s="515"/>
      <c r="II17" s="515"/>
      <c r="IJ17" s="515"/>
      <c r="IK17" s="515"/>
      <c r="IL17" s="515"/>
      <c r="IM17" s="515"/>
      <c r="IN17" s="515"/>
      <c r="IO17" s="515"/>
      <c r="IP17" s="515"/>
      <c r="IQ17" s="515"/>
      <c r="IR17" s="515"/>
      <c r="IS17" s="515"/>
      <c r="IT17" s="515"/>
      <c r="IU17" s="515"/>
      <c r="IV17" s="515"/>
    </row>
    <row r="18" spans="1:256" s="516" customFormat="1" ht="12.75" customHeight="1">
      <c r="A18" s="512" t="s">
        <v>57</v>
      </c>
      <c r="B18" s="513" t="s">
        <v>172</v>
      </c>
      <c r="C18" s="514">
        <v>350000</v>
      </c>
      <c r="D18" s="514">
        <v>250000</v>
      </c>
      <c r="E18" s="514">
        <v>250000</v>
      </c>
      <c r="F18" s="514">
        <v>250000</v>
      </c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515"/>
      <c r="DL18" s="515"/>
      <c r="DM18" s="515"/>
      <c r="DN18" s="515"/>
      <c r="DO18" s="515"/>
      <c r="DP18" s="515"/>
      <c r="DQ18" s="515"/>
      <c r="DR18" s="515"/>
      <c r="DS18" s="515"/>
      <c r="DT18" s="515"/>
      <c r="DU18" s="515"/>
      <c r="DV18" s="515"/>
      <c r="DW18" s="515"/>
      <c r="DX18" s="515"/>
      <c r="DY18" s="515"/>
      <c r="DZ18" s="515"/>
      <c r="EA18" s="515"/>
      <c r="EB18" s="515"/>
      <c r="EC18" s="515"/>
      <c r="ED18" s="515"/>
      <c r="EE18" s="515"/>
      <c r="EF18" s="515"/>
      <c r="EG18" s="515"/>
      <c r="EH18" s="515"/>
      <c r="EI18" s="515"/>
      <c r="EJ18" s="515"/>
      <c r="EK18" s="515"/>
      <c r="EL18" s="515"/>
      <c r="EM18" s="515"/>
      <c r="EN18" s="515"/>
      <c r="EO18" s="515"/>
      <c r="EP18" s="515"/>
      <c r="EQ18" s="515"/>
      <c r="ER18" s="515"/>
      <c r="ES18" s="515"/>
      <c r="ET18" s="515"/>
      <c r="EU18" s="515"/>
      <c r="EV18" s="515"/>
      <c r="EW18" s="515"/>
      <c r="EX18" s="515"/>
      <c r="EY18" s="515"/>
      <c r="EZ18" s="515"/>
      <c r="FA18" s="515"/>
      <c r="FB18" s="515"/>
      <c r="FC18" s="515"/>
      <c r="FD18" s="515"/>
      <c r="FE18" s="515"/>
      <c r="FF18" s="515"/>
      <c r="FG18" s="515"/>
      <c r="FH18" s="515"/>
      <c r="FI18" s="515"/>
      <c r="FJ18" s="515"/>
      <c r="FK18" s="515"/>
      <c r="FL18" s="515"/>
      <c r="FM18" s="515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  <c r="GD18" s="515"/>
      <c r="GE18" s="515"/>
      <c r="GF18" s="515"/>
      <c r="GG18" s="515"/>
      <c r="GH18" s="515"/>
      <c r="GI18" s="515"/>
      <c r="GJ18" s="515"/>
      <c r="GK18" s="515"/>
      <c r="GL18" s="515"/>
      <c r="GM18" s="515"/>
      <c r="GN18" s="515"/>
      <c r="GO18" s="515"/>
      <c r="GP18" s="515"/>
      <c r="GQ18" s="515"/>
      <c r="GR18" s="515"/>
      <c r="GS18" s="515"/>
      <c r="GT18" s="515"/>
      <c r="GU18" s="515"/>
      <c r="GV18" s="515"/>
      <c r="GW18" s="515"/>
      <c r="GX18" s="515"/>
      <c r="GY18" s="515"/>
      <c r="GZ18" s="515"/>
      <c r="HA18" s="515"/>
      <c r="HB18" s="515"/>
      <c r="HC18" s="515"/>
      <c r="HD18" s="515"/>
      <c r="HE18" s="515"/>
      <c r="HF18" s="515"/>
      <c r="HG18" s="515"/>
      <c r="HH18" s="515"/>
      <c r="HI18" s="515"/>
      <c r="HJ18" s="515"/>
      <c r="HK18" s="515"/>
      <c r="HL18" s="515"/>
      <c r="HM18" s="515"/>
      <c r="HN18" s="515"/>
      <c r="HO18" s="515"/>
      <c r="HP18" s="515"/>
      <c r="HQ18" s="515"/>
      <c r="HR18" s="515"/>
      <c r="HS18" s="515"/>
      <c r="HT18" s="515"/>
      <c r="HU18" s="515"/>
      <c r="HV18" s="515"/>
      <c r="HW18" s="515"/>
      <c r="HX18" s="515"/>
      <c r="HY18" s="515"/>
      <c r="HZ18" s="515"/>
      <c r="IA18" s="515"/>
      <c r="IB18" s="515"/>
      <c r="IC18" s="515"/>
      <c r="ID18" s="515"/>
      <c r="IE18" s="515"/>
      <c r="IF18" s="515"/>
      <c r="IG18" s="515"/>
      <c r="IH18" s="515"/>
      <c r="II18" s="515"/>
      <c r="IJ18" s="515"/>
      <c r="IK18" s="515"/>
      <c r="IL18" s="515"/>
      <c r="IM18" s="515"/>
      <c r="IN18" s="515"/>
      <c r="IO18" s="515"/>
      <c r="IP18" s="515"/>
      <c r="IQ18" s="515"/>
      <c r="IR18" s="515"/>
      <c r="IS18" s="515"/>
      <c r="IT18" s="515"/>
      <c r="IU18" s="515"/>
      <c r="IV18" s="515"/>
    </row>
    <row r="19" spans="1:256" s="64" customFormat="1" ht="12.75" customHeight="1">
      <c r="A19" s="161" t="s">
        <v>86</v>
      </c>
      <c r="B19" s="165" t="s">
        <v>78</v>
      </c>
      <c r="C19" s="162">
        <f>SUM(C20:C28)</f>
        <v>43284918</v>
      </c>
      <c r="D19" s="162">
        <f>SUM(D20:D28)</f>
        <v>49540000</v>
      </c>
      <c r="E19" s="162">
        <f>SUM(E20:E28)</f>
        <v>49540000</v>
      </c>
      <c r="F19" s="162">
        <f>SUM(F20:F28)</f>
        <v>49540000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516" customFormat="1" ht="12.75" customHeight="1">
      <c r="A20" s="512" t="s">
        <v>59</v>
      </c>
      <c r="B20" s="518" t="s">
        <v>672</v>
      </c>
      <c r="C20" s="514">
        <v>3200000</v>
      </c>
      <c r="D20" s="514">
        <v>4000000</v>
      </c>
      <c r="E20" s="514">
        <v>4000000</v>
      </c>
      <c r="F20" s="514">
        <v>4000000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  <c r="FM20" s="515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  <c r="GD20" s="515"/>
      <c r="GE20" s="515"/>
      <c r="GF20" s="515"/>
      <c r="GG20" s="515"/>
      <c r="GH20" s="515"/>
      <c r="GI20" s="515"/>
      <c r="GJ20" s="515"/>
      <c r="GK20" s="515"/>
      <c r="GL20" s="515"/>
      <c r="GM20" s="515"/>
      <c r="GN20" s="515"/>
      <c r="GO20" s="515"/>
      <c r="GP20" s="515"/>
      <c r="GQ20" s="515"/>
      <c r="GR20" s="515"/>
      <c r="GS20" s="515"/>
      <c r="GT20" s="515"/>
      <c r="GU20" s="515"/>
      <c r="GV20" s="515"/>
      <c r="GW20" s="515"/>
      <c r="GX20" s="515"/>
      <c r="GY20" s="515"/>
      <c r="GZ20" s="515"/>
      <c r="HA20" s="515"/>
      <c r="HB20" s="515"/>
      <c r="HC20" s="515"/>
      <c r="HD20" s="515"/>
      <c r="HE20" s="515"/>
      <c r="HF20" s="515"/>
      <c r="HG20" s="515"/>
      <c r="HH20" s="515"/>
      <c r="HI20" s="515"/>
      <c r="HJ20" s="515"/>
      <c r="HK20" s="515"/>
      <c r="HL20" s="515"/>
      <c r="HM20" s="515"/>
      <c r="HN20" s="515"/>
      <c r="HO20" s="515"/>
      <c r="HP20" s="515"/>
      <c r="HQ20" s="515"/>
      <c r="HR20" s="515"/>
      <c r="HS20" s="515"/>
      <c r="HT20" s="515"/>
      <c r="HU20" s="515"/>
      <c r="HV20" s="515"/>
      <c r="HW20" s="515"/>
      <c r="HX20" s="515"/>
      <c r="HY20" s="515"/>
      <c r="HZ20" s="515"/>
      <c r="IA20" s="515"/>
      <c r="IB20" s="515"/>
      <c r="IC20" s="515"/>
      <c r="ID20" s="515"/>
      <c r="IE20" s="515"/>
      <c r="IF20" s="515"/>
      <c r="IG20" s="515"/>
      <c r="IH20" s="515"/>
      <c r="II20" s="515"/>
      <c r="IJ20" s="515"/>
      <c r="IK20" s="515"/>
      <c r="IL20" s="515"/>
      <c r="IM20" s="515"/>
      <c r="IN20" s="515"/>
      <c r="IO20" s="515"/>
      <c r="IP20" s="515"/>
      <c r="IQ20" s="515"/>
      <c r="IR20" s="515"/>
      <c r="IS20" s="515"/>
      <c r="IT20" s="515"/>
      <c r="IU20" s="515"/>
      <c r="IV20" s="515"/>
    </row>
    <row r="21" spans="1:256" s="516" customFormat="1" ht="12.75" customHeight="1">
      <c r="A21" s="517" t="s">
        <v>61</v>
      </c>
      <c r="B21" s="513" t="s">
        <v>667</v>
      </c>
      <c r="C21" s="514">
        <v>5516500</v>
      </c>
      <c r="D21" s="514">
        <v>6700000</v>
      </c>
      <c r="E21" s="514">
        <v>6700000</v>
      </c>
      <c r="F21" s="514">
        <v>6700000</v>
      </c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  <c r="DH21" s="515"/>
      <c r="DI21" s="515"/>
      <c r="DJ21" s="515"/>
      <c r="DK21" s="515"/>
      <c r="DL21" s="515"/>
      <c r="DM21" s="515"/>
      <c r="DN21" s="515"/>
      <c r="DO21" s="515"/>
      <c r="DP21" s="515"/>
      <c r="DQ21" s="515"/>
      <c r="DR21" s="515"/>
      <c r="DS21" s="515"/>
      <c r="DT21" s="515"/>
      <c r="DU21" s="515"/>
      <c r="DV21" s="515"/>
      <c r="DW21" s="515"/>
      <c r="DX21" s="515"/>
      <c r="DY21" s="515"/>
      <c r="DZ21" s="515"/>
      <c r="EA21" s="515"/>
      <c r="EB21" s="515"/>
      <c r="EC21" s="515"/>
      <c r="ED21" s="515"/>
      <c r="EE21" s="515"/>
      <c r="EF21" s="515"/>
      <c r="EG21" s="515"/>
      <c r="EH21" s="515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5"/>
      <c r="EU21" s="515"/>
      <c r="EV21" s="515"/>
      <c r="EW21" s="515"/>
      <c r="EX21" s="515"/>
      <c r="EY21" s="515"/>
      <c r="EZ21" s="515"/>
      <c r="FA21" s="515"/>
      <c r="FB21" s="515"/>
      <c r="FC21" s="515"/>
      <c r="FD21" s="515"/>
      <c r="FE21" s="515"/>
      <c r="FF21" s="515"/>
      <c r="FG21" s="515"/>
      <c r="FH21" s="515"/>
      <c r="FI21" s="515"/>
      <c r="FJ21" s="515"/>
      <c r="FK21" s="515"/>
      <c r="FL21" s="515"/>
      <c r="FM21" s="515"/>
      <c r="FN21" s="515"/>
      <c r="FO21" s="515"/>
      <c r="FP21" s="515"/>
      <c r="FQ21" s="515"/>
      <c r="FR21" s="515"/>
      <c r="FS21" s="515"/>
      <c r="FT21" s="515"/>
      <c r="FU21" s="515"/>
      <c r="FV21" s="515"/>
      <c r="FW21" s="515"/>
      <c r="FX21" s="515"/>
      <c r="FY21" s="515"/>
      <c r="FZ21" s="515"/>
      <c r="GA21" s="515"/>
      <c r="GB21" s="515"/>
      <c r="GC21" s="515"/>
      <c r="GD21" s="515"/>
      <c r="GE21" s="515"/>
      <c r="GF21" s="515"/>
      <c r="GG21" s="515"/>
      <c r="GH21" s="515"/>
      <c r="GI21" s="515"/>
      <c r="GJ21" s="515"/>
      <c r="GK21" s="515"/>
      <c r="GL21" s="515"/>
      <c r="GM21" s="515"/>
      <c r="GN21" s="515"/>
      <c r="GO21" s="515"/>
      <c r="GP21" s="515"/>
      <c r="GQ21" s="515"/>
      <c r="GR21" s="515"/>
      <c r="GS21" s="515"/>
      <c r="GT21" s="515"/>
      <c r="GU21" s="515"/>
      <c r="GV21" s="515"/>
      <c r="GW21" s="515"/>
      <c r="GX21" s="515"/>
      <c r="GY21" s="515"/>
      <c r="GZ21" s="515"/>
      <c r="HA21" s="515"/>
      <c r="HB21" s="515"/>
      <c r="HC21" s="515"/>
      <c r="HD21" s="515"/>
      <c r="HE21" s="515"/>
      <c r="HF21" s="515"/>
      <c r="HG21" s="515"/>
      <c r="HH21" s="515"/>
      <c r="HI21" s="515"/>
      <c r="HJ21" s="515"/>
      <c r="HK21" s="515"/>
      <c r="HL21" s="515"/>
      <c r="HM21" s="515"/>
      <c r="HN21" s="515"/>
      <c r="HO21" s="515"/>
      <c r="HP21" s="515"/>
      <c r="HQ21" s="515"/>
      <c r="HR21" s="515"/>
      <c r="HS21" s="515"/>
      <c r="HT21" s="515"/>
      <c r="HU21" s="515"/>
      <c r="HV21" s="515"/>
      <c r="HW21" s="515"/>
      <c r="HX21" s="515"/>
      <c r="HY21" s="515"/>
      <c r="HZ21" s="515"/>
      <c r="IA21" s="515"/>
      <c r="IB21" s="515"/>
      <c r="IC21" s="515"/>
      <c r="ID21" s="515"/>
      <c r="IE21" s="515"/>
      <c r="IF21" s="515"/>
      <c r="IG21" s="515"/>
      <c r="IH21" s="515"/>
      <c r="II21" s="515"/>
      <c r="IJ21" s="515"/>
      <c r="IK21" s="515"/>
      <c r="IL21" s="515"/>
      <c r="IM21" s="515"/>
      <c r="IN21" s="515"/>
      <c r="IO21" s="515"/>
      <c r="IP21" s="515"/>
      <c r="IQ21" s="515"/>
      <c r="IR21" s="515"/>
      <c r="IS21" s="515"/>
      <c r="IT21" s="515"/>
      <c r="IU21" s="515"/>
      <c r="IV21" s="515"/>
    </row>
    <row r="22" spans="1:256" s="516" customFormat="1" ht="12.75" customHeight="1">
      <c r="A22" s="512" t="s">
        <v>63</v>
      </c>
      <c r="B22" s="513" t="s">
        <v>668</v>
      </c>
      <c r="C22" s="514">
        <v>821000</v>
      </c>
      <c r="D22" s="514">
        <v>1640000</v>
      </c>
      <c r="E22" s="514">
        <v>1640000</v>
      </c>
      <c r="F22" s="514">
        <v>1640000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515"/>
      <c r="FI22" s="515"/>
      <c r="FJ22" s="515"/>
      <c r="FK22" s="515"/>
      <c r="FL22" s="515"/>
      <c r="FM22" s="515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  <c r="HX22" s="515"/>
      <c r="HY22" s="515"/>
      <c r="HZ22" s="515"/>
      <c r="IA22" s="515"/>
      <c r="IB22" s="515"/>
      <c r="IC22" s="515"/>
      <c r="ID22" s="515"/>
      <c r="IE22" s="515"/>
      <c r="IF22" s="515"/>
      <c r="IG22" s="515"/>
      <c r="IH22" s="515"/>
      <c r="II22" s="515"/>
      <c r="IJ22" s="515"/>
      <c r="IK22" s="515"/>
      <c r="IL22" s="515"/>
      <c r="IM22" s="515"/>
      <c r="IN22" s="515"/>
      <c r="IO22" s="515"/>
      <c r="IP22" s="515"/>
      <c r="IQ22" s="515"/>
      <c r="IR22" s="515"/>
      <c r="IS22" s="515"/>
      <c r="IT22" s="515"/>
      <c r="IU22" s="515"/>
      <c r="IV22" s="515"/>
    </row>
    <row r="23" spans="1:256" s="516" customFormat="1" ht="12.75" customHeight="1">
      <c r="A23" s="517" t="s">
        <v>65</v>
      </c>
      <c r="B23" s="513" t="s">
        <v>1027</v>
      </c>
      <c r="C23" s="514">
        <v>18211501</v>
      </c>
      <c r="D23" s="514">
        <v>21000000</v>
      </c>
      <c r="E23" s="514">
        <v>21000000</v>
      </c>
      <c r="F23" s="514">
        <v>21000000</v>
      </c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  <c r="DG23" s="515"/>
      <c r="DH23" s="515"/>
      <c r="DI23" s="515"/>
      <c r="DJ23" s="515"/>
      <c r="DK23" s="515"/>
      <c r="DL23" s="515"/>
      <c r="DM23" s="515"/>
      <c r="DN23" s="515"/>
      <c r="DO23" s="515"/>
      <c r="DP23" s="515"/>
      <c r="DQ23" s="515"/>
      <c r="DR23" s="515"/>
      <c r="DS23" s="515"/>
      <c r="DT23" s="515"/>
      <c r="DU23" s="515"/>
      <c r="DV23" s="515"/>
      <c r="DW23" s="515"/>
      <c r="DX23" s="515"/>
      <c r="DY23" s="515"/>
      <c r="DZ23" s="515"/>
      <c r="EA23" s="515"/>
      <c r="EB23" s="515"/>
      <c r="EC23" s="515"/>
      <c r="ED23" s="515"/>
      <c r="EE23" s="515"/>
      <c r="EF23" s="515"/>
      <c r="EG23" s="515"/>
      <c r="EH23" s="515"/>
      <c r="EI23" s="515"/>
      <c r="EJ23" s="515"/>
      <c r="EK23" s="515"/>
      <c r="EL23" s="515"/>
      <c r="EM23" s="515"/>
      <c r="EN23" s="515"/>
      <c r="EO23" s="515"/>
      <c r="EP23" s="515"/>
      <c r="EQ23" s="515"/>
      <c r="ER23" s="515"/>
      <c r="ES23" s="515"/>
      <c r="ET23" s="515"/>
      <c r="EU23" s="515"/>
      <c r="EV23" s="515"/>
      <c r="EW23" s="515"/>
      <c r="EX23" s="515"/>
      <c r="EY23" s="515"/>
      <c r="EZ23" s="515"/>
      <c r="FA23" s="515"/>
      <c r="FB23" s="515"/>
      <c r="FC23" s="515"/>
      <c r="FD23" s="515"/>
      <c r="FE23" s="515"/>
      <c r="FF23" s="515"/>
      <c r="FG23" s="515"/>
      <c r="FH23" s="515"/>
      <c r="FI23" s="515"/>
      <c r="FJ23" s="515"/>
      <c r="FK23" s="515"/>
      <c r="FL23" s="515"/>
      <c r="FM23" s="515"/>
      <c r="FN23" s="515"/>
      <c r="FO23" s="515"/>
      <c r="FP23" s="515"/>
      <c r="FQ23" s="515"/>
      <c r="FR23" s="515"/>
      <c r="FS23" s="515"/>
      <c r="FT23" s="515"/>
      <c r="FU23" s="515"/>
      <c r="FV23" s="515"/>
      <c r="FW23" s="515"/>
      <c r="FX23" s="515"/>
      <c r="FY23" s="515"/>
      <c r="FZ23" s="515"/>
      <c r="GA23" s="515"/>
      <c r="GB23" s="515"/>
      <c r="GC23" s="515"/>
      <c r="GD23" s="515"/>
      <c r="GE23" s="515"/>
      <c r="GF23" s="515"/>
      <c r="GG23" s="515"/>
      <c r="GH23" s="515"/>
      <c r="GI23" s="515"/>
      <c r="GJ23" s="515"/>
      <c r="GK23" s="515"/>
      <c r="GL23" s="515"/>
      <c r="GM23" s="515"/>
      <c r="GN23" s="515"/>
      <c r="GO23" s="515"/>
      <c r="GP23" s="515"/>
      <c r="GQ23" s="515"/>
      <c r="GR23" s="515"/>
      <c r="GS23" s="515"/>
      <c r="GT23" s="515"/>
      <c r="GU23" s="515"/>
      <c r="GV23" s="515"/>
      <c r="GW23" s="515"/>
      <c r="GX23" s="515"/>
      <c r="GY23" s="515"/>
      <c r="GZ23" s="515"/>
      <c r="HA23" s="515"/>
      <c r="HB23" s="515"/>
      <c r="HC23" s="515"/>
      <c r="HD23" s="515"/>
      <c r="HE23" s="515"/>
      <c r="HF23" s="515"/>
      <c r="HG23" s="515"/>
      <c r="HH23" s="515"/>
      <c r="HI23" s="515"/>
      <c r="HJ23" s="515"/>
      <c r="HK23" s="515"/>
      <c r="HL23" s="515"/>
      <c r="HM23" s="515"/>
      <c r="HN23" s="515"/>
      <c r="HO23" s="515"/>
      <c r="HP23" s="515"/>
      <c r="HQ23" s="515"/>
      <c r="HR23" s="515"/>
      <c r="HS23" s="515"/>
      <c r="HT23" s="515"/>
      <c r="HU23" s="515"/>
      <c r="HV23" s="515"/>
      <c r="HW23" s="515"/>
      <c r="HX23" s="515"/>
      <c r="HY23" s="515"/>
      <c r="HZ23" s="515"/>
      <c r="IA23" s="515"/>
      <c r="IB23" s="515"/>
      <c r="IC23" s="515"/>
      <c r="ID23" s="515"/>
      <c r="IE23" s="515"/>
      <c r="IF23" s="515"/>
      <c r="IG23" s="515"/>
      <c r="IH23" s="515"/>
      <c r="II23" s="515"/>
      <c r="IJ23" s="515"/>
      <c r="IK23" s="515"/>
      <c r="IL23" s="515"/>
      <c r="IM23" s="515"/>
      <c r="IN23" s="515"/>
      <c r="IO23" s="515"/>
      <c r="IP23" s="515"/>
      <c r="IQ23" s="515"/>
      <c r="IR23" s="515"/>
      <c r="IS23" s="515"/>
      <c r="IT23" s="515"/>
      <c r="IU23" s="515"/>
      <c r="IV23" s="515"/>
    </row>
    <row r="24" spans="1:256" s="516" customFormat="1" ht="12.75" customHeight="1">
      <c r="A24" s="517" t="s">
        <v>92</v>
      </c>
      <c r="B24" s="513" t="s">
        <v>669</v>
      </c>
      <c r="C24" s="514">
        <v>15148625</v>
      </c>
      <c r="D24" s="514">
        <v>16200000</v>
      </c>
      <c r="E24" s="514">
        <v>16200000</v>
      </c>
      <c r="F24" s="514">
        <v>16200000</v>
      </c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515"/>
      <c r="CA24" s="515"/>
      <c r="CB24" s="515"/>
      <c r="CC24" s="515"/>
      <c r="CD24" s="515"/>
      <c r="CE24" s="515"/>
      <c r="CF24" s="515"/>
      <c r="CG24" s="515"/>
      <c r="CH24" s="515"/>
      <c r="CI24" s="515"/>
      <c r="CJ24" s="515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5"/>
      <c r="CW24" s="515"/>
      <c r="CX24" s="515"/>
      <c r="CY24" s="515"/>
      <c r="CZ24" s="515"/>
      <c r="DA24" s="515"/>
      <c r="DB24" s="515"/>
      <c r="DC24" s="515"/>
      <c r="DD24" s="515"/>
      <c r="DE24" s="515"/>
      <c r="DF24" s="515"/>
      <c r="DG24" s="515"/>
      <c r="DH24" s="515"/>
      <c r="DI24" s="515"/>
      <c r="DJ24" s="515"/>
      <c r="DK24" s="515"/>
      <c r="DL24" s="515"/>
      <c r="DM24" s="515"/>
      <c r="DN24" s="515"/>
      <c r="DO24" s="515"/>
      <c r="DP24" s="515"/>
      <c r="DQ24" s="515"/>
      <c r="DR24" s="515"/>
      <c r="DS24" s="515"/>
      <c r="DT24" s="515"/>
      <c r="DU24" s="515"/>
      <c r="DV24" s="515"/>
      <c r="DW24" s="515"/>
      <c r="DX24" s="515"/>
      <c r="DY24" s="515"/>
      <c r="DZ24" s="515"/>
      <c r="EA24" s="515"/>
      <c r="EB24" s="515"/>
      <c r="EC24" s="515"/>
      <c r="ED24" s="515"/>
      <c r="EE24" s="515"/>
      <c r="EF24" s="515"/>
      <c r="EG24" s="515"/>
      <c r="EH24" s="515"/>
      <c r="EI24" s="515"/>
      <c r="EJ24" s="515"/>
      <c r="EK24" s="515"/>
      <c r="EL24" s="515"/>
      <c r="EM24" s="515"/>
      <c r="EN24" s="515"/>
      <c r="EO24" s="515"/>
      <c r="EP24" s="515"/>
      <c r="EQ24" s="515"/>
      <c r="ER24" s="515"/>
      <c r="ES24" s="515"/>
      <c r="ET24" s="515"/>
      <c r="EU24" s="515"/>
      <c r="EV24" s="515"/>
      <c r="EW24" s="515"/>
      <c r="EX24" s="515"/>
      <c r="EY24" s="515"/>
      <c r="EZ24" s="515"/>
      <c r="FA24" s="515"/>
      <c r="FB24" s="515"/>
      <c r="FC24" s="515"/>
      <c r="FD24" s="515"/>
      <c r="FE24" s="515"/>
      <c r="FF24" s="515"/>
      <c r="FG24" s="515"/>
      <c r="FH24" s="515"/>
      <c r="FI24" s="515"/>
      <c r="FJ24" s="515"/>
      <c r="FK24" s="515"/>
      <c r="FL24" s="515"/>
      <c r="FM24" s="515"/>
      <c r="FN24" s="515"/>
      <c r="FO24" s="515"/>
      <c r="FP24" s="515"/>
      <c r="FQ24" s="515"/>
      <c r="FR24" s="515"/>
      <c r="FS24" s="515"/>
      <c r="FT24" s="515"/>
      <c r="FU24" s="515"/>
      <c r="FV24" s="515"/>
      <c r="FW24" s="515"/>
      <c r="FX24" s="515"/>
      <c r="FY24" s="515"/>
      <c r="FZ24" s="515"/>
      <c r="GA24" s="515"/>
      <c r="GB24" s="515"/>
      <c r="GC24" s="515"/>
      <c r="GD24" s="515"/>
      <c r="GE24" s="515"/>
      <c r="GF24" s="515"/>
      <c r="GG24" s="515"/>
      <c r="GH24" s="515"/>
      <c r="GI24" s="515"/>
      <c r="GJ24" s="515"/>
      <c r="GK24" s="515"/>
      <c r="GL24" s="515"/>
      <c r="GM24" s="515"/>
      <c r="GN24" s="515"/>
      <c r="GO24" s="515"/>
      <c r="GP24" s="515"/>
      <c r="GQ24" s="515"/>
      <c r="GR24" s="515"/>
      <c r="GS24" s="515"/>
      <c r="GT24" s="515"/>
      <c r="GU24" s="515"/>
      <c r="GV24" s="515"/>
      <c r="GW24" s="515"/>
      <c r="GX24" s="515"/>
      <c r="GY24" s="515"/>
      <c r="GZ24" s="515"/>
      <c r="HA24" s="515"/>
      <c r="HB24" s="515"/>
      <c r="HC24" s="515"/>
      <c r="HD24" s="515"/>
      <c r="HE24" s="515"/>
      <c r="HF24" s="515"/>
      <c r="HG24" s="515"/>
      <c r="HH24" s="515"/>
      <c r="HI24" s="515"/>
      <c r="HJ24" s="515"/>
      <c r="HK24" s="515"/>
      <c r="HL24" s="515"/>
      <c r="HM24" s="515"/>
      <c r="HN24" s="515"/>
      <c r="HO24" s="515"/>
      <c r="HP24" s="515"/>
      <c r="HQ24" s="515"/>
      <c r="HR24" s="515"/>
      <c r="HS24" s="515"/>
      <c r="HT24" s="515"/>
      <c r="HU24" s="515"/>
      <c r="HV24" s="515"/>
      <c r="HW24" s="515"/>
      <c r="HX24" s="515"/>
      <c r="HY24" s="515"/>
      <c r="HZ24" s="515"/>
      <c r="IA24" s="515"/>
      <c r="IB24" s="515"/>
      <c r="IC24" s="515"/>
      <c r="ID24" s="515"/>
      <c r="IE24" s="515"/>
      <c r="IF24" s="515"/>
      <c r="IG24" s="515"/>
      <c r="IH24" s="515"/>
      <c r="II24" s="515"/>
      <c r="IJ24" s="515"/>
      <c r="IK24" s="515"/>
      <c r="IL24" s="515"/>
      <c r="IM24" s="515"/>
      <c r="IN24" s="515"/>
      <c r="IO24" s="515"/>
      <c r="IP24" s="515"/>
      <c r="IQ24" s="515"/>
      <c r="IR24" s="515"/>
      <c r="IS24" s="515"/>
      <c r="IT24" s="515"/>
      <c r="IU24" s="515"/>
      <c r="IV24" s="515"/>
    </row>
    <row r="25" spans="1:256" s="516" customFormat="1" ht="12.75" customHeight="1">
      <c r="A25" s="517" t="s">
        <v>66</v>
      </c>
      <c r="B25" s="513" t="s">
        <v>702</v>
      </c>
      <c r="C25" s="514">
        <v>287000</v>
      </c>
      <c r="D25" s="514">
        <v>0</v>
      </c>
      <c r="E25" s="514"/>
      <c r="F25" s="514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5"/>
      <c r="CB25" s="515"/>
      <c r="CC25" s="515"/>
      <c r="CD25" s="515"/>
      <c r="CE25" s="515"/>
      <c r="CF25" s="515"/>
      <c r="CG25" s="515"/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5"/>
      <c r="CX25" s="515"/>
      <c r="CY25" s="515"/>
      <c r="CZ25" s="515"/>
      <c r="DA25" s="515"/>
      <c r="DB25" s="515"/>
      <c r="DC25" s="515"/>
      <c r="DD25" s="515"/>
      <c r="DE25" s="515"/>
      <c r="DF25" s="515"/>
      <c r="DG25" s="515"/>
      <c r="DH25" s="515"/>
      <c r="DI25" s="515"/>
      <c r="DJ25" s="515"/>
      <c r="DK25" s="515"/>
      <c r="DL25" s="515"/>
      <c r="DM25" s="515"/>
      <c r="DN25" s="515"/>
      <c r="DO25" s="515"/>
      <c r="DP25" s="515"/>
      <c r="DQ25" s="515"/>
      <c r="DR25" s="515"/>
      <c r="DS25" s="515"/>
      <c r="DT25" s="515"/>
      <c r="DU25" s="515"/>
      <c r="DV25" s="515"/>
      <c r="DW25" s="515"/>
      <c r="DX25" s="515"/>
      <c r="DY25" s="515"/>
      <c r="DZ25" s="515"/>
      <c r="EA25" s="515"/>
      <c r="EB25" s="515"/>
      <c r="EC25" s="515"/>
      <c r="ED25" s="515"/>
      <c r="EE25" s="515"/>
      <c r="EF25" s="515"/>
      <c r="EG25" s="515"/>
      <c r="EH25" s="515"/>
      <c r="EI25" s="515"/>
      <c r="EJ25" s="515"/>
      <c r="EK25" s="515"/>
      <c r="EL25" s="515"/>
      <c r="EM25" s="515"/>
      <c r="EN25" s="515"/>
      <c r="EO25" s="515"/>
      <c r="EP25" s="515"/>
      <c r="EQ25" s="515"/>
      <c r="ER25" s="515"/>
      <c r="ES25" s="515"/>
      <c r="ET25" s="515"/>
      <c r="EU25" s="515"/>
      <c r="EV25" s="515"/>
      <c r="EW25" s="515"/>
      <c r="EX25" s="515"/>
      <c r="EY25" s="515"/>
      <c r="EZ25" s="515"/>
      <c r="FA25" s="515"/>
      <c r="FB25" s="515"/>
      <c r="FC25" s="515"/>
      <c r="FD25" s="515"/>
      <c r="FE25" s="515"/>
      <c r="FF25" s="515"/>
      <c r="FG25" s="515"/>
      <c r="FH25" s="515"/>
      <c r="FI25" s="515"/>
      <c r="FJ25" s="515"/>
      <c r="FK25" s="515"/>
      <c r="FL25" s="515"/>
      <c r="FM25" s="515"/>
      <c r="FN25" s="515"/>
      <c r="FO25" s="515"/>
      <c r="FP25" s="515"/>
      <c r="FQ25" s="515"/>
      <c r="FR25" s="515"/>
      <c r="FS25" s="515"/>
      <c r="FT25" s="515"/>
      <c r="FU25" s="515"/>
      <c r="FV25" s="515"/>
      <c r="FW25" s="515"/>
      <c r="FX25" s="515"/>
      <c r="FY25" s="515"/>
      <c r="FZ25" s="515"/>
      <c r="GA25" s="515"/>
      <c r="GB25" s="515"/>
      <c r="GC25" s="515"/>
      <c r="GD25" s="515"/>
      <c r="GE25" s="515"/>
      <c r="GF25" s="515"/>
      <c r="GG25" s="515"/>
      <c r="GH25" s="515"/>
      <c r="GI25" s="515"/>
      <c r="GJ25" s="515"/>
      <c r="GK25" s="515"/>
      <c r="GL25" s="515"/>
      <c r="GM25" s="515"/>
      <c r="GN25" s="515"/>
      <c r="GO25" s="515"/>
      <c r="GP25" s="515"/>
      <c r="GQ25" s="515"/>
      <c r="GR25" s="515"/>
      <c r="GS25" s="515"/>
      <c r="GT25" s="515"/>
      <c r="GU25" s="515"/>
      <c r="GV25" s="515"/>
      <c r="GW25" s="515"/>
      <c r="GX25" s="515"/>
      <c r="GY25" s="515"/>
      <c r="GZ25" s="515"/>
      <c r="HA25" s="515"/>
      <c r="HB25" s="515"/>
      <c r="HC25" s="515"/>
      <c r="HD25" s="515"/>
      <c r="HE25" s="515"/>
      <c r="HF25" s="515"/>
      <c r="HG25" s="515"/>
      <c r="HH25" s="515"/>
      <c r="HI25" s="515"/>
      <c r="HJ25" s="515"/>
      <c r="HK25" s="515"/>
      <c r="HL25" s="515"/>
      <c r="HM25" s="515"/>
      <c r="HN25" s="515"/>
      <c r="HO25" s="515"/>
      <c r="HP25" s="515"/>
      <c r="HQ25" s="515"/>
      <c r="HR25" s="515"/>
      <c r="HS25" s="515"/>
      <c r="HT25" s="515"/>
      <c r="HU25" s="515"/>
      <c r="HV25" s="515"/>
      <c r="HW25" s="515"/>
      <c r="HX25" s="515"/>
      <c r="HY25" s="515"/>
      <c r="HZ25" s="515"/>
      <c r="IA25" s="515"/>
      <c r="IB25" s="515"/>
      <c r="IC25" s="515"/>
      <c r="ID25" s="515"/>
      <c r="IE25" s="515"/>
      <c r="IF25" s="515"/>
      <c r="IG25" s="515"/>
      <c r="IH25" s="515"/>
      <c r="II25" s="515"/>
      <c r="IJ25" s="515"/>
      <c r="IK25" s="515"/>
      <c r="IL25" s="515"/>
      <c r="IM25" s="515"/>
      <c r="IN25" s="515"/>
      <c r="IO25" s="515"/>
      <c r="IP25" s="515"/>
      <c r="IQ25" s="515"/>
      <c r="IR25" s="515"/>
      <c r="IS25" s="515"/>
      <c r="IT25" s="515"/>
      <c r="IU25" s="515"/>
      <c r="IV25" s="515"/>
    </row>
    <row r="26" spans="1:256" s="516" customFormat="1" ht="12.75" customHeight="1">
      <c r="A26" s="512" t="s">
        <v>67</v>
      </c>
      <c r="B26" s="513" t="s">
        <v>670</v>
      </c>
      <c r="C26" s="514">
        <v>102</v>
      </c>
      <c r="D26" s="514"/>
      <c r="E26" s="514"/>
      <c r="F26" s="514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5"/>
      <c r="DI26" s="515"/>
      <c r="DJ26" s="515"/>
      <c r="DK26" s="515"/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5"/>
      <c r="FF26" s="515"/>
      <c r="FG26" s="515"/>
      <c r="FH26" s="515"/>
      <c r="FI26" s="515"/>
      <c r="FJ26" s="515"/>
      <c r="FK26" s="515"/>
      <c r="FL26" s="515"/>
      <c r="FM26" s="515"/>
      <c r="FN26" s="515"/>
      <c r="FO26" s="515"/>
      <c r="FP26" s="515"/>
      <c r="FQ26" s="515"/>
      <c r="FR26" s="515"/>
      <c r="FS26" s="515"/>
      <c r="FT26" s="515"/>
      <c r="FU26" s="515"/>
      <c r="FV26" s="515"/>
      <c r="FW26" s="515"/>
      <c r="FX26" s="515"/>
      <c r="FY26" s="515"/>
      <c r="FZ26" s="515"/>
      <c r="GA26" s="515"/>
      <c r="GB26" s="515"/>
      <c r="GC26" s="515"/>
      <c r="GD26" s="515"/>
      <c r="GE26" s="515"/>
      <c r="GF26" s="515"/>
      <c r="GG26" s="515"/>
      <c r="GH26" s="515"/>
      <c r="GI26" s="515"/>
      <c r="GJ26" s="515"/>
      <c r="GK26" s="515"/>
      <c r="GL26" s="515"/>
      <c r="GM26" s="515"/>
      <c r="GN26" s="515"/>
      <c r="GO26" s="515"/>
      <c r="GP26" s="515"/>
      <c r="GQ26" s="515"/>
      <c r="GR26" s="515"/>
      <c r="GS26" s="515"/>
      <c r="GT26" s="515"/>
      <c r="GU26" s="515"/>
      <c r="GV26" s="515"/>
      <c r="GW26" s="515"/>
      <c r="GX26" s="515"/>
      <c r="GY26" s="515"/>
      <c r="GZ26" s="515"/>
      <c r="HA26" s="515"/>
      <c r="HB26" s="515"/>
      <c r="HC26" s="515"/>
      <c r="HD26" s="515"/>
      <c r="HE26" s="515"/>
      <c r="HF26" s="515"/>
      <c r="HG26" s="515"/>
      <c r="HH26" s="515"/>
      <c r="HI26" s="515"/>
      <c r="HJ26" s="515"/>
      <c r="HK26" s="515"/>
      <c r="HL26" s="515"/>
      <c r="HM26" s="515"/>
      <c r="HN26" s="515"/>
      <c r="HO26" s="515"/>
      <c r="HP26" s="515"/>
      <c r="HQ26" s="515"/>
      <c r="HR26" s="515"/>
      <c r="HS26" s="515"/>
      <c r="HT26" s="515"/>
      <c r="HU26" s="515"/>
      <c r="HV26" s="515"/>
      <c r="HW26" s="515"/>
      <c r="HX26" s="515"/>
      <c r="HY26" s="515"/>
      <c r="HZ26" s="515"/>
      <c r="IA26" s="515"/>
      <c r="IB26" s="515"/>
      <c r="IC26" s="515"/>
      <c r="ID26" s="515"/>
      <c r="IE26" s="515"/>
      <c r="IF26" s="515"/>
      <c r="IG26" s="515"/>
      <c r="IH26" s="515"/>
      <c r="II26" s="515"/>
      <c r="IJ26" s="515"/>
      <c r="IK26" s="515"/>
      <c r="IL26" s="515"/>
      <c r="IM26" s="515"/>
      <c r="IN26" s="515"/>
      <c r="IO26" s="515"/>
      <c r="IP26" s="515"/>
      <c r="IQ26" s="515"/>
      <c r="IR26" s="515"/>
      <c r="IS26" s="515"/>
      <c r="IT26" s="515"/>
      <c r="IU26" s="515"/>
      <c r="IV26" s="515"/>
    </row>
    <row r="27" spans="1:256" s="516" customFormat="1" ht="12.75" customHeight="1">
      <c r="A27" s="517" t="s">
        <v>68</v>
      </c>
      <c r="B27" s="513" t="s">
        <v>1028</v>
      </c>
      <c r="C27" s="514">
        <v>0</v>
      </c>
      <c r="D27" s="514"/>
      <c r="E27" s="514"/>
      <c r="F27" s="514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5"/>
      <c r="DB27" s="515"/>
      <c r="DC27" s="515"/>
      <c r="DD27" s="515"/>
      <c r="DE27" s="515"/>
      <c r="DF27" s="515"/>
      <c r="DG27" s="515"/>
      <c r="DH27" s="515"/>
      <c r="DI27" s="515"/>
      <c r="DJ27" s="515"/>
      <c r="DK27" s="515"/>
      <c r="DL27" s="515"/>
      <c r="DM27" s="515"/>
      <c r="DN27" s="515"/>
      <c r="DO27" s="515"/>
      <c r="DP27" s="515"/>
      <c r="DQ27" s="515"/>
      <c r="DR27" s="515"/>
      <c r="DS27" s="515"/>
      <c r="DT27" s="515"/>
      <c r="DU27" s="515"/>
      <c r="DV27" s="515"/>
      <c r="DW27" s="515"/>
      <c r="DX27" s="515"/>
      <c r="DY27" s="515"/>
      <c r="DZ27" s="515"/>
      <c r="EA27" s="515"/>
      <c r="EB27" s="515"/>
      <c r="EC27" s="515"/>
      <c r="ED27" s="515"/>
      <c r="EE27" s="515"/>
      <c r="EF27" s="515"/>
      <c r="EG27" s="515"/>
      <c r="EH27" s="515"/>
      <c r="EI27" s="515"/>
      <c r="EJ27" s="515"/>
      <c r="EK27" s="515"/>
      <c r="EL27" s="515"/>
      <c r="EM27" s="515"/>
      <c r="EN27" s="515"/>
      <c r="EO27" s="515"/>
      <c r="EP27" s="515"/>
      <c r="EQ27" s="515"/>
      <c r="ER27" s="515"/>
      <c r="ES27" s="515"/>
      <c r="ET27" s="515"/>
      <c r="EU27" s="515"/>
      <c r="EV27" s="515"/>
      <c r="EW27" s="515"/>
      <c r="EX27" s="515"/>
      <c r="EY27" s="515"/>
      <c r="EZ27" s="515"/>
      <c r="FA27" s="515"/>
      <c r="FB27" s="515"/>
      <c r="FC27" s="515"/>
      <c r="FD27" s="515"/>
      <c r="FE27" s="515"/>
      <c r="FF27" s="515"/>
      <c r="FG27" s="515"/>
      <c r="FH27" s="515"/>
      <c r="FI27" s="515"/>
      <c r="FJ27" s="515"/>
      <c r="FK27" s="515"/>
      <c r="FL27" s="515"/>
      <c r="FM27" s="515"/>
      <c r="FN27" s="515"/>
      <c r="FO27" s="515"/>
      <c r="FP27" s="515"/>
      <c r="FQ27" s="515"/>
      <c r="FR27" s="515"/>
      <c r="FS27" s="515"/>
      <c r="FT27" s="515"/>
      <c r="FU27" s="515"/>
      <c r="FV27" s="515"/>
      <c r="FW27" s="515"/>
      <c r="FX27" s="515"/>
      <c r="FY27" s="515"/>
      <c r="FZ27" s="515"/>
      <c r="GA27" s="515"/>
      <c r="GB27" s="515"/>
      <c r="GC27" s="515"/>
      <c r="GD27" s="515"/>
      <c r="GE27" s="515"/>
      <c r="GF27" s="515"/>
      <c r="GG27" s="515"/>
      <c r="GH27" s="515"/>
      <c r="GI27" s="515"/>
      <c r="GJ27" s="515"/>
      <c r="GK27" s="515"/>
      <c r="GL27" s="515"/>
      <c r="GM27" s="515"/>
      <c r="GN27" s="515"/>
      <c r="GO27" s="515"/>
      <c r="GP27" s="515"/>
      <c r="GQ27" s="515"/>
      <c r="GR27" s="515"/>
      <c r="GS27" s="515"/>
      <c r="GT27" s="515"/>
      <c r="GU27" s="515"/>
      <c r="GV27" s="515"/>
      <c r="GW27" s="515"/>
      <c r="GX27" s="515"/>
      <c r="GY27" s="515"/>
      <c r="GZ27" s="515"/>
      <c r="HA27" s="515"/>
      <c r="HB27" s="515"/>
      <c r="HC27" s="515"/>
      <c r="HD27" s="515"/>
      <c r="HE27" s="515"/>
      <c r="HF27" s="515"/>
      <c r="HG27" s="515"/>
      <c r="HH27" s="515"/>
      <c r="HI27" s="515"/>
      <c r="HJ27" s="515"/>
      <c r="HK27" s="515"/>
      <c r="HL27" s="515"/>
      <c r="HM27" s="515"/>
      <c r="HN27" s="515"/>
      <c r="HO27" s="515"/>
      <c r="HP27" s="515"/>
      <c r="HQ27" s="515"/>
      <c r="HR27" s="515"/>
      <c r="HS27" s="515"/>
      <c r="HT27" s="515"/>
      <c r="HU27" s="515"/>
      <c r="HV27" s="515"/>
      <c r="HW27" s="515"/>
      <c r="HX27" s="515"/>
      <c r="HY27" s="515"/>
      <c r="HZ27" s="515"/>
      <c r="IA27" s="515"/>
      <c r="IB27" s="515"/>
      <c r="IC27" s="515"/>
      <c r="ID27" s="515"/>
      <c r="IE27" s="515"/>
      <c r="IF27" s="515"/>
      <c r="IG27" s="515"/>
      <c r="IH27" s="515"/>
      <c r="II27" s="515"/>
      <c r="IJ27" s="515"/>
      <c r="IK27" s="515"/>
      <c r="IL27" s="515"/>
      <c r="IM27" s="515"/>
      <c r="IN27" s="515"/>
      <c r="IO27" s="515"/>
      <c r="IP27" s="515"/>
      <c r="IQ27" s="515"/>
      <c r="IR27" s="515"/>
      <c r="IS27" s="515"/>
      <c r="IT27" s="515"/>
      <c r="IU27" s="515"/>
      <c r="IV27" s="515"/>
    </row>
    <row r="28" spans="1:256" s="516" customFormat="1" ht="12.75" customHeight="1">
      <c r="A28" s="517" t="s">
        <v>70</v>
      </c>
      <c r="B28" s="513" t="s">
        <v>671</v>
      </c>
      <c r="C28" s="514">
        <v>100190</v>
      </c>
      <c r="D28" s="514"/>
      <c r="E28" s="514"/>
      <c r="F28" s="514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5"/>
      <c r="CQ28" s="515"/>
      <c r="CR28" s="515"/>
      <c r="CS28" s="515"/>
      <c r="CT28" s="515"/>
      <c r="CU28" s="515"/>
      <c r="CV28" s="515"/>
      <c r="CW28" s="515"/>
      <c r="CX28" s="515"/>
      <c r="CY28" s="515"/>
      <c r="CZ28" s="515"/>
      <c r="DA28" s="515"/>
      <c r="DB28" s="515"/>
      <c r="DC28" s="515"/>
      <c r="DD28" s="515"/>
      <c r="DE28" s="515"/>
      <c r="DF28" s="515"/>
      <c r="DG28" s="515"/>
      <c r="DH28" s="515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5"/>
      <c r="EB28" s="515"/>
      <c r="EC28" s="515"/>
      <c r="ED28" s="515"/>
      <c r="EE28" s="515"/>
      <c r="EF28" s="515"/>
      <c r="EG28" s="515"/>
      <c r="EH28" s="515"/>
      <c r="EI28" s="515"/>
      <c r="EJ28" s="515"/>
      <c r="EK28" s="515"/>
      <c r="EL28" s="515"/>
      <c r="EM28" s="515"/>
      <c r="EN28" s="515"/>
      <c r="EO28" s="515"/>
      <c r="EP28" s="515"/>
      <c r="EQ28" s="515"/>
      <c r="ER28" s="515"/>
      <c r="ES28" s="515"/>
      <c r="ET28" s="515"/>
      <c r="EU28" s="515"/>
      <c r="EV28" s="515"/>
      <c r="EW28" s="515"/>
      <c r="EX28" s="515"/>
      <c r="EY28" s="515"/>
      <c r="EZ28" s="515"/>
      <c r="FA28" s="515"/>
      <c r="FB28" s="515"/>
      <c r="FC28" s="515"/>
      <c r="FD28" s="515"/>
      <c r="FE28" s="515"/>
      <c r="FF28" s="515"/>
      <c r="FG28" s="515"/>
      <c r="FH28" s="515"/>
      <c r="FI28" s="515"/>
      <c r="FJ28" s="515"/>
      <c r="FK28" s="515"/>
      <c r="FL28" s="515"/>
      <c r="FM28" s="515"/>
      <c r="FN28" s="515"/>
      <c r="FO28" s="515"/>
      <c r="FP28" s="515"/>
      <c r="FQ28" s="515"/>
      <c r="FR28" s="515"/>
      <c r="FS28" s="515"/>
      <c r="FT28" s="515"/>
      <c r="FU28" s="515"/>
      <c r="FV28" s="515"/>
      <c r="FW28" s="515"/>
      <c r="FX28" s="515"/>
      <c r="FY28" s="515"/>
      <c r="FZ28" s="515"/>
      <c r="GA28" s="515"/>
      <c r="GB28" s="515"/>
      <c r="GC28" s="515"/>
      <c r="GD28" s="515"/>
      <c r="GE28" s="515"/>
      <c r="GF28" s="515"/>
      <c r="GG28" s="515"/>
      <c r="GH28" s="515"/>
      <c r="GI28" s="515"/>
      <c r="GJ28" s="515"/>
      <c r="GK28" s="515"/>
      <c r="GL28" s="515"/>
      <c r="GM28" s="515"/>
      <c r="GN28" s="515"/>
      <c r="GO28" s="515"/>
      <c r="GP28" s="515"/>
      <c r="GQ28" s="515"/>
      <c r="GR28" s="515"/>
      <c r="GS28" s="515"/>
      <c r="GT28" s="515"/>
      <c r="GU28" s="515"/>
      <c r="GV28" s="515"/>
      <c r="GW28" s="515"/>
      <c r="GX28" s="515"/>
      <c r="GY28" s="515"/>
      <c r="GZ28" s="515"/>
      <c r="HA28" s="515"/>
      <c r="HB28" s="515"/>
      <c r="HC28" s="515"/>
      <c r="HD28" s="515"/>
      <c r="HE28" s="515"/>
      <c r="HF28" s="515"/>
      <c r="HG28" s="515"/>
      <c r="HH28" s="515"/>
      <c r="HI28" s="515"/>
      <c r="HJ28" s="515"/>
      <c r="HK28" s="515"/>
      <c r="HL28" s="515"/>
      <c r="HM28" s="515"/>
      <c r="HN28" s="515"/>
      <c r="HO28" s="515"/>
      <c r="HP28" s="515"/>
      <c r="HQ28" s="515"/>
      <c r="HR28" s="515"/>
      <c r="HS28" s="515"/>
      <c r="HT28" s="515"/>
      <c r="HU28" s="515"/>
      <c r="HV28" s="515"/>
      <c r="HW28" s="515"/>
      <c r="HX28" s="515"/>
      <c r="HY28" s="515"/>
      <c r="HZ28" s="515"/>
      <c r="IA28" s="515"/>
      <c r="IB28" s="515"/>
      <c r="IC28" s="515"/>
      <c r="ID28" s="515"/>
      <c r="IE28" s="515"/>
      <c r="IF28" s="515"/>
      <c r="IG28" s="515"/>
      <c r="IH28" s="515"/>
      <c r="II28" s="515"/>
      <c r="IJ28" s="515"/>
      <c r="IK28" s="515"/>
      <c r="IL28" s="515"/>
      <c r="IM28" s="515"/>
      <c r="IN28" s="515"/>
      <c r="IO28" s="515"/>
      <c r="IP28" s="515"/>
      <c r="IQ28" s="515"/>
      <c r="IR28" s="515"/>
      <c r="IS28" s="515"/>
      <c r="IT28" s="515"/>
      <c r="IU28" s="515"/>
      <c r="IV28" s="515"/>
    </row>
    <row r="29" spans="1:256" s="64" customFormat="1" ht="12.75" customHeight="1">
      <c r="A29" s="166" t="s">
        <v>97</v>
      </c>
      <c r="B29" s="165" t="s">
        <v>13</v>
      </c>
      <c r="C29" s="162">
        <v>22893160</v>
      </c>
      <c r="D29" s="162">
        <v>0</v>
      </c>
      <c r="E29" s="162">
        <v>0</v>
      </c>
      <c r="F29" s="162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 customHeight="1">
      <c r="A30" s="161" t="s">
        <v>99</v>
      </c>
      <c r="B30" s="165" t="s">
        <v>185</v>
      </c>
      <c r="C30" s="162">
        <v>1640020</v>
      </c>
      <c r="D30" s="162">
        <v>78000</v>
      </c>
      <c r="E30" s="162">
        <v>78000</v>
      </c>
      <c r="F30" s="162">
        <v>78000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161" t="s">
        <v>101</v>
      </c>
      <c r="B31" s="165" t="s">
        <v>703</v>
      </c>
      <c r="C31" s="162">
        <v>0</v>
      </c>
      <c r="D31" s="162"/>
      <c r="E31" s="162"/>
      <c r="F31" s="16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85" customFormat="1" ht="12.75" customHeight="1">
      <c r="A32" s="519" t="s">
        <v>103</v>
      </c>
      <c r="B32" s="520" t="s">
        <v>673</v>
      </c>
      <c r="C32" s="521">
        <f>SUM(C11+C12+C13+C19+C29+C30)+C31</f>
        <v>684255061</v>
      </c>
      <c r="D32" s="521">
        <f>SUM(D11+D12+D13+D19+D29+D30)</f>
        <v>437568000</v>
      </c>
      <c r="E32" s="521">
        <f>SUM(E11+E12+E13+E19+E29+E30)</f>
        <v>437568000</v>
      </c>
      <c r="F32" s="521">
        <f>SUM(F11+F12+F13+F19+F29+F30)</f>
        <v>437568000</v>
      </c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22"/>
      <c r="BN32" s="522"/>
      <c r="BO32" s="522"/>
      <c r="BP32" s="522"/>
      <c r="BQ32" s="522"/>
      <c r="BR32" s="522"/>
      <c r="BS32" s="522"/>
      <c r="BT32" s="522"/>
      <c r="BU32" s="522"/>
      <c r="BV32" s="522"/>
      <c r="BW32" s="522"/>
      <c r="BX32" s="522"/>
      <c r="BY32" s="522"/>
      <c r="BZ32" s="522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522"/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2"/>
      <c r="DA32" s="522"/>
      <c r="DB32" s="522"/>
      <c r="DC32" s="522"/>
      <c r="DD32" s="522"/>
      <c r="DE32" s="522"/>
      <c r="DF32" s="522"/>
      <c r="DG32" s="522"/>
      <c r="DH32" s="522"/>
      <c r="DI32" s="522"/>
      <c r="DJ32" s="522"/>
      <c r="DK32" s="522"/>
      <c r="DL32" s="522"/>
      <c r="DM32" s="522"/>
      <c r="DN32" s="522"/>
      <c r="DO32" s="522"/>
      <c r="DP32" s="522"/>
      <c r="DQ32" s="522"/>
      <c r="DR32" s="522"/>
      <c r="DS32" s="522"/>
      <c r="DT32" s="522"/>
      <c r="DU32" s="522"/>
      <c r="DV32" s="522"/>
      <c r="DW32" s="522"/>
      <c r="DX32" s="522"/>
      <c r="DY32" s="522"/>
      <c r="DZ32" s="522"/>
      <c r="EA32" s="522"/>
      <c r="EB32" s="522"/>
      <c r="EC32" s="522"/>
      <c r="ED32" s="522"/>
      <c r="EE32" s="522"/>
      <c r="EF32" s="522"/>
      <c r="EG32" s="522"/>
      <c r="EH32" s="522"/>
      <c r="EI32" s="522"/>
      <c r="EJ32" s="522"/>
      <c r="EK32" s="522"/>
      <c r="EL32" s="522"/>
      <c r="EM32" s="522"/>
      <c r="EN32" s="522"/>
      <c r="EO32" s="522"/>
      <c r="EP32" s="522"/>
      <c r="EQ32" s="522"/>
      <c r="ER32" s="522"/>
      <c r="ES32" s="522"/>
      <c r="ET32" s="522"/>
      <c r="EU32" s="522"/>
      <c r="EV32" s="522"/>
      <c r="EW32" s="522"/>
      <c r="EX32" s="522"/>
      <c r="EY32" s="522"/>
      <c r="EZ32" s="522"/>
      <c r="FA32" s="522"/>
      <c r="FB32" s="522"/>
      <c r="FC32" s="522"/>
      <c r="FD32" s="522"/>
      <c r="FE32" s="522"/>
      <c r="FF32" s="522"/>
      <c r="FG32" s="522"/>
      <c r="FH32" s="522"/>
      <c r="FI32" s="522"/>
      <c r="FJ32" s="522"/>
      <c r="FK32" s="522"/>
      <c r="FL32" s="522"/>
      <c r="FM32" s="522"/>
      <c r="FN32" s="522"/>
      <c r="FO32" s="522"/>
      <c r="FP32" s="522"/>
      <c r="FQ32" s="522"/>
      <c r="FR32" s="522"/>
      <c r="FS32" s="522"/>
      <c r="FT32" s="522"/>
      <c r="FU32" s="522"/>
      <c r="FV32" s="522"/>
      <c r="FW32" s="522"/>
      <c r="FX32" s="522"/>
      <c r="FY32" s="522"/>
      <c r="FZ32" s="522"/>
      <c r="GA32" s="522"/>
      <c r="GB32" s="522"/>
      <c r="GC32" s="522"/>
      <c r="GD32" s="522"/>
      <c r="GE32" s="522"/>
      <c r="GF32" s="522"/>
      <c r="GG32" s="522"/>
      <c r="GH32" s="522"/>
      <c r="GI32" s="522"/>
      <c r="GJ32" s="522"/>
      <c r="GK32" s="522"/>
      <c r="GL32" s="522"/>
      <c r="GM32" s="522"/>
      <c r="GN32" s="522"/>
      <c r="GO32" s="522"/>
      <c r="GP32" s="522"/>
      <c r="GQ32" s="522"/>
      <c r="GR32" s="522"/>
      <c r="GS32" s="522"/>
      <c r="GT32" s="522"/>
      <c r="GU32" s="522"/>
      <c r="GV32" s="522"/>
      <c r="GW32" s="522"/>
      <c r="GX32" s="522"/>
      <c r="GY32" s="522"/>
      <c r="GZ32" s="522"/>
      <c r="HA32" s="522"/>
      <c r="HB32" s="522"/>
      <c r="HC32" s="522"/>
      <c r="HD32" s="522"/>
      <c r="HE32" s="522"/>
      <c r="HF32" s="522"/>
      <c r="HG32" s="522"/>
      <c r="HH32" s="522"/>
      <c r="HI32" s="522"/>
      <c r="HJ32" s="522"/>
      <c r="HK32" s="522"/>
      <c r="HL32" s="522"/>
      <c r="HM32" s="522"/>
      <c r="HN32" s="522"/>
      <c r="HO32" s="522"/>
      <c r="HP32" s="522"/>
      <c r="HQ32" s="522"/>
      <c r="HR32" s="522"/>
      <c r="HS32" s="522"/>
      <c r="HT32" s="522"/>
      <c r="HU32" s="522"/>
      <c r="HV32" s="522"/>
      <c r="HW32" s="522"/>
      <c r="HX32" s="522"/>
      <c r="HY32" s="522"/>
      <c r="HZ32" s="522"/>
      <c r="IA32" s="522"/>
      <c r="IB32" s="522"/>
      <c r="IC32" s="522"/>
      <c r="ID32" s="522"/>
      <c r="IE32" s="522"/>
      <c r="IF32" s="522"/>
      <c r="IG32" s="522"/>
      <c r="IH32" s="522"/>
      <c r="II32" s="522"/>
      <c r="IJ32" s="522"/>
      <c r="IK32" s="522"/>
      <c r="IL32" s="522"/>
      <c r="IM32" s="522"/>
      <c r="IN32" s="522"/>
      <c r="IO32" s="522"/>
      <c r="IP32" s="522"/>
      <c r="IQ32" s="522"/>
      <c r="IR32" s="522"/>
      <c r="IS32" s="522"/>
      <c r="IT32" s="522"/>
      <c r="IU32" s="522"/>
      <c r="IV32" s="522"/>
    </row>
    <row r="33" spans="1:256" ht="12.75" customHeight="1">
      <c r="A33" s="164" t="s">
        <v>105</v>
      </c>
      <c r="B33" s="163" t="s">
        <v>219</v>
      </c>
      <c r="C33" s="146">
        <v>0</v>
      </c>
      <c r="D33" s="146">
        <v>0</v>
      </c>
      <c r="E33" s="146">
        <v>0</v>
      </c>
      <c r="F33" s="146"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57" t="s">
        <v>107</v>
      </c>
      <c r="B34" s="163" t="s">
        <v>220</v>
      </c>
      <c r="C34" s="146">
        <v>513206538</v>
      </c>
      <c r="D34" s="146">
        <v>0</v>
      </c>
      <c r="E34" s="146">
        <v>0</v>
      </c>
      <c r="F34" s="146"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12.75" customHeight="1">
      <c r="A35" s="526" t="s">
        <v>109</v>
      </c>
      <c r="B35" s="163" t="s">
        <v>221</v>
      </c>
      <c r="C35" s="146">
        <v>8341969</v>
      </c>
      <c r="D35" s="146">
        <v>0</v>
      </c>
      <c r="E35" s="146">
        <v>0</v>
      </c>
      <c r="F35" s="146">
        <v>0</v>
      </c>
    </row>
    <row r="36" spans="1:6" s="522" customFormat="1" ht="12.75" customHeight="1">
      <c r="A36" s="932" t="s">
        <v>111</v>
      </c>
      <c r="B36" s="931" t="s">
        <v>493</v>
      </c>
      <c r="C36" s="521">
        <f>SUM(C33:C35)</f>
        <v>521548507</v>
      </c>
      <c r="D36" s="521">
        <f>SUM(D33:D35)</f>
        <v>0</v>
      </c>
      <c r="E36" s="521">
        <f>SUM(E33:E35)</f>
        <v>0</v>
      </c>
      <c r="F36" s="521">
        <v>0</v>
      </c>
    </row>
    <row r="37" spans="1:256" s="129" customFormat="1" ht="15.75">
      <c r="A37" s="529" t="s">
        <v>113</v>
      </c>
      <c r="B37" s="523" t="s">
        <v>116</v>
      </c>
      <c r="C37" s="524">
        <f>SUM(C32+C36)</f>
        <v>1205803568</v>
      </c>
      <c r="D37" s="524">
        <f>SUM(D32+D36)</f>
        <v>437568000</v>
      </c>
      <c r="E37" s="524">
        <f>SUM(E32+E36)</f>
        <v>437568000</v>
      </c>
      <c r="F37" s="524">
        <f>SUM(F32+F36)</f>
        <v>437568000</v>
      </c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/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/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42"/>
      <c r="EX37" s="342"/>
      <c r="EY37" s="34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2"/>
      <c r="FK37" s="342"/>
      <c r="FL37" s="342"/>
      <c r="FM37" s="342"/>
      <c r="FN37" s="342"/>
      <c r="FO37" s="342"/>
      <c r="FP37" s="342"/>
      <c r="FQ37" s="342"/>
      <c r="FR37" s="342"/>
      <c r="FS37" s="342"/>
      <c r="FT37" s="342"/>
      <c r="FU37" s="342"/>
      <c r="FV37" s="342"/>
      <c r="FW37" s="342"/>
      <c r="FX37" s="342"/>
      <c r="FY37" s="342"/>
      <c r="FZ37" s="342"/>
      <c r="GA37" s="342"/>
      <c r="GB37" s="342"/>
      <c r="GC37" s="342"/>
      <c r="GD37" s="342"/>
      <c r="GE37" s="342"/>
      <c r="GF37" s="342"/>
      <c r="GG37" s="342"/>
      <c r="GH37" s="342"/>
      <c r="GI37" s="342"/>
      <c r="GJ37" s="342"/>
      <c r="GK37" s="342"/>
      <c r="GL37" s="342"/>
      <c r="GM37" s="342"/>
      <c r="GN37" s="342"/>
      <c r="GO37" s="342"/>
      <c r="GP37" s="342"/>
      <c r="GQ37" s="342"/>
      <c r="GR37" s="342"/>
      <c r="GS37" s="342"/>
      <c r="GT37" s="342"/>
      <c r="GU37" s="342"/>
      <c r="GV37" s="342"/>
      <c r="GW37" s="342"/>
      <c r="GX37" s="342"/>
      <c r="GY37" s="342"/>
      <c r="GZ37" s="342"/>
      <c r="HA37" s="342"/>
      <c r="HB37" s="342"/>
      <c r="HC37" s="342"/>
      <c r="HD37" s="342"/>
      <c r="HE37" s="342"/>
      <c r="HF37" s="342"/>
      <c r="HG37" s="342"/>
      <c r="HH37" s="342"/>
      <c r="HI37" s="342"/>
      <c r="HJ37" s="342"/>
      <c r="HK37" s="342"/>
      <c r="HL37" s="342"/>
      <c r="HM37" s="342"/>
      <c r="HN37" s="342"/>
      <c r="HO37" s="342"/>
      <c r="HP37" s="342"/>
      <c r="HQ37" s="342"/>
      <c r="HR37" s="342"/>
      <c r="HS37" s="342"/>
      <c r="HT37" s="342"/>
      <c r="HU37" s="342"/>
      <c r="HV37" s="342"/>
      <c r="HW37" s="342"/>
      <c r="HX37" s="342"/>
      <c r="HY37" s="342"/>
      <c r="HZ37" s="342"/>
      <c r="IA37" s="342"/>
      <c r="IB37" s="342"/>
      <c r="IC37" s="342"/>
      <c r="ID37" s="342"/>
      <c r="IE37" s="342"/>
      <c r="IF37" s="342"/>
      <c r="IG37" s="342"/>
      <c r="IH37" s="342"/>
      <c r="II37" s="342"/>
      <c r="IJ37" s="342"/>
      <c r="IK37" s="342"/>
      <c r="IL37" s="342"/>
      <c r="IM37" s="342"/>
      <c r="IN37" s="342"/>
      <c r="IO37" s="342"/>
      <c r="IP37" s="342"/>
      <c r="IQ37" s="342"/>
      <c r="IR37" s="342"/>
      <c r="IS37" s="342"/>
      <c r="IT37" s="342"/>
      <c r="IU37" s="342"/>
      <c r="IV37" s="342"/>
    </row>
    <row r="38" spans="1:256" ht="12.75" customHeight="1">
      <c r="A38" s="157" t="s">
        <v>115</v>
      </c>
      <c r="B38" s="163" t="s">
        <v>121</v>
      </c>
      <c r="C38" s="146">
        <v>258346217</v>
      </c>
      <c r="D38" s="146">
        <v>250000000</v>
      </c>
      <c r="E38" s="146">
        <v>250000000</v>
      </c>
      <c r="F38" s="146">
        <v>250000000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157" t="s">
        <v>117</v>
      </c>
      <c r="B39" s="163" t="s">
        <v>123</v>
      </c>
      <c r="C39" s="146">
        <v>45377695</v>
      </c>
      <c r="D39" s="146">
        <v>44000000</v>
      </c>
      <c r="E39" s="146">
        <v>44000000</v>
      </c>
      <c r="F39" s="146">
        <v>44000000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157" t="s">
        <v>118</v>
      </c>
      <c r="B40" s="163" t="s">
        <v>125</v>
      </c>
      <c r="C40" s="146">
        <v>147857334</v>
      </c>
      <c r="D40" s="146">
        <v>91168000</v>
      </c>
      <c r="E40" s="146">
        <v>91168000</v>
      </c>
      <c r="F40" s="146">
        <v>91168000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157" t="s">
        <v>120</v>
      </c>
      <c r="B41" s="163" t="s">
        <v>202</v>
      </c>
      <c r="C41" s="146">
        <v>46035254</v>
      </c>
      <c r="D41" s="146">
        <v>45000000</v>
      </c>
      <c r="E41" s="146">
        <v>45000000</v>
      </c>
      <c r="F41" s="146">
        <v>45000000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157" t="s">
        <v>122</v>
      </c>
      <c r="B42" s="163" t="s">
        <v>201</v>
      </c>
      <c r="C42" s="146">
        <v>3453000</v>
      </c>
      <c r="D42" s="146">
        <v>3400000</v>
      </c>
      <c r="E42" s="146">
        <v>3400000</v>
      </c>
      <c r="F42" s="146">
        <v>3400000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157" t="s">
        <v>124</v>
      </c>
      <c r="B43" s="163" t="s">
        <v>150</v>
      </c>
      <c r="C43" s="146">
        <v>419046334</v>
      </c>
      <c r="D43" s="146">
        <v>0</v>
      </c>
      <c r="E43" s="146">
        <v>0</v>
      </c>
      <c r="F43" s="146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157" t="s">
        <v>126</v>
      </c>
      <c r="B44" s="163" t="s">
        <v>472</v>
      </c>
      <c r="C44" s="146">
        <v>354027</v>
      </c>
      <c r="D44" s="146">
        <v>0</v>
      </c>
      <c r="E44" s="146">
        <v>0</v>
      </c>
      <c r="F44" s="146"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157" t="s">
        <v>128</v>
      </c>
      <c r="B45" s="163" t="s">
        <v>1255</v>
      </c>
      <c r="C45" s="146">
        <v>2017050</v>
      </c>
      <c r="D45" s="146">
        <v>0</v>
      </c>
      <c r="E45" s="146">
        <v>0</v>
      </c>
      <c r="F45" s="146"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157" t="s">
        <v>130</v>
      </c>
      <c r="B46" s="163" t="s">
        <v>15</v>
      </c>
      <c r="C46" s="146">
        <v>274884650</v>
      </c>
      <c r="D46" s="146">
        <v>4000000</v>
      </c>
      <c r="E46" s="146">
        <v>4000000</v>
      </c>
      <c r="F46" s="146">
        <v>4000000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66" customFormat="1" ht="12.75" customHeight="1">
      <c r="A47" s="525" t="s">
        <v>131</v>
      </c>
      <c r="B47" s="520" t="s">
        <v>674</v>
      </c>
      <c r="C47" s="521">
        <f>SUM(C38:C46)</f>
        <v>1197371561</v>
      </c>
      <c r="D47" s="521">
        <f>SUM(D38:D46)</f>
        <v>437568000</v>
      </c>
      <c r="E47" s="521">
        <f>SUM(E38:E46)</f>
        <v>437568000</v>
      </c>
      <c r="F47" s="521">
        <f>SUM(F38:F46)</f>
        <v>437568000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1:6" ht="28.5" customHeight="1">
      <c r="A48" s="526" t="s">
        <v>133</v>
      </c>
      <c r="B48" s="527" t="s">
        <v>269</v>
      </c>
      <c r="C48" s="528">
        <v>8432007</v>
      </c>
      <c r="D48" s="528">
        <v>0</v>
      </c>
      <c r="E48" s="528">
        <v>0</v>
      </c>
      <c r="F48" s="528">
        <v>0</v>
      </c>
    </row>
    <row r="49" spans="1:6" s="85" customFormat="1" ht="15">
      <c r="A49" s="532" t="s">
        <v>135</v>
      </c>
      <c r="B49" s="533" t="s">
        <v>209</v>
      </c>
      <c r="C49" s="533">
        <f>SUM(C48)</f>
        <v>8432007</v>
      </c>
      <c r="D49" s="533">
        <f>SUM(D48)</f>
        <v>0</v>
      </c>
      <c r="E49" s="533">
        <f>SUM(E48)</f>
        <v>0</v>
      </c>
      <c r="F49" s="533">
        <f>SUM(F48)</f>
        <v>0</v>
      </c>
    </row>
    <row r="50" spans="1:256" s="129" customFormat="1" ht="15.75">
      <c r="A50" s="529" t="s">
        <v>137</v>
      </c>
      <c r="B50" s="530" t="s">
        <v>693</v>
      </c>
      <c r="C50" s="531">
        <f>SUM(C47+C49)</f>
        <v>1205803568</v>
      </c>
      <c r="D50" s="531">
        <f>SUM(D47+D49)</f>
        <v>437568000</v>
      </c>
      <c r="E50" s="531">
        <f>SUM(E47+E49)</f>
        <v>437568000</v>
      </c>
      <c r="F50" s="531">
        <f>SUM(F47+F49)</f>
        <v>437568000</v>
      </c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/>
      <c r="CF50" s="342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42"/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42"/>
      <c r="DE50" s="342"/>
      <c r="DF50" s="342"/>
      <c r="DG50" s="342"/>
      <c r="DH50" s="342"/>
      <c r="DI50" s="342"/>
      <c r="DJ50" s="342"/>
      <c r="DK50" s="342"/>
      <c r="DL50" s="342"/>
      <c r="DM50" s="342"/>
      <c r="DN50" s="342"/>
      <c r="DO50" s="342"/>
      <c r="DP50" s="342"/>
      <c r="DQ50" s="342"/>
      <c r="DR50" s="342"/>
      <c r="DS50" s="342"/>
      <c r="DT50" s="342"/>
      <c r="DU50" s="342"/>
      <c r="DV50" s="342"/>
      <c r="DW50" s="342"/>
      <c r="DX50" s="342"/>
      <c r="DY50" s="342"/>
      <c r="DZ50" s="342"/>
      <c r="EA50" s="342"/>
      <c r="EB50" s="342"/>
      <c r="EC50" s="342"/>
      <c r="ED50" s="342"/>
      <c r="EE50" s="342"/>
      <c r="EF50" s="342"/>
      <c r="EG50" s="342"/>
      <c r="EH50" s="342"/>
      <c r="EI50" s="342"/>
      <c r="EJ50" s="342"/>
      <c r="EK50" s="342"/>
      <c r="EL50" s="342"/>
      <c r="EM50" s="342"/>
      <c r="EN50" s="342"/>
      <c r="EO50" s="342"/>
      <c r="EP50" s="342"/>
      <c r="EQ50" s="342"/>
      <c r="ER50" s="342"/>
      <c r="ES50" s="342"/>
      <c r="ET50" s="342"/>
      <c r="EU50" s="342"/>
      <c r="EV50" s="342"/>
      <c r="EW50" s="342"/>
      <c r="EX50" s="342"/>
      <c r="EY50" s="342"/>
      <c r="EZ50" s="342"/>
      <c r="FA50" s="342"/>
      <c r="FB50" s="342"/>
      <c r="FC50" s="342"/>
      <c r="FD50" s="342"/>
      <c r="FE50" s="342"/>
      <c r="FF50" s="342"/>
      <c r="FG50" s="342"/>
      <c r="FH50" s="342"/>
      <c r="FI50" s="342"/>
      <c r="FJ50" s="342"/>
      <c r="FK50" s="342"/>
      <c r="FL50" s="342"/>
      <c r="FM50" s="342"/>
      <c r="FN50" s="342"/>
      <c r="FO50" s="342"/>
      <c r="FP50" s="342"/>
      <c r="FQ50" s="342"/>
      <c r="FR50" s="342"/>
      <c r="FS50" s="342"/>
      <c r="FT50" s="342"/>
      <c r="FU50" s="342"/>
      <c r="FV50" s="342"/>
      <c r="FW50" s="342"/>
      <c r="FX50" s="342"/>
      <c r="FY50" s="342"/>
      <c r="FZ50" s="342"/>
      <c r="GA50" s="342"/>
      <c r="GB50" s="342"/>
      <c r="GC50" s="342"/>
      <c r="GD50" s="342"/>
      <c r="GE50" s="342"/>
      <c r="GF50" s="342"/>
      <c r="GG50" s="342"/>
      <c r="GH50" s="342"/>
      <c r="GI50" s="342"/>
      <c r="GJ50" s="342"/>
      <c r="GK50" s="342"/>
      <c r="GL50" s="342"/>
      <c r="GM50" s="342"/>
      <c r="GN50" s="342"/>
      <c r="GO50" s="342"/>
      <c r="GP50" s="342"/>
      <c r="GQ50" s="342"/>
      <c r="GR50" s="342"/>
      <c r="GS50" s="342"/>
      <c r="GT50" s="342"/>
      <c r="GU50" s="342"/>
      <c r="GV50" s="342"/>
      <c r="GW50" s="342"/>
      <c r="GX50" s="342"/>
      <c r="GY50" s="342"/>
      <c r="GZ50" s="342"/>
      <c r="HA50" s="342"/>
      <c r="HB50" s="342"/>
      <c r="HC50" s="342"/>
      <c r="HD50" s="342"/>
      <c r="HE50" s="342"/>
      <c r="HF50" s="342"/>
      <c r="HG50" s="342"/>
      <c r="HH50" s="342"/>
      <c r="HI50" s="342"/>
      <c r="HJ50" s="342"/>
      <c r="HK50" s="342"/>
      <c r="HL50" s="342"/>
      <c r="HM50" s="342"/>
      <c r="HN50" s="342"/>
      <c r="HO50" s="342"/>
      <c r="HP50" s="342"/>
      <c r="HQ50" s="342"/>
      <c r="HR50" s="342"/>
      <c r="HS50" s="342"/>
      <c r="HT50" s="342"/>
      <c r="HU50" s="342"/>
      <c r="HV50" s="342"/>
      <c r="HW50" s="342"/>
      <c r="HX50" s="342"/>
      <c r="HY50" s="342"/>
      <c r="HZ50" s="342"/>
      <c r="IA50" s="342"/>
      <c r="IB50" s="342"/>
      <c r="IC50" s="342"/>
      <c r="ID50" s="342"/>
      <c r="IE50" s="342"/>
      <c r="IF50" s="342"/>
      <c r="IG50" s="342"/>
      <c r="IH50" s="342"/>
      <c r="II50" s="342"/>
      <c r="IJ50" s="342"/>
      <c r="IK50" s="342"/>
      <c r="IL50" s="342"/>
      <c r="IM50" s="342"/>
      <c r="IN50" s="342"/>
      <c r="IO50" s="342"/>
      <c r="IP50" s="342"/>
      <c r="IQ50" s="342"/>
      <c r="IR50" s="342"/>
      <c r="IS50" s="342"/>
      <c r="IT50" s="342"/>
      <c r="IU50" s="342"/>
      <c r="IV50" s="342"/>
    </row>
  </sheetData>
  <sheetProtection selectLockedCells="1" selectUnlockedCells="1"/>
  <mergeCells count="7">
    <mergeCell ref="A9:A10"/>
    <mergeCell ref="A1:F1"/>
    <mergeCell ref="A2:F2"/>
    <mergeCell ref="A3:E4"/>
    <mergeCell ref="A5:F5"/>
    <mergeCell ref="A6:F6"/>
    <mergeCell ref="D8:F8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C74"/>
  <sheetViews>
    <sheetView view="pageBreakPreview" zoomScaleSheetLayoutView="100" zoomScalePageLayoutView="0" workbookViewId="0" topLeftCell="A1">
      <selection activeCell="G9" sqref="G9"/>
    </sheetView>
  </sheetViews>
  <sheetFormatPr defaultColWidth="11.57421875" defaultRowHeight="12.75" customHeight="1"/>
  <cols>
    <col min="1" max="1" width="3.7109375" style="0" customWidth="1"/>
    <col min="2" max="2" width="4.140625" style="0" customWidth="1"/>
    <col min="3" max="3" width="27.8515625" style="0" customWidth="1"/>
    <col min="4" max="4" width="6.00390625" style="0" customWidth="1"/>
    <col min="5" max="8" width="18.140625" style="52" customWidth="1"/>
  </cols>
  <sheetData>
    <row r="1" spans="1:8" s="168" customFormat="1" ht="18" customHeight="1">
      <c r="A1" s="2025" t="s">
        <v>478</v>
      </c>
      <c r="B1" s="2025"/>
      <c r="C1" s="2025"/>
      <c r="D1" s="2025"/>
      <c r="E1" s="2025"/>
      <c r="F1" s="2025"/>
      <c r="G1" s="2025"/>
      <c r="H1" s="2025"/>
    </row>
    <row r="2" spans="1:8" ht="12.75" customHeight="1">
      <c r="A2" s="1796" t="s">
        <v>1259</v>
      </c>
      <c r="B2" s="1796"/>
      <c r="C2" s="1796"/>
      <c r="D2" s="1796"/>
      <c r="E2" s="1796"/>
      <c r="F2" s="1796"/>
      <c r="G2" s="1796"/>
      <c r="H2" s="1796"/>
    </row>
    <row r="3" spans="3:8" ht="12.75" customHeight="1">
      <c r="C3" s="1"/>
      <c r="D3" s="1872" t="s">
        <v>1261</v>
      </c>
      <c r="E3" s="1872"/>
      <c r="F3" s="1872"/>
      <c r="H3" s="127" t="s">
        <v>1263</v>
      </c>
    </row>
    <row r="4" spans="1:8" ht="41.25" customHeight="1">
      <c r="A4" s="1923" t="s">
        <v>1106</v>
      </c>
      <c r="B4" s="1923"/>
      <c r="C4" s="1923"/>
      <c r="D4" s="1923"/>
      <c r="E4" s="1923"/>
      <c r="F4" s="1923"/>
      <c r="G4" s="1923"/>
      <c r="H4" s="1923"/>
    </row>
    <row r="5" spans="1:8" ht="19.5">
      <c r="A5" s="856"/>
      <c r="B5" s="856"/>
      <c r="C5" s="856"/>
      <c r="D5" s="856"/>
      <c r="E5" s="856"/>
      <c r="F5" s="856"/>
      <c r="G5" s="856"/>
      <c r="H5" s="856"/>
    </row>
    <row r="6" spans="5:8" ht="12.75" customHeight="1" thickBot="1">
      <c r="E6" s="855"/>
      <c r="F6" s="855"/>
      <c r="G6" s="855"/>
      <c r="H6" s="855" t="s">
        <v>214</v>
      </c>
    </row>
    <row r="7" spans="1:8" ht="49.5" customHeight="1" thickBot="1">
      <c r="A7" s="1885" t="s">
        <v>156</v>
      </c>
      <c r="B7" s="1886"/>
      <c r="C7" s="415" t="s">
        <v>157</v>
      </c>
      <c r="D7" s="416"/>
      <c r="E7" s="417" t="s">
        <v>1076</v>
      </c>
      <c r="F7" s="417" t="s">
        <v>1077</v>
      </c>
      <c r="G7" s="417" t="s">
        <v>1165</v>
      </c>
      <c r="H7" s="417" t="s">
        <v>1186</v>
      </c>
    </row>
    <row r="8" spans="1:8" ht="12.75" customHeight="1" thickBot="1">
      <c r="A8" s="1910"/>
      <c r="B8" s="1911"/>
      <c r="C8" s="418" t="s">
        <v>158</v>
      </c>
      <c r="D8" s="292"/>
      <c r="E8" s="419" t="s">
        <v>159</v>
      </c>
      <c r="F8" s="419" t="s">
        <v>160</v>
      </c>
      <c r="G8" s="419" t="s">
        <v>161</v>
      </c>
      <c r="H8" s="419" t="s">
        <v>456</v>
      </c>
    </row>
    <row r="9" spans="1:8" s="10" customFormat="1" ht="39" customHeight="1">
      <c r="A9" s="1912" t="s">
        <v>38</v>
      </c>
      <c r="B9" s="1913"/>
      <c r="C9" s="1921" t="s">
        <v>625</v>
      </c>
      <c r="D9" s="1922"/>
      <c r="E9" s="438">
        <v>90183</v>
      </c>
      <c r="F9" s="438">
        <v>0</v>
      </c>
      <c r="G9" s="438">
        <v>35340</v>
      </c>
      <c r="H9" s="438">
        <v>35340</v>
      </c>
    </row>
    <row r="10" spans="1:8" s="10" customFormat="1" ht="12.75" customHeight="1">
      <c r="A10" s="1880" t="s">
        <v>40</v>
      </c>
      <c r="B10" s="1881"/>
      <c r="C10" s="1914" t="s">
        <v>78</v>
      </c>
      <c r="D10" s="1914"/>
      <c r="E10" s="420">
        <f>SUM(E11:E16)</f>
        <v>2523187</v>
      </c>
      <c r="F10" s="420">
        <f>SUM(F11:F16)</f>
        <v>2265000</v>
      </c>
      <c r="G10" s="420">
        <f>SUM(G11:G16)</f>
        <v>1824006</v>
      </c>
      <c r="H10" s="420">
        <f>SUM(H11:H16)</f>
        <v>2111040</v>
      </c>
    </row>
    <row r="11" spans="1:8" s="277" customFormat="1" ht="12.75" customHeight="1">
      <c r="A11" s="1883" t="s">
        <v>47</v>
      </c>
      <c r="B11" s="1884"/>
      <c r="C11" s="1904" t="s">
        <v>626</v>
      </c>
      <c r="D11" s="1904"/>
      <c r="E11" s="421">
        <v>1492865</v>
      </c>
      <c r="F11" s="421">
        <v>1500000</v>
      </c>
      <c r="G11" s="421">
        <v>1125000</v>
      </c>
      <c r="H11" s="421">
        <v>1125000</v>
      </c>
    </row>
    <row r="12" spans="1:8" s="277" customFormat="1" ht="12.75" customHeight="1">
      <c r="A12" s="1883" t="s">
        <v>49</v>
      </c>
      <c r="B12" s="1884"/>
      <c r="C12" s="1882" t="s">
        <v>627</v>
      </c>
      <c r="D12" s="1882"/>
      <c r="E12" s="421">
        <v>263879</v>
      </c>
      <c r="F12" s="421">
        <v>265000</v>
      </c>
      <c r="G12" s="421">
        <v>199000</v>
      </c>
      <c r="H12" s="421">
        <v>199000</v>
      </c>
    </row>
    <row r="13" spans="1:8" s="277" customFormat="1" ht="12.75" customHeight="1">
      <c r="A13" s="1883" t="s">
        <v>51</v>
      </c>
      <c r="B13" s="1884"/>
      <c r="C13" s="1882" t="s">
        <v>628</v>
      </c>
      <c r="D13" s="1882"/>
      <c r="E13" s="421">
        <v>474327</v>
      </c>
      <c r="F13" s="421">
        <v>500000</v>
      </c>
      <c r="G13" s="421">
        <v>500000</v>
      </c>
      <c r="H13" s="421">
        <v>500000</v>
      </c>
    </row>
    <row r="14" spans="1:8" s="277" customFormat="1" ht="12.75" customHeight="1">
      <c r="A14" s="1883" t="s">
        <v>53</v>
      </c>
      <c r="B14" s="1884"/>
      <c r="C14" s="1882" t="s">
        <v>629</v>
      </c>
      <c r="D14" s="1882"/>
      <c r="E14" s="421">
        <v>1</v>
      </c>
      <c r="F14" s="421">
        <v>0</v>
      </c>
      <c r="G14" s="421">
        <v>0</v>
      </c>
      <c r="H14" s="421">
        <v>0</v>
      </c>
    </row>
    <row r="15" spans="1:8" s="277" customFormat="1" ht="12.75" customHeight="1">
      <c r="A15" s="1917" t="s">
        <v>55</v>
      </c>
      <c r="B15" s="1918"/>
      <c r="C15" s="924" t="s">
        <v>904</v>
      </c>
      <c r="D15" s="925"/>
      <c r="E15" s="421">
        <v>115</v>
      </c>
      <c r="F15" s="421">
        <v>0</v>
      </c>
      <c r="G15" s="421">
        <v>6</v>
      </c>
      <c r="H15" s="421">
        <v>40</v>
      </c>
    </row>
    <row r="16" spans="1:8" s="277" customFormat="1" ht="12.75" customHeight="1">
      <c r="A16" s="1917" t="s">
        <v>57</v>
      </c>
      <c r="B16" s="1918"/>
      <c r="C16" s="924" t="s">
        <v>915</v>
      </c>
      <c r="D16" s="925"/>
      <c r="E16" s="421">
        <v>292000</v>
      </c>
      <c r="F16" s="421">
        <v>0</v>
      </c>
      <c r="G16" s="421">
        <v>0</v>
      </c>
      <c r="H16" s="421">
        <v>287000</v>
      </c>
    </row>
    <row r="17" spans="1:8" s="10" customFormat="1" ht="12.75" customHeight="1">
      <c r="A17" s="1908" t="s">
        <v>86</v>
      </c>
      <c r="B17" s="1909"/>
      <c r="C17" s="1915" t="s">
        <v>185</v>
      </c>
      <c r="D17" s="1916"/>
      <c r="E17" s="420">
        <v>498111</v>
      </c>
      <c r="F17" s="420">
        <v>0</v>
      </c>
      <c r="G17" s="420">
        <v>0</v>
      </c>
      <c r="H17" s="420">
        <v>0</v>
      </c>
    </row>
    <row r="18" spans="1:8" s="10" customFormat="1" ht="12.75" customHeight="1">
      <c r="A18" s="1880" t="s">
        <v>59</v>
      </c>
      <c r="B18" s="1881"/>
      <c r="C18" s="1914" t="s">
        <v>225</v>
      </c>
      <c r="D18" s="1914"/>
      <c r="E18" s="420">
        <v>435505</v>
      </c>
      <c r="F18" s="420">
        <v>0</v>
      </c>
      <c r="G18" s="420">
        <v>0</v>
      </c>
      <c r="H18" s="420">
        <v>0</v>
      </c>
    </row>
    <row r="19" spans="1:8" s="277" customFormat="1" ht="12.75" customHeight="1" thickBot="1">
      <c r="A19" s="1884" t="s">
        <v>61</v>
      </c>
      <c r="B19" s="1884"/>
      <c r="C19" s="1907" t="s">
        <v>630</v>
      </c>
      <c r="D19" s="1907"/>
      <c r="E19" s="413">
        <v>435505</v>
      </c>
      <c r="F19" s="413"/>
      <c r="G19" s="413"/>
      <c r="H19" s="413"/>
    </row>
    <row r="20" spans="1:8" s="423" customFormat="1" ht="18.75" customHeight="1" thickBot="1">
      <c r="A20" s="1927" t="s">
        <v>63</v>
      </c>
      <c r="B20" s="1928"/>
      <c r="C20" s="1925" t="s">
        <v>479</v>
      </c>
      <c r="D20" s="1926"/>
      <c r="E20" s="441">
        <f>SUM(E9+E10+E18)+E17</f>
        <v>3546986</v>
      </c>
      <c r="F20" s="441">
        <f>SUM(F9+F10+F18)+F17</f>
        <v>2265000</v>
      </c>
      <c r="G20" s="441">
        <f>SUM(G9+G10+G18)+G17</f>
        <v>1859346</v>
      </c>
      <c r="H20" s="441">
        <f>SUM(H9+H10+H18)+H17</f>
        <v>2146380</v>
      </c>
    </row>
    <row r="21" spans="1:8" s="10" customFormat="1" ht="12.75" customHeight="1">
      <c r="A21" s="1905" t="s">
        <v>65</v>
      </c>
      <c r="B21" s="1906"/>
      <c r="C21" s="1919" t="s">
        <v>480</v>
      </c>
      <c r="D21" s="1920"/>
      <c r="E21" s="440">
        <f>SUM(E22:E23)</f>
        <v>122992661</v>
      </c>
      <c r="F21" s="440">
        <f>SUM(F22:F23)</f>
        <v>128168127</v>
      </c>
      <c r="G21" s="440">
        <f>SUM(G22:G23)</f>
        <v>122994438</v>
      </c>
      <c r="H21" s="440">
        <f>SUM(H22:H23)</f>
        <v>122994438</v>
      </c>
    </row>
    <row r="22" spans="1:8" s="114" customFormat="1" ht="12.75" customHeight="1">
      <c r="A22" s="1889" t="s">
        <v>92</v>
      </c>
      <c r="B22" s="1890"/>
      <c r="C22" s="1897" t="s">
        <v>481</v>
      </c>
      <c r="D22" s="1898"/>
      <c r="E22" s="559">
        <v>97031847</v>
      </c>
      <c r="F22" s="559">
        <f>SUM(71578420)+4419000+11074100+1691000+498747+2355188+5729479</f>
        <v>97345934</v>
      </c>
      <c r="G22" s="559">
        <f>SUM(71578420)+4419000+11074100+1691000+498747+2355188+5729479+18800</f>
        <v>97364734</v>
      </c>
      <c r="H22" s="559">
        <v>103076884</v>
      </c>
    </row>
    <row r="23" spans="1:8" ht="12.75" customHeight="1">
      <c r="A23" s="1891" t="s">
        <v>66</v>
      </c>
      <c r="B23" s="1892"/>
      <c r="C23" s="1897" t="s">
        <v>482</v>
      </c>
      <c r="D23" s="1898"/>
      <c r="E23" s="559">
        <v>25960814</v>
      </c>
      <c r="F23" s="559">
        <v>30822193</v>
      </c>
      <c r="G23" s="559">
        <v>25629704</v>
      </c>
      <c r="H23" s="559">
        <v>19917554</v>
      </c>
    </row>
    <row r="24" spans="1:8" s="114" customFormat="1" ht="12.75" customHeight="1" thickBot="1">
      <c r="A24" s="1893" t="s">
        <v>67</v>
      </c>
      <c r="B24" s="1894"/>
      <c r="C24" s="1900" t="s">
        <v>483</v>
      </c>
      <c r="D24" s="1900"/>
      <c r="E24" s="926">
        <v>238417</v>
      </c>
      <c r="F24" s="926">
        <v>193701</v>
      </c>
      <c r="G24" s="926">
        <v>193701</v>
      </c>
      <c r="H24" s="926">
        <v>193701</v>
      </c>
    </row>
    <row r="25" spans="1:8" s="10" customFormat="1" ht="17.25" customHeight="1" thickBot="1">
      <c r="A25" s="1895" t="s">
        <v>68</v>
      </c>
      <c r="B25" s="1896"/>
      <c r="C25" s="1901" t="s">
        <v>493</v>
      </c>
      <c r="D25" s="1901"/>
      <c r="E25" s="443">
        <f>SUM(E21+E24)</f>
        <v>123231078</v>
      </c>
      <c r="F25" s="443">
        <f>SUM(F21+F24)</f>
        <v>128361828</v>
      </c>
      <c r="G25" s="443">
        <f>SUM(G21+G24)</f>
        <v>123188139</v>
      </c>
      <c r="H25" s="443">
        <f>SUM(H21+H24)</f>
        <v>123188139</v>
      </c>
    </row>
    <row r="26" spans="1:8" ht="27" customHeight="1" thickBot="1">
      <c r="A26" s="1902" t="s">
        <v>70</v>
      </c>
      <c r="B26" s="1903"/>
      <c r="C26" s="1899" t="s">
        <v>240</v>
      </c>
      <c r="D26" s="1899"/>
      <c r="E26" s="442">
        <f>SUM(E20+E25)</f>
        <v>126778064</v>
      </c>
      <c r="F26" s="442">
        <f>SUM(F20+F25)</f>
        <v>130626828</v>
      </c>
      <c r="G26" s="442">
        <f>SUM(G20+G25)</f>
        <v>125047485</v>
      </c>
      <c r="H26" s="442">
        <f>SUM(H20+H25)</f>
        <v>125334519</v>
      </c>
    </row>
    <row r="27" spans="3:4" ht="12.75" customHeight="1" thickBot="1">
      <c r="C27" s="64"/>
      <c r="D27" s="64"/>
    </row>
    <row r="28" spans="1:8" ht="49.5" customHeight="1" thickBot="1">
      <c r="A28" s="1885" t="s">
        <v>156</v>
      </c>
      <c r="B28" s="1886"/>
      <c r="C28" s="427" t="s">
        <v>119</v>
      </c>
      <c r="D28" s="1303" t="s">
        <v>484</v>
      </c>
      <c r="E28" s="1310" t="s">
        <v>1076</v>
      </c>
      <c r="F28" s="1310" t="s">
        <v>1077</v>
      </c>
      <c r="G28" s="1310" t="s">
        <v>1165</v>
      </c>
      <c r="H28" s="1310" t="s">
        <v>1186</v>
      </c>
    </row>
    <row r="29" spans="1:8" ht="12.75" customHeight="1">
      <c r="A29" s="1887"/>
      <c r="B29" s="1888"/>
      <c r="C29" s="174" t="s">
        <v>158</v>
      </c>
      <c r="D29" s="1304" t="s">
        <v>159</v>
      </c>
      <c r="E29" s="1311" t="s">
        <v>160</v>
      </c>
      <c r="F29" s="1311" t="s">
        <v>161</v>
      </c>
      <c r="G29" s="1311" t="s">
        <v>456</v>
      </c>
      <c r="H29" s="1311" t="s">
        <v>476</v>
      </c>
    </row>
    <row r="30" spans="1:8" ht="12.75" customHeight="1">
      <c r="A30" s="428" t="s">
        <v>38</v>
      </c>
      <c r="B30" s="175" t="s">
        <v>164</v>
      </c>
      <c r="C30" s="176" t="s">
        <v>319</v>
      </c>
      <c r="D30" s="1280">
        <v>1</v>
      </c>
      <c r="E30" s="1312">
        <f>SUM(E31:E33)</f>
        <v>18885094</v>
      </c>
      <c r="F30" s="1312">
        <f>SUM(F31:F33)</f>
        <v>19116299</v>
      </c>
      <c r="G30" s="1312">
        <f>SUM(G31:G33)</f>
        <v>14423910</v>
      </c>
      <c r="H30" s="1312">
        <f>SUM(H31:H33)</f>
        <v>14710910</v>
      </c>
    </row>
    <row r="31" spans="1:8" ht="12.75" customHeight="1">
      <c r="A31" s="430" t="s">
        <v>40</v>
      </c>
      <c r="B31" s="133"/>
      <c r="C31" s="17" t="s">
        <v>250</v>
      </c>
      <c r="D31" s="1281"/>
      <c r="E31" s="1313">
        <v>2397618</v>
      </c>
      <c r="F31" s="1313">
        <v>2634846</v>
      </c>
      <c r="G31" s="1313">
        <v>2634846</v>
      </c>
      <c r="H31" s="1313">
        <v>2634846</v>
      </c>
    </row>
    <row r="32" spans="1:8" ht="12.75" customHeight="1">
      <c r="A32" s="430" t="s">
        <v>47</v>
      </c>
      <c r="B32" s="133"/>
      <c r="C32" s="17" t="s">
        <v>251</v>
      </c>
      <c r="D32" s="1281"/>
      <c r="E32" s="1313">
        <v>487476</v>
      </c>
      <c r="F32" s="1313">
        <v>481453</v>
      </c>
      <c r="G32" s="1313">
        <v>481453</v>
      </c>
      <c r="H32" s="1313">
        <v>481453</v>
      </c>
    </row>
    <row r="33" spans="1:8" ht="12.75" customHeight="1">
      <c r="A33" s="430" t="s">
        <v>49</v>
      </c>
      <c r="B33" s="133"/>
      <c r="C33" s="17" t="s">
        <v>252</v>
      </c>
      <c r="D33" s="1281"/>
      <c r="E33" s="920">
        <v>16000000</v>
      </c>
      <c r="F33" s="920">
        <v>16000000</v>
      </c>
      <c r="G33" s="920">
        <v>11307611</v>
      </c>
      <c r="H33" s="920">
        <v>11594611</v>
      </c>
    </row>
    <row r="34" spans="1:8" ht="12.75" customHeight="1">
      <c r="A34" s="428" t="s">
        <v>51</v>
      </c>
      <c r="B34" s="130" t="s">
        <v>166</v>
      </c>
      <c r="C34" s="9" t="s">
        <v>485</v>
      </c>
      <c r="D34" s="1282"/>
      <c r="E34" s="1312">
        <f>SUM(E35:E37)</f>
        <v>4842080</v>
      </c>
      <c r="F34" s="1312">
        <f>SUM(F35:F37)</f>
        <v>4850107</v>
      </c>
      <c r="G34" s="1312">
        <f>SUM(G35:G37)</f>
        <v>4350107</v>
      </c>
      <c r="H34" s="1312">
        <f>SUM(H35:H37)</f>
        <v>4350107</v>
      </c>
    </row>
    <row r="35" spans="1:8" ht="12.75" customHeight="1">
      <c r="A35" s="430" t="s">
        <v>53</v>
      </c>
      <c r="B35" s="133"/>
      <c r="C35" s="17" t="s">
        <v>250</v>
      </c>
      <c r="D35" s="1281"/>
      <c r="E35" s="1313">
        <v>284281</v>
      </c>
      <c r="F35" s="1313">
        <v>296017</v>
      </c>
      <c r="G35" s="1313">
        <v>296017</v>
      </c>
      <c r="H35" s="1313">
        <v>296017</v>
      </c>
    </row>
    <row r="36" spans="1:8" ht="12.75" customHeight="1">
      <c r="A36" s="430" t="s">
        <v>55</v>
      </c>
      <c r="B36" s="133"/>
      <c r="C36" s="136" t="s">
        <v>251</v>
      </c>
      <c r="D36" s="1283"/>
      <c r="E36" s="1314">
        <v>57799</v>
      </c>
      <c r="F36" s="1314">
        <v>54090</v>
      </c>
      <c r="G36" s="1314">
        <v>54090</v>
      </c>
      <c r="H36" s="1314">
        <v>54090</v>
      </c>
    </row>
    <row r="37" spans="1:8" ht="12.75" customHeight="1">
      <c r="A37" s="430" t="s">
        <v>57</v>
      </c>
      <c r="B37" s="133"/>
      <c r="C37" s="296" t="s">
        <v>252</v>
      </c>
      <c r="D37" s="1193"/>
      <c r="E37" s="1315">
        <v>4500000</v>
      </c>
      <c r="F37" s="1315">
        <v>4500000</v>
      </c>
      <c r="G37" s="1315">
        <v>4000000</v>
      </c>
      <c r="H37" s="1315">
        <v>4000000</v>
      </c>
    </row>
    <row r="38" spans="1:8" s="10" customFormat="1" ht="12.75" customHeight="1">
      <c r="A38" s="428" t="s">
        <v>86</v>
      </c>
      <c r="B38" s="130" t="s">
        <v>173</v>
      </c>
      <c r="C38" s="397" t="s">
        <v>486</v>
      </c>
      <c r="D38" s="1193"/>
      <c r="E38" s="1198">
        <f>SUM(E39:E41)</f>
        <v>0</v>
      </c>
      <c r="F38" s="1198">
        <f>SUM(F39:F41)</f>
        <v>0</v>
      </c>
      <c r="G38" s="1198">
        <f>SUM(G39:G41)</f>
        <v>0</v>
      </c>
      <c r="H38" s="1198">
        <f>SUM(H39:H41)</f>
        <v>0</v>
      </c>
    </row>
    <row r="39" spans="1:8" ht="12.75" customHeight="1">
      <c r="A39" s="430" t="s">
        <v>59</v>
      </c>
      <c r="B39" s="133"/>
      <c r="C39" s="296" t="s">
        <v>250</v>
      </c>
      <c r="D39" s="1193"/>
      <c r="E39" s="1315">
        <v>0</v>
      </c>
      <c r="F39" s="1315">
        <v>0</v>
      </c>
      <c r="G39" s="1315">
        <v>0</v>
      </c>
      <c r="H39" s="1315">
        <v>0</v>
      </c>
    </row>
    <row r="40" spans="1:8" ht="12.75" customHeight="1">
      <c r="A40" s="430" t="s">
        <v>61</v>
      </c>
      <c r="B40" s="133"/>
      <c r="C40" s="120" t="s">
        <v>251</v>
      </c>
      <c r="D40" s="1280"/>
      <c r="E40" s="1316">
        <v>0</v>
      </c>
      <c r="F40" s="1316">
        <v>0</v>
      </c>
      <c r="G40" s="1316">
        <v>0</v>
      </c>
      <c r="H40" s="1316">
        <v>0</v>
      </c>
    </row>
    <row r="41" spans="1:8" ht="12.75" customHeight="1">
      <c r="A41" s="430" t="s">
        <v>63</v>
      </c>
      <c r="B41" s="133"/>
      <c r="C41" s="17" t="s">
        <v>252</v>
      </c>
      <c r="D41" s="1282"/>
      <c r="E41" s="1313">
        <v>0</v>
      </c>
      <c r="F41" s="1313">
        <v>0</v>
      </c>
      <c r="G41" s="1313">
        <v>0</v>
      </c>
      <c r="H41" s="1313">
        <v>0</v>
      </c>
    </row>
    <row r="42" spans="1:8" ht="12.75" customHeight="1">
      <c r="A42" s="428" t="s">
        <v>65</v>
      </c>
      <c r="B42" s="130" t="s">
        <v>182</v>
      </c>
      <c r="C42" s="9" t="s">
        <v>328</v>
      </c>
      <c r="D42" s="1282">
        <v>16</v>
      </c>
      <c r="E42" s="1312">
        <f>SUM(E43:E45)</f>
        <v>64660655</v>
      </c>
      <c r="F42" s="1312">
        <f>SUM(F43:F45)</f>
        <v>62675906</v>
      </c>
      <c r="G42" s="1312">
        <f>SUM(G43:G45)</f>
        <v>62675906</v>
      </c>
      <c r="H42" s="1312">
        <f>SUM(H43:H45)</f>
        <v>62675906</v>
      </c>
    </row>
    <row r="43" spans="1:8" ht="12.75" customHeight="1">
      <c r="A43" s="430" t="s">
        <v>92</v>
      </c>
      <c r="B43" s="133"/>
      <c r="C43" s="17" t="s">
        <v>250</v>
      </c>
      <c r="D43" s="1282"/>
      <c r="E43" s="1313">
        <v>53356156</v>
      </c>
      <c r="F43" s="1313">
        <v>51801670</v>
      </c>
      <c r="G43" s="1313">
        <v>51801670</v>
      </c>
      <c r="H43" s="1313">
        <v>51801670</v>
      </c>
    </row>
    <row r="44" spans="1:8" ht="12.75" customHeight="1">
      <c r="A44" s="430" t="s">
        <v>66</v>
      </c>
      <c r="B44" s="133"/>
      <c r="C44" s="17" t="s">
        <v>251</v>
      </c>
      <c r="D44" s="1282"/>
      <c r="E44" s="1313">
        <v>9863094</v>
      </c>
      <c r="F44" s="1313">
        <v>9432831</v>
      </c>
      <c r="G44" s="1313">
        <v>9432831</v>
      </c>
      <c r="H44" s="1313">
        <v>9432831</v>
      </c>
    </row>
    <row r="45" spans="1:8" ht="12.75" customHeight="1">
      <c r="A45" s="430" t="s">
        <v>67</v>
      </c>
      <c r="B45" s="133"/>
      <c r="C45" s="17" t="s">
        <v>252</v>
      </c>
      <c r="D45" s="1282"/>
      <c r="E45" s="1313">
        <v>1441405</v>
      </c>
      <c r="F45" s="1313">
        <v>1441405</v>
      </c>
      <c r="G45" s="1313">
        <v>1441405</v>
      </c>
      <c r="H45" s="1313">
        <v>1441405</v>
      </c>
    </row>
    <row r="46" spans="1:8" s="114" customFormat="1" ht="12.75" customHeight="1">
      <c r="A46" s="1097" t="s">
        <v>68</v>
      </c>
      <c r="B46" s="1098"/>
      <c r="C46" s="57" t="s">
        <v>956</v>
      </c>
      <c r="D46" s="1305"/>
      <c r="E46" s="1317">
        <v>300000</v>
      </c>
      <c r="F46" s="1317">
        <v>60000</v>
      </c>
      <c r="G46" s="1317">
        <v>60000</v>
      </c>
      <c r="H46" s="1317">
        <v>150000</v>
      </c>
    </row>
    <row r="47" spans="1:8" ht="12.75" customHeight="1">
      <c r="A47" s="430" t="s">
        <v>70</v>
      </c>
      <c r="B47" s="133"/>
      <c r="C47" s="17" t="s">
        <v>15</v>
      </c>
      <c r="D47" s="1282"/>
      <c r="E47" s="1313">
        <v>0</v>
      </c>
      <c r="F47" s="1313"/>
      <c r="G47" s="1313"/>
      <c r="H47" s="1313"/>
    </row>
    <row r="48" spans="1:8" s="10" customFormat="1" ht="12.75" customHeight="1">
      <c r="A48" s="428" t="s">
        <v>97</v>
      </c>
      <c r="B48" s="130" t="s">
        <v>183</v>
      </c>
      <c r="C48" s="9" t="s">
        <v>487</v>
      </c>
      <c r="D48" s="1282"/>
      <c r="E48" s="1312">
        <f>SUM(E49:E51)</f>
        <v>394000</v>
      </c>
      <c r="F48" s="1312">
        <f>SUM(F49:F51)</f>
        <v>0</v>
      </c>
      <c r="G48" s="1312">
        <f>SUM(G49:G51)</f>
        <v>0</v>
      </c>
      <c r="H48" s="1312">
        <f>SUM(H49:H51)</f>
        <v>0</v>
      </c>
    </row>
    <row r="49" spans="1:8" ht="12.75" customHeight="1">
      <c r="A49" s="430" t="s">
        <v>99</v>
      </c>
      <c r="B49" s="133"/>
      <c r="C49" s="17" t="s">
        <v>250</v>
      </c>
      <c r="D49" s="1282"/>
      <c r="E49" s="1313">
        <v>330000</v>
      </c>
      <c r="F49" s="1313"/>
      <c r="G49" s="1313"/>
      <c r="H49" s="1313"/>
    </row>
    <row r="50" spans="1:8" ht="12.75" customHeight="1">
      <c r="A50" s="430" t="s">
        <v>101</v>
      </c>
      <c r="B50" s="133"/>
      <c r="C50" s="17" t="s">
        <v>251</v>
      </c>
      <c r="D50" s="1282"/>
      <c r="E50" s="1313">
        <v>64000</v>
      </c>
      <c r="F50" s="1313"/>
      <c r="G50" s="1313"/>
      <c r="H50" s="1313"/>
    </row>
    <row r="51" spans="1:8" ht="12.75" customHeight="1">
      <c r="A51" s="430" t="s">
        <v>103</v>
      </c>
      <c r="B51" s="133"/>
      <c r="C51" s="17" t="s">
        <v>252</v>
      </c>
      <c r="D51" s="1282"/>
      <c r="E51" s="1313">
        <v>0</v>
      </c>
      <c r="F51" s="1313">
        <v>0</v>
      </c>
      <c r="G51" s="1313">
        <v>0</v>
      </c>
      <c r="H51" s="1313">
        <v>0</v>
      </c>
    </row>
    <row r="52" spans="1:8" ht="12.75" customHeight="1">
      <c r="A52" s="428" t="s">
        <v>105</v>
      </c>
      <c r="B52" s="130" t="s">
        <v>184</v>
      </c>
      <c r="C52" s="9" t="s">
        <v>334</v>
      </c>
      <c r="D52" s="1282"/>
      <c r="E52" s="1312">
        <f>SUM(E53:E55)</f>
        <v>13206641</v>
      </c>
      <c r="F52" s="1312">
        <f>SUM(F53:F55)</f>
        <v>15594465</v>
      </c>
      <c r="G52" s="1312">
        <f>SUM(G53:G55)</f>
        <v>15629711</v>
      </c>
      <c r="H52" s="1312">
        <f>SUM(H53:H55)</f>
        <v>15629711</v>
      </c>
    </row>
    <row r="53" spans="1:8" ht="12.75" customHeight="1">
      <c r="A53" s="430" t="s">
        <v>107</v>
      </c>
      <c r="B53" s="133"/>
      <c r="C53" s="17" t="s">
        <v>250</v>
      </c>
      <c r="D53" s="1282">
        <v>3</v>
      </c>
      <c r="E53" s="1313">
        <v>10350140</v>
      </c>
      <c r="F53" s="1313">
        <v>12647110</v>
      </c>
      <c r="G53" s="1313">
        <v>12647110</v>
      </c>
      <c r="H53" s="1313">
        <v>12647110</v>
      </c>
    </row>
    <row r="54" spans="1:8" ht="12.75" customHeight="1">
      <c r="A54" s="430" t="s">
        <v>109</v>
      </c>
      <c r="B54" s="133"/>
      <c r="C54" s="17" t="s">
        <v>251</v>
      </c>
      <c r="D54" s="1282"/>
      <c r="E54" s="1313">
        <v>2170318</v>
      </c>
      <c r="F54" s="1313">
        <v>2257355</v>
      </c>
      <c r="G54" s="1313">
        <v>2257355</v>
      </c>
      <c r="H54" s="1313">
        <v>2257355</v>
      </c>
    </row>
    <row r="55" spans="1:8" ht="12.75" customHeight="1">
      <c r="A55" s="430" t="s">
        <v>111</v>
      </c>
      <c r="B55" s="133"/>
      <c r="C55" s="17" t="s">
        <v>252</v>
      </c>
      <c r="D55" s="1282"/>
      <c r="E55" s="1313">
        <v>686183</v>
      </c>
      <c r="F55" s="1313">
        <v>690000</v>
      </c>
      <c r="G55" s="1313">
        <v>725246</v>
      </c>
      <c r="H55" s="1313">
        <v>725246</v>
      </c>
    </row>
    <row r="56" spans="1:8" ht="12.75" customHeight="1">
      <c r="A56" s="428" t="s">
        <v>113</v>
      </c>
      <c r="B56" s="130" t="s">
        <v>186</v>
      </c>
      <c r="C56" s="9" t="s">
        <v>339</v>
      </c>
      <c r="D56" s="1282">
        <v>7</v>
      </c>
      <c r="E56" s="1312">
        <f>SUM(E57:E59)</f>
        <v>20133362</v>
      </c>
      <c r="F56" s="1312">
        <f>SUM(F57:F59)</f>
        <v>23890051</v>
      </c>
      <c r="G56" s="1312">
        <f>SUM(G57:G59)</f>
        <v>23908851</v>
      </c>
      <c r="H56" s="1312">
        <f>SUM(H57:H59)</f>
        <v>23908851</v>
      </c>
    </row>
    <row r="57" spans="1:8" ht="12.75" customHeight="1">
      <c r="A57" s="430" t="s">
        <v>115</v>
      </c>
      <c r="B57" s="133"/>
      <c r="C57" s="17" t="s">
        <v>250</v>
      </c>
      <c r="D57" s="1282"/>
      <c r="E57" s="1313">
        <v>15644463</v>
      </c>
      <c r="F57" s="1313">
        <v>19090690</v>
      </c>
      <c r="G57" s="1313">
        <v>19106690</v>
      </c>
      <c r="H57" s="1313">
        <v>19106690</v>
      </c>
    </row>
    <row r="58" spans="1:8" ht="12.75" customHeight="1">
      <c r="A58" s="430" t="s">
        <v>117</v>
      </c>
      <c r="B58" s="133"/>
      <c r="C58" s="17" t="s">
        <v>251</v>
      </c>
      <c r="D58" s="1281"/>
      <c r="E58" s="1313">
        <v>3188899</v>
      </c>
      <c r="F58" s="1313">
        <v>3499361</v>
      </c>
      <c r="G58" s="1313">
        <v>3502161</v>
      </c>
      <c r="H58" s="1313">
        <v>3502161</v>
      </c>
    </row>
    <row r="59" spans="1:8" ht="12.75" customHeight="1">
      <c r="A59" s="430" t="s">
        <v>118</v>
      </c>
      <c r="B59" s="133"/>
      <c r="C59" s="17" t="s">
        <v>624</v>
      </c>
      <c r="D59" s="1281"/>
      <c r="E59" s="1313">
        <v>1300000</v>
      </c>
      <c r="F59" s="1313">
        <v>1300000</v>
      </c>
      <c r="G59" s="1313">
        <v>1300000</v>
      </c>
      <c r="H59" s="1313">
        <v>1300000</v>
      </c>
    </row>
    <row r="60" spans="1:8" s="114" customFormat="1" ht="12.75" customHeight="1">
      <c r="A60" s="1097" t="s">
        <v>120</v>
      </c>
      <c r="B60" s="1098"/>
      <c r="C60" s="57" t="s">
        <v>955</v>
      </c>
      <c r="D60" s="1306"/>
      <c r="E60" s="1317">
        <v>240000</v>
      </c>
      <c r="F60" s="1317">
        <v>0</v>
      </c>
      <c r="G60" s="1317">
        <v>0</v>
      </c>
      <c r="H60" s="1317">
        <v>90000</v>
      </c>
    </row>
    <row r="61" spans="1:8" ht="12.75" customHeight="1">
      <c r="A61" s="430" t="s">
        <v>122</v>
      </c>
      <c r="B61" s="133"/>
      <c r="C61" s="17" t="s">
        <v>15</v>
      </c>
      <c r="D61" s="1281"/>
      <c r="E61" s="1313">
        <v>0</v>
      </c>
      <c r="F61" s="1313">
        <v>0</v>
      </c>
      <c r="G61" s="1313">
        <v>0</v>
      </c>
      <c r="H61" s="1313">
        <v>0</v>
      </c>
    </row>
    <row r="62" spans="1:8" ht="12.75" customHeight="1">
      <c r="A62" s="428" t="s">
        <v>124</v>
      </c>
      <c r="B62" s="130" t="s">
        <v>189</v>
      </c>
      <c r="C62" s="9" t="s">
        <v>345</v>
      </c>
      <c r="D62" s="1282">
        <v>0</v>
      </c>
      <c r="E62" s="1312">
        <f>SUM(E63:E67)</f>
        <v>4656232</v>
      </c>
      <c r="F62" s="1312">
        <f>SUM(F63+F64+F65+F67)</f>
        <v>4500000</v>
      </c>
      <c r="G62" s="1312">
        <f>SUM(G63+G64+G65+G67)</f>
        <v>4059000</v>
      </c>
      <c r="H62" s="1312">
        <f>SUM(H63+H64+H65+H67)</f>
        <v>4059034</v>
      </c>
    </row>
    <row r="63" spans="1:8" ht="12.75" customHeight="1">
      <c r="A63" s="430" t="s">
        <v>126</v>
      </c>
      <c r="B63" s="133"/>
      <c r="C63" s="17" t="s">
        <v>488</v>
      </c>
      <c r="D63" s="1281"/>
      <c r="E63" s="1313">
        <v>500000</v>
      </c>
      <c r="F63" s="1313">
        <v>0</v>
      </c>
      <c r="G63" s="1313">
        <v>0</v>
      </c>
      <c r="H63" s="1313">
        <v>0</v>
      </c>
    </row>
    <row r="64" spans="1:8" ht="12.75" customHeight="1">
      <c r="A64" s="430" t="s">
        <v>128</v>
      </c>
      <c r="B64" s="133"/>
      <c r="C64" s="17" t="s">
        <v>1107</v>
      </c>
      <c r="D64" s="1281"/>
      <c r="E64" s="1313">
        <v>97500</v>
      </c>
      <c r="F64" s="1313">
        <v>0</v>
      </c>
      <c r="G64" s="1313">
        <v>0</v>
      </c>
      <c r="H64" s="1313">
        <v>0</v>
      </c>
    </row>
    <row r="65" spans="1:8" ht="12.75" customHeight="1">
      <c r="A65" s="430" t="s">
        <v>130</v>
      </c>
      <c r="B65" s="133"/>
      <c r="C65" s="17" t="s">
        <v>1108</v>
      </c>
      <c r="D65" s="1281"/>
      <c r="E65" s="1313">
        <v>3251110</v>
      </c>
      <c r="F65" s="1313">
        <v>4000000</v>
      </c>
      <c r="G65" s="1313">
        <v>3559000</v>
      </c>
      <c r="H65" s="1313">
        <v>3559034</v>
      </c>
    </row>
    <row r="66" spans="1:8" s="114" customFormat="1" ht="12.75" customHeight="1">
      <c r="A66" s="1097" t="s">
        <v>131</v>
      </c>
      <c r="B66" s="1452"/>
      <c r="C66" s="67" t="s">
        <v>1109</v>
      </c>
      <c r="D66" s="1453"/>
      <c r="E66" s="1454"/>
      <c r="F66" s="1454">
        <v>30000</v>
      </c>
      <c r="G66" s="1454">
        <v>30000</v>
      </c>
      <c r="H66" s="1454">
        <v>30000</v>
      </c>
    </row>
    <row r="67" spans="1:8" ht="12.75" customHeight="1" thickBot="1">
      <c r="A67" s="430" t="s">
        <v>133</v>
      </c>
      <c r="B67" s="178"/>
      <c r="C67" s="136" t="s">
        <v>15</v>
      </c>
      <c r="D67" s="1284"/>
      <c r="E67" s="1451">
        <v>807622</v>
      </c>
      <c r="F67" s="1451">
        <v>500000</v>
      </c>
      <c r="G67" s="1451">
        <v>500000</v>
      </c>
      <c r="H67" s="1451">
        <v>500000</v>
      </c>
    </row>
    <row r="68" spans="1:55" s="426" customFormat="1" ht="24" customHeight="1" thickBot="1">
      <c r="A68" s="436" t="s">
        <v>135</v>
      </c>
      <c r="B68" s="71" t="s">
        <v>191</v>
      </c>
      <c r="C68" s="72" t="s">
        <v>490</v>
      </c>
      <c r="D68" s="1307">
        <v>27</v>
      </c>
      <c r="E68" s="1318">
        <f>SUM(E30+E34+E42+E52+E56+E62)+E48+E38</f>
        <v>126778064</v>
      </c>
      <c r="F68" s="1318">
        <f>SUM(F30+F34+F42+F52+F56+F62)+F48+F38</f>
        <v>130626828</v>
      </c>
      <c r="G68" s="1318">
        <f>SUM(G30+G34+G42+G52+G56+G62)+G48+G38</f>
        <v>125047485</v>
      </c>
      <c r="H68" s="1318">
        <f>SUM(H30+H34+H42+H52+H56+H62)+H48+H38</f>
        <v>125334519</v>
      </c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</row>
    <row r="69" spans="1:55" s="6" customFormat="1" ht="12.75" customHeight="1">
      <c r="A69" s="430" t="s">
        <v>137</v>
      </c>
      <c r="B69" s="179"/>
      <c r="C69" s="180" t="s">
        <v>250</v>
      </c>
      <c r="D69" s="1308"/>
      <c r="E69" s="1319">
        <f>SUM(E31+E35+E43+E53+E57)+E49+E63</f>
        <v>82862658</v>
      </c>
      <c r="F69" s="1319">
        <f>SUM(F31+F35+F43+F53+F57)+F49+F63</f>
        <v>86470333</v>
      </c>
      <c r="G69" s="1319">
        <f>SUM(G31+G35+G43+G53+G57)+G49+G63</f>
        <v>86486333</v>
      </c>
      <c r="H69" s="1319">
        <f>SUM(H31+H35+H43+H53+H57)+H49+H63</f>
        <v>86486333</v>
      </c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</row>
    <row r="70" spans="1:55" s="6" customFormat="1" ht="12.75" customHeight="1">
      <c r="A70" s="430" t="s">
        <v>139</v>
      </c>
      <c r="B70" s="145"/>
      <c r="C70" s="147" t="s">
        <v>251</v>
      </c>
      <c r="D70" s="1184"/>
      <c r="E70" s="920">
        <f>SUM(E32+E44+E54+E58)+E36+E50+E64</f>
        <v>15929086</v>
      </c>
      <c r="F70" s="920">
        <f>SUM(F32+F44+F54+F58)+F36+F50+F64</f>
        <v>15725090</v>
      </c>
      <c r="G70" s="920">
        <f>SUM(G32+G44+G54+G58)+G36+G50+G64</f>
        <v>15727890</v>
      </c>
      <c r="H70" s="920">
        <f>SUM(H32+H44+H54+H58)+H36+H50+H64</f>
        <v>15727890</v>
      </c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</row>
    <row r="71" spans="1:55" s="6" customFormat="1" ht="12.75" customHeight="1">
      <c r="A71" s="430" t="s">
        <v>141</v>
      </c>
      <c r="B71" s="145"/>
      <c r="C71" s="147" t="s">
        <v>252</v>
      </c>
      <c r="D71" s="1184"/>
      <c r="E71" s="920">
        <f>SUM(E33+E37+E45+E55+E59+E65)</f>
        <v>27178698</v>
      </c>
      <c r="F71" s="920">
        <f>SUM(F33+F37+F45+F55+F59+F65)</f>
        <v>27931405</v>
      </c>
      <c r="G71" s="920">
        <f>SUM(G33+G37+G45+G55+G59+G65)</f>
        <v>22333262</v>
      </c>
      <c r="H71" s="920">
        <f>SUM(H33+H37+H45+H55+H59+H65)</f>
        <v>22620296</v>
      </c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</row>
    <row r="72" spans="1:55" s="6" customFormat="1" ht="18.75" customHeight="1">
      <c r="A72" s="775" t="s">
        <v>143</v>
      </c>
      <c r="B72" s="776"/>
      <c r="C72" s="777" t="s">
        <v>15</v>
      </c>
      <c r="D72" s="1185"/>
      <c r="E72" s="1180">
        <f>SUM(E61+E67)+E47</f>
        <v>807622</v>
      </c>
      <c r="F72" s="1180">
        <f>SUM(F61+F67)+F47</f>
        <v>500000</v>
      </c>
      <c r="G72" s="1180">
        <f>SUM(G61+G67)+G47</f>
        <v>500000</v>
      </c>
      <c r="H72" s="1180">
        <f>SUM(H61+H67)+H47</f>
        <v>500000</v>
      </c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</row>
    <row r="73" spans="1:8" s="783" customFormat="1" ht="12.75" customHeight="1">
      <c r="A73" s="781" t="s">
        <v>145</v>
      </c>
      <c r="B73" s="781"/>
      <c r="C73" s="782" t="s">
        <v>781</v>
      </c>
      <c r="D73" s="1186"/>
      <c r="E73" s="1181">
        <f>SUM(E72)</f>
        <v>807622</v>
      </c>
      <c r="F73" s="1181">
        <f>SUM(F72)</f>
        <v>500000</v>
      </c>
      <c r="G73" s="1181">
        <f>SUM(G72)</f>
        <v>500000</v>
      </c>
      <c r="H73" s="1181">
        <f>SUM(H72)</f>
        <v>500000</v>
      </c>
    </row>
    <row r="74" spans="1:8" s="515" customFormat="1" ht="12.75" customHeight="1" thickBot="1">
      <c r="A74" s="746" t="s">
        <v>147</v>
      </c>
      <c r="B74" s="746"/>
      <c r="C74" s="746" t="s">
        <v>782</v>
      </c>
      <c r="D74" s="1309"/>
      <c r="E74" s="1182"/>
      <c r="F74" s="1182"/>
      <c r="G74" s="1182"/>
      <c r="H74" s="1182"/>
    </row>
  </sheetData>
  <sheetProtection selectLockedCells="1" selectUnlockedCells="1"/>
  <mergeCells count="40">
    <mergeCell ref="D3:F3"/>
    <mergeCell ref="A4:H4"/>
    <mergeCell ref="A2:H2"/>
    <mergeCell ref="A1:H1"/>
    <mergeCell ref="A11:B11"/>
    <mergeCell ref="A12:B12"/>
    <mergeCell ref="C20:D20"/>
    <mergeCell ref="A18:B18"/>
    <mergeCell ref="A20:B20"/>
    <mergeCell ref="A19:B19"/>
    <mergeCell ref="C12:D12"/>
    <mergeCell ref="A7:B8"/>
    <mergeCell ref="A9:B9"/>
    <mergeCell ref="C23:D23"/>
    <mergeCell ref="C18:D18"/>
    <mergeCell ref="C17:D17"/>
    <mergeCell ref="A15:B15"/>
    <mergeCell ref="A16:B16"/>
    <mergeCell ref="C21:D21"/>
    <mergeCell ref="C9:D9"/>
    <mergeCell ref="C10:D10"/>
    <mergeCell ref="C24:D24"/>
    <mergeCell ref="C25:D25"/>
    <mergeCell ref="A26:B26"/>
    <mergeCell ref="C11:D11"/>
    <mergeCell ref="A21:B21"/>
    <mergeCell ref="C14:D14"/>
    <mergeCell ref="A14:B14"/>
    <mergeCell ref="C19:D19"/>
    <mergeCell ref="A17:B17"/>
    <mergeCell ref="A10:B10"/>
    <mergeCell ref="C13:D13"/>
    <mergeCell ref="A13:B13"/>
    <mergeCell ref="A28:B29"/>
    <mergeCell ref="A22:B22"/>
    <mergeCell ref="A23:B23"/>
    <mergeCell ref="A24:B24"/>
    <mergeCell ref="A25:B25"/>
    <mergeCell ref="C22:D22"/>
    <mergeCell ref="C26:D26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45"/>
  <sheetViews>
    <sheetView view="pageBreakPreview" zoomScaleSheetLayoutView="100" zoomScalePageLayoutView="0" workbookViewId="0" topLeftCell="A1">
      <selection activeCell="G11" sqref="G11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8" width="17.421875" style="52" customWidth="1"/>
  </cols>
  <sheetData>
    <row r="1" spans="1:8" s="168" customFormat="1" ht="18" customHeight="1">
      <c r="A1" s="1935" t="s">
        <v>491</v>
      </c>
      <c r="B1" s="1935"/>
      <c r="C1" s="1935"/>
      <c r="D1" s="1935"/>
      <c r="E1" s="1935"/>
      <c r="F1" s="1935"/>
      <c r="G1" s="1935"/>
      <c r="H1" s="1935"/>
    </row>
    <row r="2" spans="1:8" ht="15" customHeight="1">
      <c r="A2" s="1936" t="s">
        <v>1259</v>
      </c>
      <c r="B2" s="1936"/>
      <c r="C2" s="1936"/>
      <c r="D2" s="1936"/>
      <c r="E2" s="1936"/>
      <c r="F2" s="1936"/>
      <c r="G2" s="1936"/>
      <c r="H2"/>
    </row>
    <row r="3" spans="3:8" s="342" customFormat="1" ht="15">
      <c r="C3" s="2207" t="s">
        <v>1261</v>
      </c>
      <c r="D3" s="2207"/>
      <c r="E3" s="2207"/>
      <c r="F3" s="2207"/>
      <c r="G3" s="2208"/>
      <c r="H3" s="2208" t="s">
        <v>1264</v>
      </c>
    </row>
    <row r="4" spans="1:8" ht="21" customHeight="1">
      <c r="A4" s="1934" t="s">
        <v>1078</v>
      </c>
      <c r="B4" s="1934"/>
      <c r="C4" s="1934"/>
      <c r="D4" s="1934"/>
      <c r="E4" s="1934"/>
      <c r="F4" s="1934"/>
      <c r="G4" s="1934"/>
      <c r="H4"/>
    </row>
    <row r="5" spans="3:4" ht="21" customHeight="1">
      <c r="C5" s="182"/>
      <c r="D5" s="182"/>
    </row>
    <row r="6" spans="5:8" ht="12.75" customHeight="1" thickBot="1">
      <c r="E6" s="852"/>
      <c r="F6" s="852"/>
      <c r="G6" s="852"/>
      <c r="H6" s="852" t="s">
        <v>214</v>
      </c>
    </row>
    <row r="7" spans="1:8" ht="38.25" customHeight="1" thickBot="1">
      <c r="A7" s="1929" t="s">
        <v>156</v>
      </c>
      <c r="B7" s="1930"/>
      <c r="C7" s="1931" t="s">
        <v>157</v>
      </c>
      <c r="D7" s="1931"/>
      <c r="E7" s="1357" t="s">
        <v>1076</v>
      </c>
      <c r="F7" s="1357" t="s">
        <v>1077</v>
      </c>
      <c r="G7" s="1357" t="s">
        <v>1165</v>
      </c>
      <c r="H7" s="1357" t="s">
        <v>1186</v>
      </c>
    </row>
    <row r="8" spans="1:8" ht="12.75" customHeight="1" thickBot="1">
      <c r="A8" s="1952" t="s">
        <v>158</v>
      </c>
      <c r="B8" s="1953"/>
      <c r="C8" s="1358" t="s">
        <v>159</v>
      </c>
      <c r="D8" s="1359"/>
      <c r="E8" s="1360" t="s">
        <v>160</v>
      </c>
      <c r="F8" s="1360" t="s">
        <v>161</v>
      </c>
      <c r="G8" s="1360" t="s">
        <v>456</v>
      </c>
      <c r="H8" s="1360" t="s">
        <v>476</v>
      </c>
    </row>
    <row r="9" spans="1:8" s="10" customFormat="1" ht="26.25" customHeight="1">
      <c r="A9" s="1932" t="s">
        <v>38</v>
      </c>
      <c r="B9" s="1933"/>
      <c r="C9" s="1943" t="s">
        <v>1034</v>
      </c>
      <c r="D9" s="1944"/>
      <c r="E9" s="1361">
        <v>56273</v>
      </c>
      <c r="F9" s="1361"/>
      <c r="G9" s="1361"/>
      <c r="H9" s="1361"/>
    </row>
    <row r="10" spans="1:8" s="10" customFormat="1" ht="12.75" customHeight="1">
      <c r="A10" s="1954" t="s">
        <v>40</v>
      </c>
      <c r="B10" s="1955"/>
      <c r="C10" s="473" t="s">
        <v>78</v>
      </c>
      <c r="D10" s="272"/>
      <c r="E10" s="820">
        <f>SUM(E11:E13)</f>
        <v>1277049</v>
      </c>
      <c r="F10" s="820">
        <f>SUM(F11:F13)</f>
        <v>1277000</v>
      </c>
      <c r="G10" s="820">
        <f>SUM(G11:G13)</f>
        <v>350000</v>
      </c>
      <c r="H10" s="820">
        <f>SUM(H11:H13)</f>
        <v>400020</v>
      </c>
    </row>
    <row r="11" spans="1:8" s="277" customFormat="1" ht="12.75" customHeight="1">
      <c r="A11" s="1884" t="s">
        <v>47</v>
      </c>
      <c r="B11" s="1884"/>
      <c r="C11" s="824" t="s">
        <v>631</v>
      </c>
      <c r="D11" s="635"/>
      <c r="E11" s="413">
        <v>1277000</v>
      </c>
      <c r="F11" s="413">
        <v>1277000</v>
      </c>
      <c r="G11" s="413">
        <v>350000</v>
      </c>
      <c r="H11" s="413">
        <v>400000</v>
      </c>
    </row>
    <row r="12" spans="1:8" s="277" customFormat="1" ht="12.75" customHeight="1">
      <c r="A12" s="1945" t="s">
        <v>49</v>
      </c>
      <c r="B12" s="1918"/>
      <c r="C12" s="824" t="s">
        <v>786</v>
      </c>
      <c r="D12" s="635"/>
      <c r="E12" s="413">
        <v>0</v>
      </c>
      <c r="F12" s="413">
        <v>0</v>
      </c>
      <c r="G12" s="413">
        <v>0</v>
      </c>
      <c r="H12" s="413">
        <v>0</v>
      </c>
    </row>
    <row r="13" spans="1:8" s="277" customFormat="1" ht="12.75" customHeight="1">
      <c r="A13" s="1945" t="s">
        <v>51</v>
      </c>
      <c r="B13" s="1918"/>
      <c r="C13" s="824" t="s">
        <v>787</v>
      </c>
      <c r="D13" s="635"/>
      <c r="E13" s="413">
        <v>49</v>
      </c>
      <c r="F13" s="413">
        <v>0</v>
      </c>
      <c r="G13" s="413">
        <v>0</v>
      </c>
      <c r="H13" s="413">
        <v>20</v>
      </c>
    </row>
    <row r="14" spans="1:8" ht="19.5" customHeight="1" thickBot="1">
      <c r="A14" s="1956" t="s">
        <v>53</v>
      </c>
      <c r="B14" s="1957"/>
      <c r="C14" s="821" t="s">
        <v>479</v>
      </c>
      <c r="D14" s="822"/>
      <c r="E14" s="823">
        <f>SUM(E10)+E9</f>
        <v>1333322</v>
      </c>
      <c r="F14" s="823">
        <f>SUM(F10)+F9</f>
        <v>1277000</v>
      </c>
      <c r="G14" s="823">
        <f>SUM(G10)+G9</f>
        <v>350000</v>
      </c>
      <c r="H14" s="823">
        <f>SUM(H10)+H9</f>
        <v>400020</v>
      </c>
    </row>
    <row r="15" spans="1:8" ht="12.75" customHeight="1">
      <c r="A15" s="1958" t="s">
        <v>55</v>
      </c>
      <c r="B15" s="1959"/>
      <c r="C15" s="171" t="s">
        <v>492</v>
      </c>
      <c r="D15" s="447"/>
      <c r="E15" s="448">
        <f>SUM(E16:E17)</f>
        <v>24938230</v>
      </c>
      <c r="F15" s="448">
        <f>SUM(F16:F17)</f>
        <v>26630663</v>
      </c>
      <c r="G15" s="448">
        <f>SUM(G16:G17)</f>
        <v>23673049</v>
      </c>
      <c r="H15" s="448">
        <f>SUM(H16:H17)</f>
        <v>23903819</v>
      </c>
    </row>
    <row r="16" spans="1:8" ht="12.75" customHeight="1">
      <c r="A16" s="1946" t="s">
        <v>57</v>
      </c>
      <c r="B16" s="1947"/>
      <c r="C16" s="183" t="s">
        <v>481</v>
      </c>
      <c r="D16" s="184"/>
      <c r="E16" s="445">
        <v>5050082</v>
      </c>
      <c r="F16" s="445">
        <v>4357233</v>
      </c>
      <c r="G16" s="445">
        <v>4472619</v>
      </c>
      <c r="H16" s="445">
        <v>6201079</v>
      </c>
    </row>
    <row r="17" spans="1:8" ht="12.75" customHeight="1">
      <c r="A17" s="1960" t="s">
        <v>86</v>
      </c>
      <c r="B17" s="1961"/>
      <c r="C17" s="185" t="s">
        <v>482</v>
      </c>
      <c r="D17" s="173"/>
      <c r="E17" s="446">
        <v>19888148</v>
      </c>
      <c r="F17" s="446">
        <v>22273430</v>
      </c>
      <c r="G17" s="446">
        <v>19200430</v>
      </c>
      <c r="H17" s="446">
        <v>17702740</v>
      </c>
    </row>
    <row r="18" spans="1:8" ht="12.75" customHeight="1" thickBot="1">
      <c r="A18" s="1960" t="s">
        <v>59</v>
      </c>
      <c r="B18" s="1961"/>
      <c r="C18" s="1942" t="s">
        <v>235</v>
      </c>
      <c r="D18" s="1942"/>
      <c r="E18" s="597">
        <v>321658</v>
      </c>
      <c r="F18" s="597">
        <v>269743</v>
      </c>
      <c r="G18" s="597">
        <v>269743</v>
      </c>
      <c r="H18" s="597">
        <v>269743</v>
      </c>
    </row>
    <row r="19" spans="1:8" ht="18" customHeight="1" thickBot="1">
      <c r="A19" s="1940" t="s">
        <v>61</v>
      </c>
      <c r="B19" s="1941"/>
      <c r="C19" s="1937" t="s">
        <v>493</v>
      </c>
      <c r="D19" s="1937"/>
      <c r="E19" s="449">
        <f>SUM(E15+E18)</f>
        <v>25259888</v>
      </c>
      <c r="F19" s="449">
        <f>SUM(F15+F18)</f>
        <v>26900406</v>
      </c>
      <c r="G19" s="449">
        <f>SUM(G15+G18)</f>
        <v>23942792</v>
      </c>
      <c r="H19" s="449">
        <f>SUM(H15+H18)</f>
        <v>24173562</v>
      </c>
    </row>
    <row r="20" spans="1:8" s="342" customFormat="1" ht="16.5" thickBot="1">
      <c r="A20" s="1938" t="s">
        <v>63</v>
      </c>
      <c r="B20" s="1939"/>
      <c r="C20" s="450" t="s">
        <v>116</v>
      </c>
      <c r="D20" s="451"/>
      <c r="E20" s="452">
        <f>SUM(E10+E15+E18)+E9</f>
        <v>26593210</v>
      </c>
      <c r="F20" s="452">
        <f>SUM(F10+F15+F18)+F9</f>
        <v>28177406</v>
      </c>
      <c r="G20" s="452">
        <f>SUM(G10+G15+G18)+G9</f>
        <v>24292792</v>
      </c>
      <c r="H20" s="452">
        <f>SUM(H10+H15+H18)+H9</f>
        <v>24573582</v>
      </c>
    </row>
    <row r="21" spans="3:8" ht="12.75" customHeight="1" thickBot="1">
      <c r="C21" s="64"/>
      <c r="D21" s="64"/>
      <c r="E21" s="127"/>
      <c r="F21" s="127"/>
      <c r="G21" s="127"/>
      <c r="H21" s="127"/>
    </row>
    <row r="22" spans="1:8" ht="49.5" customHeight="1" thickBot="1">
      <c r="A22" s="1948" t="s">
        <v>156</v>
      </c>
      <c r="B22" s="1949"/>
      <c r="C22" s="356" t="s">
        <v>119</v>
      </c>
      <c r="D22" s="457" t="s">
        <v>494</v>
      </c>
      <c r="E22" s="444" t="s">
        <v>1076</v>
      </c>
      <c r="F22" s="444" t="s">
        <v>1077</v>
      </c>
      <c r="G22" s="444" t="s">
        <v>1165</v>
      </c>
      <c r="H22" s="444" t="s">
        <v>1186</v>
      </c>
    </row>
    <row r="23" spans="1:8" ht="12.75" customHeight="1" thickBot="1">
      <c r="A23" s="1950"/>
      <c r="B23" s="1951"/>
      <c r="C23" s="468" t="s">
        <v>158</v>
      </c>
      <c r="D23" s="326" t="s">
        <v>159</v>
      </c>
      <c r="E23" s="359" t="s">
        <v>160</v>
      </c>
      <c r="F23" s="359" t="s">
        <v>161</v>
      </c>
      <c r="G23" s="359" t="s">
        <v>456</v>
      </c>
      <c r="H23" s="359" t="s">
        <v>476</v>
      </c>
    </row>
    <row r="24" spans="1:8" ht="12.75" customHeight="1">
      <c r="A24" s="464" t="s">
        <v>38</v>
      </c>
      <c r="B24" s="465" t="s">
        <v>164</v>
      </c>
      <c r="C24" s="466" t="s">
        <v>359</v>
      </c>
      <c r="D24" s="467">
        <v>5</v>
      </c>
      <c r="E24" s="440">
        <f>SUM(E25+E26+E27+E30)</f>
        <v>25147344</v>
      </c>
      <c r="F24" s="440">
        <f>SUM(F25+F26+F27+F30)</f>
        <v>26857406</v>
      </c>
      <c r="G24" s="440">
        <f>SUM(G25+G26+G27+G30)</f>
        <v>22972792</v>
      </c>
      <c r="H24" s="440">
        <f>SUM(H25+H26+H27+H30)</f>
        <v>23253582</v>
      </c>
    </row>
    <row r="25" spans="1:8" ht="12.75" customHeight="1">
      <c r="A25" s="459" t="s">
        <v>40</v>
      </c>
      <c r="B25" s="295"/>
      <c r="C25" s="296" t="s">
        <v>250</v>
      </c>
      <c r="D25" s="454"/>
      <c r="E25" s="460">
        <v>11818516</v>
      </c>
      <c r="F25" s="460">
        <v>11927834</v>
      </c>
      <c r="G25" s="460">
        <v>12026035</v>
      </c>
      <c r="H25" s="460">
        <v>12222435</v>
      </c>
    </row>
    <row r="26" spans="1:8" ht="12.75" customHeight="1">
      <c r="A26" s="459" t="s">
        <v>47</v>
      </c>
      <c r="B26" s="295"/>
      <c r="C26" s="296" t="s">
        <v>251</v>
      </c>
      <c r="D26" s="454"/>
      <c r="E26" s="460">
        <v>2031672</v>
      </c>
      <c r="F26" s="460">
        <v>2129572</v>
      </c>
      <c r="G26" s="460">
        <v>2146757</v>
      </c>
      <c r="H26" s="460">
        <v>2181127</v>
      </c>
    </row>
    <row r="27" spans="1:8" ht="12.75" customHeight="1">
      <c r="A27" s="459" t="s">
        <v>49</v>
      </c>
      <c r="B27" s="295"/>
      <c r="C27" s="296" t="s">
        <v>252</v>
      </c>
      <c r="D27" s="454"/>
      <c r="E27" s="460">
        <v>11297156</v>
      </c>
      <c r="F27" s="460">
        <v>12300000</v>
      </c>
      <c r="G27" s="460">
        <v>8300000</v>
      </c>
      <c r="H27" s="460">
        <v>8350020</v>
      </c>
    </row>
    <row r="28" spans="1:8" s="196" customFormat="1" ht="12.75" customHeight="1">
      <c r="A28" s="461" t="s">
        <v>51</v>
      </c>
      <c r="B28" s="455"/>
      <c r="C28" s="315" t="s">
        <v>633</v>
      </c>
      <c r="D28" s="456"/>
      <c r="E28" s="462">
        <v>4929886</v>
      </c>
      <c r="F28" s="462">
        <v>6000000</v>
      </c>
      <c r="G28" s="462">
        <v>3320000</v>
      </c>
      <c r="H28" s="462">
        <v>3320000</v>
      </c>
    </row>
    <row r="29" spans="1:8" s="196" customFormat="1" ht="12.75" customHeight="1">
      <c r="A29" s="461" t="s">
        <v>53</v>
      </c>
      <c r="B29" s="455"/>
      <c r="C29" s="315" t="s">
        <v>916</v>
      </c>
      <c r="D29" s="456"/>
      <c r="E29" s="462">
        <v>300000</v>
      </c>
      <c r="F29" s="462">
        <v>100000</v>
      </c>
      <c r="G29" s="462">
        <v>100000</v>
      </c>
      <c r="H29" s="462">
        <v>100000</v>
      </c>
    </row>
    <row r="30" spans="1:8" ht="12.75" customHeight="1">
      <c r="A30" s="459" t="s">
        <v>55</v>
      </c>
      <c r="B30" s="295"/>
      <c r="C30" s="296" t="s">
        <v>249</v>
      </c>
      <c r="D30" s="454"/>
      <c r="E30" s="460">
        <f>SUM('6,7,8 Melléklet'!I38+'6,7,8 Melléklet'!I39+'6,7,8 Melléklet'!I40+'6,7,8 Melléklet'!I41)</f>
        <v>0</v>
      </c>
      <c r="F30" s="460">
        <f>SUM('6,7,8 Melléklet'!D44)</f>
        <v>500000</v>
      </c>
      <c r="G30" s="460">
        <v>500000</v>
      </c>
      <c r="H30" s="460">
        <v>500000</v>
      </c>
    </row>
    <row r="31" spans="1:8" s="10" customFormat="1" ht="12.75" customHeight="1">
      <c r="A31" s="463" t="s">
        <v>57</v>
      </c>
      <c r="B31" s="396" t="s">
        <v>166</v>
      </c>
      <c r="C31" s="397" t="s">
        <v>495</v>
      </c>
      <c r="D31" s="424"/>
      <c r="E31" s="420">
        <f>SUM(E32:E34)</f>
        <v>210210</v>
      </c>
      <c r="F31" s="420">
        <f>SUM(F32:F34)</f>
        <v>220000</v>
      </c>
      <c r="G31" s="420">
        <f>SUM(G32:G34)</f>
        <v>220000</v>
      </c>
      <c r="H31" s="420">
        <f>SUM(H32:H34)</f>
        <v>220000</v>
      </c>
    </row>
    <row r="32" spans="1:8" ht="12.75" customHeight="1">
      <c r="A32" s="459" t="s">
        <v>86</v>
      </c>
      <c r="B32" s="295"/>
      <c r="C32" s="296" t="s">
        <v>250</v>
      </c>
      <c r="D32" s="454"/>
      <c r="E32" s="460">
        <v>0</v>
      </c>
      <c r="F32" s="460">
        <v>0</v>
      </c>
      <c r="G32" s="460">
        <v>0</v>
      </c>
      <c r="H32" s="460">
        <v>0</v>
      </c>
    </row>
    <row r="33" spans="1:8" ht="12.75" customHeight="1">
      <c r="A33" s="459" t="s">
        <v>59</v>
      </c>
      <c r="B33" s="295"/>
      <c r="C33" s="296" t="s">
        <v>251</v>
      </c>
      <c r="D33" s="454"/>
      <c r="E33" s="460">
        <v>0</v>
      </c>
      <c r="F33" s="460">
        <v>0</v>
      </c>
      <c r="G33" s="460">
        <v>0</v>
      </c>
      <c r="H33" s="460">
        <v>0</v>
      </c>
    </row>
    <row r="34" spans="1:8" ht="12.75" customHeight="1">
      <c r="A34" s="459" t="s">
        <v>61</v>
      </c>
      <c r="B34" s="295"/>
      <c r="C34" s="296" t="s">
        <v>252</v>
      </c>
      <c r="D34" s="454"/>
      <c r="E34" s="460">
        <v>210210</v>
      </c>
      <c r="F34" s="460">
        <v>220000</v>
      </c>
      <c r="G34" s="460">
        <v>220000</v>
      </c>
      <c r="H34" s="460">
        <v>220000</v>
      </c>
    </row>
    <row r="35" spans="1:8" ht="33" customHeight="1">
      <c r="A35" s="458" t="s">
        <v>63</v>
      </c>
      <c r="B35" s="396" t="s">
        <v>173</v>
      </c>
      <c r="C35" s="453" t="s">
        <v>496</v>
      </c>
      <c r="D35" s="424"/>
      <c r="E35" s="420">
        <f>SUM(E36:E38)</f>
        <v>1148825</v>
      </c>
      <c r="F35" s="420">
        <f>SUM(F36:F38)</f>
        <v>1100000</v>
      </c>
      <c r="G35" s="420">
        <f>SUM(G36:G38)</f>
        <v>1100000</v>
      </c>
      <c r="H35" s="420">
        <f>SUM(H36:H38)</f>
        <v>1100000</v>
      </c>
    </row>
    <row r="36" spans="1:8" ht="12.75" customHeight="1">
      <c r="A36" s="459" t="s">
        <v>65</v>
      </c>
      <c r="B36" s="295"/>
      <c r="C36" s="296" t="s">
        <v>250</v>
      </c>
      <c r="D36" s="454"/>
      <c r="E36" s="460">
        <v>0</v>
      </c>
      <c r="F36" s="460">
        <v>0</v>
      </c>
      <c r="G36" s="460">
        <v>0</v>
      </c>
      <c r="H36" s="460">
        <v>0</v>
      </c>
    </row>
    <row r="37" spans="1:8" ht="12.75" customHeight="1">
      <c r="A37" s="459" t="s">
        <v>92</v>
      </c>
      <c r="B37" s="295"/>
      <c r="C37" s="296" t="s">
        <v>251</v>
      </c>
      <c r="D37" s="454"/>
      <c r="E37" s="460">
        <v>0</v>
      </c>
      <c r="F37" s="460">
        <v>0</v>
      </c>
      <c r="G37" s="460">
        <v>0</v>
      </c>
      <c r="H37" s="460">
        <v>0</v>
      </c>
    </row>
    <row r="38" spans="1:8" ht="12.75" customHeight="1" thickBot="1">
      <c r="A38" s="469" t="s">
        <v>66</v>
      </c>
      <c r="B38" s="470"/>
      <c r="C38" s="317" t="s">
        <v>252</v>
      </c>
      <c r="D38" s="471"/>
      <c r="E38" s="472">
        <v>1148825</v>
      </c>
      <c r="F38" s="472">
        <v>1100000</v>
      </c>
      <c r="G38" s="472">
        <v>1100000</v>
      </c>
      <c r="H38" s="472">
        <v>1100000</v>
      </c>
    </row>
    <row r="39" spans="1:8" s="342" customFormat="1" ht="32.25" thickBot="1">
      <c r="A39" s="784" t="s">
        <v>67</v>
      </c>
      <c r="B39" s="785" t="s">
        <v>183</v>
      </c>
      <c r="C39" s="786" t="s">
        <v>1013</v>
      </c>
      <c r="D39" s="787">
        <f>SUM(D23:D30)</f>
        <v>5</v>
      </c>
      <c r="E39" s="788">
        <f>SUM(E40:E43)</f>
        <v>26506379</v>
      </c>
      <c r="F39" s="788">
        <f>SUM(F40:F43)</f>
        <v>28177406</v>
      </c>
      <c r="G39" s="788">
        <f>SUM(G40:G43)</f>
        <v>24292792</v>
      </c>
      <c r="H39" s="788">
        <f>SUM(H40:H43)</f>
        <v>24573582</v>
      </c>
    </row>
    <row r="40" spans="1:8" ht="12.75" customHeight="1">
      <c r="A40" s="789" t="s">
        <v>68</v>
      </c>
      <c r="B40" s="790"/>
      <c r="C40" s="791" t="s">
        <v>250</v>
      </c>
      <c r="D40" s="792"/>
      <c r="E40" s="793">
        <f aca="true" t="shared" si="0" ref="E40:F42">E25+E32+E36</f>
        <v>11818516</v>
      </c>
      <c r="F40" s="793">
        <f t="shared" si="0"/>
        <v>11927834</v>
      </c>
      <c r="G40" s="793">
        <f aca="true" t="shared" si="1" ref="G40:H42">G25+G32+G36</f>
        <v>12026035</v>
      </c>
      <c r="H40" s="793">
        <f t="shared" si="1"/>
        <v>12222435</v>
      </c>
    </row>
    <row r="41" spans="1:8" ht="12.75" customHeight="1">
      <c r="A41" s="459" t="s">
        <v>70</v>
      </c>
      <c r="B41" s="779"/>
      <c r="C41" s="400" t="s">
        <v>251</v>
      </c>
      <c r="D41" s="780"/>
      <c r="E41" s="794">
        <f t="shared" si="0"/>
        <v>2031672</v>
      </c>
      <c r="F41" s="794">
        <f t="shared" si="0"/>
        <v>2129572</v>
      </c>
      <c r="G41" s="794">
        <f t="shared" si="1"/>
        <v>2146757</v>
      </c>
      <c r="H41" s="794">
        <f t="shared" si="1"/>
        <v>2181127</v>
      </c>
    </row>
    <row r="42" spans="1:8" ht="12.75" customHeight="1">
      <c r="A42" s="459" t="s">
        <v>97</v>
      </c>
      <c r="B42" s="779"/>
      <c r="C42" s="400" t="s">
        <v>252</v>
      </c>
      <c r="D42" s="780"/>
      <c r="E42" s="794">
        <f t="shared" si="0"/>
        <v>12656191</v>
      </c>
      <c r="F42" s="794">
        <f t="shared" si="0"/>
        <v>13620000</v>
      </c>
      <c r="G42" s="794">
        <f t="shared" si="1"/>
        <v>9620000</v>
      </c>
      <c r="H42" s="794">
        <f t="shared" si="1"/>
        <v>9670020</v>
      </c>
    </row>
    <row r="43" spans="1:8" ht="12.75" customHeight="1">
      <c r="A43" s="459" t="s">
        <v>99</v>
      </c>
      <c r="B43" s="779"/>
      <c r="C43" s="400" t="s">
        <v>249</v>
      </c>
      <c r="D43" s="780"/>
      <c r="E43" s="795">
        <f>SUM(E30)</f>
        <v>0</v>
      </c>
      <c r="F43" s="795">
        <f>SUM(F30)</f>
        <v>500000</v>
      </c>
      <c r="G43" s="795">
        <f>SUM(G30)</f>
        <v>500000</v>
      </c>
      <c r="H43" s="795">
        <f>SUM(H30)</f>
        <v>500000</v>
      </c>
    </row>
    <row r="44" spans="1:8" s="783" customFormat="1" ht="12.75" customHeight="1">
      <c r="A44" s="796" t="s">
        <v>101</v>
      </c>
      <c r="B44" s="782"/>
      <c r="C44" s="782" t="s">
        <v>781</v>
      </c>
      <c r="D44" s="782"/>
      <c r="E44" s="797">
        <v>86831</v>
      </c>
      <c r="F44" s="797">
        <v>500000</v>
      </c>
      <c r="G44" s="797">
        <v>500000</v>
      </c>
      <c r="H44" s="797">
        <v>500000</v>
      </c>
    </row>
    <row r="45" spans="1:8" s="515" customFormat="1" ht="12.75" customHeight="1" thickBot="1">
      <c r="A45" s="798" t="s">
        <v>103</v>
      </c>
      <c r="B45" s="799"/>
      <c r="C45" s="799" t="s">
        <v>782</v>
      </c>
      <c r="D45" s="799"/>
      <c r="E45" s="800"/>
      <c r="F45" s="800"/>
      <c r="G45" s="800"/>
      <c r="H45" s="800"/>
    </row>
  </sheetData>
  <sheetProtection selectLockedCells="1" selectUnlockedCells="1"/>
  <mergeCells count="23">
    <mergeCell ref="A1:H1"/>
    <mergeCell ref="A22:B23"/>
    <mergeCell ref="A8:B8"/>
    <mergeCell ref="A10:B10"/>
    <mergeCell ref="A14:B14"/>
    <mergeCell ref="A15:B15"/>
    <mergeCell ref="A18:B18"/>
    <mergeCell ref="A17:B17"/>
    <mergeCell ref="C19:D19"/>
    <mergeCell ref="A20:B20"/>
    <mergeCell ref="A19:B19"/>
    <mergeCell ref="C18:D18"/>
    <mergeCell ref="C9:D9"/>
    <mergeCell ref="A11:B11"/>
    <mergeCell ref="A13:B13"/>
    <mergeCell ref="A12:B12"/>
    <mergeCell ref="A16:B16"/>
    <mergeCell ref="A7:B7"/>
    <mergeCell ref="C7:D7"/>
    <mergeCell ref="A9:B9"/>
    <mergeCell ref="A4:G4"/>
    <mergeCell ref="A2:G2"/>
    <mergeCell ref="C3:F3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view="pageBreakPreview" zoomScale="98" zoomScaleSheetLayoutView="98" zoomScalePageLayoutView="0" workbookViewId="0" topLeftCell="A1">
      <selection activeCell="C3" sqref="C3:G3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8" width="20.00390625" style="154" customWidth="1"/>
  </cols>
  <sheetData>
    <row r="1" spans="1:8" s="168" customFormat="1" ht="18" customHeight="1">
      <c r="A1" s="1871" t="s">
        <v>497</v>
      </c>
      <c r="B1" s="1871"/>
      <c r="C1" s="1871"/>
      <c r="D1" s="1871"/>
      <c r="E1" s="1871"/>
      <c r="F1" s="1871"/>
      <c r="G1" s="1871"/>
      <c r="H1" s="1871"/>
    </row>
    <row r="2" spans="1:8" ht="12.75" customHeight="1">
      <c r="A2" s="1936" t="s">
        <v>1259</v>
      </c>
      <c r="B2" s="1936"/>
      <c r="C2" s="1936"/>
      <c r="D2" s="1936"/>
      <c r="E2" s="1936"/>
      <c r="F2" s="1936"/>
      <c r="G2" s="1936"/>
      <c r="H2" s="1936"/>
    </row>
    <row r="3" spans="1:8" ht="12.75" customHeight="1">
      <c r="A3" s="73"/>
      <c r="B3" s="73"/>
      <c r="C3" s="1936" t="s">
        <v>1261</v>
      </c>
      <c r="D3" s="1936"/>
      <c r="E3" s="1936"/>
      <c r="F3" s="1936"/>
      <c r="G3" s="1936"/>
      <c r="H3" s="1" t="s">
        <v>1265</v>
      </c>
    </row>
    <row r="4" spans="1:8" ht="12.75" customHeight="1">
      <c r="A4" s="73"/>
      <c r="B4" s="73"/>
      <c r="C4" s="73"/>
      <c r="D4" s="73"/>
      <c r="E4"/>
      <c r="F4"/>
      <c r="G4"/>
      <c r="H4"/>
    </row>
    <row r="5" spans="1:8" ht="42.75" customHeight="1">
      <c r="A5" s="1923" t="s">
        <v>1085</v>
      </c>
      <c r="B5" s="1923"/>
      <c r="C5" s="1923"/>
      <c r="D5" s="1923"/>
      <c r="E5" s="1923"/>
      <c r="F5" s="1923"/>
      <c r="G5" s="1923"/>
      <c r="H5" s="1923"/>
    </row>
    <row r="6" spans="3:4" ht="18.75" customHeight="1">
      <c r="C6" s="182"/>
      <c r="D6" s="182"/>
    </row>
    <row r="7" spans="5:8" ht="12.75" customHeight="1" thickBot="1">
      <c r="E7" s="1471"/>
      <c r="F7" s="1471"/>
      <c r="G7" s="1471"/>
      <c r="H7" s="1471" t="s">
        <v>214</v>
      </c>
    </row>
    <row r="8" spans="1:8" ht="56.25" customHeight="1" thickBot="1">
      <c r="A8" s="1753" t="s">
        <v>156</v>
      </c>
      <c r="B8" s="1754"/>
      <c r="C8" s="2024" t="s">
        <v>157</v>
      </c>
      <c r="D8" s="2024"/>
      <c r="E8" s="1472" t="s">
        <v>1086</v>
      </c>
      <c r="F8" s="1473" t="s">
        <v>1077</v>
      </c>
      <c r="G8" s="1473" t="s">
        <v>1165</v>
      </c>
      <c r="H8" s="1473" t="s">
        <v>1186</v>
      </c>
    </row>
    <row r="9" spans="1:8" ht="12.75" customHeight="1" thickBot="1">
      <c r="A9" s="2009" t="s">
        <v>158</v>
      </c>
      <c r="B9" s="2010"/>
      <c r="C9" s="2015" t="s">
        <v>159</v>
      </c>
      <c r="D9" s="2015"/>
      <c r="E9" s="186" t="s">
        <v>160</v>
      </c>
      <c r="F9" s="1611" t="s">
        <v>161</v>
      </c>
      <c r="G9" s="1474" t="s">
        <v>456</v>
      </c>
      <c r="H9" s="1474" t="s">
        <v>476</v>
      </c>
    </row>
    <row r="10" spans="1:8" ht="12.75" customHeight="1">
      <c r="A10" s="1994" t="s">
        <v>38</v>
      </c>
      <c r="B10" s="1995"/>
      <c r="C10" s="187" t="s">
        <v>234</v>
      </c>
      <c r="D10" s="188"/>
      <c r="E10" s="1604">
        <f>SUM(E11:E15)</f>
        <v>2096933</v>
      </c>
      <c r="F10" s="1612">
        <f>SUM(F11:F15)</f>
        <v>2071000</v>
      </c>
      <c r="G10" s="1475">
        <f>SUM(G11:G15)</f>
        <v>2000008</v>
      </c>
      <c r="H10" s="1475">
        <f>SUM(H11:H15)</f>
        <v>2000031</v>
      </c>
    </row>
    <row r="11" spans="1:8" s="114" customFormat="1" ht="12.75" customHeight="1">
      <c r="A11" s="2013" t="s">
        <v>40</v>
      </c>
      <c r="B11" s="2014"/>
      <c r="C11" s="474" t="s">
        <v>576</v>
      </c>
      <c r="D11" s="475"/>
      <c r="E11" s="1605">
        <v>171000</v>
      </c>
      <c r="F11" s="1613">
        <v>171000</v>
      </c>
      <c r="G11" s="1476">
        <v>100000</v>
      </c>
      <c r="H11" s="1476">
        <v>100000</v>
      </c>
    </row>
    <row r="12" spans="1:8" s="114" customFormat="1" ht="12.75" customHeight="1">
      <c r="A12" s="2013" t="s">
        <v>47</v>
      </c>
      <c r="B12" s="2014"/>
      <c r="C12" s="474" t="s">
        <v>176</v>
      </c>
      <c r="D12" s="475"/>
      <c r="E12" s="1605">
        <v>1513064</v>
      </c>
      <c r="F12" s="1613">
        <v>1500000</v>
      </c>
      <c r="G12" s="1476">
        <v>1500000</v>
      </c>
      <c r="H12" s="1476">
        <v>1500000</v>
      </c>
    </row>
    <row r="13" spans="1:8" s="114" customFormat="1" ht="12.75" customHeight="1">
      <c r="A13" s="2013" t="s">
        <v>49</v>
      </c>
      <c r="B13" s="2014"/>
      <c r="C13" s="474" t="s">
        <v>179</v>
      </c>
      <c r="D13" s="475"/>
      <c r="E13" s="1605">
        <v>412847</v>
      </c>
      <c r="F13" s="1613">
        <v>400000</v>
      </c>
      <c r="G13" s="1476">
        <v>400000</v>
      </c>
      <c r="H13" s="1476">
        <v>400000</v>
      </c>
    </row>
    <row r="14" spans="1:8" s="114" customFormat="1" ht="12.75" customHeight="1">
      <c r="A14" s="2000" t="s">
        <v>51</v>
      </c>
      <c r="B14" s="2001"/>
      <c r="C14" s="684" t="s">
        <v>180</v>
      </c>
      <c r="D14" s="685"/>
      <c r="E14" s="1606">
        <v>0</v>
      </c>
      <c r="F14" s="1614">
        <v>0</v>
      </c>
      <c r="G14" s="1477">
        <v>0</v>
      </c>
      <c r="H14" s="1477">
        <v>1</v>
      </c>
    </row>
    <row r="15" spans="1:8" s="114" customFormat="1" ht="12.75" customHeight="1">
      <c r="A15" s="2016" t="s">
        <v>53</v>
      </c>
      <c r="B15" s="2017"/>
      <c r="C15" s="2018" t="s">
        <v>181</v>
      </c>
      <c r="D15" s="2019"/>
      <c r="E15" s="1607">
        <v>22</v>
      </c>
      <c r="F15" s="1615"/>
      <c r="G15" s="1144">
        <v>8</v>
      </c>
      <c r="H15" s="1144">
        <v>30</v>
      </c>
    </row>
    <row r="16" spans="1:8" s="114" customFormat="1" ht="12.75" customHeight="1">
      <c r="A16" s="2016" t="s">
        <v>55</v>
      </c>
      <c r="B16" s="2017"/>
      <c r="C16" s="937" t="s">
        <v>699</v>
      </c>
      <c r="D16" s="937"/>
      <c r="E16" s="1607">
        <v>0</v>
      </c>
      <c r="F16" s="1615">
        <v>0</v>
      </c>
      <c r="G16" s="1144">
        <v>0</v>
      </c>
      <c r="H16" s="1144">
        <v>0</v>
      </c>
    </row>
    <row r="17" spans="1:8" ht="12.75" customHeight="1">
      <c r="A17" s="2004" t="s">
        <v>57</v>
      </c>
      <c r="B17" s="2005"/>
      <c r="C17" s="1915" t="s">
        <v>789</v>
      </c>
      <c r="D17" s="1916"/>
      <c r="E17" s="1608">
        <f>SUM(E18:E19)</f>
        <v>3143412</v>
      </c>
      <c r="F17" s="1294">
        <f>SUM(F18:F19)</f>
        <v>0</v>
      </c>
      <c r="G17" s="1156">
        <f>SUM(G18:G19)</f>
        <v>0</v>
      </c>
      <c r="H17" s="1156">
        <f>SUM(H18:H19)</f>
        <v>0</v>
      </c>
    </row>
    <row r="18" spans="1:8" s="515" customFormat="1" ht="12.75" customHeight="1">
      <c r="A18" s="2008" t="s">
        <v>86</v>
      </c>
      <c r="B18" s="1963"/>
      <c r="C18" s="1962" t="s">
        <v>1035</v>
      </c>
      <c r="D18" s="1963"/>
      <c r="E18" s="1609">
        <v>1368484</v>
      </c>
      <c r="F18" s="1616"/>
      <c r="G18" s="815"/>
      <c r="H18" s="815"/>
    </row>
    <row r="19" spans="1:8" s="515" customFormat="1" ht="12.75" customHeight="1">
      <c r="A19" s="2008" t="s">
        <v>59</v>
      </c>
      <c r="B19" s="1963"/>
      <c r="C19" s="1962" t="s">
        <v>1036</v>
      </c>
      <c r="D19" s="1963"/>
      <c r="E19" s="1609">
        <v>1774928</v>
      </c>
      <c r="F19" s="1616"/>
      <c r="G19" s="815"/>
      <c r="H19" s="815"/>
    </row>
    <row r="20" spans="1:8" s="91" customFormat="1" ht="17.25" customHeight="1" thickBot="1">
      <c r="A20" s="2006" t="s">
        <v>61</v>
      </c>
      <c r="B20" s="2007"/>
      <c r="C20" s="2012" t="s">
        <v>479</v>
      </c>
      <c r="D20" s="2012"/>
      <c r="E20" s="1610">
        <f>SUM(E10+E17)</f>
        <v>5240345</v>
      </c>
      <c r="F20" s="1617">
        <f>SUM(F10+F17)</f>
        <v>2071000</v>
      </c>
      <c r="G20" s="1367">
        <f>SUM(G10+G17)</f>
        <v>2000008</v>
      </c>
      <c r="H20" s="1367">
        <f>SUM(H10+H17)</f>
        <v>2000031</v>
      </c>
    </row>
    <row r="21" spans="1:8" ht="12.75" customHeight="1">
      <c r="A21" s="1976" t="s">
        <v>63</v>
      </c>
      <c r="B21" s="1977"/>
      <c r="C21" s="171" t="s">
        <v>235</v>
      </c>
      <c r="D21" s="447"/>
      <c r="E21" s="598">
        <v>267350</v>
      </c>
      <c r="F21" s="1478">
        <v>203352</v>
      </c>
      <c r="G21" s="1478">
        <v>203352</v>
      </c>
      <c r="H21" s="1478">
        <v>203352</v>
      </c>
    </row>
    <row r="22" spans="1:8" ht="12.75" customHeight="1">
      <c r="A22" s="1978" t="s">
        <v>65</v>
      </c>
      <c r="B22" s="1979"/>
      <c r="C22" s="170" t="s">
        <v>492</v>
      </c>
      <c r="D22" s="169"/>
      <c r="E22" s="189">
        <f>SUM(E24+E23)</f>
        <v>82145676</v>
      </c>
      <c r="F22" s="1479">
        <f>SUM(F24+F23)</f>
        <v>96944100</v>
      </c>
      <c r="G22" s="1479">
        <f>SUM(G24+G23)</f>
        <v>103285149</v>
      </c>
      <c r="H22" s="1479">
        <f>SUM(H24+H23)</f>
        <v>103285149</v>
      </c>
    </row>
    <row r="23" spans="1:8" s="114" customFormat="1" ht="12.75" customHeight="1">
      <c r="A23" s="2002" t="s">
        <v>92</v>
      </c>
      <c r="B23" s="2003"/>
      <c r="C23" s="2011" t="s">
        <v>481</v>
      </c>
      <c r="D23" s="2011"/>
      <c r="E23" s="189">
        <v>69013291</v>
      </c>
      <c r="F23" s="1479">
        <f>SUM('12. melléklet'!G28)</f>
        <v>61975191</v>
      </c>
      <c r="G23" s="1479">
        <f>SUM('12. melléklet'!H28)</f>
        <v>75331491</v>
      </c>
      <c r="H23" s="1479">
        <v>75719241</v>
      </c>
    </row>
    <row r="24" spans="1:8" s="114" customFormat="1" ht="12.75" customHeight="1" thickBot="1">
      <c r="A24" s="1996" t="s">
        <v>66</v>
      </c>
      <c r="B24" s="1997"/>
      <c r="C24" s="1986" t="s">
        <v>499</v>
      </c>
      <c r="D24" s="1986"/>
      <c r="E24" s="194">
        <v>13132385</v>
      </c>
      <c r="F24" s="1480">
        <v>34968909</v>
      </c>
      <c r="G24" s="1480">
        <v>27953658</v>
      </c>
      <c r="H24" s="1480">
        <v>27565908</v>
      </c>
    </row>
    <row r="25" spans="1:8" s="10" customFormat="1" ht="19.5" customHeight="1" thickBot="1">
      <c r="A25" s="1987" t="s">
        <v>67</v>
      </c>
      <c r="B25" s="1988"/>
      <c r="C25" s="1937" t="s">
        <v>493</v>
      </c>
      <c r="D25" s="1937"/>
      <c r="E25" s="422">
        <f>SUM(E21+E22)</f>
        <v>82413026</v>
      </c>
      <c r="F25" s="422">
        <f>SUM(F21+F22)</f>
        <v>97147452</v>
      </c>
      <c r="G25" s="422">
        <f>SUM(G21+G22)</f>
        <v>103488501</v>
      </c>
      <c r="H25" s="422">
        <f>SUM(H21+H22)</f>
        <v>103488501</v>
      </c>
    </row>
    <row r="26" spans="1:8" ht="21" customHeight="1" thickBot="1">
      <c r="A26" s="1989" t="s">
        <v>68</v>
      </c>
      <c r="B26" s="1990"/>
      <c r="C26" s="1481" t="s">
        <v>116</v>
      </c>
      <c r="D26" s="1482"/>
      <c r="E26" s="1483">
        <f>SUM(E20+E25)</f>
        <v>87653371</v>
      </c>
      <c r="F26" s="1484">
        <f>SUM(F20+F25)</f>
        <v>99218452</v>
      </c>
      <c r="G26" s="1484">
        <f>SUM(G20+G25)</f>
        <v>105488509</v>
      </c>
      <c r="H26" s="1484">
        <f>SUM(H20+H25)</f>
        <v>105488532</v>
      </c>
    </row>
    <row r="27" spans="1:8" ht="21" customHeight="1">
      <c r="A27" s="190"/>
      <c r="B27" s="190"/>
      <c r="C27" s="191"/>
      <c r="D27" s="191"/>
      <c r="E27" s="192"/>
      <c r="F27" s="192"/>
      <c r="G27" s="192"/>
      <c r="H27" s="192"/>
    </row>
    <row r="28" ht="12.75" customHeight="1" thickBot="1"/>
    <row r="29" spans="1:8" ht="63.75" customHeight="1" thickBot="1">
      <c r="A29" s="1952" t="s">
        <v>156</v>
      </c>
      <c r="B29" s="1991"/>
      <c r="C29" s="1278" t="s">
        <v>246</v>
      </c>
      <c r="D29" s="1279" t="s">
        <v>494</v>
      </c>
      <c r="E29" s="1289" t="s">
        <v>1076</v>
      </c>
      <c r="F29" s="1289" t="s">
        <v>1077</v>
      </c>
      <c r="G29" s="1289" t="s">
        <v>1165</v>
      </c>
      <c r="H29" s="1289" t="s">
        <v>1186</v>
      </c>
    </row>
    <row r="30" spans="1:8" ht="12.75" customHeight="1" thickBot="1">
      <c r="A30" s="1952" t="s">
        <v>158</v>
      </c>
      <c r="B30" s="1991"/>
      <c r="C30" s="1278" t="s">
        <v>500</v>
      </c>
      <c r="D30" s="1279" t="s">
        <v>160</v>
      </c>
      <c r="E30" s="1290" t="s">
        <v>161</v>
      </c>
      <c r="F30" s="1290" t="s">
        <v>456</v>
      </c>
      <c r="G30" s="1290" t="s">
        <v>476</v>
      </c>
      <c r="H30" s="1290" t="s">
        <v>704</v>
      </c>
    </row>
    <row r="31" spans="1:8" ht="12.75" customHeight="1">
      <c r="A31" s="1998" t="s">
        <v>38</v>
      </c>
      <c r="B31" s="1999"/>
      <c r="C31" s="176" t="s">
        <v>262</v>
      </c>
      <c r="D31" s="1280">
        <v>13</v>
      </c>
      <c r="E31" s="1612">
        <f>SUM(E32:E35)</f>
        <v>79448699</v>
      </c>
      <c r="F31" s="1612">
        <f>SUM(F32:F35)</f>
        <v>90169179</v>
      </c>
      <c r="G31" s="1291">
        <f>SUM(G32:G35)</f>
        <v>96002136</v>
      </c>
      <c r="H31" s="1291">
        <f>SUM(H32:H35)</f>
        <v>96002159</v>
      </c>
    </row>
    <row r="32" spans="1:8" ht="12.75" customHeight="1">
      <c r="A32" s="1974" t="s">
        <v>40</v>
      </c>
      <c r="B32" s="1975"/>
      <c r="C32" s="17" t="s">
        <v>250</v>
      </c>
      <c r="D32" s="1281"/>
      <c r="E32" s="1292">
        <v>55599520</v>
      </c>
      <c r="F32" s="1292">
        <v>65521837</v>
      </c>
      <c r="G32" s="1292">
        <v>70724296</v>
      </c>
      <c r="H32" s="1292">
        <v>70724296</v>
      </c>
    </row>
    <row r="33" spans="1:8" ht="12.75" customHeight="1">
      <c r="A33" s="1974" t="s">
        <v>47</v>
      </c>
      <c r="B33" s="1975"/>
      <c r="C33" s="17" t="s">
        <v>251</v>
      </c>
      <c r="D33" s="1281"/>
      <c r="E33" s="1292">
        <v>10842346</v>
      </c>
      <c r="F33" s="1292">
        <v>11697342</v>
      </c>
      <c r="G33" s="1292">
        <v>12327832</v>
      </c>
      <c r="H33" s="1292">
        <v>12327832</v>
      </c>
    </row>
    <row r="34" spans="1:8" ht="12.75" customHeight="1">
      <c r="A34" s="1974" t="s">
        <v>49</v>
      </c>
      <c r="B34" s="1975"/>
      <c r="C34" s="17" t="s">
        <v>252</v>
      </c>
      <c r="D34" s="1281"/>
      <c r="E34" s="1292">
        <v>12341153</v>
      </c>
      <c r="F34" s="1292">
        <v>12350000</v>
      </c>
      <c r="G34" s="1292">
        <v>12350008</v>
      </c>
      <c r="H34" s="1292">
        <v>12350031</v>
      </c>
    </row>
    <row r="35" spans="1:8" ht="12.75" customHeight="1">
      <c r="A35" s="1974" t="s">
        <v>51</v>
      </c>
      <c r="B35" s="1975"/>
      <c r="C35" s="17" t="s">
        <v>249</v>
      </c>
      <c r="D35" s="1281"/>
      <c r="E35" s="1431">
        <v>665680</v>
      </c>
      <c r="F35" s="1431">
        <f>SUM('6,7,8 Melléklet'!D24)</f>
        <v>600000</v>
      </c>
      <c r="G35" s="1431">
        <f>SUM('6,7,8 Melléklet'!E24)</f>
        <v>600000</v>
      </c>
      <c r="H35" s="1431">
        <f>SUM('6,7,8 Melléklet'!F24)</f>
        <v>600000</v>
      </c>
    </row>
    <row r="36" spans="1:8" ht="12.75" customHeight="1">
      <c r="A36" s="1992" t="s">
        <v>53</v>
      </c>
      <c r="B36" s="1993"/>
      <c r="C36" s="9" t="s">
        <v>501</v>
      </c>
      <c r="D36" s="1282">
        <v>1</v>
      </c>
      <c r="E36" s="1293">
        <f>SUM(E37:E39)</f>
        <v>5061260</v>
      </c>
      <c r="F36" s="1293">
        <f>SUM(F37:F39)</f>
        <v>9049273</v>
      </c>
      <c r="G36" s="1293">
        <f>SUM(G37:G39)</f>
        <v>9486373</v>
      </c>
      <c r="H36" s="1293">
        <f>SUM(H37:H39)</f>
        <v>9486373</v>
      </c>
    </row>
    <row r="37" spans="1:8" ht="12.75" customHeight="1">
      <c r="A37" s="1974" t="s">
        <v>55</v>
      </c>
      <c r="B37" s="1975"/>
      <c r="C37" s="17" t="s">
        <v>250</v>
      </c>
      <c r="D37" s="1281"/>
      <c r="E37" s="1292">
        <f>SUM(4216699)</f>
        <v>4216699</v>
      </c>
      <c r="F37" s="1292">
        <v>7702507</v>
      </c>
      <c r="G37" s="1292">
        <v>8074507</v>
      </c>
      <c r="H37" s="1292">
        <v>8074507</v>
      </c>
    </row>
    <row r="38" spans="1:8" ht="12.75" customHeight="1">
      <c r="A38" s="1974" t="s">
        <v>57</v>
      </c>
      <c r="B38" s="1975"/>
      <c r="C38" s="17" t="s">
        <v>251</v>
      </c>
      <c r="D38" s="1281"/>
      <c r="E38" s="1292">
        <f>SUM(844561)</f>
        <v>844561</v>
      </c>
      <c r="F38" s="1292">
        <v>1346766</v>
      </c>
      <c r="G38" s="1292">
        <v>1411866</v>
      </c>
      <c r="H38" s="1292">
        <v>1411866</v>
      </c>
    </row>
    <row r="39" spans="1:8" ht="12.75" customHeight="1">
      <c r="A39" s="1974" t="s">
        <v>86</v>
      </c>
      <c r="B39" s="1975"/>
      <c r="C39" s="17" t="s">
        <v>252</v>
      </c>
      <c r="D39" s="1281"/>
      <c r="E39" s="1292">
        <v>0</v>
      </c>
      <c r="F39" s="1292">
        <v>0</v>
      </c>
      <c r="G39" s="1292">
        <v>0</v>
      </c>
      <c r="H39" s="1292">
        <v>0</v>
      </c>
    </row>
    <row r="40" spans="1:8" s="10" customFormat="1" ht="12.75" customHeight="1">
      <c r="A40" s="2020" t="s">
        <v>59</v>
      </c>
      <c r="B40" s="2021"/>
      <c r="C40" s="397" t="s">
        <v>1025</v>
      </c>
      <c r="D40" s="1193"/>
      <c r="E40" s="1294">
        <f>SUM(E41:E43)</f>
        <v>1368484</v>
      </c>
      <c r="F40" s="1294">
        <f>SUM(F41:F43)</f>
        <v>0</v>
      </c>
      <c r="G40" s="1294">
        <f>SUM(G41:G43)</f>
        <v>0</v>
      </c>
      <c r="H40" s="1294">
        <f>SUM(H41:H43)</f>
        <v>0</v>
      </c>
    </row>
    <row r="41" spans="1:8" ht="12.75" customHeight="1">
      <c r="A41" s="1972" t="s">
        <v>61</v>
      </c>
      <c r="B41" s="1973"/>
      <c r="C41" s="17" t="s">
        <v>250</v>
      </c>
      <c r="D41" s="1191"/>
      <c r="E41" s="1295">
        <v>1043973</v>
      </c>
      <c r="F41" s="1295"/>
      <c r="G41" s="1295"/>
      <c r="H41" s="1295"/>
    </row>
    <row r="42" spans="1:8" ht="12.75" customHeight="1">
      <c r="A42" s="2022" t="s">
        <v>63</v>
      </c>
      <c r="B42" s="2023"/>
      <c r="C42" s="136" t="s">
        <v>251</v>
      </c>
      <c r="D42" s="1285"/>
      <c r="E42" s="1296">
        <v>209229</v>
      </c>
      <c r="F42" s="1296"/>
      <c r="G42" s="1296"/>
      <c r="H42" s="1296"/>
    </row>
    <row r="43" spans="1:8" ht="12.75" customHeight="1">
      <c r="A43" s="1972" t="s">
        <v>65</v>
      </c>
      <c r="B43" s="1973"/>
      <c r="C43" s="296" t="s">
        <v>252</v>
      </c>
      <c r="D43" s="1191"/>
      <c r="E43" s="1295">
        <v>115282</v>
      </c>
      <c r="F43" s="1295"/>
      <c r="G43" s="1152"/>
      <c r="H43" s="1152"/>
    </row>
    <row r="44" spans="1:8" ht="12.75" customHeight="1">
      <c r="A44" s="1982" t="s">
        <v>92</v>
      </c>
      <c r="B44" s="1983"/>
      <c r="C44" s="397" t="s">
        <v>1036</v>
      </c>
      <c r="D44" s="1191"/>
      <c r="E44" s="1294">
        <f>SUM(E45:E47)</f>
        <v>1774928</v>
      </c>
      <c r="F44" s="1294">
        <f>SUM(F45:F47)</f>
        <v>0</v>
      </c>
      <c r="G44" s="1156">
        <f>SUM(G45:G47)</f>
        <v>0</v>
      </c>
      <c r="H44" s="1156">
        <f>SUM(H45:H47)</f>
        <v>0</v>
      </c>
    </row>
    <row r="45" spans="1:8" ht="12.75" customHeight="1">
      <c r="A45" s="1982" t="s">
        <v>66</v>
      </c>
      <c r="B45" s="1983"/>
      <c r="C45" s="296" t="s">
        <v>250</v>
      </c>
      <c r="D45" s="1191"/>
      <c r="E45" s="1295">
        <v>1357453</v>
      </c>
      <c r="F45" s="1295"/>
      <c r="G45" s="1152"/>
      <c r="H45" s="1152"/>
    </row>
    <row r="46" spans="1:8" ht="12.75" customHeight="1">
      <c r="A46" s="1982" t="s">
        <v>67</v>
      </c>
      <c r="B46" s="1983"/>
      <c r="C46" s="296" t="s">
        <v>251</v>
      </c>
      <c r="D46" s="1191"/>
      <c r="E46" s="1295">
        <v>255484</v>
      </c>
      <c r="F46" s="1295"/>
      <c r="G46" s="1152"/>
      <c r="H46" s="1152"/>
    </row>
    <row r="47" spans="1:8" ht="12.75" customHeight="1" thickBot="1">
      <c r="A47" s="1984" t="s">
        <v>68</v>
      </c>
      <c r="B47" s="1985"/>
      <c r="C47" s="317" t="s">
        <v>252</v>
      </c>
      <c r="D47" s="1285"/>
      <c r="E47" s="1618">
        <v>161991</v>
      </c>
      <c r="F47" s="1618"/>
      <c r="G47" s="1157"/>
      <c r="H47" s="1157"/>
    </row>
    <row r="48" spans="1:8" ht="36.75" customHeight="1" thickBot="1">
      <c r="A48" s="1966" t="s">
        <v>70</v>
      </c>
      <c r="B48" s="1967"/>
      <c r="C48" s="1119" t="s">
        <v>238</v>
      </c>
      <c r="D48" s="1286">
        <f>SUM(D31:D36)</f>
        <v>14</v>
      </c>
      <c r="E48" s="1297">
        <f>SUM(E49:E52)</f>
        <v>87653371</v>
      </c>
      <c r="F48" s="1297">
        <f>SUM(F49:F52)</f>
        <v>99218452</v>
      </c>
      <c r="G48" s="1297">
        <f>SUM(G49:G52)</f>
        <v>105488509</v>
      </c>
      <c r="H48" s="1297">
        <f>SUM(H49:H52)</f>
        <v>105488532</v>
      </c>
    </row>
    <row r="49" spans="1:8" ht="12.75" customHeight="1">
      <c r="A49" s="1968" t="s">
        <v>97</v>
      </c>
      <c r="B49" s="1969"/>
      <c r="C49" s="802" t="s">
        <v>250</v>
      </c>
      <c r="D49" s="1183"/>
      <c r="E49" s="1298">
        <f>SUM(E32+E37)+E41+E45</f>
        <v>62217645</v>
      </c>
      <c r="F49" s="1298">
        <f aca="true" t="shared" si="0" ref="F49:G51">SUM(F32+F37)</f>
        <v>73224344</v>
      </c>
      <c r="G49" s="1298">
        <f t="shared" si="0"/>
        <v>78798803</v>
      </c>
      <c r="H49" s="1298">
        <f>SUM(H32+H37)</f>
        <v>78798803</v>
      </c>
    </row>
    <row r="50" spans="1:8" ht="12.75" customHeight="1">
      <c r="A50" s="1970" t="s">
        <v>99</v>
      </c>
      <c r="B50" s="1971"/>
      <c r="C50" s="777" t="s">
        <v>251</v>
      </c>
      <c r="D50" s="1185"/>
      <c r="E50" s="1299">
        <f>SUM(E33+E38)+E42+E46</f>
        <v>12151620</v>
      </c>
      <c r="F50" s="1299">
        <f t="shared" si="0"/>
        <v>13044108</v>
      </c>
      <c r="G50" s="1299">
        <f t="shared" si="0"/>
        <v>13739698</v>
      </c>
      <c r="H50" s="1299">
        <f>SUM(H33+H38)</f>
        <v>13739698</v>
      </c>
    </row>
    <row r="51" spans="1:8" ht="12.75" customHeight="1">
      <c r="A51" s="1972" t="s">
        <v>101</v>
      </c>
      <c r="B51" s="1973"/>
      <c r="C51" s="400" t="s">
        <v>252</v>
      </c>
      <c r="D51" s="1287"/>
      <c r="E51" s="1300">
        <f>SUM(E34+E39)+E43+E47</f>
        <v>12618426</v>
      </c>
      <c r="F51" s="1300">
        <f t="shared" si="0"/>
        <v>12350000</v>
      </c>
      <c r="G51" s="1300">
        <f t="shared" si="0"/>
        <v>12350008</v>
      </c>
      <c r="H51" s="1300">
        <f>SUM(H34+H39)</f>
        <v>12350031</v>
      </c>
    </row>
    <row r="52" spans="1:8" ht="12.75" customHeight="1">
      <c r="A52" s="1972" t="s">
        <v>103</v>
      </c>
      <c r="B52" s="1973"/>
      <c r="C52" s="400" t="s">
        <v>259</v>
      </c>
      <c r="D52" s="1287"/>
      <c r="E52" s="1300">
        <f>SUM(E35)</f>
        <v>665680</v>
      </c>
      <c r="F52" s="1300">
        <f>SUM(F35)</f>
        <v>600000</v>
      </c>
      <c r="G52" s="1300">
        <f>SUM(G35)</f>
        <v>600000</v>
      </c>
      <c r="H52" s="1300">
        <f>SUM(H35)</f>
        <v>600000</v>
      </c>
    </row>
    <row r="53" spans="1:8" s="783" customFormat="1" ht="12.75" customHeight="1">
      <c r="A53" s="1980" t="s">
        <v>105</v>
      </c>
      <c r="B53" s="1981"/>
      <c r="C53" s="782" t="s">
        <v>781</v>
      </c>
      <c r="D53" s="1288"/>
      <c r="E53" s="1301">
        <f>SUM(E52)</f>
        <v>665680</v>
      </c>
      <c r="F53" s="1301">
        <f>SUM(F52)</f>
        <v>600000</v>
      </c>
      <c r="G53" s="1301">
        <f>SUM(G52)</f>
        <v>600000</v>
      </c>
      <c r="H53" s="1301">
        <f>SUM(H52)</f>
        <v>600000</v>
      </c>
    </row>
    <row r="54" spans="1:8" s="515" customFormat="1" ht="12.75" customHeight="1" thickBot="1">
      <c r="A54" s="1964" t="s">
        <v>107</v>
      </c>
      <c r="B54" s="1965"/>
      <c r="C54" s="799" t="s">
        <v>782</v>
      </c>
      <c r="D54" s="1187"/>
      <c r="E54" s="1302"/>
      <c r="F54" s="1302"/>
      <c r="G54" s="1302"/>
      <c r="H54" s="1302"/>
    </row>
  </sheetData>
  <sheetProtection selectLockedCells="1" selectUnlockedCells="1"/>
  <mergeCells count="59">
    <mergeCell ref="C3:G3"/>
    <mergeCell ref="A1:H1"/>
    <mergeCell ref="A5:H5"/>
    <mergeCell ref="A2:H2"/>
    <mergeCell ref="A40:B40"/>
    <mergeCell ref="A41:B41"/>
    <mergeCell ref="A42:B42"/>
    <mergeCell ref="A12:B12"/>
    <mergeCell ref="A13:B13"/>
    <mergeCell ref="A8:B8"/>
    <mergeCell ref="C8:D8"/>
    <mergeCell ref="A9:B9"/>
    <mergeCell ref="C23:D23"/>
    <mergeCell ref="C20:D20"/>
    <mergeCell ref="A11:B11"/>
    <mergeCell ref="C9:D9"/>
    <mergeCell ref="A15:B15"/>
    <mergeCell ref="C15:D15"/>
    <mergeCell ref="A16:B16"/>
    <mergeCell ref="A18:B18"/>
    <mergeCell ref="C18:D18"/>
    <mergeCell ref="A10:B10"/>
    <mergeCell ref="A24:B24"/>
    <mergeCell ref="A38:B38"/>
    <mergeCell ref="A30:B30"/>
    <mergeCell ref="A31:B31"/>
    <mergeCell ref="A14:B14"/>
    <mergeCell ref="A23:B23"/>
    <mergeCell ref="A17:B17"/>
    <mergeCell ref="A20:B20"/>
    <mergeCell ref="A19:B19"/>
    <mergeCell ref="C24:D24"/>
    <mergeCell ref="A25:B25"/>
    <mergeCell ref="C25:D25"/>
    <mergeCell ref="A26:B26"/>
    <mergeCell ref="A29:B29"/>
    <mergeCell ref="A39:B39"/>
    <mergeCell ref="A36:B36"/>
    <mergeCell ref="A37:B37"/>
    <mergeCell ref="A32:B32"/>
    <mergeCell ref="A33:B33"/>
    <mergeCell ref="A21:B21"/>
    <mergeCell ref="A22:B22"/>
    <mergeCell ref="A53:B53"/>
    <mergeCell ref="A44:B44"/>
    <mergeCell ref="A45:B45"/>
    <mergeCell ref="A46:B46"/>
    <mergeCell ref="A47:B47"/>
    <mergeCell ref="A43:B43"/>
    <mergeCell ref="C17:D17"/>
    <mergeCell ref="C19:D19"/>
    <mergeCell ref="A54:B54"/>
    <mergeCell ref="A48:B48"/>
    <mergeCell ref="A49:B49"/>
    <mergeCell ref="A50:B50"/>
    <mergeCell ref="A51:B51"/>
    <mergeCell ref="A52:B52"/>
    <mergeCell ref="A34:B34"/>
    <mergeCell ref="A35:B35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18" customWidth="1"/>
    <col min="2" max="2" width="14.7109375" style="18" customWidth="1"/>
    <col min="3" max="16384" width="9.140625" style="18" customWidth="1"/>
  </cols>
  <sheetData>
    <row r="1" ht="12.75" customHeight="1">
      <c r="B1" s="19" t="s">
        <v>21</v>
      </c>
    </row>
    <row r="2" spans="1:2" ht="12.75" customHeight="1">
      <c r="A2" s="1741" t="s">
        <v>22</v>
      </c>
      <c r="B2" s="1741"/>
    </row>
    <row r="3" ht="12.75" customHeight="1">
      <c r="B3" s="19"/>
    </row>
    <row r="4" ht="12.75" customHeight="1">
      <c r="A4" s="20" t="s">
        <v>23</v>
      </c>
    </row>
    <row r="6" ht="12.75" customHeight="1">
      <c r="B6" s="21" t="s">
        <v>4</v>
      </c>
    </row>
    <row r="7" spans="1:2" ht="15" customHeight="1">
      <c r="A7" s="22" t="s">
        <v>24</v>
      </c>
      <c r="B7" s="22" t="s">
        <v>25</v>
      </c>
    </row>
    <row r="8" spans="1:2" ht="12.75" customHeight="1">
      <c r="A8" s="23" t="s">
        <v>26</v>
      </c>
      <c r="B8" s="23">
        <v>350</v>
      </c>
    </row>
    <row r="9" spans="1:2" ht="12.75" customHeight="1">
      <c r="A9" s="24" t="s">
        <v>27</v>
      </c>
      <c r="B9" s="24">
        <v>500</v>
      </c>
    </row>
    <row r="10" spans="1:2" ht="12.75" customHeight="1">
      <c r="A10" s="24" t="s">
        <v>28</v>
      </c>
      <c r="B10" s="24">
        <v>100</v>
      </c>
    </row>
    <row r="11" spans="1:2" ht="12.75" customHeight="1">
      <c r="A11" s="22" t="s">
        <v>29</v>
      </c>
      <c r="B11" s="22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81"/>
  <sheetViews>
    <sheetView view="pageBreakPreview" zoomScaleSheetLayoutView="100" zoomScalePageLayoutView="0" workbookViewId="0" topLeftCell="A49">
      <selection activeCell="H3" sqref="H3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8" width="19.28125" style="154" customWidth="1"/>
  </cols>
  <sheetData>
    <row r="1" spans="1:8" ht="18" customHeight="1">
      <c r="A1" s="2025" t="s">
        <v>503</v>
      </c>
      <c r="B1" s="2025"/>
      <c r="C1" s="2025"/>
      <c r="D1" s="2025"/>
      <c r="E1" s="2025"/>
      <c r="F1" s="2025"/>
      <c r="G1" s="2025"/>
      <c r="H1" s="2025"/>
    </row>
    <row r="2" spans="1:8" ht="15.75">
      <c r="A2" s="1936" t="s">
        <v>1259</v>
      </c>
      <c r="B2" s="1936"/>
      <c r="C2" s="1936"/>
      <c r="D2" s="1936"/>
      <c r="E2" s="1936"/>
      <c r="F2" s="1936"/>
      <c r="G2" s="1936"/>
      <c r="H2" s="1936"/>
    </row>
    <row r="3" spans="1:8" ht="12.75" customHeight="1">
      <c r="A3" s="73"/>
      <c r="B3" s="73"/>
      <c r="C3" s="1936" t="s">
        <v>1261</v>
      </c>
      <c r="D3" s="1936"/>
      <c r="E3" s="1936"/>
      <c r="F3" s="1936"/>
      <c r="G3" s="1936"/>
      <c r="H3" t="s">
        <v>491</v>
      </c>
    </row>
    <row r="4" spans="1:8" ht="33" customHeight="1">
      <c r="A4" s="1923" t="s">
        <v>1103</v>
      </c>
      <c r="B4" s="1923"/>
      <c r="C4" s="1923"/>
      <c r="D4" s="1923"/>
      <c r="E4" s="1923"/>
      <c r="F4" s="1923"/>
      <c r="G4" s="1923"/>
      <c r="H4" s="1923"/>
    </row>
    <row r="5" spans="3:4" ht="18.75" customHeight="1">
      <c r="C5" s="182"/>
      <c r="D5" s="182"/>
    </row>
    <row r="6" spans="5:8" ht="12.75" customHeight="1" thickBot="1">
      <c r="E6" s="853"/>
      <c r="F6" s="853"/>
      <c r="G6" s="853"/>
      <c r="H6" s="853" t="s">
        <v>214</v>
      </c>
    </row>
    <row r="7" spans="1:8" ht="54" customHeight="1" thickBot="1">
      <c r="A7" s="1753" t="s">
        <v>156</v>
      </c>
      <c r="B7" s="1754"/>
      <c r="C7" s="2028" t="s">
        <v>157</v>
      </c>
      <c r="D7" s="2028"/>
      <c r="E7" s="357" t="s">
        <v>1076</v>
      </c>
      <c r="F7" s="357" t="s">
        <v>1104</v>
      </c>
      <c r="G7" s="357" t="s">
        <v>1165</v>
      </c>
      <c r="H7" s="357" t="s">
        <v>1186</v>
      </c>
    </row>
    <row r="8" spans="1:8" ht="12.75" customHeight="1">
      <c r="A8" s="2034" t="s">
        <v>158</v>
      </c>
      <c r="B8" s="2035"/>
      <c r="C8" s="2033" t="s">
        <v>159</v>
      </c>
      <c r="D8" s="2033"/>
      <c r="E8" s="540" t="s">
        <v>160</v>
      </c>
      <c r="F8" s="540" t="s">
        <v>161</v>
      </c>
      <c r="G8" s="540" t="s">
        <v>456</v>
      </c>
      <c r="H8" s="540" t="s">
        <v>476</v>
      </c>
    </row>
    <row r="9" spans="1:8" s="10" customFormat="1" ht="12.75" customHeight="1">
      <c r="A9" s="1541" t="s">
        <v>38</v>
      </c>
      <c r="B9" s="831" t="s">
        <v>164</v>
      </c>
      <c r="C9" s="2026" t="s">
        <v>789</v>
      </c>
      <c r="D9" s="2027"/>
      <c r="E9" s="828">
        <f>SUM(E10)</f>
        <v>1090635</v>
      </c>
      <c r="F9" s="1542">
        <f>SUM(F10)</f>
        <v>0</v>
      </c>
      <c r="G9" s="1542">
        <f>SUM(G10)</f>
        <v>0</v>
      </c>
      <c r="H9" s="1542">
        <f>SUM(H10)</f>
        <v>0</v>
      </c>
    </row>
    <row r="10" spans="1:8" s="114" customFormat="1" ht="12.75" customHeight="1">
      <c r="A10" s="1543" t="s">
        <v>40</v>
      </c>
      <c r="B10" s="830"/>
      <c r="C10" s="2029" t="s">
        <v>790</v>
      </c>
      <c r="D10" s="2030"/>
      <c r="E10" s="829">
        <v>1090635</v>
      </c>
      <c r="F10" s="1544"/>
      <c r="G10" s="1544"/>
      <c r="H10" s="1544"/>
    </row>
    <row r="11" spans="1:8" ht="12.75" customHeight="1">
      <c r="A11" s="825" t="s">
        <v>47</v>
      </c>
      <c r="B11" s="826" t="s">
        <v>166</v>
      </c>
      <c r="C11" s="187" t="s">
        <v>234</v>
      </c>
      <c r="D11" s="188"/>
      <c r="E11" s="827">
        <f>SUM(E12:E18)</f>
        <v>24961549</v>
      </c>
      <c r="F11" s="827">
        <f>SUM(F12:F18)</f>
        <v>24947500</v>
      </c>
      <c r="G11" s="827">
        <f>SUM(G12:G18)</f>
        <v>21773674</v>
      </c>
      <c r="H11" s="827">
        <f>SUM(H12:H18)</f>
        <v>21773727</v>
      </c>
    </row>
    <row r="12" spans="1:8" s="114" customFormat="1" ht="12.75" customHeight="1">
      <c r="A12" s="488" t="s">
        <v>49</v>
      </c>
      <c r="B12" s="195"/>
      <c r="C12" s="2043" t="s">
        <v>635</v>
      </c>
      <c r="D12" s="2044"/>
      <c r="E12" s="489">
        <v>209291</v>
      </c>
      <c r="F12" s="489">
        <v>210000</v>
      </c>
      <c r="G12" s="489">
        <v>100000</v>
      </c>
      <c r="H12" s="489">
        <v>100000</v>
      </c>
    </row>
    <row r="13" spans="1:8" s="114" customFormat="1" ht="12.75" customHeight="1">
      <c r="A13" s="488"/>
      <c r="B13" s="195"/>
      <c r="C13" s="1215" t="s">
        <v>1014</v>
      </c>
      <c r="D13" s="1216"/>
      <c r="E13" s="489">
        <v>16545</v>
      </c>
      <c r="F13" s="489">
        <v>16500</v>
      </c>
      <c r="G13" s="489">
        <v>16500</v>
      </c>
      <c r="H13" s="489">
        <v>16500</v>
      </c>
    </row>
    <row r="14" spans="1:8" s="114" customFormat="1" ht="12.75" customHeight="1">
      <c r="A14" s="488" t="s">
        <v>51</v>
      </c>
      <c r="B14" s="195"/>
      <c r="C14" s="2043" t="s">
        <v>636</v>
      </c>
      <c r="D14" s="2044"/>
      <c r="E14" s="489">
        <v>121100</v>
      </c>
      <c r="F14" s="489">
        <v>121000</v>
      </c>
      <c r="G14" s="489">
        <v>121000</v>
      </c>
      <c r="H14" s="489">
        <v>121000</v>
      </c>
    </row>
    <row r="15" spans="1:8" s="114" customFormat="1" ht="12.75" customHeight="1">
      <c r="A15" s="488" t="s">
        <v>53</v>
      </c>
      <c r="B15" s="195"/>
      <c r="C15" s="2043" t="s">
        <v>637</v>
      </c>
      <c r="D15" s="2044"/>
      <c r="E15" s="1206">
        <v>19307971</v>
      </c>
      <c r="F15" s="1206">
        <v>19300000</v>
      </c>
      <c r="G15" s="1206">
        <v>16887501</v>
      </c>
      <c r="H15" s="1206">
        <v>16887501</v>
      </c>
    </row>
    <row r="16" spans="1:8" s="114" customFormat="1" ht="12.75" customHeight="1">
      <c r="A16" s="488" t="s">
        <v>55</v>
      </c>
      <c r="B16" s="195"/>
      <c r="C16" s="2043" t="s">
        <v>638</v>
      </c>
      <c r="D16" s="2044"/>
      <c r="E16" s="1206">
        <v>5306389</v>
      </c>
      <c r="F16" s="1206">
        <v>5300000</v>
      </c>
      <c r="G16" s="1206">
        <v>4648625</v>
      </c>
      <c r="H16" s="1206">
        <v>4648625</v>
      </c>
    </row>
    <row r="17" spans="1:8" s="114" customFormat="1" ht="12.75" customHeight="1">
      <c r="A17" s="490" t="s">
        <v>57</v>
      </c>
      <c r="B17" s="492"/>
      <c r="C17" s="686" t="s">
        <v>705</v>
      </c>
      <c r="D17" s="687"/>
      <c r="E17" s="491">
        <v>253</v>
      </c>
      <c r="F17" s="491">
        <v>0</v>
      </c>
      <c r="G17" s="491">
        <v>47</v>
      </c>
      <c r="H17" s="491">
        <v>100</v>
      </c>
    </row>
    <row r="18" spans="1:8" s="114" customFormat="1" ht="12.75" customHeight="1" thickBot="1">
      <c r="A18" s="490" t="s">
        <v>86</v>
      </c>
      <c r="B18" s="492"/>
      <c r="C18" s="2036" t="s">
        <v>639</v>
      </c>
      <c r="D18" s="2037"/>
      <c r="E18" s="491">
        <v>0</v>
      </c>
      <c r="F18" s="491">
        <v>0</v>
      </c>
      <c r="G18" s="491">
        <v>1</v>
      </c>
      <c r="H18" s="491">
        <v>1</v>
      </c>
    </row>
    <row r="19" spans="1:8" s="485" customFormat="1" ht="20.25" customHeight="1" thickBot="1">
      <c r="A19" s="483" t="s">
        <v>59</v>
      </c>
      <c r="B19" s="484"/>
      <c r="C19" s="2045" t="s">
        <v>479</v>
      </c>
      <c r="D19" s="2046"/>
      <c r="E19" s="476">
        <f>SUM(E11)+E9</f>
        <v>26052184</v>
      </c>
      <c r="F19" s="1545">
        <f>SUM(F11)+F9</f>
        <v>24947500</v>
      </c>
      <c r="G19" s="1545">
        <f>SUM(G11)+G9</f>
        <v>21773674</v>
      </c>
      <c r="H19" s="1545">
        <f>SUM(H11)+H9</f>
        <v>21773727</v>
      </c>
    </row>
    <row r="20" spans="1:8" s="196" customFormat="1" ht="12.75" customHeight="1">
      <c r="A20" s="552" t="s">
        <v>61</v>
      </c>
      <c r="B20" s="553" t="s">
        <v>166</v>
      </c>
      <c r="C20" s="2047" t="s">
        <v>498</v>
      </c>
      <c r="D20" s="2048"/>
      <c r="E20" s="927">
        <v>1347397</v>
      </c>
      <c r="F20" s="927">
        <v>530936</v>
      </c>
      <c r="G20" s="927">
        <v>530936</v>
      </c>
      <c r="H20" s="927">
        <v>530936</v>
      </c>
    </row>
    <row r="21" spans="1:8" ht="12.75" customHeight="1">
      <c r="A21" s="493" t="s">
        <v>63</v>
      </c>
      <c r="B21" s="195" t="s">
        <v>173</v>
      </c>
      <c r="C21" s="2038" t="s">
        <v>492</v>
      </c>
      <c r="D21" s="2039"/>
      <c r="E21" s="549">
        <f>SUM(E22:E23)</f>
        <v>70028771</v>
      </c>
      <c r="F21" s="549">
        <f>SUM(F22:F23)</f>
        <v>77694289</v>
      </c>
      <c r="G21" s="549">
        <f>SUM(G22:G23)</f>
        <v>77728012</v>
      </c>
      <c r="H21" s="549">
        <f>SUM(H22:H23)</f>
        <v>77790991</v>
      </c>
    </row>
    <row r="22" spans="1:8" ht="12.75" customHeight="1">
      <c r="A22" s="490" t="s">
        <v>65</v>
      </c>
      <c r="B22" s="197"/>
      <c r="C22" s="172" t="s">
        <v>481</v>
      </c>
      <c r="D22" s="198"/>
      <c r="E22" s="550">
        <v>27049315</v>
      </c>
      <c r="F22" s="550">
        <f>SUM(250000+7370379+14796520)</f>
        <v>22416899</v>
      </c>
      <c r="G22" s="550">
        <v>22450622</v>
      </c>
      <c r="H22" s="550">
        <v>23972641</v>
      </c>
    </row>
    <row r="23" spans="1:8" ht="12.75" customHeight="1" thickBot="1">
      <c r="A23" s="554" t="s">
        <v>92</v>
      </c>
      <c r="B23" s="555"/>
      <c r="C23" s="2041" t="s">
        <v>482</v>
      </c>
      <c r="D23" s="2041"/>
      <c r="E23" s="551">
        <v>42979456</v>
      </c>
      <c r="F23" s="551">
        <v>55277390</v>
      </c>
      <c r="G23" s="551">
        <v>55277390</v>
      </c>
      <c r="H23" s="551">
        <v>53818350</v>
      </c>
    </row>
    <row r="24" spans="1:8" s="423" customFormat="1" ht="18.75" customHeight="1" thickBot="1">
      <c r="A24" s="486" t="s">
        <v>66</v>
      </c>
      <c r="B24" s="487"/>
      <c r="C24" s="2040" t="s">
        <v>493</v>
      </c>
      <c r="D24" s="2040"/>
      <c r="E24" s="477">
        <f>SUM(E20+E21)</f>
        <v>71376168</v>
      </c>
      <c r="F24" s="477">
        <f>SUM(F20+F21)</f>
        <v>78225225</v>
      </c>
      <c r="G24" s="477">
        <f>SUM(G20+G21)</f>
        <v>78258948</v>
      </c>
      <c r="H24" s="477">
        <f>SUM(H20+H21)</f>
        <v>78321927</v>
      </c>
    </row>
    <row r="25" spans="1:8" s="423" customFormat="1" ht="21" customHeight="1" thickBot="1">
      <c r="A25" s="479" t="s">
        <v>67</v>
      </c>
      <c r="B25" s="480"/>
      <c r="C25" s="481" t="s">
        <v>116</v>
      </c>
      <c r="D25" s="482"/>
      <c r="E25" s="478">
        <f>SUM(E19+E24)</f>
        <v>97428352</v>
      </c>
      <c r="F25" s="478">
        <f>SUM(F19+F24)</f>
        <v>103172725</v>
      </c>
      <c r="G25" s="478">
        <f>SUM(G19+G24)</f>
        <v>100032622</v>
      </c>
      <c r="H25" s="478">
        <f>SUM(H19+H24)</f>
        <v>100095654</v>
      </c>
    </row>
    <row r="26" ht="12.75" customHeight="1" thickBot="1"/>
    <row r="27" spans="1:8" ht="36.75" customHeight="1">
      <c r="A27" s="1757" t="s">
        <v>156</v>
      </c>
      <c r="B27" s="1758"/>
      <c r="C27" s="394" t="s">
        <v>504</v>
      </c>
      <c r="D27" s="394" t="s">
        <v>494</v>
      </c>
      <c r="E27" s="357" t="s">
        <v>1076</v>
      </c>
      <c r="F27" s="357" t="s">
        <v>1104</v>
      </c>
      <c r="G27" s="357" t="s">
        <v>1165</v>
      </c>
      <c r="H27" s="357" t="s">
        <v>1186</v>
      </c>
    </row>
    <row r="28" spans="1:8" ht="12.75" customHeight="1" thickBot="1">
      <c r="A28" s="2031" t="s">
        <v>158</v>
      </c>
      <c r="B28" s="2032"/>
      <c r="C28" s="199" t="s">
        <v>159</v>
      </c>
      <c r="D28" s="199" t="s">
        <v>160</v>
      </c>
      <c r="E28" s="540" t="s">
        <v>161</v>
      </c>
      <c r="F28" s="540" t="s">
        <v>456</v>
      </c>
      <c r="G28" s="540" t="s">
        <v>476</v>
      </c>
      <c r="H28" s="540" t="s">
        <v>704</v>
      </c>
    </row>
    <row r="29" spans="1:8" ht="34.5" customHeight="1">
      <c r="A29" s="495" t="s">
        <v>38</v>
      </c>
      <c r="B29" s="200" t="s">
        <v>164</v>
      </c>
      <c r="C29" s="201" t="s">
        <v>373</v>
      </c>
      <c r="D29" s="202">
        <v>5</v>
      </c>
      <c r="E29" s="541">
        <f>SUM(E30:E32)</f>
        <v>36066279</v>
      </c>
      <c r="F29" s="541">
        <f>SUM(F30:F32)</f>
        <v>37122932</v>
      </c>
      <c r="G29" s="541">
        <f>SUM(G30:G32)</f>
        <v>33949106</v>
      </c>
      <c r="H29" s="541">
        <f>SUM(H30:H32)</f>
        <v>33949106</v>
      </c>
    </row>
    <row r="30" spans="1:8" ht="12.75" customHeight="1">
      <c r="A30" s="496" t="s">
        <v>40</v>
      </c>
      <c r="B30" s="79"/>
      <c r="C30" s="17" t="s">
        <v>250</v>
      </c>
      <c r="D30" s="141"/>
      <c r="E30" s="542">
        <v>11685043</v>
      </c>
      <c r="F30" s="542">
        <v>13005271</v>
      </c>
      <c r="G30" s="542">
        <v>13005271</v>
      </c>
      <c r="H30" s="542">
        <v>13005271</v>
      </c>
    </row>
    <row r="31" spans="1:8" ht="12.75" customHeight="1">
      <c r="A31" s="496" t="s">
        <v>47</v>
      </c>
      <c r="B31" s="79"/>
      <c r="C31" s="17" t="s">
        <v>251</v>
      </c>
      <c r="D31" s="141"/>
      <c r="E31" s="542">
        <v>2381236</v>
      </c>
      <c r="F31" s="542">
        <v>2117661</v>
      </c>
      <c r="G31" s="542">
        <v>2117661</v>
      </c>
      <c r="H31" s="542">
        <v>2117661</v>
      </c>
    </row>
    <row r="32" spans="1:8" ht="12.75" customHeight="1">
      <c r="A32" s="496" t="s">
        <v>49</v>
      </c>
      <c r="B32" s="79"/>
      <c r="C32" s="17" t="s">
        <v>252</v>
      </c>
      <c r="D32" s="141"/>
      <c r="E32" s="542">
        <v>22000000</v>
      </c>
      <c r="F32" s="542">
        <v>22000000</v>
      </c>
      <c r="G32" s="542">
        <v>18826174</v>
      </c>
      <c r="H32" s="542">
        <v>18826174</v>
      </c>
    </row>
    <row r="33" spans="1:8" ht="12.75" customHeight="1">
      <c r="A33" s="496" t="s">
        <v>51</v>
      </c>
      <c r="B33" s="79"/>
      <c r="C33" s="17" t="s">
        <v>615</v>
      </c>
      <c r="D33" s="141"/>
      <c r="E33" s="542">
        <v>0</v>
      </c>
      <c r="F33" s="542">
        <v>0</v>
      </c>
      <c r="G33" s="542">
        <v>0</v>
      </c>
      <c r="H33" s="542">
        <v>0</v>
      </c>
    </row>
    <row r="34" spans="1:8" s="10" customFormat="1" ht="27.75" customHeight="1">
      <c r="A34" s="496" t="s">
        <v>53</v>
      </c>
      <c r="B34" s="61" t="s">
        <v>166</v>
      </c>
      <c r="C34" s="139" t="s">
        <v>505</v>
      </c>
      <c r="D34" s="140">
        <v>1</v>
      </c>
      <c r="E34" s="543">
        <f>SUM(E35:E38)</f>
        <v>9729409</v>
      </c>
      <c r="F34" s="543">
        <f>SUM(F35:F38)</f>
        <v>10619798</v>
      </c>
      <c r="G34" s="543">
        <f>SUM(G35:G38)</f>
        <v>10619798</v>
      </c>
      <c r="H34" s="543">
        <f>SUM(H35:H38)</f>
        <v>10619798</v>
      </c>
    </row>
    <row r="35" spans="1:8" ht="12.75" customHeight="1">
      <c r="A35" s="496" t="s">
        <v>55</v>
      </c>
      <c r="B35" s="79"/>
      <c r="C35" s="17" t="s">
        <v>250</v>
      </c>
      <c r="D35" s="141"/>
      <c r="E35" s="542">
        <v>3094751</v>
      </c>
      <c r="F35" s="542">
        <v>3972889</v>
      </c>
      <c r="G35" s="542">
        <v>3972889</v>
      </c>
      <c r="H35" s="542">
        <v>3972889</v>
      </c>
    </row>
    <row r="36" spans="1:8" ht="12.75" customHeight="1">
      <c r="A36" s="496" t="s">
        <v>57</v>
      </c>
      <c r="B36" s="79"/>
      <c r="C36" s="17" t="s">
        <v>251</v>
      </c>
      <c r="D36" s="141"/>
      <c r="E36" s="542">
        <v>634658</v>
      </c>
      <c r="F36" s="542">
        <v>646909</v>
      </c>
      <c r="G36" s="542">
        <v>646909</v>
      </c>
      <c r="H36" s="542">
        <v>646909</v>
      </c>
    </row>
    <row r="37" spans="1:8" ht="12.75" customHeight="1">
      <c r="A37" s="496" t="s">
        <v>86</v>
      </c>
      <c r="B37" s="79"/>
      <c r="C37" s="17" t="s">
        <v>252</v>
      </c>
      <c r="D37" s="141"/>
      <c r="E37" s="542">
        <v>6000000</v>
      </c>
      <c r="F37" s="542">
        <v>6000000</v>
      </c>
      <c r="G37" s="542">
        <v>6000000</v>
      </c>
      <c r="H37" s="542">
        <v>6000000</v>
      </c>
    </row>
    <row r="38" spans="1:8" ht="12.75" customHeight="1">
      <c r="A38" s="496" t="s">
        <v>59</v>
      </c>
      <c r="B38" s="79"/>
      <c r="C38" s="17" t="s">
        <v>615</v>
      </c>
      <c r="D38" s="141"/>
      <c r="E38" s="542"/>
      <c r="F38" s="542"/>
      <c r="G38" s="542"/>
      <c r="H38" s="542"/>
    </row>
    <row r="39" spans="1:8" s="10" customFormat="1" ht="28.5" customHeight="1">
      <c r="A39" s="496" t="s">
        <v>61</v>
      </c>
      <c r="B39" s="61" t="s">
        <v>173</v>
      </c>
      <c r="C39" s="139" t="s">
        <v>383</v>
      </c>
      <c r="D39" s="140">
        <v>0</v>
      </c>
      <c r="E39" s="543">
        <f>SUM(E40:E43)</f>
        <v>0</v>
      </c>
      <c r="F39" s="543">
        <f>SUM(F40:F43)</f>
        <v>0</v>
      </c>
      <c r="G39" s="543">
        <f>SUM(G40:G43)</f>
        <v>0</v>
      </c>
      <c r="H39" s="543">
        <f>SUM(H40:H43)</f>
        <v>0</v>
      </c>
    </row>
    <row r="40" spans="1:8" ht="12.75" customHeight="1">
      <c r="A40" s="496" t="s">
        <v>63</v>
      </c>
      <c r="B40" s="79"/>
      <c r="C40" s="17" t="s">
        <v>250</v>
      </c>
      <c r="D40" s="141"/>
      <c r="E40" s="542">
        <v>0</v>
      </c>
      <c r="F40" s="542">
        <v>0</v>
      </c>
      <c r="G40" s="542">
        <v>0</v>
      </c>
      <c r="H40" s="542">
        <v>0</v>
      </c>
    </row>
    <row r="41" spans="1:8" ht="12.75" customHeight="1">
      <c r="A41" s="496" t="s">
        <v>65</v>
      </c>
      <c r="B41" s="79"/>
      <c r="C41" s="17" t="s">
        <v>251</v>
      </c>
      <c r="D41" s="141"/>
      <c r="E41" s="542">
        <v>0</v>
      </c>
      <c r="F41" s="542">
        <v>0</v>
      </c>
      <c r="G41" s="542">
        <v>0</v>
      </c>
      <c r="H41" s="542">
        <v>0</v>
      </c>
    </row>
    <row r="42" spans="1:8" ht="12.75" customHeight="1">
      <c r="A42" s="496" t="s">
        <v>92</v>
      </c>
      <c r="B42" s="79"/>
      <c r="C42" s="17" t="s">
        <v>252</v>
      </c>
      <c r="D42" s="141"/>
      <c r="E42" s="542">
        <v>0</v>
      </c>
      <c r="F42" s="542">
        <v>0</v>
      </c>
      <c r="G42" s="542">
        <v>0</v>
      </c>
      <c r="H42" s="542">
        <v>0</v>
      </c>
    </row>
    <row r="43" spans="1:8" ht="12.75" customHeight="1">
      <c r="A43" s="496" t="s">
        <v>66</v>
      </c>
      <c r="B43" s="79"/>
      <c r="C43" s="17" t="s">
        <v>615</v>
      </c>
      <c r="D43" s="141"/>
      <c r="E43" s="542">
        <v>0</v>
      </c>
      <c r="F43" s="542">
        <v>0</v>
      </c>
      <c r="G43" s="542">
        <v>0</v>
      </c>
      <c r="H43" s="542">
        <v>0</v>
      </c>
    </row>
    <row r="44" spans="1:8" ht="12.75" customHeight="1">
      <c r="A44" s="496" t="s">
        <v>67</v>
      </c>
      <c r="B44" s="61" t="s">
        <v>182</v>
      </c>
      <c r="C44" s="139" t="s">
        <v>506</v>
      </c>
      <c r="D44" s="140">
        <v>0</v>
      </c>
      <c r="E44" s="543">
        <f>SUM(E47:E48)</f>
        <v>500000</v>
      </c>
      <c r="F44" s="543">
        <f>SUM(F47:F48)</f>
        <v>500000</v>
      </c>
      <c r="G44" s="543">
        <f>SUM(G47:G48)</f>
        <v>500000</v>
      </c>
      <c r="H44" s="543">
        <f>SUM(H47:H48)</f>
        <v>500000</v>
      </c>
    </row>
    <row r="45" spans="1:8" ht="12.75" customHeight="1">
      <c r="A45" s="496" t="s">
        <v>68</v>
      </c>
      <c r="B45" s="61"/>
      <c r="C45" s="17" t="s">
        <v>445</v>
      </c>
      <c r="D45" s="140"/>
      <c r="E45" s="542">
        <v>0</v>
      </c>
      <c r="F45" s="542">
        <v>0</v>
      </c>
      <c r="G45" s="542">
        <v>0</v>
      </c>
      <c r="H45" s="542">
        <v>0</v>
      </c>
    </row>
    <row r="46" spans="1:8" ht="12.75" customHeight="1">
      <c r="A46" s="496" t="s">
        <v>70</v>
      </c>
      <c r="B46" s="79"/>
      <c r="C46" s="17" t="s">
        <v>251</v>
      </c>
      <c r="D46" s="141"/>
      <c r="E46" s="542">
        <v>0</v>
      </c>
      <c r="F46" s="542">
        <v>0</v>
      </c>
      <c r="G46" s="542">
        <v>0</v>
      </c>
      <c r="H46" s="542">
        <v>0</v>
      </c>
    </row>
    <row r="47" spans="1:8" ht="12.75" customHeight="1">
      <c r="A47" s="496" t="s">
        <v>97</v>
      </c>
      <c r="B47" s="79"/>
      <c r="C47" s="17" t="s">
        <v>252</v>
      </c>
      <c r="D47" s="141"/>
      <c r="E47" s="542">
        <v>500000</v>
      </c>
      <c r="F47" s="542">
        <v>500000</v>
      </c>
      <c r="G47" s="542">
        <v>500000</v>
      </c>
      <c r="H47" s="542">
        <v>500000</v>
      </c>
    </row>
    <row r="48" spans="1:8" ht="12.75" customHeight="1">
      <c r="A48" s="496" t="s">
        <v>99</v>
      </c>
      <c r="B48" s="79"/>
      <c r="C48" s="17" t="s">
        <v>615</v>
      </c>
      <c r="D48" s="141"/>
      <c r="E48" s="542">
        <v>0</v>
      </c>
      <c r="F48" s="542">
        <v>0</v>
      </c>
      <c r="G48" s="542">
        <v>0</v>
      </c>
      <c r="H48" s="542">
        <v>0</v>
      </c>
    </row>
    <row r="49" spans="1:8" ht="12.75" customHeight="1">
      <c r="A49" s="496" t="s">
        <v>101</v>
      </c>
      <c r="B49" s="61" t="s">
        <v>183</v>
      </c>
      <c r="C49" s="139" t="s">
        <v>507</v>
      </c>
      <c r="D49" s="140">
        <v>0</v>
      </c>
      <c r="E49" s="543">
        <f>SUM(E50:E53)</f>
        <v>430000</v>
      </c>
      <c r="F49" s="543">
        <f>SUM(F50:F53)</f>
        <v>430000</v>
      </c>
      <c r="G49" s="543">
        <f>SUM(G50:G53)</f>
        <v>430000</v>
      </c>
      <c r="H49" s="543">
        <f>SUM(H50:H53)</f>
        <v>430000</v>
      </c>
    </row>
    <row r="50" spans="1:8" ht="12.75" customHeight="1">
      <c r="A50" s="496" t="s">
        <v>103</v>
      </c>
      <c r="B50" s="61"/>
      <c r="C50" s="17" t="s">
        <v>250</v>
      </c>
      <c r="D50" s="140"/>
      <c r="E50" s="542">
        <v>0</v>
      </c>
      <c r="F50" s="542">
        <v>0</v>
      </c>
      <c r="G50" s="542">
        <v>0</v>
      </c>
      <c r="H50" s="542">
        <v>0</v>
      </c>
    </row>
    <row r="51" spans="1:8" ht="12.75" customHeight="1">
      <c r="A51" s="496" t="s">
        <v>105</v>
      </c>
      <c r="B51" s="79"/>
      <c r="C51" s="17" t="s">
        <v>251</v>
      </c>
      <c r="D51" s="203"/>
      <c r="E51" s="542">
        <v>0</v>
      </c>
      <c r="F51" s="542">
        <v>0</v>
      </c>
      <c r="G51" s="542">
        <v>0</v>
      </c>
      <c r="H51" s="542">
        <v>0</v>
      </c>
    </row>
    <row r="52" spans="1:8" ht="12.75" customHeight="1">
      <c r="A52" s="496" t="s">
        <v>107</v>
      </c>
      <c r="B52" s="79"/>
      <c r="C52" s="17" t="s">
        <v>252</v>
      </c>
      <c r="D52" s="203"/>
      <c r="E52" s="542">
        <v>430000</v>
      </c>
      <c r="F52" s="542">
        <v>430000</v>
      </c>
      <c r="G52" s="542">
        <v>430000</v>
      </c>
      <c r="H52" s="542">
        <v>430000</v>
      </c>
    </row>
    <row r="53" spans="1:8" ht="12.75" customHeight="1">
      <c r="A53" s="496" t="s">
        <v>109</v>
      </c>
      <c r="B53" s="79"/>
      <c r="C53" s="17" t="s">
        <v>615</v>
      </c>
      <c r="D53" s="203"/>
      <c r="E53" s="542">
        <v>0</v>
      </c>
      <c r="F53" s="542">
        <v>0</v>
      </c>
      <c r="G53" s="542">
        <v>0</v>
      </c>
      <c r="H53" s="542">
        <v>0</v>
      </c>
    </row>
    <row r="54" spans="1:8" ht="12.75" customHeight="1">
      <c r="A54" s="496" t="s">
        <v>111</v>
      </c>
      <c r="B54" s="61" t="s">
        <v>184</v>
      </c>
      <c r="C54" s="139" t="s">
        <v>508</v>
      </c>
      <c r="D54" s="204">
        <v>14</v>
      </c>
      <c r="E54" s="543">
        <f>SUM(E55:E58)</f>
        <v>46777419</v>
      </c>
      <c r="F54" s="543">
        <f>SUM(F55:F58)</f>
        <v>52889995</v>
      </c>
      <c r="G54" s="543">
        <f>SUM(G55:G58)</f>
        <v>52923718</v>
      </c>
      <c r="H54" s="543">
        <f>SUM(H55:H58)</f>
        <v>52986750</v>
      </c>
    </row>
    <row r="55" spans="1:8" ht="12.75" customHeight="1">
      <c r="A55" s="496" t="s">
        <v>113</v>
      </c>
      <c r="B55" s="79"/>
      <c r="C55" s="17" t="s">
        <v>250</v>
      </c>
      <c r="D55" s="203"/>
      <c r="E55" s="542">
        <v>25830006</v>
      </c>
      <c r="F55" s="542">
        <v>33961377</v>
      </c>
      <c r="G55" s="542">
        <v>33990077</v>
      </c>
      <c r="H55" s="542">
        <v>34043677</v>
      </c>
    </row>
    <row r="56" spans="1:8" ht="12.75" customHeight="1">
      <c r="A56" s="496" t="s">
        <v>115</v>
      </c>
      <c r="B56" s="79"/>
      <c r="C56" s="17" t="s">
        <v>251</v>
      </c>
      <c r="D56" s="203"/>
      <c r="E56" s="542">
        <v>4886324</v>
      </c>
      <c r="F56" s="542">
        <v>5728618</v>
      </c>
      <c r="G56" s="542">
        <v>5733641</v>
      </c>
      <c r="H56" s="542">
        <v>5743020</v>
      </c>
    </row>
    <row r="57" spans="1:8" ht="12.75" customHeight="1">
      <c r="A57" s="496" t="s">
        <v>117</v>
      </c>
      <c r="B57" s="79"/>
      <c r="C57" s="17" t="s">
        <v>252</v>
      </c>
      <c r="D57" s="203"/>
      <c r="E57" s="542">
        <v>15557501</v>
      </c>
      <c r="F57" s="542">
        <v>12200000</v>
      </c>
      <c r="G57" s="542">
        <v>12200000</v>
      </c>
      <c r="H57" s="542">
        <v>12200053</v>
      </c>
    </row>
    <row r="58" spans="1:8" ht="12.75" customHeight="1">
      <c r="A58" s="496" t="s">
        <v>118</v>
      </c>
      <c r="B58" s="79"/>
      <c r="C58" s="17" t="s">
        <v>249</v>
      </c>
      <c r="D58" s="203"/>
      <c r="E58" s="1450">
        <v>503588</v>
      </c>
      <c r="F58" s="1450">
        <f>SUM('6,7,8 Melléklet'!D29)</f>
        <v>1000000</v>
      </c>
      <c r="G58" s="1450">
        <f>SUM('6,7,8 Melléklet'!E29)</f>
        <v>1000000</v>
      </c>
      <c r="H58" s="1450">
        <v>1000000</v>
      </c>
    </row>
    <row r="59" spans="1:8" ht="12.75" customHeight="1">
      <c r="A59" s="496" t="s">
        <v>120</v>
      </c>
      <c r="B59" s="206" t="s">
        <v>186</v>
      </c>
      <c r="C59" s="207" t="s">
        <v>398</v>
      </c>
      <c r="D59" s="208">
        <v>0</v>
      </c>
      <c r="E59" s="543">
        <f>SUM(E60:E62)</f>
        <v>640000</v>
      </c>
      <c r="F59" s="543">
        <f>SUM(F60:F62)</f>
        <v>640000</v>
      </c>
      <c r="G59" s="543">
        <f>SUM(G60:G62)</f>
        <v>640000</v>
      </c>
      <c r="H59" s="543">
        <f>SUM(H60:H62)</f>
        <v>640000</v>
      </c>
    </row>
    <row r="60" spans="1:8" ht="12.75" customHeight="1">
      <c r="A60" s="496" t="s">
        <v>122</v>
      </c>
      <c r="B60" s="145"/>
      <c r="C60" s="147" t="s">
        <v>250</v>
      </c>
      <c r="D60" s="209"/>
      <c r="E60" s="542">
        <v>0</v>
      </c>
      <c r="F60" s="542">
        <v>0</v>
      </c>
      <c r="G60" s="542">
        <v>0</v>
      </c>
      <c r="H60" s="542">
        <v>0</v>
      </c>
    </row>
    <row r="61" spans="1:8" ht="12.75" customHeight="1">
      <c r="A61" s="496" t="s">
        <v>124</v>
      </c>
      <c r="B61" s="145"/>
      <c r="C61" s="147" t="s">
        <v>251</v>
      </c>
      <c r="D61" s="209"/>
      <c r="E61" s="542">
        <v>0</v>
      </c>
      <c r="F61" s="542">
        <v>0</v>
      </c>
      <c r="G61" s="542">
        <v>0</v>
      </c>
      <c r="H61" s="542">
        <v>0</v>
      </c>
    </row>
    <row r="62" spans="1:8" ht="12.75" customHeight="1">
      <c r="A62" s="496" t="s">
        <v>126</v>
      </c>
      <c r="B62" s="145"/>
      <c r="C62" s="147" t="s">
        <v>252</v>
      </c>
      <c r="D62" s="209"/>
      <c r="E62" s="542">
        <v>640000</v>
      </c>
      <c r="F62" s="542">
        <v>640000</v>
      </c>
      <c r="G62" s="542">
        <v>640000</v>
      </c>
      <c r="H62" s="542">
        <v>640000</v>
      </c>
    </row>
    <row r="63" spans="1:8" ht="12.75" customHeight="1">
      <c r="A63" s="496" t="s">
        <v>128</v>
      </c>
      <c r="B63" s="210" t="s">
        <v>189</v>
      </c>
      <c r="C63" s="9" t="s">
        <v>634</v>
      </c>
      <c r="D63" s="140"/>
      <c r="E63" s="543">
        <f>SUM(E64:E67)</f>
        <v>0</v>
      </c>
      <c r="F63" s="543">
        <f>SUM(F64:F67)</f>
        <v>0</v>
      </c>
      <c r="G63" s="543">
        <f>SUM(G64:G67)</f>
        <v>0</v>
      </c>
      <c r="H63" s="543">
        <f>SUM(H64:H67)</f>
        <v>0</v>
      </c>
    </row>
    <row r="64" spans="1:8" ht="12.75" customHeight="1">
      <c r="A64" s="496" t="s">
        <v>130</v>
      </c>
      <c r="B64" s="79"/>
      <c r="C64" s="17" t="s">
        <v>250</v>
      </c>
      <c r="D64" s="141"/>
      <c r="E64" s="542"/>
      <c r="F64" s="542"/>
      <c r="G64" s="542"/>
      <c r="H64" s="542"/>
    </row>
    <row r="65" spans="1:8" ht="12.75" customHeight="1">
      <c r="A65" s="496" t="s">
        <v>131</v>
      </c>
      <c r="B65" s="79"/>
      <c r="C65" s="17" t="s">
        <v>251</v>
      </c>
      <c r="D65" s="141"/>
      <c r="E65" s="542"/>
      <c r="F65" s="542"/>
      <c r="G65" s="542"/>
      <c r="H65" s="542"/>
    </row>
    <row r="66" spans="1:8" ht="12.75" customHeight="1">
      <c r="A66" s="496" t="s">
        <v>133</v>
      </c>
      <c r="B66" s="79"/>
      <c r="C66" s="17" t="s">
        <v>252</v>
      </c>
      <c r="D66" s="141"/>
      <c r="E66" s="542"/>
      <c r="F66" s="542"/>
      <c r="G66" s="542"/>
      <c r="H66" s="542"/>
    </row>
    <row r="67" spans="1:8" ht="12.75" customHeight="1">
      <c r="A67" s="496" t="s">
        <v>135</v>
      </c>
      <c r="B67" s="79"/>
      <c r="C67" s="17" t="s">
        <v>615</v>
      </c>
      <c r="D67" s="141"/>
      <c r="E67" s="544"/>
      <c r="F67" s="544"/>
      <c r="G67" s="544"/>
      <c r="H67" s="544"/>
    </row>
    <row r="68" spans="1:8" ht="12.75" customHeight="1">
      <c r="A68" s="496" t="s">
        <v>137</v>
      </c>
      <c r="B68" s="61" t="s">
        <v>191</v>
      </c>
      <c r="C68" s="9" t="s">
        <v>406</v>
      </c>
      <c r="D68" s="205">
        <v>0</v>
      </c>
      <c r="E68" s="545">
        <f>SUM(E69:E69)</f>
        <v>720000</v>
      </c>
      <c r="F68" s="545">
        <f>SUM(F69:F69)</f>
        <v>720000</v>
      </c>
      <c r="G68" s="545">
        <f>SUM(G69:G69)</f>
        <v>720000</v>
      </c>
      <c r="H68" s="545">
        <f>SUM(H69:H69)</f>
        <v>720000</v>
      </c>
    </row>
    <row r="69" spans="1:8" ht="12.75" customHeight="1">
      <c r="A69" s="496" t="s">
        <v>139</v>
      </c>
      <c r="B69" s="79"/>
      <c r="C69" s="17" t="s">
        <v>509</v>
      </c>
      <c r="D69" s="141"/>
      <c r="E69" s="544">
        <v>720000</v>
      </c>
      <c r="F69" s="544">
        <v>720000</v>
      </c>
      <c r="G69" s="544">
        <v>720000</v>
      </c>
      <c r="H69" s="544">
        <v>720000</v>
      </c>
    </row>
    <row r="70" spans="1:8" ht="25.5" customHeight="1">
      <c r="A70" s="496" t="s">
        <v>141</v>
      </c>
      <c r="B70" s="61" t="s">
        <v>195</v>
      </c>
      <c r="C70" s="84" t="s">
        <v>275</v>
      </c>
      <c r="D70" s="140">
        <v>1</v>
      </c>
      <c r="E70" s="545">
        <v>2565245</v>
      </c>
      <c r="F70" s="545">
        <f>SUM(F71:F73)</f>
        <v>250000</v>
      </c>
      <c r="G70" s="545">
        <f>SUM(G71:G73)</f>
        <v>250000</v>
      </c>
      <c r="H70" s="545">
        <f>SUM(H71:H73)</f>
        <v>250000</v>
      </c>
    </row>
    <row r="71" spans="1:8" ht="12.75" customHeight="1">
      <c r="A71" s="496" t="s">
        <v>143</v>
      </c>
      <c r="B71" s="79"/>
      <c r="C71" s="17" t="s">
        <v>250</v>
      </c>
      <c r="D71" s="141"/>
      <c r="E71" s="544">
        <v>2183187</v>
      </c>
      <c r="F71" s="544">
        <v>212766</v>
      </c>
      <c r="G71" s="544">
        <v>212766</v>
      </c>
      <c r="H71" s="544">
        <v>212766</v>
      </c>
    </row>
    <row r="72" spans="1:8" ht="12.75" customHeight="1">
      <c r="A72" s="497" t="s">
        <v>145</v>
      </c>
      <c r="B72" s="142"/>
      <c r="C72" s="136" t="s">
        <v>251</v>
      </c>
      <c r="D72" s="494"/>
      <c r="E72" s="546">
        <v>382058</v>
      </c>
      <c r="F72" s="546">
        <v>37234</v>
      </c>
      <c r="G72" s="546">
        <v>37234</v>
      </c>
      <c r="H72" s="546">
        <v>37234</v>
      </c>
    </row>
    <row r="73" spans="1:8" ht="12.75" customHeight="1">
      <c r="A73" s="459" t="s">
        <v>147</v>
      </c>
      <c r="B73" s="295"/>
      <c r="C73" s="296" t="s">
        <v>252</v>
      </c>
      <c r="D73" s="538"/>
      <c r="E73" s="547">
        <v>0</v>
      </c>
      <c r="F73" s="547">
        <v>0</v>
      </c>
      <c r="G73" s="547">
        <v>0</v>
      </c>
      <c r="H73" s="547">
        <v>0</v>
      </c>
    </row>
    <row r="74" spans="1:8" ht="12.75" customHeight="1" thickBot="1">
      <c r="A74" s="469" t="s">
        <v>149</v>
      </c>
      <c r="B74" s="470"/>
      <c r="C74" s="136" t="s">
        <v>615</v>
      </c>
      <c r="D74" s="539"/>
      <c r="E74" s="548">
        <v>0</v>
      </c>
      <c r="F74" s="548">
        <v>0</v>
      </c>
      <c r="G74" s="548">
        <v>0</v>
      </c>
      <c r="H74" s="548">
        <v>0</v>
      </c>
    </row>
    <row r="75" spans="1:8" s="499" customFormat="1" ht="48" customHeight="1" thickBot="1">
      <c r="A75" s="557" t="s">
        <v>151</v>
      </c>
      <c r="B75" s="498"/>
      <c r="C75" s="2042" t="s">
        <v>510</v>
      </c>
      <c r="D75" s="2042"/>
      <c r="E75" s="556">
        <f>SUM(E29+E34+E39+E44+E49+E54+E59+E63+E68+E70)</f>
        <v>97428352</v>
      </c>
      <c r="F75" s="556">
        <f>SUM(F29+F34+F39+F44+F49+F54+F59+F63+F68+F70)</f>
        <v>103172725</v>
      </c>
      <c r="G75" s="556">
        <f>SUM(G29+G34+G39+G44+G49+G54+G59+G63+G68+G70)</f>
        <v>100032622</v>
      </c>
      <c r="H75" s="556">
        <f>SUM(H29+H34+H39+H44+H49+H54+H59+H63+H68+H70)</f>
        <v>100095654</v>
      </c>
    </row>
    <row r="76" spans="1:8" ht="12.75" customHeight="1">
      <c r="A76" s="809" t="s">
        <v>205</v>
      </c>
      <c r="B76" s="810"/>
      <c r="C76" s="802" t="s">
        <v>488</v>
      </c>
      <c r="D76" s="811">
        <v>20</v>
      </c>
      <c r="E76" s="812">
        <f aca="true" t="shared" si="0" ref="E76:G77">SUM(E30+E35+E40+E45+E50+E55+E60+E64+E71)</f>
        <v>42792987</v>
      </c>
      <c r="F76" s="812">
        <f t="shared" si="0"/>
        <v>51152303</v>
      </c>
      <c r="G76" s="812">
        <f t="shared" si="0"/>
        <v>51181003</v>
      </c>
      <c r="H76" s="812">
        <f>SUM(H30+H35+H40+H45+H50+H55+H60+H64+H71)</f>
        <v>51234603</v>
      </c>
    </row>
    <row r="77" spans="1:8" ht="12.75" customHeight="1">
      <c r="A77" s="497" t="s">
        <v>207</v>
      </c>
      <c r="B77" s="776"/>
      <c r="C77" s="806" t="s">
        <v>251</v>
      </c>
      <c r="D77" s="778"/>
      <c r="E77" s="807">
        <f t="shared" si="0"/>
        <v>8284276</v>
      </c>
      <c r="F77" s="807">
        <f t="shared" si="0"/>
        <v>8530422</v>
      </c>
      <c r="G77" s="807">
        <f t="shared" si="0"/>
        <v>8535445</v>
      </c>
      <c r="H77" s="807">
        <f>SUM(H31+H36+H41+H46+H51+H56+H61+H65+H72)</f>
        <v>8544824</v>
      </c>
    </row>
    <row r="78" spans="1:8" ht="12.75" customHeight="1">
      <c r="A78" s="459" t="s">
        <v>261</v>
      </c>
      <c r="B78" s="779"/>
      <c r="C78" s="808" t="s">
        <v>624</v>
      </c>
      <c r="D78" s="780"/>
      <c r="E78" s="813">
        <f>SUM(E32+E37+E42+E47+E52+E57+E62+E66+E73)+E69</f>
        <v>45847501</v>
      </c>
      <c r="F78" s="813">
        <f>SUM(F32+F37+F42+F47+F52+F57+F62+F66+F73)+F69</f>
        <v>42490000</v>
      </c>
      <c r="G78" s="813">
        <f>SUM(G32+G37+G42+G47+G52+G57+G62+G66+G73)+G69</f>
        <v>39316174</v>
      </c>
      <c r="H78" s="813">
        <f>SUM(H32+H37+H42+H47+H52+H57+H62+H66+H73)+H69</f>
        <v>39316227</v>
      </c>
    </row>
    <row r="79" spans="1:8" ht="12.75" customHeight="1">
      <c r="A79" s="459" t="s">
        <v>208</v>
      </c>
      <c r="B79" s="779"/>
      <c r="C79" s="400" t="s">
        <v>249</v>
      </c>
      <c r="D79" s="780"/>
      <c r="E79" s="813">
        <f>SUM(E33+E38+E43+E48+E53+E58+E67)</f>
        <v>503588</v>
      </c>
      <c r="F79" s="813">
        <f>SUM(F33+F38+F43+F48+F53+F58+F67)</f>
        <v>1000000</v>
      </c>
      <c r="G79" s="813">
        <f>SUM(G33+G38+G43+G48+G53+G58+G67)</f>
        <v>1000000</v>
      </c>
      <c r="H79" s="813">
        <v>1000000</v>
      </c>
    </row>
    <row r="80" spans="1:8" s="515" customFormat="1" ht="12.75" customHeight="1">
      <c r="A80" s="814" t="s">
        <v>210</v>
      </c>
      <c r="B80" s="746"/>
      <c r="C80" s="746" t="s">
        <v>781</v>
      </c>
      <c r="D80" s="746"/>
      <c r="E80" s="815">
        <v>503588</v>
      </c>
      <c r="F80" s="815">
        <v>1000000</v>
      </c>
      <c r="G80" s="815">
        <v>1000000</v>
      </c>
      <c r="H80" s="815">
        <v>1000000</v>
      </c>
    </row>
    <row r="81" spans="1:8" s="515" customFormat="1" ht="12.75" customHeight="1" thickBot="1">
      <c r="A81" s="798" t="s">
        <v>263</v>
      </c>
      <c r="B81" s="799"/>
      <c r="C81" s="799" t="s">
        <v>782</v>
      </c>
      <c r="D81" s="799"/>
      <c r="E81" s="805"/>
      <c r="F81" s="805"/>
      <c r="G81" s="805"/>
      <c r="H81" s="805"/>
    </row>
  </sheetData>
  <sheetProtection selectLockedCells="1" selectUnlockedCells="1"/>
  <mergeCells count="23">
    <mergeCell ref="C75:D75"/>
    <mergeCell ref="C12:D12"/>
    <mergeCell ref="C14:D14"/>
    <mergeCell ref="C15:D15"/>
    <mergeCell ref="C16:D16"/>
    <mergeCell ref="C19:D19"/>
    <mergeCell ref="C20:D20"/>
    <mergeCell ref="A28:B28"/>
    <mergeCell ref="A27:B27"/>
    <mergeCell ref="C8:D8"/>
    <mergeCell ref="A8:B8"/>
    <mergeCell ref="C18:D18"/>
    <mergeCell ref="A4:H4"/>
    <mergeCell ref="C21:D21"/>
    <mergeCell ref="C24:D24"/>
    <mergeCell ref="C23:D23"/>
    <mergeCell ref="C9:D9"/>
    <mergeCell ref="C7:D7"/>
    <mergeCell ref="A7:B7"/>
    <mergeCell ref="C10:D10"/>
    <mergeCell ref="A2:H2"/>
    <mergeCell ref="C3:G3"/>
    <mergeCell ref="A1:H1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65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5"/>
  <sheetViews>
    <sheetView view="pageBreakPreview" zoomScale="97" zoomScaleSheetLayoutView="97" zoomScalePageLayoutView="0" workbookViewId="0" topLeftCell="A142">
      <selection activeCell="H3" sqref="H3"/>
    </sheetView>
  </sheetViews>
  <sheetFormatPr defaultColWidth="11.57421875" defaultRowHeight="12.75" customHeight="1"/>
  <cols>
    <col min="1" max="1" width="4.00390625" style="977" customWidth="1"/>
    <col min="2" max="2" width="4.28125" style="977" customWidth="1"/>
    <col min="3" max="3" width="40.421875" style="977" customWidth="1"/>
    <col min="4" max="4" width="4.28125" style="977" customWidth="1"/>
    <col min="5" max="8" width="17.00390625" style="977" customWidth="1"/>
    <col min="9" max="9" width="11.57421875" style="977" customWidth="1"/>
    <col min="10" max="10" width="12.7109375" style="977" bestFit="1" customWidth="1"/>
    <col min="11" max="16384" width="11.57421875" style="977" customWidth="1"/>
  </cols>
  <sheetData>
    <row r="1" spans="1:8" s="976" customFormat="1" ht="18" customHeight="1">
      <c r="A1" s="2055" t="s">
        <v>511</v>
      </c>
      <c r="B1" s="2055"/>
      <c r="C1" s="2055"/>
      <c r="D1" s="2055"/>
      <c r="E1" s="2055"/>
      <c r="F1" s="2055"/>
      <c r="G1" s="2055"/>
      <c r="H1" s="2055"/>
    </row>
    <row r="2" spans="1:8" ht="12.75" customHeight="1">
      <c r="A2" s="2054" t="s">
        <v>1259</v>
      </c>
      <c r="B2" s="2054"/>
      <c r="C2" s="2054"/>
      <c r="D2" s="2054"/>
      <c r="E2" s="2054"/>
      <c r="F2" s="2054"/>
      <c r="G2" s="2054"/>
      <c r="H2" s="2054"/>
    </row>
    <row r="3" spans="3:8" ht="21.75" customHeight="1">
      <c r="C3" s="2049" t="s">
        <v>1261</v>
      </c>
      <c r="D3" s="2049"/>
      <c r="E3" s="2049"/>
      <c r="F3" s="2049"/>
      <c r="G3" s="2049"/>
      <c r="H3" s="978" t="s">
        <v>1266</v>
      </c>
    </row>
    <row r="4" spans="1:8" ht="18" customHeight="1">
      <c r="A4" s="2053" t="s">
        <v>1084</v>
      </c>
      <c r="B4" s="2053"/>
      <c r="C4" s="2053"/>
      <c r="D4" s="2053"/>
      <c r="E4" s="2053"/>
      <c r="F4" s="2053"/>
      <c r="G4" s="2053"/>
      <c r="H4" s="2053"/>
    </row>
    <row r="5" spans="5:8" ht="24.75" customHeight="1">
      <c r="E5" s="978"/>
      <c r="F5" s="978"/>
      <c r="G5" s="978"/>
      <c r="H5" s="978"/>
    </row>
    <row r="6" spans="1:8" ht="12.75" customHeight="1" thickBot="1">
      <c r="A6" s="2049"/>
      <c r="B6" s="2049"/>
      <c r="C6" s="2049"/>
      <c r="D6" s="979"/>
      <c r="E6" s="980"/>
      <c r="F6" s="980"/>
      <c r="G6" s="980"/>
      <c r="H6" s="980" t="s">
        <v>214</v>
      </c>
    </row>
    <row r="7" spans="1:8" ht="42.75" customHeight="1">
      <c r="A7" s="2050" t="s">
        <v>156</v>
      </c>
      <c r="B7" s="2051"/>
      <c r="C7" s="2052" t="s">
        <v>157</v>
      </c>
      <c r="D7" s="2052"/>
      <c r="E7" s="503" t="s">
        <v>1076</v>
      </c>
      <c r="F7" s="503" t="s">
        <v>1077</v>
      </c>
      <c r="G7" s="503" t="s">
        <v>1165</v>
      </c>
      <c r="H7" s="503" t="s">
        <v>1186</v>
      </c>
    </row>
    <row r="8" spans="1:8" ht="12.75" customHeight="1" thickBot="1">
      <c r="A8" s="2056" t="s">
        <v>158</v>
      </c>
      <c r="B8" s="2057"/>
      <c r="C8" s="2058" t="s">
        <v>159</v>
      </c>
      <c r="D8" s="2058"/>
      <c r="E8" s="506" t="s">
        <v>160</v>
      </c>
      <c r="F8" s="506" t="s">
        <v>161</v>
      </c>
      <c r="G8" s="506" t="s">
        <v>456</v>
      </c>
      <c r="H8" s="506" t="s">
        <v>476</v>
      </c>
    </row>
    <row r="9" spans="1:8" s="984" customFormat="1" ht="29.25" customHeight="1">
      <c r="A9" s="981" t="s">
        <v>38</v>
      </c>
      <c r="B9" s="982"/>
      <c r="C9" s="2059" t="s">
        <v>571</v>
      </c>
      <c r="D9" s="2059"/>
      <c r="E9" s="983">
        <v>64654837</v>
      </c>
      <c r="F9" s="983">
        <f>SUM('12. melléklet'!G28)</f>
        <v>61975191</v>
      </c>
      <c r="G9" s="983">
        <f>SUM('12. melléklet'!H28)</f>
        <v>75331491</v>
      </c>
      <c r="H9" s="983">
        <v>75719241</v>
      </c>
    </row>
    <row r="10" spans="1:8" s="984" customFormat="1" ht="27.75" customHeight="1">
      <c r="A10" s="1719" t="s">
        <v>40</v>
      </c>
      <c r="B10" s="985"/>
      <c r="C10" s="2060" t="s">
        <v>572</v>
      </c>
      <c r="D10" s="2061"/>
      <c r="E10" s="986">
        <v>71348150</v>
      </c>
      <c r="F10" s="986">
        <f>SUM('12. melléklet'!G38)</f>
        <v>71578420</v>
      </c>
      <c r="G10" s="986">
        <f>SUM('12. melléklet'!H38)</f>
        <v>71578420</v>
      </c>
      <c r="H10" s="986">
        <v>76658570</v>
      </c>
    </row>
    <row r="11" spans="1:8" s="984" customFormat="1" ht="27.75" customHeight="1">
      <c r="A11" s="1720" t="s">
        <v>47</v>
      </c>
      <c r="B11" s="1718"/>
      <c r="C11" s="2062" t="s">
        <v>1216</v>
      </c>
      <c r="D11" s="2063"/>
      <c r="E11" s="986"/>
      <c r="F11" s="986"/>
      <c r="G11" s="986"/>
      <c r="H11" s="986">
        <v>41769100</v>
      </c>
    </row>
    <row r="12" spans="1:8" s="984" customFormat="1" ht="25.5" customHeight="1">
      <c r="A12" s="987" t="s">
        <v>49</v>
      </c>
      <c r="B12" s="988"/>
      <c r="C12" s="2062" t="s">
        <v>1217</v>
      </c>
      <c r="D12" s="2063"/>
      <c r="E12" s="986">
        <v>73996115</v>
      </c>
      <c r="F12" s="986">
        <f>SUM('12. melléklet'!G49)</f>
        <v>68387414</v>
      </c>
      <c r="G12" s="986">
        <f>SUM('12. melléklet'!H49)</f>
        <v>70287414</v>
      </c>
      <c r="H12" s="986">
        <v>32209354</v>
      </c>
    </row>
    <row r="13" spans="1:8" s="984" customFormat="1" ht="29.25" customHeight="1">
      <c r="A13" s="989" t="s">
        <v>51</v>
      </c>
      <c r="B13" s="990"/>
      <c r="C13" s="2062" t="s">
        <v>573</v>
      </c>
      <c r="D13" s="2063"/>
      <c r="E13" s="986">
        <v>5050082</v>
      </c>
      <c r="F13" s="986">
        <f>SUM('12. melléklet'!G51)</f>
        <v>4357233</v>
      </c>
      <c r="G13" s="986">
        <f>SUM('12. melléklet'!H51)</f>
        <v>4357233</v>
      </c>
      <c r="H13" s="986">
        <v>5854923</v>
      </c>
    </row>
    <row r="14" spans="1:8" s="984" customFormat="1" ht="29.25" customHeight="1">
      <c r="A14" s="989" t="s">
        <v>53</v>
      </c>
      <c r="B14" s="990"/>
      <c r="C14" s="2062" t="s">
        <v>574</v>
      </c>
      <c r="D14" s="2063"/>
      <c r="E14" s="991">
        <v>9078450</v>
      </c>
      <c r="F14" s="991">
        <v>0</v>
      </c>
      <c r="G14" s="991">
        <v>0</v>
      </c>
      <c r="H14" s="991">
        <v>0</v>
      </c>
    </row>
    <row r="15" spans="1:8" s="984" customFormat="1" ht="12">
      <c r="A15" s="989" t="s">
        <v>55</v>
      </c>
      <c r="B15" s="990"/>
      <c r="C15" s="2062" t="s">
        <v>575</v>
      </c>
      <c r="D15" s="2063"/>
      <c r="E15" s="1329">
        <v>0</v>
      </c>
      <c r="F15" s="1329">
        <v>0</v>
      </c>
      <c r="G15" s="1329">
        <v>0</v>
      </c>
      <c r="H15" s="1329">
        <v>0</v>
      </c>
    </row>
    <row r="16" spans="1:8" ht="12.75">
      <c r="A16" s="992" t="s">
        <v>57</v>
      </c>
      <c r="B16" s="993"/>
      <c r="C16" s="2064" t="s">
        <v>791</v>
      </c>
      <c r="D16" s="2065"/>
      <c r="E16" s="1326">
        <f>SUM(E9:E15)</f>
        <v>224127634</v>
      </c>
      <c r="F16" s="1326">
        <f>SUM(F9:F15)</f>
        <v>206298258</v>
      </c>
      <c r="G16" s="1326">
        <f>SUM(G9:G15)</f>
        <v>221554558</v>
      </c>
      <c r="H16" s="1326">
        <f>SUM(H9:H15)</f>
        <v>232211188</v>
      </c>
    </row>
    <row r="17" spans="1:8" ht="25.5" customHeight="1">
      <c r="A17" s="992" t="s">
        <v>86</v>
      </c>
      <c r="B17" s="993"/>
      <c r="C17" s="2066" t="s">
        <v>792</v>
      </c>
      <c r="D17" s="2067"/>
      <c r="E17" s="1326">
        <v>18593775</v>
      </c>
      <c r="F17" s="1326">
        <v>250000</v>
      </c>
      <c r="G17" s="1326">
        <v>250000</v>
      </c>
      <c r="H17" s="1326">
        <v>1512404</v>
      </c>
    </row>
    <row r="18" spans="1:8" s="996" customFormat="1" ht="12">
      <c r="A18" s="994" t="s">
        <v>59</v>
      </c>
      <c r="B18" s="995"/>
      <c r="C18" s="2068" t="s">
        <v>593</v>
      </c>
      <c r="D18" s="2069"/>
      <c r="E18" s="997"/>
      <c r="F18" s="997"/>
      <c r="G18" s="997"/>
      <c r="H18" s="997"/>
    </row>
    <row r="19" spans="1:8" s="996" customFormat="1" ht="12">
      <c r="A19" s="994" t="s">
        <v>61</v>
      </c>
      <c r="B19" s="995"/>
      <c r="C19" s="2068" t="s">
        <v>1218</v>
      </c>
      <c r="D19" s="2069"/>
      <c r="E19" s="997"/>
      <c r="F19" s="997"/>
      <c r="G19" s="997"/>
      <c r="H19" s="997">
        <v>1048888</v>
      </c>
    </row>
    <row r="20" spans="1:8" s="996" customFormat="1" ht="12">
      <c r="A20" s="994" t="s">
        <v>63</v>
      </c>
      <c r="B20" s="995"/>
      <c r="C20" s="2070" t="s">
        <v>793</v>
      </c>
      <c r="D20" s="2071"/>
      <c r="E20" s="997">
        <v>2565245</v>
      </c>
      <c r="F20" s="997">
        <v>250000</v>
      </c>
      <c r="G20" s="997">
        <v>250000</v>
      </c>
      <c r="H20" s="997">
        <v>463516</v>
      </c>
    </row>
    <row r="21" spans="1:8" s="996" customFormat="1" ht="12">
      <c r="A21" s="994" t="s">
        <v>65</v>
      </c>
      <c r="B21" s="995"/>
      <c r="C21" s="2072" t="s">
        <v>794</v>
      </c>
      <c r="D21" s="2073"/>
      <c r="E21" s="997">
        <v>15626686</v>
      </c>
      <c r="F21" s="997"/>
      <c r="G21" s="997"/>
      <c r="H21" s="997"/>
    </row>
    <row r="22" spans="1:8" s="1001" customFormat="1" ht="33" customHeight="1">
      <c r="A22" s="998" t="s">
        <v>92</v>
      </c>
      <c r="B22" s="999" t="s">
        <v>164</v>
      </c>
      <c r="C22" s="2074" t="s">
        <v>795</v>
      </c>
      <c r="D22" s="2075"/>
      <c r="E22" s="1325">
        <f>SUM(E16+E17)</f>
        <v>242721409</v>
      </c>
      <c r="F22" s="1325">
        <f>SUM(F16+F17)</f>
        <v>206548258</v>
      </c>
      <c r="G22" s="1325">
        <f>SUM(G16+G17)</f>
        <v>221804558</v>
      </c>
      <c r="H22" s="1325">
        <f>SUM(H16+H17)</f>
        <v>233723592</v>
      </c>
    </row>
    <row r="23" spans="1:8" s="1005" customFormat="1" ht="33" customHeight="1">
      <c r="A23" s="1002" t="s">
        <v>66</v>
      </c>
      <c r="B23" s="1003"/>
      <c r="C23" s="2076" t="s">
        <v>797</v>
      </c>
      <c r="D23" s="2077"/>
      <c r="E23" s="1004">
        <v>86558434</v>
      </c>
      <c r="F23" s="1004">
        <f>SUM(F24)</f>
        <v>0</v>
      </c>
      <c r="G23" s="1004">
        <f>SUM(G24)+G28</f>
        <v>204583492</v>
      </c>
      <c r="H23" s="1004">
        <f>SUM(H24:H28)</f>
        <v>225628568</v>
      </c>
    </row>
    <row r="24" spans="1:8" s="1009" customFormat="1" ht="12">
      <c r="A24" s="1006" t="s">
        <v>67</v>
      </c>
      <c r="B24" s="1007"/>
      <c r="C24" s="2078" t="s">
        <v>1220</v>
      </c>
      <c r="D24" s="2079"/>
      <c r="E24" s="1008">
        <v>86558434</v>
      </c>
      <c r="F24" s="1008">
        <v>0</v>
      </c>
      <c r="G24" s="1008">
        <v>199148770</v>
      </c>
      <c r="H24" s="1008">
        <v>199148770</v>
      </c>
    </row>
    <row r="25" spans="1:8" s="1009" customFormat="1" ht="12">
      <c r="A25" s="1006" t="s">
        <v>68</v>
      </c>
      <c r="B25" s="1007"/>
      <c r="C25" s="2081" t="s">
        <v>1221</v>
      </c>
      <c r="D25" s="2082"/>
      <c r="E25" s="1008"/>
      <c r="F25" s="1008"/>
      <c r="G25" s="1008"/>
      <c r="H25" s="1008">
        <v>2977923</v>
      </c>
    </row>
    <row r="26" spans="1:8" s="1009" customFormat="1" ht="12">
      <c r="A26" s="1006" t="s">
        <v>70</v>
      </c>
      <c r="B26" s="1007"/>
      <c r="C26" s="2081" t="s">
        <v>1222</v>
      </c>
      <c r="D26" s="2082"/>
      <c r="E26" s="1008"/>
      <c r="F26" s="1008"/>
      <c r="G26" s="1008"/>
      <c r="H26" s="1008">
        <v>16970000</v>
      </c>
    </row>
    <row r="27" spans="1:8" s="1009" customFormat="1" ht="12">
      <c r="A27" s="1006" t="s">
        <v>97</v>
      </c>
      <c r="B27" s="1007"/>
      <c r="C27" s="2081" t="s">
        <v>1223</v>
      </c>
      <c r="D27" s="2082"/>
      <c r="E27" s="1008"/>
      <c r="F27" s="1008"/>
      <c r="G27" s="1008"/>
      <c r="H27" s="1008">
        <v>1097153</v>
      </c>
    </row>
    <row r="28" spans="1:8" s="1009" customFormat="1" ht="24">
      <c r="A28" s="1006" t="s">
        <v>99</v>
      </c>
      <c r="B28" s="1007"/>
      <c r="C28" s="921" t="s">
        <v>1219</v>
      </c>
      <c r="D28" s="922"/>
      <c r="E28" s="1008"/>
      <c r="F28" s="1008">
        <v>0</v>
      </c>
      <c r="G28" s="1008">
        <v>5434722</v>
      </c>
      <c r="H28" s="1008">
        <v>5434722</v>
      </c>
    </row>
    <row r="29" spans="1:8" s="212" customFormat="1" ht="27" customHeight="1">
      <c r="A29" s="1010" t="s">
        <v>101</v>
      </c>
      <c r="B29" s="1011" t="s">
        <v>166</v>
      </c>
      <c r="C29" s="2080" t="s">
        <v>796</v>
      </c>
      <c r="D29" s="2080"/>
      <c r="E29" s="1000">
        <f>SUM(E23)</f>
        <v>86558434</v>
      </c>
      <c r="F29" s="1000">
        <f>SUM(F23)</f>
        <v>0</v>
      </c>
      <c r="G29" s="1000">
        <f>SUM(G23)</f>
        <v>204583492</v>
      </c>
      <c r="H29" s="1000">
        <f>SUM(H23)</f>
        <v>225628568</v>
      </c>
    </row>
    <row r="30" spans="1:8" s="1013" customFormat="1" ht="12">
      <c r="A30" s="989" t="s">
        <v>103</v>
      </c>
      <c r="B30" s="1012"/>
      <c r="C30" s="2083" t="s">
        <v>588</v>
      </c>
      <c r="D30" s="2084"/>
      <c r="E30" s="986">
        <v>7416968</v>
      </c>
      <c r="F30" s="986">
        <v>7000000</v>
      </c>
      <c r="G30" s="986">
        <v>7000000</v>
      </c>
      <c r="H30" s="986">
        <v>7000000</v>
      </c>
    </row>
    <row r="31" spans="1:8" s="1013" customFormat="1" ht="12">
      <c r="A31" s="989" t="s">
        <v>105</v>
      </c>
      <c r="B31" s="1012"/>
      <c r="C31" s="2085" t="s">
        <v>589</v>
      </c>
      <c r="D31" s="2086"/>
      <c r="E31" s="986">
        <v>178695853</v>
      </c>
      <c r="F31" s="986">
        <v>170000000</v>
      </c>
      <c r="G31" s="986">
        <v>149699463</v>
      </c>
      <c r="H31" s="986">
        <v>149699463</v>
      </c>
    </row>
    <row r="32" spans="1:8" s="1013" customFormat="1" ht="12">
      <c r="A32" s="989" t="s">
        <v>107</v>
      </c>
      <c r="B32" s="1012"/>
      <c r="C32" s="2085" t="s">
        <v>590</v>
      </c>
      <c r="D32" s="2086"/>
      <c r="E32" s="986">
        <v>10879813</v>
      </c>
      <c r="F32" s="986">
        <v>10700000</v>
      </c>
      <c r="G32" s="986">
        <v>0</v>
      </c>
      <c r="H32" s="986">
        <v>0</v>
      </c>
    </row>
    <row r="33" spans="1:8" s="1013" customFormat="1" ht="26.25" customHeight="1">
      <c r="A33" s="989" t="s">
        <v>109</v>
      </c>
      <c r="B33" s="1012"/>
      <c r="C33" s="2087" t="s">
        <v>591</v>
      </c>
      <c r="D33" s="2088"/>
      <c r="E33" s="986">
        <v>0</v>
      </c>
      <c r="F33" s="986"/>
      <c r="G33" s="986"/>
      <c r="H33" s="986"/>
    </row>
    <row r="34" spans="1:8" s="1013" customFormat="1" ht="17.25" customHeight="1">
      <c r="A34" s="989" t="s">
        <v>111</v>
      </c>
      <c r="B34" s="1012"/>
      <c r="C34" s="2089" t="s">
        <v>592</v>
      </c>
      <c r="D34" s="2090"/>
      <c r="E34" s="986">
        <v>275818</v>
      </c>
      <c r="F34" s="986">
        <v>250000</v>
      </c>
      <c r="G34" s="986">
        <v>250000</v>
      </c>
      <c r="H34" s="986">
        <v>350000</v>
      </c>
    </row>
    <row r="35" spans="1:8" s="212" customFormat="1" ht="12.75">
      <c r="A35" s="1010" t="s">
        <v>113</v>
      </c>
      <c r="B35" s="1011" t="s">
        <v>173</v>
      </c>
      <c r="C35" s="2091" t="s">
        <v>799</v>
      </c>
      <c r="D35" s="2092"/>
      <c r="E35" s="1325">
        <f>SUM(E30:E34)</f>
        <v>197268452</v>
      </c>
      <c r="F35" s="1325">
        <f>SUM(F30:F34)</f>
        <v>187950000</v>
      </c>
      <c r="G35" s="1325">
        <f>SUM(G30:G34)</f>
        <v>156949463</v>
      </c>
      <c r="H35" s="1325">
        <f>SUM(H30:H34)</f>
        <v>157049463</v>
      </c>
    </row>
    <row r="36" spans="1:8" s="212" customFormat="1" ht="12.75">
      <c r="A36" s="992" t="s">
        <v>115</v>
      </c>
      <c r="B36" s="1011"/>
      <c r="C36" s="2093" t="s">
        <v>576</v>
      </c>
      <c r="D36" s="2094"/>
      <c r="E36" s="1326">
        <v>3655726</v>
      </c>
      <c r="F36" s="1326">
        <v>3600000</v>
      </c>
      <c r="G36" s="1326">
        <v>2500000</v>
      </c>
      <c r="H36" s="1326">
        <v>3000000</v>
      </c>
    </row>
    <row r="37" spans="1:8" s="212" customFormat="1" ht="12.75">
      <c r="A37" s="992" t="s">
        <v>117</v>
      </c>
      <c r="B37" s="1011"/>
      <c r="C37" s="2095" t="s">
        <v>176</v>
      </c>
      <c r="D37" s="2096"/>
      <c r="E37" s="1326">
        <v>5179339</v>
      </c>
      <c r="F37" s="1326">
        <v>5179000</v>
      </c>
      <c r="G37" s="1326">
        <v>5179000</v>
      </c>
      <c r="H37" s="1326">
        <v>4000000</v>
      </c>
    </row>
    <row r="38" spans="1:8" s="212" customFormat="1" ht="12.75">
      <c r="A38" s="992" t="s">
        <v>118</v>
      </c>
      <c r="B38" s="1011"/>
      <c r="C38" s="2095" t="s">
        <v>177</v>
      </c>
      <c r="D38" s="2096"/>
      <c r="E38" s="1326">
        <v>247860</v>
      </c>
      <c r="F38" s="1326">
        <v>240000</v>
      </c>
      <c r="G38" s="1326">
        <v>150000</v>
      </c>
      <c r="H38" s="1326">
        <v>300000</v>
      </c>
    </row>
    <row r="39" spans="1:8" s="212" customFormat="1" ht="12.75">
      <c r="A39" s="992" t="s">
        <v>120</v>
      </c>
      <c r="B39" s="1011"/>
      <c r="C39" s="2095" t="s">
        <v>179</v>
      </c>
      <c r="D39" s="2096"/>
      <c r="E39" s="1326">
        <v>10002449</v>
      </c>
      <c r="F39" s="1326">
        <v>10000000</v>
      </c>
      <c r="G39" s="1326">
        <v>10000000</v>
      </c>
      <c r="H39" s="1326">
        <v>9600000</v>
      </c>
    </row>
    <row r="40" spans="1:8" s="212" customFormat="1" ht="12.75">
      <c r="A40" s="992" t="s">
        <v>122</v>
      </c>
      <c r="B40" s="1011"/>
      <c r="C40" s="1014" t="s">
        <v>698</v>
      </c>
      <c r="D40" s="1015"/>
      <c r="E40" s="1326"/>
      <c r="F40" s="1326"/>
      <c r="G40" s="1326"/>
      <c r="H40" s="1326"/>
    </row>
    <row r="41" spans="1:8" ht="12.75">
      <c r="A41" s="992" t="s">
        <v>124</v>
      </c>
      <c r="B41" s="993"/>
      <c r="C41" s="2097" t="s">
        <v>587</v>
      </c>
      <c r="D41" s="2098"/>
      <c r="E41" s="1326">
        <v>55</v>
      </c>
      <c r="F41" s="1326">
        <v>0</v>
      </c>
      <c r="G41" s="1326">
        <v>26</v>
      </c>
      <c r="H41" s="1326">
        <v>100</v>
      </c>
    </row>
    <row r="42" spans="1:8" ht="12.75">
      <c r="A42" s="992" t="s">
        <v>126</v>
      </c>
      <c r="B42" s="993"/>
      <c r="C42" s="1016" t="s">
        <v>798</v>
      </c>
      <c r="D42" s="1017"/>
      <c r="E42" s="1326">
        <v>113750</v>
      </c>
      <c r="F42" s="1326">
        <v>0</v>
      </c>
      <c r="G42" s="1326">
        <v>0</v>
      </c>
      <c r="H42" s="1326">
        <v>0</v>
      </c>
    </row>
    <row r="43" spans="1:8" ht="12.75" customHeight="1">
      <c r="A43" s="992" t="s">
        <v>128</v>
      </c>
      <c r="B43" s="993"/>
      <c r="C43" s="2099" t="s">
        <v>181</v>
      </c>
      <c r="D43" s="2100"/>
      <c r="E43" s="1326">
        <v>3407335</v>
      </c>
      <c r="F43" s="1326">
        <v>2000000</v>
      </c>
      <c r="G43" s="1326">
        <v>1000000</v>
      </c>
      <c r="H43" s="1326">
        <v>100000</v>
      </c>
    </row>
    <row r="44" spans="1:8" s="212" customFormat="1" ht="12.75">
      <c r="A44" s="1010" t="s">
        <v>130</v>
      </c>
      <c r="B44" s="1018" t="s">
        <v>182</v>
      </c>
      <c r="C44" s="2101" t="s">
        <v>800</v>
      </c>
      <c r="D44" s="2102"/>
      <c r="E44" s="1327">
        <f>SUM(E36:E43)</f>
        <v>22606514</v>
      </c>
      <c r="F44" s="1327">
        <f>SUM(F36:F43)</f>
        <v>21019000</v>
      </c>
      <c r="G44" s="1327">
        <f>SUM(G36:G43)</f>
        <v>18829026</v>
      </c>
      <c r="H44" s="1327">
        <f>SUM(H36:H43)</f>
        <v>17000100</v>
      </c>
    </row>
    <row r="45" spans="1:8" s="212" customFormat="1" ht="12.75" customHeight="1">
      <c r="A45" s="1010" t="s">
        <v>131</v>
      </c>
      <c r="B45" s="1018" t="s">
        <v>183</v>
      </c>
      <c r="C45" s="2103" t="s">
        <v>801</v>
      </c>
      <c r="D45" s="2103"/>
      <c r="E45" s="1328">
        <v>31616633</v>
      </c>
      <c r="F45" s="1328">
        <f>SUM(F46:F55)</f>
        <v>14000000</v>
      </c>
      <c r="G45" s="1328">
        <v>16968160</v>
      </c>
      <c r="H45" s="1328">
        <f>SUM(H46:H55)</f>
        <v>22893160</v>
      </c>
    </row>
    <row r="46" spans="1:8" s="984" customFormat="1" ht="12.75" customHeight="1">
      <c r="A46" s="989" t="s">
        <v>133</v>
      </c>
      <c r="B46" s="990"/>
      <c r="C46" s="1019" t="s">
        <v>939</v>
      </c>
      <c r="D46" s="1020"/>
      <c r="E46" s="1021">
        <v>30082773</v>
      </c>
      <c r="F46" s="1021"/>
      <c r="G46" s="1021">
        <f>2643750+324410</f>
        <v>2968160</v>
      </c>
      <c r="H46" s="1021"/>
    </row>
    <row r="47" spans="1:8" s="984" customFormat="1" ht="12.75" customHeight="1">
      <c r="A47" s="989" t="s">
        <v>135</v>
      </c>
      <c r="B47" s="990"/>
      <c r="C47" s="1019" t="s">
        <v>1225</v>
      </c>
      <c r="D47" s="1020"/>
      <c r="E47" s="1021"/>
      <c r="F47" s="1021"/>
      <c r="G47" s="1021"/>
      <c r="H47" s="1021">
        <v>100000</v>
      </c>
    </row>
    <row r="48" spans="1:8" s="984" customFormat="1" ht="12.75" customHeight="1">
      <c r="A48" s="989" t="s">
        <v>137</v>
      </c>
      <c r="B48" s="990"/>
      <c r="C48" s="1019" t="s">
        <v>1224</v>
      </c>
      <c r="D48" s="1020"/>
      <c r="E48" s="1021"/>
      <c r="F48" s="1021"/>
      <c r="G48" s="1021"/>
      <c r="H48" s="1021">
        <v>3938</v>
      </c>
    </row>
    <row r="49" spans="1:8" s="984" customFormat="1" ht="12.75" customHeight="1">
      <c r="A49" s="989" t="s">
        <v>139</v>
      </c>
      <c r="B49" s="990"/>
      <c r="C49" s="1019" t="s">
        <v>1226</v>
      </c>
      <c r="D49" s="1020"/>
      <c r="E49" s="1021"/>
      <c r="F49" s="1021"/>
      <c r="G49" s="1021"/>
      <c r="H49" s="1021">
        <v>181102</v>
      </c>
    </row>
    <row r="50" spans="1:8" s="984" customFormat="1" ht="12.75" customHeight="1">
      <c r="A50" s="989" t="s">
        <v>141</v>
      </c>
      <c r="B50" s="990"/>
      <c r="C50" s="1019" t="s">
        <v>1227</v>
      </c>
      <c r="D50" s="1020"/>
      <c r="E50" s="1021"/>
      <c r="F50" s="1021"/>
      <c r="G50" s="1021"/>
      <c r="H50" s="1021">
        <v>39370</v>
      </c>
    </row>
    <row r="51" spans="1:8" s="984" customFormat="1" ht="12.75" customHeight="1">
      <c r="A51" s="989" t="s">
        <v>143</v>
      </c>
      <c r="B51" s="990"/>
      <c r="C51" s="1019" t="s">
        <v>1228</v>
      </c>
      <c r="D51" s="1020"/>
      <c r="E51" s="1021"/>
      <c r="F51" s="1021"/>
      <c r="G51" s="1021"/>
      <c r="H51" s="1021">
        <v>2643750</v>
      </c>
    </row>
    <row r="52" spans="1:8" s="984" customFormat="1" ht="12.75" customHeight="1">
      <c r="A52" s="989" t="s">
        <v>145</v>
      </c>
      <c r="B52" s="990"/>
      <c r="C52" s="1019" t="s">
        <v>1229</v>
      </c>
      <c r="D52" s="1020"/>
      <c r="E52" s="1021"/>
      <c r="F52" s="1021"/>
      <c r="G52" s="1021"/>
      <c r="H52" s="1021">
        <v>2703750</v>
      </c>
    </row>
    <row r="53" spans="1:8" s="984" customFormat="1" ht="12.75" customHeight="1">
      <c r="A53" s="989" t="s">
        <v>147</v>
      </c>
      <c r="B53" s="990"/>
      <c r="C53" s="1019" t="s">
        <v>1230</v>
      </c>
      <c r="D53" s="1020"/>
      <c r="E53" s="1021"/>
      <c r="F53" s="1021"/>
      <c r="G53" s="1021"/>
      <c r="H53" s="1021">
        <v>3221250</v>
      </c>
    </row>
    <row r="54" spans="1:8" s="984" customFormat="1" ht="12.75" customHeight="1">
      <c r="A54" s="989" t="s">
        <v>149</v>
      </c>
      <c r="B54" s="990"/>
      <c r="C54" s="1019" t="s">
        <v>802</v>
      </c>
      <c r="D54" s="1020"/>
      <c r="E54" s="1021">
        <v>1533860</v>
      </c>
      <c r="F54" s="1021"/>
      <c r="G54" s="1021"/>
      <c r="H54" s="1021"/>
    </row>
    <row r="55" spans="1:8" s="984" customFormat="1" ht="12.75" customHeight="1">
      <c r="A55" s="989" t="s">
        <v>151</v>
      </c>
      <c r="B55" s="990"/>
      <c r="C55" s="1019" t="s">
        <v>1026</v>
      </c>
      <c r="D55" s="1020"/>
      <c r="E55" s="1021">
        <v>0</v>
      </c>
      <c r="F55" s="1021">
        <v>14000000</v>
      </c>
      <c r="G55" s="1021">
        <v>14000000</v>
      </c>
      <c r="H55" s="1021">
        <v>14000000</v>
      </c>
    </row>
    <row r="56" spans="1:8" s="212" customFormat="1" ht="12.75" customHeight="1">
      <c r="A56" s="1010" t="s">
        <v>205</v>
      </c>
      <c r="B56" s="1022" t="s">
        <v>640</v>
      </c>
      <c r="C56" s="2101" t="s">
        <v>769</v>
      </c>
      <c r="D56" s="2102"/>
      <c r="E56" s="1000">
        <f>SUM(E57:E58)</f>
        <v>1117184</v>
      </c>
      <c r="F56" s="1000">
        <f>SUM(F57:F58)</f>
        <v>78000</v>
      </c>
      <c r="G56" s="1000">
        <f>SUM(G57:G58)</f>
        <v>78000</v>
      </c>
      <c r="H56" s="1000">
        <f>SUM(H57:H58)</f>
        <v>1640020</v>
      </c>
    </row>
    <row r="57" spans="1:8" s="984" customFormat="1" ht="24" customHeight="1">
      <c r="A57" s="1023" t="s">
        <v>207</v>
      </c>
      <c r="B57" s="1024"/>
      <c r="C57" s="1025" t="s">
        <v>803</v>
      </c>
      <c r="D57" s="1026"/>
      <c r="E57" s="1027">
        <v>51744</v>
      </c>
      <c r="F57" s="1027">
        <v>78000</v>
      </c>
      <c r="G57" s="1027">
        <v>78000</v>
      </c>
      <c r="H57" s="1027">
        <v>150000</v>
      </c>
    </row>
    <row r="58" spans="1:8" s="984" customFormat="1" ht="12.75" customHeight="1">
      <c r="A58" s="1023" t="s">
        <v>261</v>
      </c>
      <c r="B58" s="1024"/>
      <c r="C58" s="1028" t="s">
        <v>804</v>
      </c>
      <c r="D58" s="1026"/>
      <c r="E58" s="1027">
        <v>1065440</v>
      </c>
      <c r="F58" s="1027">
        <v>0</v>
      </c>
      <c r="G58" s="1027">
        <v>0</v>
      </c>
      <c r="H58" s="1027">
        <v>1490020</v>
      </c>
    </row>
    <row r="59" spans="1:8" s="212" customFormat="1" ht="12.75" customHeight="1" thickBot="1">
      <c r="A59" s="1029" t="s">
        <v>208</v>
      </c>
      <c r="B59" s="1030" t="s">
        <v>186</v>
      </c>
      <c r="C59" s="2104" t="s">
        <v>805</v>
      </c>
      <c r="D59" s="2105"/>
      <c r="E59" s="1031">
        <v>0</v>
      </c>
      <c r="F59" s="1031">
        <v>0</v>
      </c>
      <c r="G59" s="1031">
        <v>0</v>
      </c>
      <c r="H59" s="1031">
        <v>0</v>
      </c>
    </row>
    <row r="60" spans="1:8" s="1035" customFormat="1" ht="15.75" thickBot="1">
      <c r="A60" s="1032" t="s">
        <v>210</v>
      </c>
      <c r="B60" s="1033"/>
      <c r="C60" s="2106" t="s">
        <v>479</v>
      </c>
      <c r="D60" s="2107"/>
      <c r="E60" s="1034">
        <f>SUM(E22+E29+E35+E44+E45+E56+E59)</f>
        <v>581888626</v>
      </c>
      <c r="F60" s="1034">
        <f>SUM(F22+F29+F35+F44+F45+F56+F59)</f>
        <v>429595258</v>
      </c>
      <c r="G60" s="1034">
        <f>SUM(G22+G29+G35+G44+G45+G56+G59)</f>
        <v>619212699</v>
      </c>
      <c r="H60" s="1034">
        <f>SUM(H22+H29+H35+H44+H45+H56+H59)</f>
        <v>657934903</v>
      </c>
    </row>
    <row r="61" spans="1:8" ht="12.75" customHeight="1">
      <c r="A61" s="1036" t="s">
        <v>263</v>
      </c>
      <c r="B61" s="1037"/>
      <c r="C61" s="2108" t="s">
        <v>641</v>
      </c>
      <c r="D61" s="2109"/>
      <c r="E61" s="1038">
        <v>0</v>
      </c>
      <c r="F61" s="1038">
        <v>0</v>
      </c>
      <c r="G61" s="1038">
        <v>0</v>
      </c>
      <c r="H61" s="1038">
        <v>0</v>
      </c>
    </row>
    <row r="62" spans="1:8" s="1042" customFormat="1" ht="12.75" customHeight="1">
      <c r="A62" s="1039" t="s">
        <v>264</v>
      </c>
      <c r="B62" s="1040"/>
      <c r="C62" s="2112" t="s">
        <v>220</v>
      </c>
      <c r="D62" s="2113"/>
      <c r="E62" s="1041">
        <f>SUM(E63:E64)</f>
        <v>651363270</v>
      </c>
      <c r="F62" s="1041">
        <f>SUM(F63:F64)</f>
        <v>512008806</v>
      </c>
      <c r="G62" s="1041">
        <f>SUM(G63:G64)</f>
        <v>512008806</v>
      </c>
      <c r="H62" s="1041">
        <f>SUM(H63:H64)</f>
        <v>512008806</v>
      </c>
    </row>
    <row r="63" spans="1:8" s="1042" customFormat="1" ht="12.75" customHeight="1">
      <c r="A63" s="1043" t="s">
        <v>265</v>
      </c>
      <c r="B63" s="1044"/>
      <c r="C63" s="2114" t="s">
        <v>694</v>
      </c>
      <c r="D63" s="2114"/>
      <c r="E63" s="1045">
        <v>78864405</v>
      </c>
      <c r="F63" s="1045">
        <v>78158268</v>
      </c>
      <c r="G63" s="1630">
        <v>94129511</v>
      </c>
      <c r="H63" s="1630">
        <v>94129511</v>
      </c>
    </row>
    <row r="64" spans="1:8" s="1042" customFormat="1" ht="12.75" customHeight="1">
      <c r="A64" s="1043" t="s">
        <v>266</v>
      </c>
      <c r="B64" s="1044"/>
      <c r="C64" s="2114" t="s">
        <v>695</v>
      </c>
      <c r="D64" s="2114"/>
      <c r="E64" s="1045">
        <v>572498865</v>
      </c>
      <c r="F64" s="1045">
        <v>433850538</v>
      </c>
      <c r="G64" s="1630">
        <v>417879295</v>
      </c>
      <c r="H64" s="1630">
        <v>417879295</v>
      </c>
    </row>
    <row r="65" spans="1:8" ht="12.75" customHeight="1">
      <c r="A65" s="1046" t="s">
        <v>268</v>
      </c>
      <c r="B65" s="1047"/>
      <c r="C65" s="2115" t="s">
        <v>223</v>
      </c>
      <c r="D65" s="2115"/>
      <c r="E65" s="1048">
        <v>9425972</v>
      </c>
      <c r="F65" s="1048">
        <v>8251931</v>
      </c>
      <c r="G65" s="1048">
        <v>8341969</v>
      </c>
      <c r="H65" s="1048">
        <v>8341969</v>
      </c>
    </row>
    <row r="66" spans="1:8" s="1035" customFormat="1" ht="17.25" customHeight="1" thickBot="1">
      <c r="A66" s="1049" t="s">
        <v>270</v>
      </c>
      <c r="B66" s="1050"/>
      <c r="C66" s="2116" t="s">
        <v>806</v>
      </c>
      <c r="D66" s="2117"/>
      <c r="E66" s="1051">
        <f>SUM(E62+E65)</f>
        <v>660789242</v>
      </c>
      <c r="F66" s="1051">
        <f>SUM(F62+F65)</f>
        <v>520260737</v>
      </c>
      <c r="G66" s="1051">
        <f>SUM(G62+G65)</f>
        <v>520350775</v>
      </c>
      <c r="H66" s="1051">
        <f>SUM(H62+H65)</f>
        <v>520350775</v>
      </c>
    </row>
    <row r="67" spans="1:8" s="1054" customFormat="1" ht="16.5" customHeight="1" thickBot="1">
      <c r="A67" s="507" t="s">
        <v>272</v>
      </c>
      <c r="B67" s="504"/>
      <c r="C67" s="1052" t="s">
        <v>116</v>
      </c>
      <c r="D67" s="1053"/>
      <c r="E67" s="505">
        <f>SUM(E60+E66)</f>
        <v>1242677868</v>
      </c>
      <c r="F67" s="505">
        <f>SUM(F60+F66)</f>
        <v>949855995</v>
      </c>
      <c r="G67" s="505">
        <f>SUM(G60+G66)</f>
        <v>1139563474</v>
      </c>
      <c r="H67" s="505">
        <f>SUM(H60+H66)</f>
        <v>1178285678</v>
      </c>
    </row>
    <row r="68" spans="1:8" ht="12.75" customHeight="1" thickBot="1">
      <c r="A68" s="979"/>
      <c r="B68" s="979"/>
      <c r="C68" s="979"/>
      <c r="D68" s="979"/>
      <c r="E68" s="979"/>
      <c r="F68" s="979"/>
      <c r="G68" s="979"/>
      <c r="H68" s="979"/>
    </row>
    <row r="69" spans="1:8" ht="33.75" customHeight="1">
      <c r="A69" s="2118" t="s">
        <v>156</v>
      </c>
      <c r="B69" s="2119"/>
      <c r="C69" s="1546" t="s">
        <v>246</v>
      </c>
      <c r="D69" s="1547" t="s">
        <v>494</v>
      </c>
      <c r="E69" s="1547" t="s">
        <v>1076</v>
      </c>
      <c r="F69" s="1548" t="s">
        <v>1077</v>
      </c>
      <c r="G69" s="1548" t="s">
        <v>1165</v>
      </c>
      <c r="H69" s="1548" t="s">
        <v>1186</v>
      </c>
    </row>
    <row r="70" spans="1:8" ht="19.5" customHeight="1">
      <c r="A70" s="2110" t="s">
        <v>158</v>
      </c>
      <c r="B70" s="2111"/>
      <c r="C70" s="688" t="s">
        <v>159</v>
      </c>
      <c r="D70" s="688" t="s">
        <v>160</v>
      </c>
      <c r="E70" s="688" t="s">
        <v>161</v>
      </c>
      <c r="F70" s="1549" t="s">
        <v>456</v>
      </c>
      <c r="G70" s="1549" t="s">
        <v>476</v>
      </c>
      <c r="H70" s="1549" t="s">
        <v>704</v>
      </c>
    </row>
    <row r="71" spans="1:8" ht="12.75" customHeight="1">
      <c r="A71" s="1550" t="s">
        <v>38</v>
      </c>
      <c r="B71" s="1055" t="s">
        <v>164</v>
      </c>
      <c r="C71" s="1056" t="s">
        <v>512</v>
      </c>
      <c r="D71" s="1056"/>
      <c r="E71" s="1056">
        <f>SUM(E72)</f>
        <v>0</v>
      </c>
      <c r="F71" s="1551">
        <f>SUM(F72)</f>
        <v>0</v>
      </c>
      <c r="G71" s="1551">
        <f>SUM(G72)</f>
        <v>0</v>
      </c>
      <c r="H71" s="1551">
        <f>SUM(H72)</f>
        <v>0</v>
      </c>
    </row>
    <row r="72" spans="1:8" ht="12.75" customHeight="1">
      <c r="A72" s="1552" t="s">
        <v>40</v>
      </c>
      <c r="B72" s="1057"/>
      <c r="C72" s="1058" t="s">
        <v>247</v>
      </c>
      <c r="D72" s="1058"/>
      <c r="E72" s="1058"/>
      <c r="F72" s="1553"/>
      <c r="G72" s="1553"/>
      <c r="H72" s="1553"/>
    </row>
    <row r="73" spans="1:8" ht="12.75" customHeight="1">
      <c r="A73" s="1554" t="s">
        <v>47</v>
      </c>
      <c r="B73" s="1059" t="s">
        <v>166</v>
      </c>
      <c r="C73" s="1060" t="s">
        <v>248</v>
      </c>
      <c r="D73" s="1060"/>
      <c r="E73" s="1060">
        <f>SUM(E74)</f>
        <v>200000</v>
      </c>
      <c r="F73" s="1555">
        <f>SUM(F74)</f>
        <v>200000</v>
      </c>
      <c r="G73" s="1555">
        <f>SUM(G74)</f>
        <v>200000</v>
      </c>
      <c r="H73" s="1555">
        <f>SUM(H74)</f>
        <v>200000</v>
      </c>
    </row>
    <row r="74" spans="1:8" ht="12.75" customHeight="1">
      <c r="A74" s="1552" t="s">
        <v>49</v>
      </c>
      <c r="B74" s="1057"/>
      <c r="C74" s="1058" t="s">
        <v>247</v>
      </c>
      <c r="D74" s="1058"/>
      <c r="E74" s="1058">
        <v>200000</v>
      </c>
      <c r="F74" s="1553">
        <v>200000</v>
      </c>
      <c r="G74" s="1553">
        <v>200000</v>
      </c>
      <c r="H74" s="1553">
        <v>200000</v>
      </c>
    </row>
    <row r="75" spans="1:8" ht="12.75" customHeight="1">
      <c r="A75" s="1552" t="s">
        <v>51</v>
      </c>
      <c r="B75" s="1057"/>
      <c r="C75" s="1058" t="s">
        <v>249</v>
      </c>
      <c r="D75" s="1058"/>
      <c r="E75" s="1058">
        <v>0</v>
      </c>
      <c r="F75" s="1553">
        <v>0</v>
      </c>
      <c r="G75" s="1553">
        <v>0</v>
      </c>
      <c r="H75" s="1553">
        <v>0</v>
      </c>
    </row>
    <row r="76" spans="1:8" ht="12.75" customHeight="1">
      <c r="A76" s="1554" t="s">
        <v>53</v>
      </c>
      <c r="B76" s="1059" t="s">
        <v>173</v>
      </c>
      <c r="C76" s="1060" t="s">
        <v>513</v>
      </c>
      <c r="D76" s="1060"/>
      <c r="E76" s="1060">
        <f>SUM(E77)</f>
        <v>7000000</v>
      </c>
      <c r="F76" s="1555">
        <f>SUM(F77)</f>
        <v>7000000</v>
      </c>
      <c r="G76" s="1555">
        <f>SUM(G77)</f>
        <v>7000000</v>
      </c>
      <c r="H76" s="1555">
        <f>SUM(H77)</f>
        <v>7000000</v>
      </c>
    </row>
    <row r="77" spans="1:8" ht="12.75" customHeight="1">
      <c r="A77" s="1552" t="s">
        <v>55</v>
      </c>
      <c r="B77" s="1057"/>
      <c r="C77" s="1058" t="s">
        <v>247</v>
      </c>
      <c r="D77" s="1058"/>
      <c r="E77" s="1058">
        <v>7000000</v>
      </c>
      <c r="F77" s="1553">
        <v>7000000</v>
      </c>
      <c r="G77" s="1553">
        <v>7000000</v>
      </c>
      <c r="H77" s="1553">
        <v>7000000</v>
      </c>
    </row>
    <row r="78" spans="1:8" ht="12.75" customHeight="1">
      <c r="A78" s="1554" t="s">
        <v>57</v>
      </c>
      <c r="B78" s="1059" t="s">
        <v>182</v>
      </c>
      <c r="C78" s="1060" t="s">
        <v>254</v>
      </c>
      <c r="D78" s="1060"/>
      <c r="E78" s="1060">
        <f>SUM(E79)</f>
        <v>100000</v>
      </c>
      <c r="F78" s="1555">
        <f>SUM(F79)</f>
        <v>100000</v>
      </c>
      <c r="G78" s="1555">
        <f>SUM(G79)</f>
        <v>100000</v>
      </c>
      <c r="H78" s="1555">
        <f>SUM(H79)</f>
        <v>100000</v>
      </c>
    </row>
    <row r="79" spans="1:8" ht="12.75" customHeight="1">
      <c r="A79" s="1552" t="s">
        <v>86</v>
      </c>
      <c r="B79" s="1057"/>
      <c r="C79" s="1058" t="s">
        <v>247</v>
      </c>
      <c r="D79" s="1058"/>
      <c r="E79" s="1058">
        <v>100000</v>
      </c>
      <c r="F79" s="1553">
        <v>100000</v>
      </c>
      <c r="G79" s="1553">
        <v>100000</v>
      </c>
      <c r="H79" s="1553">
        <v>100000</v>
      </c>
    </row>
    <row r="80" spans="1:8" s="212" customFormat="1" ht="12.75" customHeight="1">
      <c r="A80" s="1554" t="s">
        <v>59</v>
      </c>
      <c r="B80" s="1059" t="s">
        <v>183</v>
      </c>
      <c r="C80" s="1060" t="s">
        <v>940</v>
      </c>
      <c r="D80" s="1060"/>
      <c r="E80" s="1060">
        <v>0</v>
      </c>
      <c r="F80" s="1555">
        <v>0</v>
      </c>
      <c r="G80" s="1555">
        <v>0</v>
      </c>
      <c r="H80" s="1555">
        <v>0</v>
      </c>
    </row>
    <row r="81" spans="1:8" ht="12.75" customHeight="1">
      <c r="A81" s="1552" t="s">
        <v>61</v>
      </c>
      <c r="B81" s="1057"/>
      <c r="C81" s="1058" t="s">
        <v>125</v>
      </c>
      <c r="D81" s="1058"/>
      <c r="E81" s="1058"/>
      <c r="F81" s="1553"/>
      <c r="G81" s="1553"/>
      <c r="H81" s="1553"/>
    </row>
    <row r="82" spans="1:8" ht="12.75" customHeight="1">
      <c r="A82" s="1554" t="s">
        <v>63</v>
      </c>
      <c r="B82" s="1059" t="s">
        <v>184</v>
      </c>
      <c r="C82" s="1060" t="s">
        <v>255</v>
      </c>
      <c r="D82" s="1060">
        <v>0</v>
      </c>
      <c r="E82" s="1060">
        <f>SUM(E83:E87)</f>
        <v>1898214</v>
      </c>
      <c r="F82" s="1555">
        <f>SUM(F83:F87)</f>
        <v>0</v>
      </c>
      <c r="G82" s="1555">
        <f>SUM(G83:G87)</f>
        <v>0</v>
      </c>
      <c r="H82" s="1555">
        <f>SUM(H83:H87)</f>
        <v>4112979</v>
      </c>
    </row>
    <row r="83" spans="1:8" ht="12.75" customHeight="1">
      <c r="A83" s="1552" t="s">
        <v>65</v>
      </c>
      <c r="B83" s="1057"/>
      <c r="C83" s="1058" t="s">
        <v>250</v>
      </c>
      <c r="D83" s="1058"/>
      <c r="E83" s="560">
        <v>1452525</v>
      </c>
      <c r="F83" s="1556">
        <v>0</v>
      </c>
      <c r="G83" s="1556">
        <v>0</v>
      </c>
      <c r="H83" s="1556">
        <v>966000</v>
      </c>
    </row>
    <row r="84" spans="1:8" ht="12.75" customHeight="1">
      <c r="A84" s="1552" t="s">
        <v>92</v>
      </c>
      <c r="B84" s="1057"/>
      <c r="C84" s="1058" t="s">
        <v>251</v>
      </c>
      <c r="D84" s="1058"/>
      <c r="E84" s="211">
        <v>299970</v>
      </c>
      <c r="F84" s="1556">
        <v>0</v>
      </c>
      <c r="G84" s="1556">
        <v>0</v>
      </c>
      <c r="H84" s="1556">
        <v>169056</v>
      </c>
    </row>
    <row r="85" spans="1:8" ht="12.75" customHeight="1">
      <c r="A85" s="1552" t="s">
        <v>66</v>
      </c>
      <c r="B85" s="1061"/>
      <c r="C85" s="1062" t="s">
        <v>252</v>
      </c>
      <c r="D85" s="1062"/>
      <c r="E85" s="1058"/>
      <c r="F85" s="1553">
        <v>0</v>
      </c>
      <c r="G85" s="1553">
        <v>0</v>
      </c>
      <c r="H85" s="1553">
        <v>0</v>
      </c>
    </row>
    <row r="86" spans="1:8" ht="12.75" customHeight="1">
      <c r="A86" s="1552" t="s">
        <v>67</v>
      </c>
      <c r="B86" s="1061"/>
      <c r="C86" s="1062" t="s">
        <v>642</v>
      </c>
      <c r="D86" s="1062"/>
      <c r="E86" s="1058"/>
      <c r="F86" s="1553">
        <v>0</v>
      </c>
      <c r="G86" s="1553">
        <v>0</v>
      </c>
      <c r="H86" s="1553">
        <v>0</v>
      </c>
    </row>
    <row r="87" spans="1:8" ht="12.75" customHeight="1">
      <c r="A87" s="1552" t="s">
        <v>68</v>
      </c>
      <c r="B87" s="1061"/>
      <c r="C87" s="1062" t="s">
        <v>615</v>
      </c>
      <c r="D87" s="1062"/>
      <c r="E87" s="510">
        <v>145719</v>
      </c>
      <c r="F87" s="1557">
        <v>0</v>
      </c>
      <c r="G87" s="1557">
        <v>0</v>
      </c>
      <c r="H87" s="1557">
        <v>2977923</v>
      </c>
    </row>
    <row r="88" spans="1:8" ht="12.75" customHeight="1">
      <c r="A88" s="1554" t="s">
        <v>70</v>
      </c>
      <c r="B88" s="1063" t="s">
        <v>186</v>
      </c>
      <c r="C88" s="1060" t="s">
        <v>257</v>
      </c>
      <c r="D88" s="1060"/>
      <c r="E88" s="1060">
        <f>SUM(E90:E91)</f>
        <v>200000</v>
      </c>
      <c r="F88" s="1555">
        <f>SUM(F90:F91)</f>
        <v>200000</v>
      </c>
      <c r="G88" s="1555">
        <f>SUM(G90:G91)</f>
        <v>200000</v>
      </c>
      <c r="H88" s="1555">
        <f>SUM(H90:H91)</f>
        <v>200000</v>
      </c>
    </row>
    <row r="89" spans="1:8" ht="12.75" customHeight="1">
      <c r="A89" s="1552" t="s">
        <v>97</v>
      </c>
      <c r="B89" s="1061"/>
      <c r="C89" s="1058" t="s">
        <v>258</v>
      </c>
      <c r="D89" s="1058"/>
      <c r="E89" s="1058"/>
      <c r="F89" s="1553">
        <v>0</v>
      </c>
      <c r="G89" s="1553">
        <v>0</v>
      </c>
      <c r="H89" s="1553">
        <v>0</v>
      </c>
    </row>
    <row r="90" spans="1:8" ht="12.75" customHeight="1">
      <c r="A90" s="1552" t="s">
        <v>99</v>
      </c>
      <c r="B90" s="1061"/>
      <c r="C90" s="1058" t="s">
        <v>249</v>
      </c>
      <c r="D90" s="1058"/>
      <c r="E90" s="1058">
        <v>0</v>
      </c>
      <c r="F90" s="1553">
        <v>0</v>
      </c>
      <c r="G90" s="1553">
        <v>0</v>
      </c>
      <c r="H90" s="1553">
        <v>0</v>
      </c>
    </row>
    <row r="91" spans="1:8" ht="12.75" customHeight="1">
      <c r="A91" s="1552" t="s">
        <v>101</v>
      </c>
      <c r="B91" s="1061"/>
      <c r="C91" s="1058" t="s">
        <v>252</v>
      </c>
      <c r="D91" s="1058"/>
      <c r="E91" s="1058">
        <v>200000</v>
      </c>
      <c r="F91" s="1553">
        <v>200000</v>
      </c>
      <c r="G91" s="1553">
        <v>200000</v>
      </c>
      <c r="H91" s="1553">
        <v>200000</v>
      </c>
    </row>
    <row r="92" spans="1:8" ht="12.75" customHeight="1">
      <c r="A92" s="1554" t="s">
        <v>103</v>
      </c>
      <c r="B92" s="1063" t="s">
        <v>189</v>
      </c>
      <c r="C92" s="1060" t="s">
        <v>941</v>
      </c>
      <c r="D92" s="1060"/>
      <c r="E92" s="1060">
        <v>0</v>
      </c>
      <c r="F92" s="1555">
        <v>0</v>
      </c>
      <c r="G92" s="1555">
        <v>0</v>
      </c>
      <c r="H92" s="1555">
        <v>0</v>
      </c>
    </row>
    <row r="93" spans="1:8" ht="12.75" customHeight="1">
      <c r="A93" s="1552" t="s">
        <v>105</v>
      </c>
      <c r="B93" s="1061"/>
      <c r="C93" s="1058" t="s">
        <v>250</v>
      </c>
      <c r="D93" s="1058"/>
      <c r="E93" s="1058"/>
      <c r="F93" s="1553">
        <v>0</v>
      </c>
      <c r="G93" s="1553">
        <v>0</v>
      </c>
      <c r="H93" s="1553">
        <v>0</v>
      </c>
    </row>
    <row r="94" spans="1:8" ht="12.75" customHeight="1">
      <c r="A94" s="1552" t="s">
        <v>107</v>
      </c>
      <c r="B94" s="1061"/>
      <c r="C94" s="1058" t="s">
        <v>251</v>
      </c>
      <c r="D94" s="1058"/>
      <c r="E94" s="1058"/>
      <c r="F94" s="1553">
        <v>0</v>
      </c>
      <c r="G94" s="1553">
        <v>0</v>
      </c>
      <c r="H94" s="1553">
        <v>0</v>
      </c>
    </row>
    <row r="95" spans="1:8" ht="12.75" customHeight="1">
      <c r="A95" s="1552" t="s">
        <v>109</v>
      </c>
      <c r="B95" s="1061"/>
      <c r="C95" s="1058" t="s">
        <v>256</v>
      </c>
      <c r="D95" s="1058"/>
      <c r="E95" s="1058"/>
      <c r="F95" s="1553">
        <v>0</v>
      </c>
      <c r="G95" s="1553">
        <v>0</v>
      </c>
      <c r="H95" s="1553">
        <v>0</v>
      </c>
    </row>
    <row r="96" spans="1:8" s="1690" customFormat="1" ht="12.75" customHeight="1">
      <c r="A96" s="1688" t="s">
        <v>111</v>
      </c>
      <c r="B96" s="1689" t="s">
        <v>191</v>
      </c>
      <c r="C96" s="1071" t="s">
        <v>942</v>
      </c>
      <c r="D96" s="1071"/>
      <c r="E96" s="1071">
        <f>SUM(E97)</f>
        <v>42686648</v>
      </c>
      <c r="F96" s="1559">
        <f>SUM(F97)</f>
        <v>38291741</v>
      </c>
      <c r="G96" s="1559">
        <f>SUM(G97)</f>
        <v>35778999</v>
      </c>
      <c r="H96" s="1559">
        <f>SUM(H97)</f>
        <v>0</v>
      </c>
    </row>
    <row r="97" spans="1:8" s="1690" customFormat="1" ht="30.75" customHeight="1">
      <c r="A97" s="1691" t="s">
        <v>113</v>
      </c>
      <c r="B97" s="1692"/>
      <c r="C97" s="1693" t="s">
        <v>646</v>
      </c>
      <c r="D97" s="510"/>
      <c r="E97" s="510">
        <v>42686648</v>
      </c>
      <c r="F97" s="1557">
        <f>SUM(F98:F103)</f>
        <v>38291741</v>
      </c>
      <c r="G97" s="1557">
        <f>SUM(G98:G103)</f>
        <v>35778999</v>
      </c>
      <c r="H97" s="1557"/>
    </row>
    <row r="98" spans="1:8" s="1699" customFormat="1" ht="30.75" customHeight="1">
      <c r="A98" s="1694" t="s">
        <v>115</v>
      </c>
      <c r="B98" s="1695"/>
      <c r="C98" s="1696" t="s">
        <v>645</v>
      </c>
      <c r="D98" s="558"/>
      <c r="E98" s="1697">
        <v>11826840</v>
      </c>
      <c r="F98" s="1698">
        <v>11826840</v>
      </c>
      <c r="G98" s="1698">
        <v>6634000</v>
      </c>
      <c r="H98" s="1698"/>
    </row>
    <row r="99" spans="1:8" s="1699" customFormat="1" ht="32.25" customHeight="1">
      <c r="A99" s="1694" t="s">
        <v>117</v>
      </c>
      <c r="B99" s="1695"/>
      <c r="C99" s="1696" t="s">
        <v>647</v>
      </c>
      <c r="D99" s="558"/>
      <c r="E99" s="1697">
        <f>SUM('6,7,8 Melléklet'!D83)</f>
        <v>24880933</v>
      </c>
      <c r="F99" s="1698">
        <f>SUM('6,7,8 Melléklet'!E83)</f>
        <v>19249254</v>
      </c>
      <c r="G99" s="1698">
        <f>SUM('6,7,8 Melléklet'!F83)</f>
        <v>23569352</v>
      </c>
      <c r="H99" s="1698"/>
    </row>
    <row r="100" spans="1:8" s="1699" customFormat="1" ht="12.75" customHeight="1">
      <c r="A100" s="1694" t="s">
        <v>118</v>
      </c>
      <c r="B100" s="1695"/>
      <c r="C100" s="1070" t="s">
        <v>648</v>
      </c>
      <c r="D100" s="558"/>
      <c r="E100" s="1697">
        <v>2300000</v>
      </c>
      <c r="F100" s="1698">
        <f>SUM('6,7,8 Melléklet'!E87)</f>
        <v>3500000</v>
      </c>
      <c r="G100" s="1698">
        <v>1860000</v>
      </c>
      <c r="H100" s="1698"/>
    </row>
    <row r="101" spans="1:8" s="1699" customFormat="1" ht="12.75" customHeight="1">
      <c r="A101" s="1694" t="s">
        <v>120</v>
      </c>
      <c r="B101" s="1695"/>
      <c r="C101" s="1070" t="s">
        <v>260</v>
      </c>
      <c r="D101" s="558"/>
      <c r="E101" s="1697">
        <v>3228</v>
      </c>
      <c r="F101" s="1698">
        <f>SUM('6,7,8 Melléklet'!E105)</f>
        <v>40000</v>
      </c>
      <c r="G101" s="1698">
        <f>SUM('6,7,8 Melléklet'!F105)</f>
        <v>40000</v>
      </c>
      <c r="H101" s="1698"/>
    </row>
    <row r="102" spans="1:8" s="1704" customFormat="1" ht="12.75" customHeight="1">
      <c r="A102" s="1700" t="s">
        <v>122</v>
      </c>
      <c r="B102" s="1701"/>
      <c r="C102" s="1070" t="s">
        <v>943</v>
      </c>
      <c r="D102" s="1070"/>
      <c r="E102" s="1702">
        <v>3175647</v>
      </c>
      <c r="F102" s="1703">
        <v>3175647</v>
      </c>
      <c r="G102" s="1703">
        <v>3175647</v>
      </c>
      <c r="H102" s="1703"/>
    </row>
    <row r="103" spans="1:8" s="1704" customFormat="1" ht="12.75" customHeight="1">
      <c r="A103" s="1700" t="s">
        <v>124</v>
      </c>
      <c r="B103" s="1701"/>
      <c r="C103" s="1070" t="s">
        <v>1017</v>
      </c>
      <c r="D103" s="1070"/>
      <c r="E103" s="1702">
        <v>500000</v>
      </c>
      <c r="F103" s="1703">
        <v>500000</v>
      </c>
      <c r="G103" s="1703">
        <v>500000</v>
      </c>
      <c r="H103" s="1703"/>
    </row>
    <row r="104" spans="1:8" s="1711" customFormat="1" ht="12.75" customHeight="1">
      <c r="A104" s="1705" t="s">
        <v>126</v>
      </c>
      <c r="B104" s="1706" t="s">
        <v>195</v>
      </c>
      <c r="C104" s="1707" t="s">
        <v>1205</v>
      </c>
      <c r="D104" s="1707"/>
      <c r="E104" s="1708"/>
      <c r="F104" s="1709"/>
      <c r="G104" s="1709"/>
      <c r="H104" s="1710">
        <f>SUM(H105:H107)</f>
        <v>1181118</v>
      </c>
    </row>
    <row r="105" spans="1:8" s="1704" customFormat="1" ht="12.75" customHeight="1">
      <c r="A105" s="1700" t="s">
        <v>128</v>
      </c>
      <c r="B105" s="1701"/>
      <c r="C105" s="1070" t="s">
        <v>1206</v>
      </c>
      <c r="D105" s="1070"/>
      <c r="E105" s="1702"/>
      <c r="F105" s="1703"/>
      <c r="G105" s="1703"/>
      <c r="H105" s="1703">
        <v>651105</v>
      </c>
    </row>
    <row r="106" spans="1:8" s="1704" customFormat="1" ht="12.75" customHeight="1">
      <c r="A106" s="1700" t="s">
        <v>130</v>
      </c>
      <c r="B106" s="1701"/>
      <c r="C106" s="1070" t="s">
        <v>260</v>
      </c>
      <c r="D106" s="1070"/>
      <c r="E106" s="1702"/>
      <c r="F106" s="1703"/>
      <c r="G106" s="1703"/>
      <c r="H106" s="1703">
        <v>30013</v>
      </c>
    </row>
    <row r="107" spans="1:8" s="1704" customFormat="1" ht="12.75" customHeight="1">
      <c r="A107" s="1700" t="s">
        <v>131</v>
      </c>
      <c r="B107" s="1701"/>
      <c r="C107" s="1070" t="s">
        <v>1017</v>
      </c>
      <c r="D107" s="1070"/>
      <c r="E107" s="1702"/>
      <c r="F107" s="1703"/>
      <c r="G107" s="1703"/>
      <c r="H107" s="1703">
        <v>500000</v>
      </c>
    </row>
    <row r="108" spans="1:8" s="212" customFormat="1" ht="24.75" customHeight="1">
      <c r="A108" s="1554" t="s">
        <v>133</v>
      </c>
      <c r="B108" s="1063" t="s">
        <v>230</v>
      </c>
      <c r="C108" s="139" t="s">
        <v>944</v>
      </c>
      <c r="D108" s="1060"/>
      <c r="E108" s="1071">
        <f>SUM(E110+E116)</f>
        <v>4209730</v>
      </c>
      <c r="F108" s="1559">
        <f>SUM(F110+F116)</f>
        <v>3453000</v>
      </c>
      <c r="G108" s="1559">
        <f>SUM(G110+G116)</f>
        <v>3803000</v>
      </c>
      <c r="H108" s="1559">
        <f>SUM(H110+H116)</f>
        <v>3453000</v>
      </c>
    </row>
    <row r="109" spans="1:8" ht="12.75" customHeight="1">
      <c r="A109" s="1552" t="s">
        <v>135</v>
      </c>
      <c r="B109" s="1061"/>
      <c r="C109" s="115" t="s">
        <v>125</v>
      </c>
      <c r="D109" s="1058"/>
      <c r="E109" s="510"/>
      <c r="F109" s="1557"/>
      <c r="G109" s="1557"/>
      <c r="H109" s="1557"/>
    </row>
    <row r="110" spans="1:8" ht="12.75" customHeight="1">
      <c r="A110" s="1552" t="s">
        <v>137</v>
      </c>
      <c r="B110" s="1061"/>
      <c r="C110" s="115" t="s">
        <v>607</v>
      </c>
      <c r="D110" s="1058"/>
      <c r="E110" s="510">
        <v>3859730</v>
      </c>
      <c r="F110" s="1557">
        <f>SUM(F111:F114)</f>
        <v>3453000</v>
      </c>
      <c r="G110" s="1557">
        <f>SUM(G111:G114)</f>
        <v>3453000</v>
      </c>
      <c r="H110" s="1557">
        <f>SUM(H111:H114)</f>
        <v>3453000</v>
      </c>
    </row>
    <row r="111" spans="1:8" s="1075" customFormat="1" ht="27" customHeight="1">
      <c r="A111" s="1560" t="s">
        <v>139</v>
      </c>
      <c r="B111" s="1072"/>
      <c r="C111" s="508" t="s">
        <v>608</v>
      </c>
      <c r="D111" s="1073"/>
      <c r="E111" s="1074">
        <v>1050000</v>
      </c>
      <c r="F111" s="1561">
        <f>SUM(30000+1050000)</f>
        <v>1080000</v>
      </c>
      <c r="G111" s="1561">
        <f>SUM(30000+1050000)</f>
        <v>1080000</v>
      </c>
      <c r="H111" s="1561">
        <f>SUM(30000+1050000)</f>
        <v>1080000</v>
      </c>
    </row>
    <row r="112" spans="1:8" s="1075" customFormat="1" ht="12.75">
      <c r="A112" s="1560" t="s">
        <v>141</v>
      </c>
      <c r="B112" s="1072"/>
      <c r="C112" s="508" t="s">
        <v>664</v>
      </c>
      <c r="D112" s="1073"/>
      <c r="E112" s="1074">
        <v>75000</v>
      </c>
      <c r="F112" s="1561">
        <v>50000</v>
      </c>
      <c r="G112" s="1561">
        <v>50000</v>
      </c>
      <c r="H112" s="1561">
        <v>50000</v>
      </c>
    </row>
    <row r="113" spans="1:8" s="1075" customFormat="1" ht="12.75" customHeight="1">
      <c r="A113" s="1560" t="s">
        <v>143</v>
      </c>
      <c r="B113" s="1072"/>
      <c r="C113" s="508" t="s">
        <v>609</v>
      </c>
      <c r="D113" s="1073"/>
      <c r="E113" s="1074">
        <v>0</v>
      </c>
      <c r="F113" s="1561">
        <v>0</v>
      </c>
      <c r="G113" s="1561">
        <v>0</v>
      </c>
      <c r="H113" s="1561">
        <v>0</v>
      </c>
    </row>
    <row r="114" spans="1:8" s="1075" customFormat="1" ht="12.75" customHeight="1">
      <c r="A114" s="1560" t="s">
        <v>145</v>
      </c>
      <c r="B114" s="1072"/>
      <c r="C114" s="508" t="s">
        <v>610</v>
      </c>
      <c r="D114" s="1073"/>
      <c r="E114" s="1074">
        <v>2734730</v>
      </c>
      <c r="F114" s="1561">
        <v>2323000</v>
      </c>
      <c r="G114" s="1561">
        <v>2323000</v>
      </c>
      <c r="H114" s="1561">
        <v>2323000</v>
      </c>
    </row>
    <row r="115" spans="1:8" s="1075" customFormat="1" ht="23.25" customHeight="1">
      <c r="A115" s="1560" t="s">
        <v>147</v>
      </c>
      <c r="B115" s="1072"/>
      <c r="C115" s="508" t="s">
        <v>611</v>
      </c>
      <c r="D115" s="1073"/>
      <c r="E115" s="1073"/>
      <c r="F115" s="1562"/>
      <c r="G115" s="1562"/>
      <c r="H115" s="1562"/>
    </row>
    <row r="116" spans="1:8" ht="23.25" customHeight="1">
      <c r="A116" s="1552" t="s">
        <v>149</v>
      </c>
      <c r="B116" s="1061"/>
      <c r="C116" s="1563" t="s">
        <v>945</v>
      </c>
      <c r="D116" s="1564"/>
      <c r="E116" s="1058">
        <v>350000</v>
      </c>
      <c r="F116" s="1553"/>
      <c r="G116" s="1553">
        <v>350000</v>
      </c>
      <c r="H116" s="1553">
        <v>0</v>
      </c>
    </row>
    <row r="117" spans="1:8" ht="12.75" customHeight="1">
      <c r="A117" s="1554" t="s">
        <v>151</v>
      </c>
      <c r="B117" s="1063" t="s">
        <v>514</v>
      </c>
      <c r="C117" s="1078" t="s">
        <v>262</v>
      </c>
      <c r="D117" s="1565">
        <v>12</v>
      </c>
      <c r="E117" s="1060">
        <f>SUM(E118+E119+E120+E123+E124+E125)+E127+E128</f>
        <v>854145362</v>
      </c>
      <c r="F117" s="1555">
        <f>SUM(F118+F119+F120+F123+F124+F125)+F127+F128</f>
        <v>539868521</v>
      </c>
      <c r="G117" s="1555">
        <f>SUM(G118+G119+G120+G123+G124+G125)+G127+G128</f>
        <v>731315197</v>
      </c>
      <c r="H117" s="1555">
        <f>SUM(H118+H119+H120+H123+H124+H125)+H127+H128</f>
        <v>762054649</v>
      </c>
    </row>
    <row r="118" spans="1:8" ht="12.75" customHeight="1">
      <c r="A118" s="1552" t="s">
        <v>205</v>
      </c>
      <c r="B118" s="1061"/>
      <c r="C118" s="1058" t="s">
        <v>250</v>
      </c>
      <c r="D118" s="1058"/>
      <c r="E118" s="1058">
        <v>16221899</v>
      </c>
      <c r="F118" s="1553">
        <v>19050043</v>
      </c>
      <c r="G118" s="1553">
        <v>19050043</v>
      </c>
      <c r="H118" s="1553">
        <v>20010043</v>
      </c>
    </row>
    <row r="119" spans="1:8" ht="12.75" customHeight="1">
      <c r="A119" s="1552" t="s">
        <v>207</v>
      </c>
      <c r="B119" s="1061"/>
      <c r="C119" s="1058" t="s">
        <v>251</v>
      </c>
      <c r="D119" s="1058"/>
      <c r="E119" s="1058">
        <v>2852678</v>
      </c>
      <c r="F119" s="1553">
        <v>3356400</v>
      </c>
      <c r="G119" s="1553">
        <v>3356400</v>
      </c>
      <c r="H119" s="1553">
        <v>3505200</v>
      </c>
    </row>
    <row r="120" spans="1:8" ht="12.75" customHeight="1">
      <c r="A120" s="1552" t="s">
        <v>261</v>
      </c>
      <c r="B120" s="1061"/>
      <c r="C120" s="1058" t="s">
        <v>252</v>
      </c>
      <c r="D120" s="1058"/>
      <c r="E120" s="1058">
        <v>152900803</v>
      </c>
      <c r="F120" s="1553">
        <v>53234071</v>
      </c>
      <c r="G120" s="1553">
        <v>44308311</v>
      </c>
      <c r="H120" s="1553">
        <v>47815268</v>
      </c>
    </row>
    <row r="121" spans="1:8" s="984" customFormat="1" ht="12.75" customHeight="1">
      <c r="A121" s="1558" t="s">
        <v>208</v>
      </c>
      <c r="B121" s="1065"/>
      <c r="C121" s="1068" t="s">
        <v>653</v>
      </c>
      <c r="D121" s="1067"/>
      <c r="E121" s="1067">
        <v>300000</v>
      </c>
      <c r="F121" s="1566">
        <v>0</v>
      </c>
      <c r="G121" s="1566">
        <v>0</v>
      </c>
      <c r="H121" s="1566">
        <v>0</v>
      </c>
    </row>
    <row r="122" spans="1:8" s="984" customFormat="1" ht="12.75" customHeight="1">
      <c r="A122" s="1558" t="s">
        <v>210</v>
      </c>
      <c r="B122" s="1065"/>
      <c r="C122" s="1068"/>
      <c r="D122" s="1067"/>
      <c r="E122" s="1067"/>
      <c r="F122" s="1566"/>
      <c r="G122" s="1566"/>
      <c r="H122" s="1566"/>
    </row>
    <row r="123" spans="1:8" ht="12.75" customHeight="1">
      <c r="A123" s="1552" t="s">
        <v>263</v>
      </c>
      <c r="B123" s="1061"/>
      <c r="C123" s="1058" t="s">
        <v>15</v>
      </c>
      <c r="D123" s="1058"/>
      <c r="E123" s="1511">
        <v>200922038</v>
      </c>
      <c r="F123" s="1567">
        <f>SUM('6,7,8 Melléklet'!D65)+'6,7,8 Melléklet'!D13</f>
        <v>2100000</v>
      </c>
      <c r="G123" s="1567">
        <f>SUM('6,7,8 Melléklet'!E65)+'6,7,8 Melléklet'!E13</f>
        <v>93863808</v>
      </c>
      <c r="H123" s="1567">
        <f>SUM('6,7,8 Melléklet'!F65)+'6,7,8 Melléklet'!F13-2977923</f>
        <v>269306727</v>
      </c>
    </row>
    <row r="124" spans="1:8" ht="12.75" customHeight="1">
      <c r="A124" s="1552" t="s">
        <v>264</v>
      </c>
      <c r="B124" s="1061"/>
      <c r="C124" s="1058" t="s">
        <v>515</v>
      </c>
      <c r="D124" s="1080"/>
      <c r="E124" s="1058">
        <v>478765907</v>
      </c>
      <c r="F124" s="1553">
        <f>SUM('21. céltartalék'!D52)</f>
        <v>462128007</v>
      </c>
      <c r="G124" s="1553">
        <f>SUM('21. céltartalék'!E52)</f>
        <v>570382608</v>
      </c>
      <c r="H124" s="1553">
        <f>SUM('21. céltartalék'!F52)</f>
        <v>419046334</v>
      </c>
    </row>
    <row r="125" spans="1:8" ht="12.75" customHeight="1">
      <c r="A125" s="1552" t="s">
        <v>265</v>
      </c>
      <c r="B125" s="1061"/>
      <c r="C125" s="1081" t="s">
        <v>643</v>
      </c>
      <c r="D125" s="1082"/>
      <c r="E125" s="1058">
        <v>0</v>
      </c>
      <c r="F125" s="1553">
        <v>0</v>
      </c>
      <c r="G125" s="1553">
        <v>0</v>
      </c>
      <c r="H125" s="1553">
        <v>0</v>
      </c>
    </row>
    <row r="126" spans="1:8" ht="12.75" customHeight="1">
      <c r="A126" s="1568" t="s">
        <v>266</v>
      </c>
      <c r="B126" s="1083"/>
      <c r="C126" s="1084" t="s">
        <v>958</v>
      </c>
      <c r="D126" s="1085"/>
      <c r="E126" s="1058"/>
      <c r="F126" s="1553"/>
      <c r="G126" s="1553"/>
      <c r="H126" s="1553"/>
    </row>
    <row r="127" spans="1:8" ht="12.75" customHeight="1">
      <c r="A127" s="1046" t="s">
        <v>268</v>
      </c>
      <c r="B127" s="1047"/>
      <c r="C127" s="1082" t="s">
        <v>472</v>
      </c>
      <c r="D127" s="1082"/>
      <c r="E127" s="1058"/>
      <c r="F127" s="1553"/>
      <c r="G127" s="1553">
        <v>354027</v>
      </c>
      <c r="H127" s="1553">
        <v>354027</v>
      </c>
    </row>
    <row r="128" spans="1:8" ht="30" customHeight="1">
      <c r="A128" s="1046" t="s">
        <v>270</v>
      </c>
      <c r="B128" s="1047"/>
      <c r="C128" s="1207" t="s">
        <v>1011</v>
      </c>
      <c r="D128" s="1082"/>
      <c r="E128" s="1058">
        <v>2482037</v>
      </c>
      <c r="F128" s="1553">
        <v>0</v>
      </c>
      <c r="G128" s="1553">
        <v>0</v>
      </c>
      <c r="H128" s="1553">
        <v>2017050</v>
      </c>
    </row>
    <row r="129" spans="1:8" ht="12.75" customHeight="1">
      <c r="A129" s="1569" t="s">
        <v>272</v>
      </c>
      <c r="B129" s="1055" t="s">
        <v>517</v>
      </c>
      <c r="C129" s="607" t="s">
        <v>632</v>
      </c>
      <c r="D129" s="1087"/>
      <c r="E129" s="1060">
        <f>SUM(E130:E132)</f>
        <v>505008.2</v>
      </c>
      <c r="F129" s="1555">
        <f>SUM(F130:F132)</f>
        <v>435723.30000000005</v>
      </c>
      <c r="G129" s="1555">
        <f>SUM(G130:G132)</f>
        <v>435723.30000000005</v>
      </c>
      <c r="H129" s="1555">
        <f>SUM(H130:H132)</f>
        <v>585492.3</v>
      </c>
    </row>
    <row r="130" spans="1:8" ht="12.75" customHeight="1">
      <c r="A130" s="1552" t="s">
        <v>273</v>
      </c>
      <c r="B130" s="1057"/>
      <c r="C130" s="1088" t="s">
        <v>250</v>
      </c>
      <c r="D130" s="1082"/>
      <c r="E130" s="1058">
        <v>0</v>
      </c>
      <c r="F130" s="1553">
        <v>0</v>
      </c>
      <c r="G130" s="1553">
        <v>0</v>
      </c>
      <c r="H130" s="1553">
        <v>0</v>
      </c>
    </row>
    <row r="131" spans="1:8" ht="12.75" customHeight="1">
      <c r="A131" s="1552" t="s">
        <v>274</v>
      </c>
      <c r="B131" s="1057"/>
      <c r="C131" s="1088" t="s">
        <v>251</v>
      </c>
      <c r="D131" s="1082"/>
      <c r="E131" s="1058">
        <v>0</v>
      </c>
      <c r="F131" s="1553">
        <v>0</v>
      </c>
      <c r="G131" s="1553">
        <v>0</v>
      </c>
      <c r="H131" s="1553">
        <v>0</v>
      </c>
    </row>
    <row r="132" spans="1:8" ht="12.75" customHeight="1">
      <c r="A132" s="1552" t="s">
        <v>276</v>
      </c>
      <c r="B132" s="1057"/>
      <c r="C132" s="1570" t="s">
        <v>252</v>
      </c>
      <c r="D132" s="1082"/>
      <c r="E132" s="1058">
        <f>SUM(E13*0.1)</f>
        <v>505008.2</v>
      </c>
      <c r="F132" s="1553">
        <f>SUM(F13*0.1)</f>
        <v>435723.30000000005</v>
      </c>
      <c r="G132" s="1553">
        <f>SUM(G13*0.1)</f>
        <v>435723.30000000005</v>
      </c>
      <c r="H132" s="1553">
        <f>SUM(H13*0.1)</f>
        <v>585492.3</v>
      </c>
    </row>
    <row r="133" spans="1:8" s="212" customFormat="1" ht="12.75" customHeight="1">
      <c r="A133" s="1552" t="s">
        <v>277</v>
      </c>
      <c r="B133" s="1059" t="s">
        <v>1210</v>
      </c>
      <c r="C133" s="1089" t="s">
        <v>644</v>
      </c>
      <c r="D133" s="509"/>
      <c r="E133" s="1060">
        <f>SUM(E134:E135)</f>
        <v>8209104</v>
      </c>
      <c r="F133" s="1555">
        <f>SUM(F134:F135)</f>
        <v>8251931</v>
      </c>
      <c r="G133" s="1555">
        <f>SUM(G134:G135)</f>
        <v>8432007</v>
      </c>
      <c r="H133" s="1555">
        <f>SUM(H134:H135)</f>
        <v>8432007</v>
      </c>
    </row>
    <row r="134" spans="1:8" ht="12.75" customHeight="1">
      <c r="A134" s="1552" t="s">
        <v>278</v>
      </c>
      <c r="B134" s="1061"/>
      <c r="C134" s="1058" t="s">
        <v>516</v>
      </c>
      <c r="D134" s="1080"/>
      <c r="E134" s="1058">
        <v>8209104</v>
      </c>
      <c r="F134" s="1553">
        <v>8251931</v>
      </c>
      <c r="G134" s="1553">
        <v>8432007</v>
      </c>
      <c r="H134" s="1553">
        <v>8432007</v>
      </c>
    </row>
    <row r="135" spans="1:8" ht="12.75" customHeight="1">
      <c r="A135" s="1552" t="s">
        <v>279</v>
      </c>
      <c r="B135" s="1057"/>
      <c r="C135" s="1081" t="s">
        <v>472</v>
      </c>
      <c r="D135" s="1082"/>
      <c r="E135" s="1058">
        <v>0</v>
      </c>
      <c r="F135" s="1553">
        <v>0</v>
      </c>
      <c r="G135" s="1553">
        <v>0</v>
      </c>
      <c r="H135" s="1553">
        <v>0</v>
      </c>
    </row>
    <row r="136" spans="1:8" s="212" customFormat="1" ht="12.75" customHeight="1">
      <c r="A136" s="1554" t="s">
        <v>280</v>
      </c>
      <c r="B136" s="1059" t="s">
        <v>1211</v>
      </c>
      <c r="C136" s="1089" t="s">
        <v>957</v>
      </c>
      <c r="D136" s="509"/>
      <c r="E136" s="1060">
        <f>SUM(E137:E140)</f>
        <v>20818564</v>
      </c>
      <c r="F136" s="1555">
        <f>SUM(F137:F140)</f>
        <v>16137900</v>
      </c>
      <c r="G136" s="1555">
        <f>SUM(G137:G140)</f>
        <v>16137900</v>
      </c>
      <c r="H136" s="1555">
        <f>SUM(H137:H140)</f>
        <v>16137900</v>
      </c>
    </row>
    <row r="137" spans="1:8" ht="12.75" customHeight="1">
      <c r="A137" s="1552" t="s">
        <v>281</v>
      </c>
      <c r="B137" s="1571"/>
      <c r="C137" s="1382" t="s">
        <v>250</v>
      </c>
      <c r="D137" s="1082"/>
      <c r="E137" s="1058">
        <v>12991088</v>
      </c>
      <c r="F137" s="1553">
        <v>8628000</v>
      </c>
      <c r="G137" s="1553">
        <v>8628000</v>
      </c>
      <c r="H137" s="1553">
        <v>8628000</v>
      </c>
    </row>
    <row r="138" spans="1:8" ht="12.75" customHeight="1">
      <c r="A138" s="992" t="s">
        <v>282</v>
      </c>
      <c r="B138" s="1047"/>
      <c r="C138" s="1088" t="s">
        <v>251</v>
      </c>
      <c r="D138" s="1082"/>
      <c r="E138" s="1058">
        <v>2522516</v>
      </c>
      <c r="F138" s="1553">
        <v>1509900</v>
      </c>
      <c r="G138" s="1553">
        <v>1509900</v>
      </c>
      <c r="H138" s="1553">
        <v>1509900</v>
      </c>
    </row>
    <row r="139" spans="1:8" ht="12.75" customHeight="1">
      <c r="A139" s="992" t="s">
        <v>283</v>
      </c>
      <c r="B139" s="1047"/>
      <c r="C139" s="1088" t="s">
        <v>624</v>
      </c>
      <c r="D139" s="1082"/>
      <c r="E139" s="1058">
        <v>3861000</v>
      </c>
      <c r="F139" s="1553">
        <v>6000000</v>
      </c>
      <c r="G139" s="1553">
        <v>6000000</v>
      </c>
      <c r="H139" s="1553">
        <v>6000000</v>
      </c>
    </row>
    <row r="140" spans="1:8" ht="12.75" customHeight="1">
      <c r="A140" s="992" t="s">
        <v>284</v>
      </c>
      <c r="B140" s="1047"/>
      <c r="C140" s="1088" t="s">
        <v>615</v>
      </c>
      <c r="D140" s="1082"/>
      <c r="E140" s="510">
        <v>1443960</v>
      </c>
      <c r="F140" s="1557">
        <v>0</v>
      </c>
      <c r="G140" s="1557">
        <v>0</v>
      </c>
      <c r="H140" s="1557">
        <v>0</v>
      </c>
    </row>
    <row r="141" spans="1:8" s="212" customFormat="1" ht="12.75" customHeight="1">
      <c r="A141" s="1554" t="s">
        <v>285</v>
      </c>
      <c r="B141" s="1055" t="s">
        <v>946</v>
      </c>
      <c r="C141" s="1383" t="s">
        <v>947</v>
      </c>
      <c r="D141" s="509"/>
      <c r="E141" s="1060"/>
      <c r="F141" s="1555"/>
      <c r="G141" s="1555"/>
      <c r="H141" s="1555"/>
    </row>
    <row r="142" spans="1:8" ht="12.75" customHeight="1">
      <c r="A142" s="1552" t="s">
        <v>286</v>
      </c>
      <c r="B142" s="1057"/>
      <c r="C142" s="1081" t="s">
        <v>948</v>
      </c>
      <c r="D142" s="1082"/>
      <c r="E142" s="1058"/>
      <c r="F142" s="1553"/>
      <c r="G142" s="1553"/>
      <c r="H142" s="1553"/>
    </row>
    <row r="143" spans="1:8" s="212" customFormat="1" ht="12.75" customHeight="1">
      <c r="A143" s="1554" t="s">
        <v>287</v>
      </c>
      <c r="B143" s="1059" t="s">
        <v>954</v>
      </c>
      <c r="C143" s="1089" t="s">
        <v>950</v>
      </c>
      <c r="D143" s="509"/>
      <c r="E143" s="1060"/>
      <c r="F143" s="1555"/>
      <c r="G143" s="1555"/>
      <c r="H143" s="1555"/>
    </row>
    <row r="144" spans="1:8" ht="12.75" customHeight="1">
      <c r="A144" s="1552" t="s">
        <v>289</v>
      </c>
      <c r="B144" s="1057"/>
      <c r="C144" s="1081" t="s">
        <v>948</v>
      </c>
      <c r="D144" s="1082"/>
      <c r="E144" s="1058"/>
      <c r="F144" s="1553"/>
      <c r="G144" s="1553"/>
      <c r="H144" s="1553"/>
    </row>
    <row r="145" spans="1:8" ht="12.75" customHeight="1">
      <c r="A145" s="1552" t="s">
        <v>290</v>
      </c>
      <c r="B145" s="1057"/>
      <c r="C145" s="1081" t="s">
        <v>951</v>
      </c>
      <c r="D145" s="1082"/>
      <c r="E145" s="1058"/>
      <c r="F145" s="1553"/>
      <c r="G145" s="1553"/>
      <c r="H145" s="1553"/>
    </row>
    <row r="146" spans="1:8" s="212" customFormat="1" ht="12.75" customHeight="1">
      <c r="A146" s="1554" t="s">
        <v>291</v>
      </c>
      <c r="B146" s="1059" t="s">
        <v>949</v>
      </c>
      <c r="C146" s="1089" t="s">
        <v>914</v>
      </c>
      <c r="D146" s="509"/>
      <c r="E146" s="1060">
        <f>SUM(E148)</f>
        <v>1500000</v>
      </c>
      <c r="F146" s="1555">
        <f>SUM(F148)</f>
        <v>6480000</v>
      </c>
      <c r="G146" s="1555">
        <f>SUM(G148)</f>
        <v>6480000</v>
      </c>
      <c r="H146" s="1555">
        <f>SUM(H148)</f>
        <v>7810000</v>
      </c>
    </row>
    <row r="147" spans="1:8" ht="12.75" customHeight="1">
      <c r="A147" s="1552" t="s">
        <v>292</v>
      </c>
      <c r="B147" s="1057"/>
      <c r="C147" s="1081" t="s">
        <v>953</v>
      </c>
      <c r="D147" s="1082"/>
      <c r="E147" s="1058"/>
      <c r="F147" s="1553"/>
      <c r="G147" s="1553"/>
      <c r="H147" s="1553"/>
    </row>
    <row r="148" spans="1:8" ht="12.75" customHeight="1">
      <c r="A148" s="1552" t="s">
        <v>293</v>
      </c>
      <c r="B148" s="1057"/>
      <c r="C148" s="1081" t="s">
        <v>951</v>
      </c>
      <c r="D148" s="1082"/>
      <c r="E148" s="1058">
        <v>1500000</v>
      </c>
      <c r="F148" s="1553">
        <v>6480000</v>
      </c>
      <c r="G148" s="1553">
        <v>6480000</v>
      </c>
      <c r="H148" s="1553">
        <v>7810000</v>
      </c>
    </row>
    <row r="149" spans="1:8" ht="12.75">
      <c r="A149" s="1554" t="s">
        <v>294</v>
      </c>
      <c r="B149" s="1059" t="s">
        <v>952</v>
      </c>
      <c r="C149" s="84" t="s">
        <v>275</v>
      </c>
      <c r="D149" s="1082"/>
      <c r="E149" s="1060">
        <f>SUM(E150:E151)</f>
        <v>1099900</v>
      </c>
      <c r="F149" s="1555">
        <f>SUM(F150:F151)</f>
        <v>0</v>
      </c>
      <c r="G149" s="1555">
        <f>SUM(G150:G151)</f>
        <v>0</v>
      </c>
      <c r="H149" s="1555">
        <f>SUM(H150:H151)</f>
        <v>0</v>
      </c>
    </row>
    <row r="150" spans="1:8" ht="12.75" customHeight="1">
      <c r="A150" s="1552" t="s">
        <v>296</v>
      </c>
      <c r="B150" s="1057"/>
      <c r="C150" s="296" t="s">
        <v>252</v>
      </c>
      <c r="D150" s="1082"/>
      <c r="E150" s="1058"/>
      <c r="F150" s="1553"/>
      <c r="G150" s="1553"/>
      <c r="H150" s="1553"/>
    </row>
    <row r="151" spans="1:8" ht="12.75" customHeight="1">
      <c r="A151" s="1552" t="s">
        <v>298</v>
      </c>
      <c r="B151" s="1057"/>
      <c r="C151" s="136" t="s">
        <v>615</v>
      </c>
      <c r="D151" s="1082"/>
      <c r="E151" s="510">
        <v>1099900</v>
      </c>
      <c r="F151" s="1557">
        <v>0</v>
      </c>
      <c r="G151" s="1557">
        <v>0</v>
      </c>
      <c r="H151" s="1557">
        <v>0</v>
      </c>
    </row>
    <row r="152" spans="1:8" s="212" customFormat="1" ht="28.5" customHeight="1">
      <c r="A152" s="1554" t="s">
        <v>300</v>
      </c>
      <c r="B152" s="1059" t="s">
        <v>1055</v>
      </c>
      <c r="C152" s="1629" t="s">
        <v>1181</v>
      </c>
      <c r="D152" s="509"/>
      <c r="E152" s="1071"/>
      <c r="F152" s="1559"/>
      <c r="G152" s="1559">
        <v>2000000</v>
      </c>
      <c r="H152" s="1559">
        <v>2000000</v>
      </c>
    </row>
    <row r="153" spans="1:8" ht="12.75" customHeight="1">
      <c r="A153" s="1552" t="s">
        <v>301</v>
      </c>
      <c r="B153" s="1057"/>
      <c r="C153" s="1628" t="s">
        <v>1180</v>
      </c>
      <c r="D153" s="1082"/>
      <c r="E153" s="510"/>
      <c r="F153" s="1557"/>
      <c r="G153" s="1557">
        <v>2000000</v>
      </c>
      <c r="H153" s="1557">
        <v>2000000</v>
      </c>
    </row>
    <row r="154" spans="1:8" ht="26.25" customHeight="1">
      <c r="A154" s="1552" t="s">
        <v>302</v>
      </c>
      <c r="B154" s="1090" t="s">
        <v>1056</v>
      </c>
      <c r="C154" s="1091" t="s">
        <v>612</v>
      </c>
      <c r="D154" s="509"/>
      <c r="E154" s="1060">
        <f>SUM(E155)</f>
        <v>300105338</v>
      </c>
      <c r="F154" s="1555">
        <f>SUM(F155)</f>
        <v>329437179</v>
      </c>
      <c r="G154" s="1555">
        <f>SUM(G155)</f>
        <v>327680648</v>
      </c>
      <c r="H154" s="1555">
        <f>SUM(H155:H159)</f>
        <v>365018533</v>
      </c>
    </row>
    <row r="155" spans="1:8" ht="12.75" customHeight="1">
      <c r="A155" s="1568" t="s">
        <v>303</v>
      </c>
      <c r="B155" s="1092"/>
      <c r="C155" s="1093" t="s">
        <v>288</v>
      </c>
      <c r="D155" s="1085"/>
      <c r="E155" s="1080">
        <f>SUM('ÖNK ÖSSZESITŐ'!E46)*-1</f>
        <v>300105338</v>
      </c>
      <c r="F155" s="1572">
        <f>SUM('ÖNK ÖSSZESITŐ'!F46)*-1</f>
        <v>329437179</v>
      </c>
      <c r="G155" s="1572">
        <f>SUM('ÖNK ÖSSZESITŐ'!G46)*-1</f>
        <v>327680648</v>
      </c>
      <c r="H155" s="1572">
        <f>SUM('ÖNK ÖSSZESITŐ'!H46)*-1</f>
        <v>327974397</v>
      </c>
    </row>
    <row r="156" spans="1:8" ht="12.75" customHeight="1">
      <c r="A156" s="1047" t="s">
        <v>304</v>
      </c>
      <c r="B156" s="1047"/>
      <c r="C156" s="1082" t="s">
        <v>1207</v>
      </c>
      <c r="D156" s="1082"/>
      <c r="E156" s="1082"/>
      <c r="F156" s="1082"/>
      <c r="G156" s="1082"/>
      <c r="H156" s="1082">
        <v>3251899</v>
      </c>
    </row>
    <row r="157" spans="1:8" ht="12.75" customHeight="1">
      <c r="A157" s="1047" t="s">
        <v>613</v>
      </c>
      <c r="B157" s="1047"/>
      <c r="C157" s="1082" t="s">
        <v>1208</v>
      </c>
      <c r="D157" s="1082"/>
      <c r="E157" s="1082"/>
      <c r="F157" s="1082"/>
      <c r="G157" s="1082"/>
      <c r="H157" s="1082">
        <v>6981000</v>
      </c>
    </row>
    <row r="158" spans="1:8" ht="12.75" customHeight="1">
      <c r="A158" s="1047" t="s">
        <v>614</v>
      </c>
      <c r="B158" s="1047"/>
      <c r="C158" s="1082" t="s">
        <v>1209</v>
      </c>
      <c r="D158" s="1082"/>
      <c r="E158" s="1082"/>
      <c r="F158" s="1082"/>
      <c r="G158" s="1082"/>
      <c r="H158" s="1082">
        <v>26461237</v>
      </c>
    </row>
    <row r="159" spans="1:8" ht="12.75" customHeight="1">
      <c r="A159" s="1047" t="s">
        <v>306</v>
      </c>
      <c r="B159" s="1047"/>
      <c r="C159" s="1082" t="s">
        <v>945</v>
      </c>
      <c r="D159" s="1082"/>
      <c r="E159" s="1082"/>
      <c r="F159" s="1082"/>
      <c r="G159" s="1082"/>
      <c r="H159" s="1082">
        <v>350000</v>
      </c>
    </row>
    <row r="160" spans="1:8" ht="12.75" customHeight="1" thickBot="1">
      <c r="A160" s="1569" t="s">
        <v>307</v>
      </c>
      <c r="B160" s="1685"/>
      <c r="C160" s="1094" t="s">
        <v>236</v>
      </c>
      <c r="D160" s="1094">
        <v>12</v>
      </c>
      <c r="E160" s="1686">
        <f>SUM(E71+E73+E76+E78+E82+E88+E92+E96+E117+E133+E154)+E129+E108+E146+E136+E149</f>
        <v>1242677868.2</v>
      </c>
      <c r="F160" s="1687">
        <f>SUM(F71+F73+F76+F78+F82+F88+F92+F96+F117+F133+F154)+F129+F108+F146+F136+F149</f>
        <v>949855995.3</v>
      </c>
      <c r="G160" s="1687">
        <f>SUM(G71+G73+G76+G78+G82+G88+G92+G96+G117+G133+G154)+G129+G108+G146+G136+G149+G152</f>
        <v>1139563474.3</v>
      </c>
      <c r="H160" s="1687">
        <f>SUM(H71+H73+H76+H78+H82+H88+H92+H96+H117+H133+H154)+H129+H108+H146+H136+H149+H152+H104</f>
        <v>1178285678.3</v>
      </c>
    </row>
    <row r="161" spans="1:8" ht="12.75" customHeight="1">
      <c r="A161" s="1552" t="s">
        <v>308</v>
      </c>
      <c r="B161" s="213"/>
      <c r="C161" s="214" t="s">
        <v>250</v>
      </c>
      <c r="D161" s="214"/>
      <c r="E161" s="1330">
        <f>SUM(E83+E89+E93+E118)+E130+E137</f>
        <v>30665512</v>
      </c>
      <c r="F161" s="1573">
        <f>SUM(F83+F89+F93+F118)+F130+F137</f>
        <v>27678043</v>
      </c>
      <c r="G161" s="1573">
        <f>SUM(G83+G89+G93+G118)+G130+G137</f>
        <v>27678043</v>
      </c>
      <c r="H161" s="1573">
        <f>SUM(H83+H89+H93+H118)+H130+H137</f>
        <v>29604043</v>
      </c>
    </row>
    <row r="162" spans="1:8" ht="12.75" customHeight="1">
      <c r="A162" s="1552" t="s">
        <v>309</v>
      </c>
      <c r="B162" s="215"/>
      <c r="C162" s="216" t="s">
        <v>251</v>
      </c>
      <c r="D162" s="216"/>
      <c r="E162" s="1331">
        <f>SUM(E84+E94+E119)+E131+E138</f>
        <v>5675164</v>
      </c>
      <c r="F162" s="1574">
        <f>SUM(F84+F94+F119)+F131+F138</f>
        <v>4866300</v>
      </c>
      <c r="G162" s="1574">
        <f>SUM(G84+G94+G119)+G131+G138</f>
        <v>4866300</v>
      </c>
      <c r="H162" s="1574">
        <f>SUM(H84+H94+H119)+H131+H138</f>
        <v>5184156</v>
      </c>
    </row>
    <row r="163" spans="1:8" ht="12.75" customHeight="1">
      <c r="A163" s="1552" t="s">
        <v>310</v>
      </c>
      <c r="B163" s="215"/>
      <c r="C163" s="216" t="s">
        <v>252</v>
      </c>
      <c r="D163" s="216"/>
      <c r="E163" s="1331">
        <f>SUM(E72+E74+E77+E79+E85+E91+E120)+E132+E109+E139</f>
        <v>164766811.2</v>
      </c>
      <c r="F163" s="1574">
        <f>SUM(F72+F74+F77+F79+F85+F91+F120)+F132+F109+F139</f>
        <v>67169794.3</v>
      </c>
      <c r="G163" s="1574">
        <f>SUM(G72+G74+G77+G79+G85+G91+G120)+G132+G109+G139+G153</f>
        <v>60244034.3</v>
      </c>
      <c r="H163" s="1574">
        <f>SUM(H72+H74+H77+H79+H85+H91+H120)+H132+H109+H139+H153</f>
        <v>63900760.3</v>
      </c>
    </row>
    <row r="164" spans="1:10" ht="12.75" customHeight="1">
      <c r="A164" s="1552" t="s">
        <v>311</v>
      </c>
      <c r="B164" s="215"/>
      <c r="C164" s="216" t="s">
        <v>649</v>
      </c>
      <c r="D164" s="216"/>
      <c r="E164" s="1331">
        <f>SUM(E110)+E116</f>
        <v>4209730</v>
      </c>
      <c r="F164" s="1574">
        <f>SUM(F110)+F116</f>
        <v>3453000</v>
      </c>
      <c r="G164" s="1574">
        <f>SUM(G110)+G116</f>
        <v>3803000</v>
      </c>
      <c r="H164" s="1574">
        <f>SUM(H110)+H116</f>
        <v>3453000</v>
      </c>
      <c r="J164" s="1077"/>
    </row>
    <row r="165" spans="1:8" ht="12.75" customHeight="1">
      <c r="A165" s="1552" t="s">
        <v>312</v>
      </c>
      <c r="B165" s="215"/>
      <c r="C165" s="216" t="s">
        <v>650</v>
      </c>
      <c r="D165" s="216"/>
      <c r="E165" s="1331">
        <f>SUM(E124)</f>
        <v>478765907</v>
      </c>
      <c r="F165" s="1574">
        <f>SUM(F124)</f>
        <v>462128007</v>
      </c>
      <c r="G165" s="1574">
        <f>SUM(G124)</f>
        <v>570382608</v>
      </c>
      <c r="H165" s="1574">
        <f>SUM(H124)</f>
        <v>419046334</v>
      </c>
    </row>
    <row r="166" spans="1:8" ht="12.75" customHeight="1">
      <c r="A166" s="1552" t="s">
        <v>313</v>
      </c>
      <c r="B166" s="215"/>
      <c r="C166" s="216" t="s">
        <v>651</v>
      </c>
      <c r="D166" s="216"/>
      <c r="E166" s="1331">
        <f>SUM(E97)+E148</f>
        <v>44186648</v>
      </c>
      <c r="F166" s="1574">
        <f>SUM(F97)+F148</f>
        <v>44771741</v>
      </c>
      <c r="G166" s="1574">
        <f>SUM(G97)+G148</f>
        <v>42258999</v>
      </c>
      <c r="H166" s="1574">
        <f>SUM(H148)+H104+H156+H157+H158+H159</f>
        <v>46035254</v>
      </c>
    </row>
    <row r="167" spans="1:8" ht="12.75" customHeight="1">
      <c r="A167" s="1552" t="s">
        <v>314</v>
      </c>
      <c r="B167" s="215"/>
      <c r="C167" s="216" t="s">
        <v>615</v>
      </c>
      <c r="D167" s="216"/>
      <c r="E167" s="1331">
        <f>SUM(E168:E169)</f>
        <v>203611617</v>
      </c>
      <c r="F167" s="1574">
        <f>SUM(F168:F169)</f>
        <v>2100000</v>
      </c>
      <c r="G167" s="1574">
        <f>SUM(G168:G169)</f>
        <v>93863808</v>
      </c>
      <c r="H167" s="1574">
        <f>SUM(H168:H169)</f>
        <v>272284650</v>
      </c>
    </row>
    <row r="168" spans="1:8" s="1095" customFormat="1" ht="12.75" customHeight="1">
      <c r="A168" s="1575" t="s">
        <v>315</v>
      </c>
      <c r="B168" s="816"/>
      <c r="C168" s="817" t="s">
        <v>781</v>
      </c>
      <c r="D168" s="817"/>
      <c r="E168" s="1332">
        <v>194136460</v>
      </c>
      <c r="F168" s="1576">
        <v>1700000</v>
      </c>
      <c r="G168" s="1576">
        <f>SUM('6,7,8 Melléklet'!E65)</f>
        <v>93463808</v>
      </c>
      <c r="H168" s="1576">
        <f>SUM('6,7,8 Melléklet'!F65)</f>
        <v>248842095</v>
      </c>
    </row>
    <row r="169" spans="1:8" s="1095" customFormat="1" ht="12.75" customHeight="1">
      <c r="A169" s="1575" t="s">
        <v>316</v>
      </c>
      <c r="B169" s="816"/>
      <c r="C169" s="817" t="s">
        <v>782</v>
      </c>
      <c r="D169" s="817"/>
      <c r="E169" s="1333">
        <v>9475157</v>
      </c>
      <c r="F169" s="1577">
        <f>SUM('6,7,8 Melléklet'!D13)</f>
        <v>400000</v>
      </c>
      <c r="G169" s="1577">
        <f>SUM('6,7,8 Melléklet'!E13)</f>
        <v>400000</v>
      </c>
      <c r="H169" s="1577">
        <f>SUM('6,7,8 Melléklet'!F13)</f>
        <v>23442555</v>
      </c>
    </row>
    <row r="170" spans="1:8" ht="25.5">
      <c r="A170" s="1552" t="s">
        <v>317</v>
      </c>
      <c r="B170" s="1208"/>
      <c r="C170" s="1209" t="s">
        <v>1011</v>
      </c>
      <c r="D170" s="1210"/>
      <c r="E170" s="1334">
        <f>SUM(E128)</f>
        <v>2482037</v>
      </c>
      <c r="F170" s="1578">
        <f>SUM(F128)</f>
        <v>0</v>
      </c>
      <c r="G170" s="1578">
        <f>SUM(G128)</f>
        <v>0</v>
      </c>
      <c r="H170" s="1578">
        <v>2017050</v>
      </c>
    </row>
    <row r="171" spans="1:8" ht="25.5">
      <c r="A171" s="1552" t="s">
        <v>318</v>
      </c>
      <c r="B171" s="218"/>
      <c r="C171" s="534" t="s">
        <v>696</v>
      </c>
      <c r="D171" s="219"/>
      <c r="E171" s="1334">
        <f>SUM(E125)</f>
        <v>0</v>
      </c>
      <c r="F171" s="1578">
        <f>SUM(F125)</f>
        <v>0</v>
      </c>
      <c r="G171" s="1578">
        <f>SUM(G125)</f>
        <v>0</v>
      </c>
      <c r="H171" s="1578">
        <f>SUM(H125)</f>
        <v>0</v>
      </c>
    </row>
    <row r="172" spans="1:8" ht="25.5">
      <c r="A172" s="1552" t="s">
        <v>320</v>
      </c>
      <c r="B172" s="535"/>
      <c r="C172" s="536" t="s">
        <v>697</v>
      </c>
      <c r="D172" s="537"/>
      <c r="E172" s="1335">
        <v>8209104</v>
      </c>
      <c r="F172" s="1579">
        <f>SUM(F134)</f>
        <v>8251931</v>
      </c>
      <c r="G172" s="1579">
        <f>SUM(G134)</f>
        <v>8432007</v>
      </c>
      <c r="H172" s="1579">
        <f>SUM(H134)</f>
        <v>8432007</v>
      </c>
    </row>
    <row r="173" spans="1:8" ht="12.75" customHeight="1">
      <c r="A173" s="1552" t="s">
        <v>321</v>
      </c>
      <c r="B173" s="535"/>
      <c r="C173" s="536" t="s">
        <v>677</v>
      </c>
      <c r="D173" s="537"/>
      <c r="E173" s="537">
        <v>0</v>
      </c>
      <c r="F173" s="1580">
        <v>0</v>
      </c>
      <c r="G173" s="1580">
        <v>354027</v>
      </c>
      <c r="H173" s="1580">
        <v>354027</v>
      </c>
    </row>
    <row r="174" spans="1:8" ht="12.75" customHeight="1" thickBot="1">
      <c r="A174" s="1581" t="s">
        <v>322</v>
      </c>
      <c r="B174" s="1582"/>
      <c r="C174" s="1583" t="s">
        <v>675</v>
      </c>
      <c r="D174" s="1584"/>
      <c r="E174" s="1584">
        <f>SUM(E155)</f>
        <v>300105338</v>
      </c>
      <c r="F174" s="1585">
        <f>SUM(F155)</f>
        <v>329437179</v>
      </c>
      <c r="G174" s="1585">
        <f>SUM(G155)</f>
        <v>327680648</v>
      </c>
      <c r="H174" s="1585">
        <f>SUM(H155)</f>
        <v>327974397</v>
      </c>
    </row>
    <row r="175" spans="1:8" s="220" customFormat="1" ht="12.75" customHeight="1">
      <c r="A175" s="1086"/>
      <c r="E175" s="221"/>
      <c r="F175" s="221"/>
      <c r="G175" s="221"/>
      <c r="H175" s="221"/>
    </row>
  </sheetData>
  <sheetProtection selectLockedCells="1" selectUnlockedCells="1"/>
  <mergeCells count="54">
    <mergeCell ref="A70:B70"/>
    <mergeCell ref="C62:D62"/>
    <mergeCell ref="C63:D63"/>
    <mergeCell ref="C64:D64"/>
    <mergeCell ref="C65:D65"/>
    <mergeCell ref="C66:D66"/>
    <mergeCell ref="A69:B69"/>
    <mergeCell ref="C44:D44"/>
    <mergeCell ref="C45:D45"/>
    <mergeCell ref="C56:D56"/>
    <mergeCell ref="C59:D59"/>
    <mergeCell ref="C60:D60"/>
    <mergeCell ref="C61:D61"/>
    <mergeCell ref="C36:D36"/>
    <mergeCell ref="C37:D37"/>
    <mergeCell ref="C38:D38"/>
    <mergeCell ref="C39:D39"/>
    <mergeCell ref="C41:D41"/>
    <mergeCell ref="C43:D43"/>
    <mergeCell ref="C30:D30"/>
    <mergeCell ref="C31:D31"/>
    <mergeCell ref="C32:D32"/>
    <mergeCell ref="C33:D33"/>
    <mergeCell ref="C34:D34"/>
    <mergeCell ref="C35:D35"/>
    <mergeCell ref="C20:D20"/>
    <mergeCell ref="C21:D21"/>
    <mergeCell ref="C22:D22"/>
    <mergeCell ref="C23:D23"/>
    <mergeCell ref="C24:D24"/>
    <mergeCell ref="C29:D29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A8:B8"/>
    <mergeCell ref="C8:D8"/>
    <mergeCell ref="C9:D9"/>
    <mergeCell ref="C10:D10"/>
    <mergeCell ref="C12:D12"/>
    <mergeCell ref="C13:D13"/>
    <mergeCell ref="C11:D11"/>
    <mergeCell ref="A6:C6"/>
    <mergeCell ref="A7:B7"/>
    <mergeCell ref="C7:D7"/>
    <mergeCell ref="A4:H4"/>
    <mergeCell ref="A2:H2"/>
    <mergeCell ref="A1:H1"/>
    <mergeCell ref="C3:G3"/>
  </mergeCells>
  <printOptions horizontalCentered="1"/>
  <pageMargins left="0.5905511811023623" right="0.5905511811023623" top="0.2755905511811024" bottom="0.2755905511811024" header="0.7874015748031497" footer="0.7874015748031497"/>
  <pageSetup horizontalDpi="600" verticalDpi="600" orientation="portrait" paperSize="9" scale="58" r:id="rId1"/>
  <rowBreaks count="1" manualBreakCount="1">
    <brk id="8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0"/>
  <sheetViews>
    <sheetView view="pageBreakPreview" zoomScaleSheetLayoutView="100" zoomScalePageLayoutView="0" workbookViewId="0" topLeftCell="A1">
      <pane xSplit="1" topLeftCell="H1" activePane="topRight" state="frozen"/>
      <selection pane="topLeft" activeCell="A1" sqref="A1"/>
      <selection pane="topRight" activeCell="K68" sqref="K68"/>
    </sheetView>
  </sheetViews>
  <sheetFormatPr defaultColWidth="11.57421875" defaultRowHeight="12.75" customHeight="1"/>
  <cols>
    <col min="1" max="1" width="38.421875" style="0" customWidth="1"/>
    <col min="2" max="2" width="16.00390625" style="0" customWidth="1"/>
    <col min="3" max="3" width="16.7109375" style="0" customWidth="1"/>
    <col min="4" max="4" width="15.140625" style="0" customWidth="1"/>
    <col min="5" max="5" width="12.8515625" style="0" customWidth="1"/>
    <col min="6" max="6" width="16.00390625" style="0" customWidth="1"/>
    <col min="7" max="7" width="20.28125" style="0" customWidth="1"/>
    <col min="8" max="8" width="18.421875" style="0" customWidth="1"/>
    <col min="9" max="9" width="17.421875" style="0" customWidth="1"/>
    <col min="10" max="10" width="16.00390625" style="0" customWidth="1"/>
    <col min="11" max="11" width="20.28125" style="0" customWidth="1"/>
    <col min="12" max="12" width="18.421875" style="0" customWidth="1"/>
    <col min="13" max="13" width="17.421875" style="0" customWidth="1"/>
  </cols>
  <sheetData>
    <row r="1" spans="1:13" s="168" customFormat="1" ht="18" customHeight="1">
      <c r="A1" s="2126" t="s">
        <v>519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</row>
    <row r="2" spans="1:13" ht="12.75" customHeight="1">
      <c r="A2" s="1856" t="s">
        <v>1259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</row>
    <row r="3" spans="1:13" ht="12.75" customHeight="1">
      <c r="A3" s="500"/>
      <c r="B3" s="500"/>
      <c r="C3" s="500"/>
      <c r="D3" s="500"/>
      <c r="E3" s="1856" t="s">
        <v>1261</v>
      </c>
      <c r="F3" s="1856"/>
      <c r="G3" s="1856"/>
      <c r="H3" s="1856"/>
      <c r="I3" s="500"/>
      <c r="J3" s="500"/>
      <c r="K3" s="500"/>
      <c r="L3" s="500"/>
      <c r="M3" s="500" t="s">
        <v>1267</v>
      </c>
    </row>
    <row r="4" spans="1:13" ht="12.75" customHeight="1">
      <c r="A4" s="1783" t="s">
        <v>2</v>
      </c>
      <c r="B4" s="1783"/>
      <c r="C4" s="1783"/>
      <c r="D4" s="1783"/>
      <c r="E4" s="1783"/>
      <c r="F4" s="1783"/>
      <c r="G4" s="1783"/>
      <c r="H4" s="1783"/>
      <c r="I4" s="1783"/>
      <c r="J4" s="1783"/>
      <c r="K4" s="1783"/>
      <c r="L4" s="1783"/>
      <c r="M4" s="1783"/>
    </row>
    <row r="5" spans="1:13" ht="15.75" customHeight="1">
      <c r="A5" s="1866" t="s">
        <v>1083</v>
      </c>
      <c r="B5" s="1866"/>
      <c r="C5" s="1866"/>
      <c r="D5" s="1866"/>
      <c r="E5" s="1866"/>
      <c r="F5" s="1866"/>
      <c r="G5" s="1866"/>
      <c r="H5" s="1866"/>
      <c r="I5" s="1866"/>
      <c r="J5" s="1866"/>
      <c r="K5" s="1866"/>
      <c r="L5" s="1866"/>
      <c r="M5" s="1866"/>
    </row>
    <row r="6" spans="1:11" ht="9" customHeight="1">
      <c r="A6" s="3"/>
      <c r="B6" s="3"/>
      <c r="C6" s="3"/>
      <c r="F6" s="3"/>
      <c r="G6" s="3"/>
      <c r="J6" s="3"/>
      <c r="K6" s="3"/>
    </row>
    <row r="7" spans="1:11" ht="9" customHeight="1">
      <c r="A7" s="3"/>
      <c r="B7" s="3"/>
      <c r="C7" s="3"/>
      <c r="F7" s="3"/>
      <c r="G7" s="3"/>
      <c r="J7" s="3"/>
      <c r="K7" s="3"/>
    </row>
    <row r="8" spans="1:13" ht="13.5" customHeight="1" thickBot="1">
      <c r="A8" s="3"/>
      <c r="B8" s="3"/>
      <c r="C8" s="3"/>
      <c r="D8" s="1873"/>
      <c r="E8" s="1873"/>
      <c r="F8" s="3"/>
      <c r="G8" s="3"/>
      <c r="H8" s="1873"/>
      <c r="I8" s="1873"/>
      <c r="J8" s="3"/>
      <c r="K8" s="3"/>
      <c r="L8" s="1873" t="s">
        <v>214</v>
      </c>
      <c r="M8" s="1873"/>
    </row>
    <row r="9" spans="1:13" ht="12.75" customHeight="1" thickBot="1">
      <c r="A9" s="2124" t="s">
        <v>520</v>
      </c>
      <c r="B9" s="2120" t="s">
        <v>521</v>
      </c>
      <c r="C9" s="2122" t="s">
        <v>522</v>
      </c>
      <c r="D9" s="2122"/>
      <c r="E9" s="2123"/>
      <c r="F9" s="2120" t="s">
        <v>521</v>
      </c>
      <c r="G9" s="2122" t="s">
        <v>1165</v>
      </c>
      <c r="H9" s="2122"/>
      <c r="I9" s="2123"/>
      <c r="J9" s="2120" t="s">
        <v>521</v>
      </c>
      <c r="K9" s="2122" t="s">
        <v>1186</v>
      </c>
      <c r="L9" s="2122"/>
      <c r="M9" s="2123"/>
    </row>
    <row r="10" spans="1:13" ht="33.75" customHeight="1">
      <c r="A10" s="2125"/>
      <c r="B10" s="2121"/>
      <c r="C10" s="222" t="s">
        <v>523</v>
      </c>
      <c r="D10" s="222" t="s">
        <v>524</v>
      </c>
      <c r="E10" s="689" t="s">
        <v>525</v>
      </c>
      <c r="F10" s="2121"/>
      <c r="G10" s="222" t="s">
        <v>523</v>
      </c>
      <c r="H10" s="222" t="s">
        <v>524</v>
      </c>
      <c r="I10" s="689" t="s">
        <v>525</v>
      </c>
      <c r="J10" s="2121"/>
      <c r="K10" s="222" t="s">
        <v>523</v>
      </c>
      <c r="L10" s="222" t="s">
        <v>524</v>
      </c>
      <c r="M10" s="689" t="s">
        <v>525</v>
      </c>
    </row>
    <row r="11" spans="1:13" ht="15" customHeight="1">
      <c r="A11" s="705" t="s">
        <v>903</v>
      </c>
      <c r="B11" s="690">
        <f aca="true" t="shared" si="0" ref="B11:I11">SUM(B12:B29)</f>
        <v>949855995</v>
      </c>
      <c r="C11" s="62">
        <f t="shared" si="0"/>
        <v>895226354</v>
      </c>
      <c r="D11" s="62">
        <f t="shared" si="0"/>
        <v>54629641</v>
      </c>
      <c r="E11" s="429">
        <f t="shared" si="0"/>
        <v>0</v>
      </c>
      <c r="F11" s="690">
        <f t="shared" si="0"/>
        <v>1139563474</v>
      </c>
      <c r="G11" s="62">
        <f>SUM(G12:G29)</f>
        <v>1087096575</v>
      </c>
      <c r="H11" s="62">
        <f t="shared" si="0"/>
        <v>52466899</v>
      </c>
      <c r="I11" s="429">
        <f t="shared" si="0"/>
        <v>0</v>
      </c>
      <c r="J11" s="690">
        <f>SUM(J12:J29)</f>
        <v>1178285678</v>
      </c>
      <c r="K11" s="62">
        <f>SUM(K12:K29)</f>
        <v>469435676</v>
      </c>
      <c r="L11" s="62">
        <f>SUM(L12:L29)</f>
        <v>708850002</v>
      </c>
      <c r="M11" s="429">
        <f>SUM(M12:M29)</f>
        <v>0</v>
      </c>
    </row>
    <row r="12" spans="1:13" ht="15" customHeight="1">
      <c r="A12" s="706" t="s">
        <v>654</v>
      </c>
      <c r="B12" s="691">
        <f>SUM(C12:E12)</f>
        <v>0</v>
      </c>
      <c r="C12" s="116"/>
      <c r="D12" s="116">
        <v>0</v>
      </c>
      <c r="E12" s="692"/>
      <c r="F12" s="691">
        <f>SUM(G12:I12)</f>
        <v>0</v>
      </c>
      <c r="G12" s="116"/>
      <c r="H12" s="116">
        <v>0</v>
      </c>
      <c r="I12" s="692"/>
      <c r="J12" s="691">
        <f>SUM(K12:M12)</f>
        <v>0</v>
      </c>
      <c r="K12" s="116"/>
      <c r="L12" s="116">
        <v>0</v>
      </c>
      <c r="M12" s="692"/>
    </row>
    <row r="13" spans="1:13" ht="15" customHeight="1">
      <c r="A13" s="706" t="s">
        <v>248</v>
      </c>
      <c r="B13" s="691">
        <f aca="true" t="shared" si="1" ref="B13:B24">SUM(C13:E13)</f>
        <v>200000</v>
      </c>
      <c r="C13" s="116"/>
      <c r="D13" s="116">
        <v>200000</v>
      </c>
      <c r="E13" s="692"/>
      <c r="F13" s="691">
        <f aca="true" t="shared" si="2" ref="F13:F24">SUM(G13:I13)</f>
        <v>200000</v>
      </c>
      <c r="G13" s="116"/>
      <c r="H13" s="116">
        <v>200000</v>
      </c>
      <c r="I13" s="692"/>
      <c r="J13" s="691">
        <f aca="true" t="shared" si="3" ref="J13:J24">SUM(K13:M13)</f>
        <v>200000</v>
      </c>
      <c r="K13" s="116"/>
      <c r="L13" s="116">
        <v>200000</v>
      </c>
      <c r="M13" s="692"/>
    </row>
    <row r="14" spans="1:13" ht="15" customHeight="1">
      <c r="A14" s="706" t="s">
        <v>253</v>
      </c>
      <c r="B14" s="691">
        <f t="shared" si="1"/>
        <v>7000000</v>
      </c>
      <c r="C14" s="223">
        <v>7000000</v>
      </c>
      <c r="D14" s="116"/>
      <c r="E14" s="692"/>
      <c r="F14" s="691">
        <f t="shared" si="2"/>
        <v>7000000</v>
      </c>
      <c r="G14" s="223">
        <v>7000000</v>
      </c>
      <c r="H14" s="116"/>
      <c r="I14" s="692"/>
      <c r="J14" s="691">
        <f t="shared" si="3"/>
        <v>7000000</v>
      </c>
      <c r="K14" s="223">
        <v>7000000</v>
      </c>
      <c r="L14" s="116"/>
      <c r="M14" s="692"/>
    </row>
    <row r="15" spans="1:13" ht="15" customHeight="1">
      <c r="A15" s="706" t="s">
        <v>655</v>
      </c>
      <c r="B15" s="691">
        <f t="shared" si="1"/>
        <v>100000</v>
      </c>
      <c r="C15" s="116">
        <v>100000</v>
      </c>
      <c r="D15" s="116"/>
      <c r="E15" s="692"/>
      <c r="F15" s="691">
        <f t="shared" si="2"/>
        <v>100000</v>
      </c>
      <c r="G15" s="116">
        <v>100000</v>
      </c>
      <c r="H15" s="116"/>
      <c r="I15" s="692"/>
      <c r="J15" s="691">
        <f t="shared" si="3"/>
        <v>100000</v>
      </c>
      <c r="K15" s="116">
        <v>100000</v>
      </c>
      <c r="L15" s="116"/>
      <c r="M15" s="692"/>
    </row>
    <row r="16" spans="1:13" ht="15" customHeight="1">
      <c r="A16" s="706" t="s">
        <v>255</v>
      </c>
      <c r="B16" s="691">
        <f t="shared" si="1"/>
        <v>0</v>
      </c>
      <c r="C16" s="116"/>
      <c r="D16" s="116"/>
      <c r="E16" s="692"/>
      <c r="F16" s="691">
        <f t="shared" si="2"/>
        <v>0</v>
      </c>
      <c r="G16" s="116"/>
      <c r="H16" s="116"/>
      <c r="I16" s="692"/>
      <c r="J16" s="691">
        <f t="shared" si="3"/>
        <v>4112979</v>
      </c>
      <c r="K16" s="116">
        <v>4112979</v>
      </c>
      <c r="L16" s="116"/>
      <c r="M16" s="692"/>
    </row>
    <row r="17" spans="1:13" ht="15" customHeight="1">
      <c r="A17" s="706" t="s">
        <v>656</v>
      </c>
      <c r="B17" s="691">
        <f t="shared" si="1"/>
        <v>200000</v>
      </c>
      <c r="C17" s="116">
        <v>200000</v>
      </c>
      <c r="D17" s="116"/>
      <c r="E17" s="692"/>
      <c r="F17" s="691">
        <f t="shared" si="2"/>
        <v>200000</v>
      </c>
      <c r="G17" s="116">
        <v>200000</v>
      </c>
      <c r="H17" s="116"/>
      <c r="I17" s="692"/>
      <c r="J17" s="691">
        <f t="shared" si="3"/>
        <v>200000</v>
      </c>
      <c r="K17" s="116">
        <v>200000</v>
      </c>
      <c r="L17" s="116"/>
      <c r="M17" s="692"/>
    </row>
    <row r="18" spans="1:13" ht="15" customHeight="1">
      <c r="A18" s="706" t="s">
        <v>657</v>
      </c>
      <c r="B18" s="691">
        <f t="shared" si="1"/>
        <v>0</v>
      </c>
      <c r="C18" s="116"/>
      <c r="D18" s="116"/>
      <c r="E18" s="692"/>
      <c r="F18" s="691">
        <f t="shared" si="2"/>
        <v>0</v>
      </c>
      <c r="G18" s="116"/>
      <c r="H18" s="116"/>
      <c r="I18" s="692"/>
      <c r="J18" s="691">
        <f t="shared" si="3"/>
        <v>0</v>
      </c>
      <c r="K18" s="116"/>
      <c r="L18" s="116"/>
      <c r="M18" s="692"/>
    </row>
    <row r="19" spans="1:13" ht="15" customHeight="1">
      <c r="A19" s="1586" t="s">
        <v>942</v>
      </c>
      <c r="B19" s="691">
        <f t="shared" si="1"/>
        <v>38291741</v>
      </c>
      <c r="C19" s="116"/>
      <c r="D19" s="116">
        <v>38291741</v>
      </c>
      <c r="E19" s="692"/>
      <c r="F19" s="691">
        <f t="shared" si="2"/>
        <v>35778999</v>
      </c>
      <c r="G19" s="116"/>
      <c r="H19" s="116">
        <v>35778999</v>
      </c>
      <c r="I19" s="692"/>
      <c r="J19" s="691">
        <f t="shared" si="3"/>
        <v>0</v>
      </c>
      <c r="K19" s="116"/>
      <c r="L19" s="116">
        <v>0</v>
      </c>
      <c r="M19" s="692"/>
    </row>
    <row r="20" spans="1:13" ht="15" customHeight="1">
      <c r="A20" s="1586" t="s">
        <v>1256</v>
      </c>
      <c r="B20" s="691"/>
      <c r="C20" s="116"/>
      <c r="D20" s="116"/>
      <c r="E20" s="692"/>
      <c r="F20" s="691"/>
      <c r="G20" s="116"/>
      <c r="H20" s="116"/>
      <c r="I20" s="692"/>
      <c r="J20" s="691">
        <f t="shared" si="3"/>
        <v>1181118</v>
      </c>
      <c r="K20" s="116"/>
      <c r="L20" s="116">
        <v>1181118</v>
      </c>
      <c r="M20" s="692"/>
    </row>
    <row r="21" spans="1:13" ht="31.5" customHeight="1">
      <c r="A21" s="1587" t="s">
        <v>944</v>
      </c>
      <c r="B21" s="691">
        <f t="shared" si="1"/>
        <v>3453000</v>
      </c>
      <c r="C21" s="116">
        <v>3453000</v>
      </c>
      <c r="D21" s="116"/>
      <c r="E21" s="692"/>
      <c r="F21" s="691">
        <f t="shared" si="2"/>
        <v>3803000</v>
      </c>
      <c r="G21" s="116">
        <v>3453000</v>
      </c>
      <c r="H21" s="116">
        <v>350000</v>
      </c>
      <c r="I21" s="692"/>
      <c r="J21" s="691">
        <f t="shared" si="3"/>
        <v>3453000</v>
      </c>
      <c r="K21" s="116">
        <v>3453000</v>
      </c>
      <c r="L21" s="116"/>
      <c r="M21" s="692"/>
    </row>
    <row r="22" spans="1:13" ht="15" customHeight="1">
      <c r="A22" s="706" t="s">
        <v>658</v>
      </c>
      <c r="B22" s="691">
        <f t="shared" si="1"/>
        <v>539868521</v>
      </c>
      <c r="C22" s="116">
        <v>539868521</v>
      </c>
      <c r="D22" s="116"/>
      <c r="E22" s="692"/>
      <c r="F22" s="691">
        <f t="shared" si="2"/>
        <v>731315197</v>
      </c>
      <c r="G22" s="116">
        <v>731315197</v>
      </c>
      <c r="H22" s="116"/>
      <c r="I22" s="692"/>
      <c r="J22" s="691">
        <f t="shared" si="3"/>
        <v>762054649</v>
      </c>
      <c r="K22" s="116">
        <f>762054649-691330984</f>
        <v>70723665</v>
      </c>
      <c r="L22" s="116">
        <v>691330984</v>
      </c>
      <c r="M22" s="692"/>
    </row>
    <row r="23" spans="1:13" ht="15" customHeight="1">
      <c r="A23" s="706" t="s">
        <v>632</v>
      </c>
      <c r="B23" s="691">
        <f t="shared" si="1"/>
        <v>435723</v>
      </c>
      <c r="C23" s="116">
        <v>435723</v>
      </c>
      <c r="D23" s="116"/>
      <c r="E23" s="692"/>
      <c r="F23" s="691">
        <f t="shared" si="2"/>
        <v>435723</v>
      </c>
      <c r="G23" s="116">
        <v>435723</v>
      </c>
      <c r="H23" s="116"/>
      <c r="I23" s="692"/>
      <c r="J23" s="691">
        <f t="shared" si="3"/>
        <v>585492</v>
      </c>
      <c r="K23" s="116">
        <v>585492</v>
      </c>
      <c r="L23" s="116"/>
      <c r="M23" s="692"/>
    </row>
    <row r="24" spans="1:13" ht="15" customHeight="1">
      <c r="A24" s="706" t="s">
        <v>644</v>
      </c>
      <c r="B24" s="691">
        <f t="shared" si="1"/>
        <v>8251931</v>
      </c>
      <c r="C24" s="116">
        <v>8251931</v>
      </c>
      <c r="D24" s="116"/>
      <c r="E24" s="692"/>
      <c r="F24" s="691">
        <f t="shared" si="2"/>
        <v>8432007</v>
      </c>
      <c r="G24" s="116">
        <v>8432007</v>
      </c>
      <c r="H24" s="116"/>
      <c r="I24" s="692"/>
      <c r="J24" s="691">
        <f t="shared" si="3"/>
        <v>8432007</v>
      </c>
      <c r="K24" s="116">
        <v>8432007</v>
      </c>
      <c r="L24" s="116"/>
      <c r="M24" s="692"/>
    </row>
    <row r="25" spans="1:13" ht="15" customHeight="1">
      <c r="A25" s="707" t="s">
        <v>1164</v>
      </c>
      <c r="B25" s="691">
        <v>16137900</v>
      </c>
      <c r="C25" s="225"/>
      <c r="D25" s="225">
        <v>16137900</v>
      </c>
      <c r="E25" s="693"/>
      <c r="F25" s="691">
        <v>16137900</v>
      </c>
      <c r="G25" s="225"/>
      <c r="H25" s="225">
        <v>16137900</v>
      </c>
      <c r="I25" s="693"/>
      <c r="J25" s="691">
        <v>16137900</v>
      </c>
      <c r="K25" s="225"/>
      <c r="L25" s="225">
        <v>16137900</v>
      </c>
      <c r="M25" s="693"/>
    </row>
    <row r="26" spans="1:13" ht="15" customHeight="1">
      <c r="A26" s="707" t="s">
        <v>1067</v>
      </c>
      <c r="B26" s="691"/>
      <c r="C26" s="225"/>
      <c r="D26" s="225"/>
      <c r="E26" s="693"/>
      <c r="F26" s="691"/>
      <c r="G26" s="225"/>
      <c r="H26" s="225"/>
      <c r="I26" s="693"/>
      <c r="J26" s="691"/>
      <c r="K26" s="225"/>
      <c r="L26" s="225"/>
      <c r="M26" s="693"/>
    </row>
    <row r="27" spans="1:13" ht="24" customHeight="1">
      <c r="A27" s="1631" t="s">
        <v>1184</v>
      </c>
      <c r="B27" s="691"/>
      <c r="C27" s="225"/>
      <c r="D27" s="225"/>
      <c r="E27" s="693"/>
      <c r="F27" s="691">
        <v>2000000</v>
      </c>
      <c r="G27" s="225">
        <v>2000000</v>
      </c>
      <c r="H27" s="225"/>
      <c r="I27" s="693"/>
      <c r="J27" s="691">
        <v>2000000</v>
      </c>
      <c r="K27" s="225">
        <v>2000000</v>
      </c>
      <c r="L27" s="225"/>
      <c r="M27" s="693"/>
    </row>
    <row r="28" spans="1:13" ht="15" customHeight="1">
      <c r="A28" s="1588" t="s">
        <v>914</v>
      </c>
      <c r="B28" s="691">
        <f>SUM(C28)</f>
        <v>6480000</v>
      </c>
      <c r="C28" s="225">
        <v>6480000</v>
      </c>
      <c r="D28" s="225"/>
      <c r="E28" s="693"/>
      <c r="F28" s="691">
        <f>SUM(G28)</f>
        <v>6480000</v>
      </c>
      <c r="G28" s="225">
        <v>6480000</v>
      </c>
      <c r="H28" s="225"/>
      <c r="I28" s="693"/>
      <c r="J28" s="691">
        <f>SUM(K28)</f>
        <v>7810000</v>
      </c>
      <c r="K28" s="225">
        <v>7810000</v>
      </c>
      <c r="L28" s="225"/>
      <c r="M28" s="693"/>
    </row>
    <row r="29" spans="1:13" ht="15" customHeight="1" thickBot="1">
      <c r="A29" s="707" t="s">
        <v>612</v>
      </c>
      <c r="B29" s="691">
        <f>SUM(C29)</f>
        <v>329437179</v>
      </c>
      <c r="C29" s="225">
        <v>329437179</v>
      </c>
      <c r="D29" s="616"/>
      <c r="E29" s="693"/>
      <c r="F29" s="691">
        <f>SUM(G29)</f>
        <v>327680648</v>
      </c>
      <c r="G29" s="225">
        <v>327680648</v>
      </c>
      <c r="H29" s="616"/>
      <c r="I29" s="693"/>
      <c r="J29" s="691">
        <f>SUM(K29)</f>
        <v>365018533</v>
      </c>
      <c r="K29" s="225">
        <v>365018533</v>
      </c>
      <c r="L29" s="616"/>
      <c r="M29" s="693"/>
    </row>
    <row r="30" spans="1:13" s="10" customFormat="1" ht="39" customHeight="1" thickBot="1">
      <c r="A30" s="832" t="s">
        <v>242</v>
      </c>
      <c r="B30" s="694">
        <f>SUM(B31:B40)</f>
        <v>103172725</v>
      </c>
      <c r="C30" s="617">
        <f>SUM(C31:C40)</f>
        <v>92552927</v>
      </c>
      <c r="D30" s="617">
        <f>SUM(D31:D40)</f>
        <v>10619798</v>
      </c>
      <c r="E30" s="618">
        <f>SUM(E34:E40)</f>
        <v>0</v>
      </c>
      <c r="F30" s="694">
        <f>SUM(F31:F40)</f>
        <v>100032622</v>
      </c>
      <c r="G30" s="617">
        <f>SUM(G31:G40)</f>
        <v>89412824</v>
      </c>
      <c r="H30" s="617">
        <f>SUM(H31:H40)</f>
        <v>10619798</v>
      </c>
      <c r="I30" s="618">
        <f>SUM(I34:I40)</f>
        <v>0</v>
      </c>
      <c r="J30" s="694">
        <f>SUM(J31:J40)</f>
        <v>100095654</v>
      </c>
      <c r="K30" s="617">
        <f>SUM(K31:K40)</f>
        <v>89475856</v>
      </c>
      <c r="L30" s="617">
        <f>SUM(L31:L40)</f>
        <v>10619798</v>
      </c>
      <c r="M30" s="618">
        <f>SUM(M34:M40)</f>
        <v>0</v>
      </c>
    </row>
    <row r="31" spans="1:13" ht="15" customHeight="1">
      <c r="A31" s="708" t="s">
        <v>373</v>
      </c>
      <c r="B31" s="695">
        <f>SUM(C31:E31)</f>
        <v>37122932</v>
      </c>
      <c r="C31" s="229">
        <v>37122932</v>
      </c>
      <c r="D31" s="229"/>
      <c r="E31" s="696"/>
      <c r="F31" s="695">
        <f>SUM(G31:I31)</f>
        <v>33949106</v>
      </c>
      <c r="G31" s="229">
        <v>33949106</v>
      </c>
      <c r="H31" s="229"/>
      <c r="I31" s="696"/>
      <c r="J31" s="695">
        <f>SUM(K31:M31)</f>
        <v>33949106</v>
      </c>
      <c r="K31" s="229">
        <v>33949106</v>
      </c>
      <c r="L31" s="229"/>
      <c r="M31" s="696"/>
    </row>
    <row r="32" spans="1:13" ht="15" customHeight="1">
      <c r="A32" s="706" t="s">
        <v>378</v>
      </c>
      <c r="B32" s="695">
        <f aca="true" t="shared" si="4" ref="B32:B40">SUM(C32:E32)</f>
        <v>10619798</v>
      </c>
      <c r="C32" s="116"/>
      <c r="D32" s="116">
        <v>10619798</v>
      </c>
      <c r="E32" s="692"/>
      <c r="F32" s="695">
        <f aca="true" t="shared" si="5" ref="F32:F40">SUM(G32:I32)</f>
        <v>10619798</v>
      </c>
      <c r="G32" s="116"/>
      <c r="H32" s="116">
        <v>10619798</v>
      </c>
      <c r="I32" s="692"/>
      <c r="J32" s="695">
        <f aca="true" t="shared" si="6" ref="J32:J40">SUM(K32:M32)</f>
        <v>10619798</v>
      </c>
      <c r="K32" s="116"/>
      <c r="L32" s="116">
        <v>10619798</v>
      </c>
      <c r="M32" s="692"/>
    </row>
    <row r="33" spans="1:13" ht="15" customHeight="1">
      <c r="A33" s="706" t="s">
        <v>383</v>
      </c>
      <c r="B33" s="695">
        <f t="shared" si="4"/>
        <v>0</v>
      </c>
      <c r="C33" s="116"/>
      <c r="D33" s="116"/>
      <c r="E33" s="692"/>
      <c r="F33" s="695">
        <f t="shared" si="5"/>
        <v>0</v>
      </c>
      <c r="G33" s="116"/>
      <c r="H33" s="116"/>
      <c r="I33" s="692"/>
      <c r="J33" s="695">
        <f t="shared" si="6"/>
        <v>0</v>
      </c>
      <c r="K33" s="116"/>
      <c r="L33" s="116"/>
      <c r="M33" s="692"/>
    </row>
    <row r="34" spans="1:13" ht="15" customHeight="1">
      <c r="A34" s="706" t="s">
        <v>526</v>
      </c>
      <c r="B34" s="695">
        <f t="shared" si="4"/>
        <v>500000</v>
      </c>
      <c r="C34" s="116">
        <v>500000</v>
      </c>
      <c r="D34" s="116"/>
      <c r="E34" s="692"/>
      <c r="F34" s="695">
        <f t="shared" si="5"/>
        <v>500000</v>
      </c>
      <c r="G34" s="116">
        <v>500000</v>
      </c>
      <c r="H34" s="116"/>
      <c r="I34" s="692"/>
      <c r="J34" s="695">
        <f t="shared" si="6"/>
        <v>500000</v>
      </c>
      <c r="K34" s="116">
        <v>500000</v>
      </c>
      <c r="L34" s="116"/>
      <c r="M34" s="692"/>
    </row>
    <row r="35" spans="1:13" ht="15" customHeight="1">
      <c r="A35" s="706" t="s">
        <v>527</v>
      </c>
      <c r="B35" s="695">
        <f t="shared" si="4"/>
        <v>430000</v>
      </c>
      <c r="C35" s="223">
        <v>430000</v>
      </c>
      <c r="D35" s="116"/>
      <c r="E35" s="692"/>
      <c r="F35" s="695">
        <f t="shared" si="5"/>
        <v>430000</v>
      </c>
      <c r="G35" s="223">
        <v>430000</v>
      </c>
      <c r="H35" s="116"/>
      <c r="I35" s="692"/>
      <c r="J35" s="695">
        <f t="shared" si="6"/>
        <v>430000</v>
      </c>
      <c r="K35" s="223">
        <v>430000</v>
      </c>
      <c r="L35" s="116"/>
      <c r="M35" s="692"/>
    </row>
    <row r="36" spans="1:13" ht="15" customHeight="1">
      <c r="A36" s="706" t="s">
        <v>528</v>
      </c>
      <c r="B36" s="695">
        <f t="shared" si="4"/>
        <v>52889995</v>
      </c>
      <c r="C36" s="116">
        <v>52889995</v>
      </c>
      <c r="D36" s="116"/>
      <c r="E36" s="692"/>
      <c r="F36" s="695">
        <f t="shared" si="5"/>
        <v>52923718</v>
      </c>
      <c r="G36" s="116">
        <v>52923718</v>
      </c>
      <c r="H36" s="116"/>
      <c r="I36" s="692"/>
      <c r="J36" s="695">
        <f t="shared" si="6"/>
        <v>52986750</v>
      </c>
      <c r="K36" s="116">
        <v>52986750</v>
      </c>
      <c r="L36" s="116"/>
      <c r="M36" s="692"/>
    </row>
    <row r="37" spans="1:13" ht="15" customHeight="1">
      <c r="A37" s="706" t="s">
        <v>529</v>
      </c>
      <c r="B37" s="695">
        <f t="shared" si="4"/>
        <v>640000</v>
      </c>
      <c r="C37" s="116">
        <v>640000</v>
      </c>
      <c r="D37" s="116"/>
      <c r="E37" s="692"/>
      <c r="F37" s="695">
        <f t="shared" si="5"/>
        <v>640000</v>
      </c>
      <c r="G37" s="116">
        <v>640000</v>
      </c>
      <c r="H37" s="116"/>
      <c r="I37" s="692"/>
      <c r="J37" s="695">
        <f t="shared" si="6"/>
        <v>640000</v>
      </c>
      <c r="K37" s="116">
        <v>640000</v>
      </c>
      <c r="L37" s="116"/>
      <c r="M37" s="692"/>
    </row>
    <row r="38" spans="1:13" ht="15" customHeight="1">
      <c r="A38" s="706" t="s">
        <v>659</v>
      </c>
      <c r="B38" s="695">
        <f t="shared" si="4"/>
        <v>0</v>
      </c>
      <c r="C38" s="116"/>
      <c r="D38" s="116"/>
      <c r="E38" s="692"/>
      <c r="F38" s="695">
        <f t="shared" si="5"/>
        <v>0</v>
      </c>
      <c r="G38" s="116"/>
      <c r="H38" s="116"/>
      <c r="I38" s="692"/>
      <c r="J38" s="695">
        <f t="shared" si="6"/>
        <v>0</v>
      </c>
      <c r="K38" s="116"/>
      <c r="L38" s="116"/>
      <c r="M38" s="692"/>
    </row>
    <row r="39" spans="1:13" ht="15" customHeight="1">
      <c r="A39" s="706" t="s">
        <v>530</v>
      </c>
      <c r="B39" s="695">
        <f t="shared" si="4"/>
        <v>720000</v>
      </c>
      <c r="C39" s="116">
        <v>720000</v>
      </c>
      <c r="D39" s="116"/>
      <c r="E39" s="692"/>
      <c r="F39" s="695">
        <f t="shared" si="5"/>
        <v>720000</v>
      </c>
      <c r="G39" s="116">
        <v>720000</v>
      </c>
      <c r="H39" s="116"/>
      <c r="I39" s="692"/>
      <c r="J39" s="695">
        <f t="shared" si="6"/>
        <v>720000</v>
      </c>
      <c r="K39" s="116">
        <v>720000</v>
      </c>
      <c r="L39" s="116"/>
      <c r="M39" s="692"/>
    </row>
    <row r="40" spans="1:13" ht="15" customHeight="1" thickBot="1">
      <c r="A40" s="707" t="s">
        <v>531</v>
      </c>
      <c r="B40" s="695">
        <f t="shared" si="4"/>
        <v>250000</v>
      </c>
      <c r="C40" s="225">
        <v>250000</v>
      </c>
      <c r="D40" s="225"/>
      <c r="E40" s="693"/>
      <c r="F40" s="695">
        <f t="shared" si="5"/>
        <v>250000</v>
      </c>
      <c r="G40" s="225">
        <v>250000</v>
      </c>
      <c r="H40" s="225"/>
      <c r="I40" s="693"/>
      <c r="J40" s="695">
        <f t="shared" si="6"/>
        <v>250000</v>
      </c>
      <c r="K40" s="225">
        <v>250000</v>
      </c>
      <c r="L40" s="225"/>
      <c r="M40" s="693"/>
    </row>
    <row r="41" spans="1:13" ht="15" customHeight="1" thickBot="1">
      <c r="A41" s="709" t="s">
        <v>305</v>
      </c>
      <c r="B41" s="697">
        <f aca="true" t="shared" si="7" ref="B41:I41">SUM(B42:B43)</f>
        <v>99218452</v>
      </c>
      <c r="C41" s="226">
        <f t="shared" si="7"/>
        <v>96944100</v>
      </c>
      <c r="D41" s="226">
        <f t="shared" si="7"/>
        <v>2274352</v>
      </c>
      <c r="E41" s="698">
        <f t="shared" si="7"/>
        <v>0</v>
      </c>
      <c r="F41" s="697">
        <f t="shared" si="7"/>
        <v>105488509</v>
      </c>
      <c r="G41" s="226">
        <f t="shared" si="7"/>
        <v>105488509</v>
      </c>
      <c r="H41" s="226">
        <f t="shared" si="7"/>
        <v>0</v>
      </c>
      <c r="I41" s="698">
        <f t="shared" si="7"/>
        <v>0</v>
      </c>
      <c r="J41" s="697">
        <f>SUM(J42:J43)</f>
        <v>105488532</v>
      </c>
      <c r="K41" s="226">
        <f>SUM(K42:K43)</f>
        <v>105488532</v>
      </c>
      <c r="L41" s="226">
        <f>SUM(L42:L43)</f>
        <v>0</v>
      </c>
      <c r="M41" s="698">
        <f>SUM(M42:M43)</f>
        <v>0</v>
      </c>
    </row>
    <row r="42" spans="1:13" s="114" customFormat="1" ht="15" customHeight="1">
      <c r="A42" s="1337" t="s">
        <v>1155</v>
      </c>
      <c r="B42" s="1338">
        <f>SUM(C42:E42)</f>
        <v>90169179</v>
      </c>
      <c r="C42" s="1339">
        <v>87894827</v>
      </c>
      <c r="D42" s="1339">
        <v>2274352</v>
      </c>
      <c r="E42" s="1340"/>
      <c r="F42" s="1338">
        <f>SUM(G42:I42)</f>
        <v>96002136</v>
      </c>
      <c r="G42" s="1339">
        <v>96002136</v>
      </c>
      <c r="H42" s="1339">
        <v>0</v>
      </c>
      <c r="I42" s="1340"/>
      <c r="J42" s="1338">
        <f>SUM(K42:M42)</f>
        <v>96002159</v>
      </c>
      <c r="K42" s="1339">
        <v>96002159</v>
      </c>
      <c r="L42" s="1339">
        <v>0</v>
      </c>
      <c r="M42" s="1340"/>
    </row>
    <row r="43" spans="1:13" s="114" customFormat="1" ht="15" customHeight="1">
      <c r="A43" s="1138" t="s">
        <v>532</v>
      </c>
      <c r="B43" s="437">
        <f>SUM(C43:E43)</f>
        <v>9049273</v>
      </c>
      <c r="C43" s="437">
        <v>9049273</v>
      </c>
      <c r="D43" s="437"/>
      <c r="E43" s="1525"/>
      <c r="F43" s="437">
        <f>SUM(G43:I43)</f>
        <v>9486373</v>
      </c>
      <c r="G43" s="437">
        <v>9486373</v>
      </c>
      <c r="H43" s="437"/>
      <c r="I43" s="1525"/>
      <c r="J43" s="437">
        <f>SUM(K43:M43)</f>
        <v>9486373</v>
      </c>
      <c r="K43" s="437">
        <v>9486373</v>
      </c>
      <c r="L43" s="437"/>
      <c r="M43" s="1525"/>
    </row>
    <row r="44" spans="1:13" s="114" customFormat="1" ht="15" customHeight="1">
      <c r="A44" s="1138" t="s">
        <v>1025</v>
      </c>
      <c r="B44" s="437"/>
      <c r="C44" s="437"/>
      <c r="D44" s="437"/>
      <c r="E44" s="1525"/>
      <c r="F44" s="437"/>
      <c r="G44" s="437"/>
      <c r="H44" s="437"/>
      <c r="I44" s="1525"/>
      <c r="J44" s="437"/>
      <c r="K44" s="437"/>
      <c r="L44" s="437"/>
      <c r="M44" s="1525"/>
    </row>
    <row r="45" spans="1:13" s="114" customFormat="1" ht="15" customHeight="1" thickBot="1">
      <c r="A45" s="1149" t="s">
        <v>1037</v>
      </c>
      <c r="B45" s="1368"/>
      <c r="C45" s="1368"/>
      <c r="D45" s="1368"/>
      <c r="E45" s="1589"/>
      <c r="F45" s="1368"/>
      <c r="G45" s="1368"/>
      <c r="H45" s="1368"/>
      <c r="I45" s="1589"/>
      <c r="J45" s="1368"/>
      <c r="K45" s="1368"/>
      <c r="L45" s="1368"/>
      <c r="M45" s="1589"/>
    </row>
    <row r="46" spans="1:13" ht="15" customHeight="1" thickBot="1">
      <c r="A46" s="1370" t="s">
        <v>239</v>
      </c>
      <c r="B46" s="694">
        <f aca="true" t="shared" si="8" ref="B46:I46">SUM(B47:B54)</f>
        <v>130626828</v>
      </c>
      <c r="C46" s="617">
        <f t="shared" si="8"/>
        <v>86292205</v>
      </c>
      <c r="D46" s="617">
        <f t="shared" si="8"/>
        <v>44334623</v>
      </c>
      <c r="E46" s="618">
        <f t="shared" si="8"/>
        <v>0</v>
      </c>
      <c r="F46" s="694">
        <f t="shared" si="8"/>
        <v>125047485</v>
      </c>
      <c r="G46" s="617">
        <f t="shared" si="8"/>
        <v>81158816</v>
      </c>
      <c r="H46" s="617">
        <f t="shared" si="8"/>
        <v>43888669</v>
      </c>
      <c r="I46" s="618">
        <f t="shared" si="8"/>
        <v>0</v>
      </c>
      <c r="J46" s="694">
        <f>SUM(J47:J54)</f>
        <v>125334519</v>
      </c>
      <c r="K46" s="617">
        <f>SUM(K47:K54)</f>
        <v>109704808</v>
      </c>
      <c r="L46" s="617">
        <f>SUM(L47:L54)</f>
        <v>15629711</v>
      </c>
      <c r="M46" s="618">
        <f>SUM(M47:M54)</f>
        <v>0</v>
      </c>
    </row>
    <row r="47" spans="1:13" s="114" customFormat="1" ht="15" customHeight="1">
      <c r="A47" s="1369" t="s">
        <v>533</v>
      </c>
      <c r="B47" s="699">
        <f>SUM(C47:E47)</f>
        <v>19116299</v>
      </c>
      <c r="C47" s="227">
        <v>19116299</v>
      </c>
      <c r="D47" s="227"/>
      <c r="E47" s="700"/>
      <c r="F47" s="699">
        <f>SUM(G47:I47)</f>
        <v>14423910</v>
      </c>
      <c r="G47" s="227">
        <v>14423910</v>
      </c>
      <c r="H47" s="227"/>
      <c r="I47" s="700"/>
      <c r="J47" s="699">
        <f>SUM(K47:M47)</f>
        <v>14710910</v>
      </c>
      <c r="K47" s="227">
        <v>14710910</v>
      </c>
      <c r="L47" s="227"/>
      <c r="M47" s="700"/>
    </row>
    <row r="48" spans="1:13" s="114" customFormat="1" ht="15" customHeight="1">
      <c r="A48" s="710" t="s">
        <v>534</v>
      </c>
      <c r="B48" s="699">
        <f aca="true" t="shared" si="9" ref="B48:B54">SUM(C48:E48)</f>
        <v>4850107</v>
      </c>
      <c r="C48" s="58"/>
      <c r="D48" s="58">
        <v>4850107</v>
      </c>
      <c r="E48" s="702"/>
      <c r="F48" s="699">
        <f aca="true" t="shared" si="10" ref="F48:F54">SUM(G48:I48)</f>
        <v>4350107</v>
      </c>
      <c r="G48" s="58"/>
      <c r="H48" s="58">
        <v>4350107</v>
      </c>
      <c r="I48" s="702"/>
      <c r="J48" s="699">
        <f aca="true" t="shared" si="11" ref="J48:J54">SUM(K48:M48)</f>
        <v>4350107</v>
      </c>
      <c r="K48" s="58">
        <v>4350107</v>
      </c>
      <c r="L48" s="58"/>
      <c r="M48" s="702"/>
    </row>
    <row r="49" spans="1:13" ht="15" customHeight="1">
      <c r="A49" s="710" t="s">
        <v>660</v>
      </c>
      <c r="B49" s="699">
        <f t="shared" si="9"/>
        <v>0</v>
      </c>
      <c r="C49" s="78"/>
      <c r="D49" s="78"/>
      <c r="E49" s="431"/>
      <c r="F49" s="699">
        <f t="shared" si="10"/>
        <v>0</v>
      </c>
      <c r="G49" s="78"/>
      <c r="H49" s="78"/>
      <c r="I49" s="431"/>
      <c r="J49" s="699">
        <f t="shared" si="11"/>
        <v>0</v>
      </c>
      <c r="K49" s="78"/>
      <c r="L49" s="78"/>
      <c r="M49" s="431"/>
    </row>
    <row r="50" spans="1:13" ht="15" customHeight="1">
      <c r="A50" s="710" t="s">
        <v>661</v>
      </c>
      <c r="B50" s="699">
        <f t="shared" si="9"/>
        <v>62675906</v>
      </c>
      <c r="C50" s="78">
        <v>62675906</v>
      </c>
      <c r="D50" s="78"/>
      <c r="E50" s="431"/>
      <c r="F50" s="699">
        <f t="shared" si="10"/>
        <v>62675906</v>
      </c>
      <c r="G50" s="78">
        <v>62675906</v>
      </c>
      <c r="H50" s="78"/>
      <c r="I50" s="431"/>
      <c r="J50" s="699">
        <f t="shared" si="11"/>
        <v>62675906</v>
      </c>
      <c r="K50" s="78">
        <v>62675906</v>
      </c>
      <c r="L50" s="78"/>
      <c r="M50" s="431"/>
    </row>
    <row r="51" spans="1:13" s="114" customFormat="1" ht="15" customHeight="1">
      <c r="A51" s="711" t="s">
        <v>487</v>
      </c>
      <c r="B51" s="699">
        <f t="shared" si="9"/>
        <v>0</v>
      </c>
      <c r="C51" s="58"/>
      <c r="D51" s="58"/>
      <c r="E51" s="702"/>
      <c r="F51" s="699">
        <f t="shared" si="10"/>
        <v>0</v>
      </c>
      <c r="G51" s="58"/>
      <c r="H51" s="58"/>
      <c r="I51" s="702"/>
      <c r="J51" s="699">
        <f t="shared" si="11"/>
        <v>0</v>
      </c>
      <c r="K51" s="58"/>
      <c r="L51" s="58"/>
      <c r="M51" s="702"/>
    </row>
    <row r="52" spans="1:13" s="114" customFormat="1" ht="15" customHeight="1">
      <c r="A52" s="711" t="s">
        <v>662</v>
      </c>
      <c r="B52" s="699">
        <f t="shared" si="9"/>
        <v>15594465</v>
      </c>
      <c r="C52" s="58">
        <v>0</v>
      </c>
      <c r="D52" s="58">
        <v>15594465</v>
      </c>
      <c r="E52" s="702"/>
      <c r="F52" s="699">
        <f t="shared" si="10"/>
        <v>15629711</v>
      </c>
      <c r="G52" s="58">
        <v>0</v>
      </c>
      <c r="H52" s="58">
        <v>15629711</v>
      </c>
      <c r="I52" s="702"/>
      <c r="J52" s="699">
        <f t="shared" si="11"/>
        <v>15629711</v>
      </c>
      <c r="K52" s="58">
        <v>0</v>
      </c>
      <c r="L52" s="58">
        <v>15629711</v>
      </c>
      <c r="M52" s="702"/>
    </row>
    <row r="53" spans="1:13" s="114" customFormat="1" ht="15" customHeight="1">
      <c r="A53" s="711" t="s">
        <v>535</v>
      </c>
      <c r="B53" s="699">
        <f t="shared" si="9"/>
        <v>23890051</v>
      </c>
      <c r="C53" s="68"/>
      <c r="D53" s="68">
        <v>23890051</v>
      </c>
      <c r="E53" s="701"/>
      <c r="F53" s="699">
        <f t="shared" si="10"/>
        <v>23908851</v>
      </c>
      <c r="G53" s="68"/>
      <c r="H53" s="68">
        <v>23908851</v>
      </c>
      <c r="I53" s="701"/>
      <c r="J53" s="699">
        <f t="shared" si="11"/>
        <v>23908851</v>
      </c>
      <c r="K53" s="68">
        <v>23908851</v>
      </c>
      <c r="L53" s="68"/>
      <c r="M53" s="701"/>
    </row>
    <row r="54" spans="1:13" s="114" customFormat="1" ht="15" customHeight="1" thickBot="1">
      <c r="A54" s="712" t="s">
        <v>663</v>
      </c>
      <c r="B54" s="699">
        <f t="shared" si="9"/>
        <v>4500000</v>
      </c>
      <c r="C54" s="68">
        <v>4500000</v>
      </c>
      <c r="D54" s="68"/>
      <c r="E54" s="701"/>
      <c r="F54" s="699">
        <f t="shared" si="10"/>
        <v>4059000</v>
      </c>
      <c r="G54" s="68">
        <v>4059000</v>
      </c>
      <c r="H54" s="68"/>
      <c r="I54" s="701"/>
      <c r="J54" s="699">
        <f t="shared" si="11"/>
        <v>4059034</v>
      </c>
      <c r="K54" s="68">
        <v>4059034</v>
      </c>
      <c r="L54" s="68"/>
      <c r="M54" s="701"/>
    </row>
    <row r="55" spans="1:13" ht="15" customHeight="1" thickBot="1">
      <c r="A55" s="709" t="s">
        <v>1020</v>
      </c>
      <c r="B55" s="697">
        <f aca="true" t="shared" si="12" ref="B55:I55">SUM(B56:B59)</f>
        <v>28177406</v>
      </c>
      <c r="C55" s="226">
        <f t="shared" si="12"/>
        <v>25640406</v>
      </c>
      <c r="D55" s="226">
        <f t="shared" si="12"/>
        <v>2537000</v>
      </c>
      <c r="E55" s="698">
        <f t="shared" si="12"/>
        <v>0</v>
      </c>
      <c r="F55" s="697">
        <f t="shared" si="12"/>
        <v>24292792</v>
      </c>
      <c r="G55" s="226">
        <f t="shared" si="12"/>
        <v>21755792</v>
      </c>
      <c r="H55" s="226">
        <f t="shared" si="12"/>
        <v>2537000</v>
      </c>
      <c r="I55" s="698">
        <f t="shared" si="12"/>
        <v>0</v>
      </c>
      <c r="J55" s="697">
        <f>SUM(J56:J59)</f>
        <v>24573582</v>
      </c>
      <c r="K55" s="226">
        <f>SUM(K56:K59)</f>
        <v>23253582</v>
      </c>
      <c r="L55" s="226">
        <f>SUM(L56:L59)</f>
        <v>1320000</v>
      </c>
      <c r="M55" s="698">
        <f>SUM(M56:M59)</f>
        <v>0</v>
      </c>
    </row>
    <row r="56" spans="1:13" ht="15" customHeight="1">
      <c r="A56" s="708" t="s">
        <v>536</v>
      </c>
      <c r="B56" s="703">
        <f>SUM(C56:E56)</f>
        <v>26857406</v>
      </c>
      <c r="C56" s="229">
        <v>25640406</v>
      </c>
      <c r="D56" s="227">
        <v>1217000</v>
      </c>
      <c r="E56" s="704"/>
      <c r="F56" s="703">
        <f>SUM(G56:I56)</f>
        <v>22972792</v>
      </c>
      <c r="G56" s="229">
        <v>21755792</v>
      </c>
      <c r="H56" s="227">
        <v>1217000</v>
      </c>
      <c r="I56" s="704"/>
      <c r="J56" s="703">
        <f>SUM(K56:M56)</f>
        <v>23253582</v>
      </c>
      <c r="K56" s="229">
        <v>23253582</v>
      </c>
      <c r="L56" s="227"/>
      <c r="M56" s="704"/>
    </row>
    <row r="57" spans="1:13" ht="7.5" customHeight="1" hidden="1">
      <c r="A57" s="706" t="s">
        <v>537</v>
      </c>
      <c r="B57" s="703">
        <f>SUM(C57:E57)</f>
        <v>0</v>
      </c>
      <c r="C57" s="62"/>
      <c r="D57" s="58"/>
      <c r="E57" s="429"/>
      <c r="F57" s="703">
        <f>SUM(G57:I57)</f>
        <v>0</v>
      </c>
      <c r="G57" s="62"/>
      <c r="H57" s="58"/>
      <c r="I57" s="429"/>
      <c r="J57" s="703">
        <f>SUM(K57:M57)</f>
        <v>0</v>
      </c>
      <c r="K57" s="62"/>
      <c r="L57" s="58"/>
      <c r="M57" s="429"/>
    </row>
    <row r="58" spans="1:13" s="114" customFormat="1" ht="15" customHeight="1">
      <c r="A58" s="933" t="s">
        <v>495</v>
      </c>
      <c r="B58" s="934">
        <f>SUM(C58:E58)</f>
        <v>220000</v>
      </c>
      <c r="C58" s="231"/>
      <c r="D58" s="68">
        <v>220000</v>
      </c>
      <c r="E58" s="701"/>
      <c r="F58" s="934">
        <f>SUM(G58:I58)</f>
        <v>220000</v>
      </c>
      <c r="G58" s="231"/>
      <c r="H58" s="68">
        <v>220000</v>
      </c>
      <c r="I58" s="701"/>
      <c r="J58" s="934">
        <f>SUM(K58:M58)</f>
        <v>220000</v>
      </c>
      <c r="K58" s="231"/>
      <c r="L58" s="68">
        <v>220000</v>
      </c>
      <c r="M58" s="701"/>
    </row>
    <row r="59" spans="1:13" s="114" customFormat="1" ht="34.5" customHeight="1">
      <c r="A59" s="1590" t="s">
        <v>496</v>
      </c>
      <c r="B59" s="935">
        <f>SUM(C59:E59)</f>
        <v>1100000</v>
      </c>
      <c r="C59" s="936"/>
      <c r="D59" s="437">
        <v>1100000</v>
      </c>
      <c r="E59" s="1525"/>
      <c r="F59" s="935">
        <f>SUM(G59:I59)</f>
        <v>1100000</v>
      </c>
      <c r="G59" s="936"/>
      <c r="H59" s="437">
        <v>1100000</v>
      </c>
      <c r="I59" s="1525"/>
      <c r="J59" s="935">
        <f>SUM(K59:M59)</f>
        <v>1100000</v>
      </c>
      <c r="K59" s="936"/>
      <c r="L59" s="437">
        <v>1100000</v>
      </c>
      <c r="M59" s="1525"/>
    </row>
    <row r="60" spans="1:13" s="10" customFormat="1" ht="15" customHeight="1" thickBot="1">
      <c r="A60" s="1591" t="s">
        <v>25</v>
      </c>
      <c r="B60" s="587">
        <f aca="true" t="shared" si="13" ref="B60:I60">SUM(B11+B30+B41+B46+B55)</f>
        <v>1311051406</v>
      </c>
      <c r="C60" s="587">
        <f t="shared" si="13"/>
        <v>1196655992</v>
      </c>
      <c r="D60" s="587">
        <f t="shared" si="13"/>
        <v>114395414</v>
      </c>
      <c r="E60" s="1526">
        <f t="shared" si="13"/>
        <v>0</v>
      </c>
      <c r="F60" s="587">
        <f t="shared" si="13"/>
        <v>1494424882</v>
      </c>
      <c r="G60" s="587">
        <f t="shared" si="13"/>
        <v>1384912516</v>
      </c>
      <c r="H60" s="587">
        <f t="shared" si="13"/>
        <v>109512366</v>
      </c>
      <c r="I60" s="1526">
        <f t="shared" si="13"/>
        <v>0</v>
      </c>
      <c r="J60" s="587">
        <f>SUM(J11+J30+J41+J46+J55)</f>
        <v>1533777965</v>
      </c>
      <c r="K60" s="587">
        <f>SUM(K11+K30+K41+K46+K55)</f>
        <v>797358454</v>
      </c>
      <c r="L60" s="587">
        <f>SUM(L11+L30+L41+L46+L55)</f>
        <v>736419511</v>
      </c>
      <c r="M60" s="1526">
        <f>SUM(M11+M30+M41+M46+M55)</f>
        <v>0</v>
      </c>
    </row>
  </sheetData>
  <sheetProtection selectLockedCells="1" selectUnlockedCells="1"/>
  <mergeCells count="15">
    <mergeCell ref="A1:M1"/>
    <mergeCell ref="A2:M2"/>
    <mergeCell ref="A4:M4"/>
    <mergeCell ref="A5:M5"/>
    <mergeCell ref="C9:E9"/>
    <mergeCell ref="H8:I8"/>
    <mergeCell ref="E3:H3"/>
    <mergeCell ref="F9:F10"/>
    <mergeCell ref="G9:I9"/>
    <mergeCell ref="D8:E8"/>
    <mergeCell ref="A9:A10"/>
    <mergeCell ref="B9:B10"/>
    <mergeCell ref="L8:M8"/>
    <mergeCell ref="J9:J10"/>
    <mergeCell ref="K9:M9"/>
  </mergeCells>
  <printOptions horizontalCentered="1"/>
  <pageMargins left="0.4724409448818898" right="0.11811023622047245" top="0.5905511811023623" bottom="0.5905511811023623" header="0.5118110236220472" footer="0.5118110236220472"/>
  <pageSetup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showGridLines="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6" sqref="L16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customWidth="1"/>
    <col min="4" max="4" width="16.7109375" style="0" customWidth="1"/>
    <col min="5" max="5" width="11.421875" style="0" customWidth="1"/>
    <col min="6" max="6" width="17.28125" style="0" customWidth="1"/>
    <col min="7" max="7" width="17.140625" style="0" customWidth="1"/>
    <col min="8" max="8" width="16.7109375" style="0" customWidth="1"/>
    <col min="9" max="9" width="11.421875" style="0" customWidth="1"/>
    <col min="10" max="10" width="17.28125" style="0" customWidth="1"/>
    <col min="11" max="11" width="17.140625" style="0" customWidth="1"/>
    <col min="12" max="12" width="16.7109375" style="0" customWidth="1"/>
    <col min="13" max="13" width="11.421875" style="0" customWidth="1"/>
    <col min="14" max="14" width="17.28125" style="0" customWidth="1"/>
  </cols>
  <sheetData>
    <row r="1" spans="1:14" ht="15">
      <c r="A1" s="2126" t="s">
        <v>722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  <c r="N1" s="2126"/>
    </row>
    <row r="2" spans="1:14" ht="12.75">
      <c r="A2" s="1856" t="s">
        <v>1259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</row>
    <row r="3" spans="1:14" ht="12.75">
      <c r="A3" s="715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</row>
    <row r="4" spans="1:14" ht="12.75">
      <c r="A4" s="715"/>
      <c r="B4" s="715"/>
      <c r="C4" s="715"/>
      <c r="D4" s="715"/>
      <c r="E4" s="715"/>
      <c r="F4" s="1856" t="s">
        <v>1261</v>
      </c>
      <c r="G4" s="1856"/>
      <c r="H4" s="1856"/>
      <c r="I4" s="715"/>
      <c r="J4" s="715"/>
      <c r="K4" s="715"/>
      <c r="L4" s="715"/>
      <c r="M4" s="715"/>
      <c r="N4" s="715" t="s">
        <v>1268</v>
      </c>
    </row>
    <row r="5" spans="1:14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</row>
    <row r="6" spans="1:14" ht="29.25" customHeight="1">
      <c r="A6" s="2137" t="s">
        <v>723</v>
      </c>
      <c r="B6" s="2137"/>
      <c r="C6" s="2137"/>
      <c r="D6" s="2137"/>
      <c r="E6" s="2137"/>
      <c r="F6" s="2137"/>
      <c r="G6" s="2137"/>
      <c r="H6" s="2137"/>
      <c r="I6" s="2137"/>
      <c r="J6" s="2137"/>
      <c r="K6" s="2137"/>
      <c r="L6" s="2137"/>
      <c r="M6" s="2137"/>
      <c r="N6" s="2137"/>
    </row>
    <row r="9" spans="6:14" ht="13.5" thickBot="1">
      <c r="F9" s="851"/>
      <c r="J9" s="851"/>
      <c r="N9" s="851" t="s">
        <v>214</v>
      </c>
    </row>
    <row r="10" spans="1:14" ht="12.75">
      <c r="A10" s="2133" t="s">
        <v>706</v>
      </c>
      <c r="B10" s="2134"/>
      <c r="C10" s="2127" t="s">
        <v>522</v>
      </c>
      <c r="D10" s="2127"/>
      <c r="E10" s="2127"/>
      <c r="F10" s="2128"/>
      <c r="G10" s="2127" t="s">
        <v>1165</v>
      </c>
      <c r="H10" s="2127"/>
      <c r="I10" s="2127"/>
      <c r="J10" s="2128"/>
      <c r="K10" s="2127" t="s">
        <v>1186</v>
      </c>
      <c r="L10" s="2127"/>
      <c r="M10" s="2127"/>
      <c r="N10" s="2128"/>
    </row>
    <row r="11" spans="1:14" s="4" customFormat="1" ht="48.75" customHeight="1" thickBot="1">
      <c r="A11" s="2135"/>
      <c r="B11" s="2136"/>
      <c r="C11" s="750" t="s">
        <v>707</v>
      </c>
      <c r="D11" s="750" t="s">
        <v>708</v>
      </c>
      <c r="E11" s="750" t="s">
        <v>709</v>
      </c>
      <c r="F11" s="751" t="s">
        <v>25</v>
      </c>
      <c r="G11" s="750" t="s">
        <v>707</v>
      </c>
      <c r="H11" s="750" t="s">
        <v>708</v>
      </c>
      <c r="I11" s="750" t="s">
        <v>709</v>
      </c>
      <c r="J11" s="751" t="s">
        <v>25</v>
      </c>
      <c r="K11" s="750" t="s">
        <v>707</v>
      </c>
      <c r="L11" s="750" t="s">
        <v>708</v>
      </c>
      <c r="M11" s="750" t="s">
        <v>709</v>
      </c>
      <c r="N11" s="751" t="s">
        <v>25</v>
      </c>
    </row>
    <row r="12" spans="1:14" s="10" customFormat="1" ht="26.25" thickBot="1">
      <c r="A12" s="745" t="s">
        <v>164</v>
      </c>
      <c r="B12" s="1341" t="s">
        <v>712</v>
      </c>
      <c r="C12" s="1257">
        <f>SUM(C13)</f>
        <v>0</v>
      </c>
      <c r="D12" s="731">
        <f>SUM(D13)</f>
        <v>0</v>
      </c>
      <c r="E12" s="731">
        <v>0</v>
      </c>
      <c r="F12" s="732">
        <f>SUM(F13)</f>
        <v>0</v>
      </c>
      <c r="G12" s="1257"/>
      <c r="H12" s="731">
        <v>35340</v>
      </c>
      <c r="I12" s="731">
        <v>0</v>
      </c>
      <c r="J12" s="732">
        <f>SUM(J13)</f>
        <v>35340</v>
      </c>
      <c r="K12" s="1257"/>
      <c r="L12" s="731">
        <v>35340</v>
      </c>
      <c r="M12" s="731">
        <v>0</v>
      </c>
      <c r="N12" s="732">
        <f>SUM(N13)</f>
        <v>35340</v>
      </c>
    </row>
    <row r="13" spans="1:14" s="114" customFormat="1" ht="26.25" thickBot="1">
      <c r="A13" s="1261"/>
      <c r="B13" s="1342" t="s">
        <v>710</v>
      </c>
      <c r="C13" s="1256"/>
      <c r="D13" s="733"/>
      <c r="E13" s="733"/>
      <c r="F13" s="1155">
        <f aca="true" t="shared" si="0" ref="F13:F19">SUM(C13:E13)</f>
        <v>0</v>
      </c>
      <c r="G13" s="1256"/>
      <c r="H13" s="733">
        <v>35340</v>
      </c>
      <c r="I13" s="733"/>
      <c r="J13" s="1155">
        <f>SUM(G13:I13)</f>
        <v>35340</v>
      </c>
      <c r="K13" s="1256"/>
      <c r="L13" s="733">
        <v>35340</v>
      </c>
      <c r="M13" s="733"/>
      <c r="N13" s="1155">
        <f>SUM(K13:M13)</f>
        <v>35340</v>
      </c>
    </row>
    <row r="14" spans="1:14" s="10" customFormat="1" ht="13.5" thickBot="1">
      <c r="A14" s="745" t="s">
        <v>166</v>
      </c>
      <c r="B14" s="1271" t="s">
        <v>711</v>
      </c>
      <c r="C14" s="1257">
        <f>SUM(C15:C19)</f>
        <v>0</v>
      </c>
      <c r="D14" s="731">
        <f>SUM(D15:D19)</f>
        <v>2265000</v>
      </c>
      <c r="E14" s="731">
        <v>0</v>
      </c>
      <c r="F14" s="732">
        <f t="shared" si="0"/>
        <v>2265000</v>
      </c>
      <c r="G14" s="1257">
        <f>SUM(G15:G19)</f>
        <v>0</v>
      </c>
      <c r="H14" s="731">
        <f>SUM(H15:H19)</f>
        <v>1824006</v>
      </c>
      <c r="I14" s="731">
        <v>0</v>
      </c>
      <c r="J14" s="732">
        <f>SUM(G14:I14)</f>
        <v>1824006</v>
      </c>
      <c r="K14" s="1257">
        <f>SUM(K15:K19)</f>
        <v>0</v>
      </c>
      <c r="L14" s="731">
        <f>SUM(L15:L19)</f>
        <v>2111040</v>
      </c>
      <c r="M14" s="731">
        <v>0</v>
      </c>
      <c r="N14" s="732">
        <f>SUM(K14:M14)</f>
        <v>2111040</v>
      </c>
    </row>
    <row r="15" spans="1:14" s="114" customFormat="1" ht="12.75">
      <c r="A15" s="1262"/>
      <c r="B15" s="1343" t="s">
        <v>713</v>
      </c>
      <c r="C15" s="1258"/>
      <c r="D15" s="735">
        <v>1765000</v>
      </c>
      <c r="E15" s="735"/>
      <c r="F15" s="1142">
        <f t="shared" si="0"/>
        <v>1765000</v>
      </c>
      <c r="G15" s="1258"/>
      <c r="H15" s="735">
        <v>1324000</v>
      </c>
      <c r="I15" s="735"/>
      <c r="J15" s="1142">
        <f>SUM(G15:I15)</f>
        <v>1324000</v>
      </c>
      <c r="K15" s="1258"/>
      <c r="L15" s="735">
        <v>1324000</v>
      </c>
      <c r="M15" s="735"/>
      <c r="N15" s="1142">
        <f>SUM(K15:M15)</f>
        <v>1324000</v>
      </c>
    </row>
    <row r="16" spans="1:14" s="114" customFormat="1" ht="25.5">
      <c r="A16" s="814"/>
      <c r="B16" s="1344" t="s">
        <v>714</v>
      </c>
      <c r="C16" s="1259"/>
      <c r="D16" s="729">
        <v>500000</v>
      </c>
      <c r="E16" s="729"/>
      <c r="F16" s="1144">
        <f t="shared" si="0"/>
        <v>500000</v>
      </c>
      <c r="G16" s="1259"/>
      <c r="H16" s="729">
        <v>500000</v>
      </c>
      <c r="I16" s="729"/>
      <c r="J16" s="1144">
        <f>SUM(G16:I16)</f>
        <v>500000</v>
      </c>
      <c r="K16" s="1259"/>
      <c r="L16" s="729">
        <v>500000</v>
      </c>
      <c r="M16" s="729"/>
      <c r="N16" s="1144">
        <f>SUM(K16:M16)</f>
        <v>500000</v>
      </c>
    </row>
    <row r="17" spans="1:14" s="114" customFormat="1" ht="25.5">
      <c r="A17" s="814"/>
      <c r="B17" s="1344" t="s">
        <v>715</v>
      </c>
      <c r="C17" s="1259"/>
      <c r="D17" s="729"/>
      <c r="E17" s="729"/>
      <c r="F17" s="1144">
        <f t="shared" si="0"/>
        <v>0</v>
      </c>
      <c r="G17" s="1259"/>
      <c r="H17" s="729"/>
      <c r="I17" s="729"/>
      <c r="J17" s="1144">
        <f>SUM(G17:I17)</f>
        <v>0</v>
      </c>
      <c r="K17" s="1259"/>
      <c r="L17" s="729"/>
      <c r="M17" s="729"/>
      <c r="N17" s="1144">
        <f>SUM(K17:M17)</f>
        <v>0</v>
      </c>
    </row>
    <row r="18" spans="1:14" s="114" customFormat="1" ht="12.75">
      <c r="A18" s="814"/>
      <c r="B18" s="1344" t="s">
        <v>1057</v>
      </c>
      <c r="C18" s="1259"/>
      <c r="D18" s="729"/>
      <c r="E18" s="729"/>
      <c r="F18" s="1144"/>
      <c r="G18" s="1259"/>
      <c r="H18" s="729">
        <v>6</v>
      </c>
      <c r="I18" s="729"/>
      <c r="J18" s="1144">
        <v>6</v>
      </c>
      <c r="K18" s="1259"/>
      <c r="L18" s="729">
        <v>40</v>
      </c>
      <c r="M18" s="729"/>
      <c r="N18" s="1144">
        <v>6</v>
      </c>
    </row>
    <row r="19" spans="1:14" s="114" customFormat="1" ht="25.5">
      <c r="A19" s="814"/>
      <c r="B19" s="1344" t="s">
        <v>699</v>
      </c>
      <c r="C19" s="1259"/>
      <c r="D19" s="729"/>
      <c r="E19" s="729"/>
      <c r="F19" s="1144">
        <f t="shared" si="0"/>
        <v>0</v>
      </c>
      <c r="G19" s="1259"/>
      <c r="H19" s="729"/>
      <c r="I19" s="729"/>
      <c r="J19" s="1144">
        <f>SUM(G19:I19)</f>
        <v>0</v>
      </c>
      <c r="K19" s="1259"/>
      <c r="L19" s="729">
        <v>287000</v>
      </c>
      <c r="M19" s="729"/>
      <c r="N19" s="1144">
        <f>SUM(K19:M19)</f>
        <v>287000</v>
      </c>
    </row>
    <row r="20" spans="1:14" s="10" customFormat="1" ht="26.25" thickBot="1">
      <c r="A20" s="747" t="s">
        <v>173</v>
      </c>
      <c r="B20" s="1345" t="s">
        <v>1022</v>
      </c>
      <c r="C20" s="1260"/>
      <c r="D20" s="1254"/>
      <c r="E20" s="1254"/>
      <c r="F20" s="1255"/>
      <c r="G20" s="1260"/>
      <c r="H20" s="1254"/>
      <c r="I20" s="1254"/>
      <c r="J20" s="1255"/>
      <c r="K20" s="1260"/>
      <c r="L20" s="1254"/>
      <c r="M20" s="1254"/>
      <c r="N20" s="1255"/>
    </row>
    <row r="21" spans="1:14" s="10" customFormat="1" ht="26.25" thickBot="1">
      <c r="A21" s="745" t="s">
        <v>182</v>
      </c>
      <c r="B21" s="722" t="s">
        <v>717</v>
      </c>
      <c r="C21" s="731"/>
      <c r="D21" s="731"/>
      <c r="E21" s="731"/>
      <c r="F21" s="732"/>
      <c r="G21" s="731"/>
      <c r="H21" s="731"/>
      <c r="I21" s="731"/>
      <c r="J21" s="732"/>
      <c r="K21" s="731"/>
      <c r="L21" s="731"/>
      <c r="M21" s="731"/>
      <c r="N21" s="732"/>
    </row>
    <row r="22" spans="1:14" s="522" customFormat="1" ht="16.5" thickBot="1">
      <c r="A22" s="2129" t="s">
        <v>479</v>
      </c>
      <c r="B22" s="2130"/>
      <c r="C22" s="738">
        <f aca="true" t="shared" si="1" ref="C22:J22">SUM(C12+C14+C21)+C20</f>
        <v>0</v>
      </c>
      <c r="D22" s="738">
        <f t="shared" si="1"/>
        <v>2265000</v>
      </c>
      <c r="E22" s="738">
        <f t="shared" si="1"/>
        <v>0</v>
      </c>
      <c r="F22" s="739">
        <f t="shared" si="1"/>
        <v>2265000</v>
      </c>
      <c r="G22" s="738">
        <f t="shared" si="1"/>
        <v>0</v>
      </c>
      <c r="H22" s="738">
        <f t="shared" si="1"/>
        <v>1859346</v>
      </c>
      <c r="I22" s="738">
        <f t="shared" si="1"/>
        <v>0</v>
      </c>
      <c r="J22" s="739">
        <f t="shared" si="1"/>
        <v>1859346</v>
      </c>
      <c r="K22" s="738">
        <f>SUM(K12+K14+K21)+K20</f>
        <v>0</v>
      </c>
      <c r="L22" s="738">
        <f>SUM(L12+L14+L21)+L20</f>
        <v>2146380</v>
      </c>
      <c r="M22" s="738">
        <f>SUM(M12+M14+M21)+M20</f>
        <v>0</v>
      </c>
      <c r="N22" s="739">
        <f>SUM(N12+N14+N21)+N20</f>
        <v>2146380</v>
      </c>
    </row>
    <row r="23" spans="1:14" ht="38.25">
      <c r="A23" s="1263"/>
      <c r="B23" s="717" t="s">
        <v>718</v>
      </c>
      <c r="C23" s="740">
        <v>193701</v>
      </c>
      <c r="D23" s="740"/>
      <c r="E23" s="740"/>
      <c r="F23" s="1131">
        <f>SUM(C23)</f>
        <v>193701</v>
      </c>
      <c r="G23" s="740">
        <v>193701</v>
      </c>
      <c r="H23" s="740"/>
      <c r="I23" s="740"/>
      <c r="J23" s="1131">
        <f>SUM(G23)</f>
        <v>193701</v>
      </c>
      <c r="K23" s="740">
        <v>193701</v>
      </c>
      <c r="L23" s="740"/>
      <c r="M23" s="740"/>
      <c r="N23" s="1131">
        <f>SUM(K23)</f>
        <v>193701</v>
      </c>
    </row>
    <row r="24" spans="1:14" ht="12.75">
      <c r="A24" s="1137"/>
      <c r="B24" s="718" t="s">
        <v>719</v>
      </c>
      <c r="C24" s="615">
        <f aca="true" t="shared" si="2" ref="C24:J24">SUM(C23)</f>
        <v>193701</v>
      </c>
      <c r="D24" s="615">
        <f t="shared" si="2"/>
        <v>0</v>
      </c>
      <c r="E24" s="615">
        <f t="shared" si="2"/>
        <v>0</v>
      </c>
      <c r="F24" s="1156">
        <f t="shared" si="2"/>
        <v>193701</v>
      </c>
      <c r="G24" s="615">
        <f t="shared" si="2"/>
        <v>193701</v>
      </c>
      <c r="H24" s="615">
        <f t="shared" si="2"/>
        <v>0</v>
      </c>
      <c r="I24" s="615">
        <f t="shared" si="2"/>
        <v>0</v>
      </c>
      <c r="J24" s="1156">
        <f t="shared" si="2"/>
        <v>193701</v>
      </c>
      <c r="K24" s="615">
        <f>SUM(K23)</f>
        <v>193701</v>
      </c>
      <c r="L24" s="615">
        <f>SUM(L23)</f>
        <v>0</v>
      </c>
      <c r="M24" s="615">
        <f>SUM(M23)</f>
        <v>0</v>
      </c>
      <c r="N24" s="1156">
        <f>SUM(N23)</f>
        <v>193701</v>
      </c>
    </row>
    <row r="25" spans="1:14" ht="26.25" thickBot="1">
      <c r="A25" s="1264"/>
      <c r="B25" s="724" t="s">
        <v>720</v>
      </c>
      <c r="C25" s="741">
        <v>101692969</v>
      </c>
      <c r="D25" s="741">
        <v>26475158</v>
      </c>
      <c r="E25" s="741"/>
      <c r="F25" s="1157">
        <f>SUM(C25:E25)</f>
        <v>128168127</v>
      </c>
      <c r="G25" s="741">
        <v>122994438</v>
      </c>
      <c r="H25" s="741"/>
      <c r="I25" s="741"/>
      <c r="J25" s="1157">
        <f>SUM(G25:I25)</f>
        <v>122994438</v>
      </c>
      <c r="K25" s="741">
        <v>109511107</v>
      </c>
      <c r="L25" s="741">
        <v>13483331</v>
      </c>
      <c r="M25" s="741"/>
      <c r="N25" s="1157">
        <f>SUM(K25:M25)</f>
        <v>122994438</v>
      </c>
    </row>
    <row r="26" spans="1:14" ht="32.25" thickBot="1">
      <c r="A26" s="726"/>
      <c r="B26" s="727" t="s">
        <v>721</v>
      </c>
      <c r="C26" s="731">
        <f aca="true" t="shared" si="3" ref="C26:J26">SUM(C24:C25)</f>
        <v>101886670</v>
      </c>
      <c r="D26" s="731">
        <f t="shared" si="3"/>
        <v>26475158</v>
      </c>
      <c r="E26" s="731">
        <f t="shared" si="3"/>
        <v>0</v>
      </c>
      <c r="F26" s="732">
        <f t="shared" si="3"/>
        <v>128361828</v>
      </c>
      <c r="G26" s="731">
        <f t="shared" si="3"/>
        <v>123188139</v>
      </c>
      <c r="H26" s="731">
        <f t="shared" si="3"/>
        <v>0</v>
      </c>
      <c r="I26" s="731">
        <f t="shared" si="3"/>
        <v>0</v>
      </c>
      <c r="J26" s="732">
        <f t="shared" si="3"/>
        <v>123188139</v>
      </c>
      <c r="K26" s="731">
        <f>SUM(K24:K25)</f>
        <v>109704808</v>
      </c>
      <c r="L26" s="731">
        <f>SUM(L24:L25)</f>
        <v>13483331</v>
      </c>
      <c r="M26" s="731">
        <f>SUM(M24:M25)</f>
        <v>0</v>
      </c>
      <c r="N26" s="732">
        <f>SUM(N24:N25)</f>
        <v>123188139</v>
      </c>
    </row>
    <row r="27" spans="1:14" ht="16.5" thickBot="1">
      <c r="A27" s="2131" t="s">
        <v>157</v>
      </c>
      <c r="B27" s="2132"/>
      <c r="C27" s="743">
        <f aca="true" t="shared" si="4" ref="C27:J27">SUM(C22+C26)</f>
        <v>101886670</v>
      </c>
      <c r="D27" s="743">
        <f t="shared" si="4"/>
        <v>28740158</v>
      </c>
      <c r="E27" s="743">
        <f t="shared" si="4"/>
        <v>0</v>
      </c>
      <c r="F27" s="744">
        <f t="shared" si="4"/>
        <v>130626828</v>
      </c>
      <c r="G27" s="743">
        <f t="shared" si="4"/>
        <v>123188139</v>
      </c>
      <c r="H27" s="743">
        <f t="shared" si="4"/>
        <v>1859346</v>
      </c>
      <c r="I27" s="743">
        <f t="shared" si="4"/>
        <v>0</v>
      </c>
      <c r="J27" s="744">
        <f t="shared" si="4"/>
        <v>125047485</v>
      </c>
      <c r="K27" s="743">
        <f>SUM(K22+K26)</f>
        <v>109704808</v>
      </c>
      <c r="L27" s="743">
        <f>SUM(L22+L26)</f>
        <v>15629711</v>
      </c>
      <c r="M27" s="743">
        <f>SUM(M22+M26)</f>
        <v>0</v>
      </c>
      <c r="N27" s="744">
        <f>SUM(N22+N26)</f>
        <v>125334519</v>
      </c>
    </row>
    <row r="28" spans="1:14" ht="12.75">
      <c r="A28" s="1265" t="s">
        <v>164</v>
      </c>
      <c r="B28" s="718" t="s">
        <v>724</v>
      </c>
      <c r="C28" s="439">
        <v>54436516</v>
      </c>
      <c r="D28" s="439">
        <v>32033817</v>
      </c>
      <c r="E28" s="721"/>
      <c r="F28" s="440">
        <f>SUM(C28:E28)</f>
        <v>86470333</v>
      </c>
      <c r="G28" s="439">
        <v>86486333</v>
      </c>
      <c r="H28" s="439"/>
      <c r="I28" s="721"/>
      <c r="J28" s="440">
        <f>SUM(G28:I28)</f>
        <v>86486333</v>
      </c>
      <c r="K28" s="439">
        <v>73839223</v>
      </c>
      <c r="L28" s="439">
        <v>12647110</v>
      </c>
      <c r="M28" s="721"/>
      <c r="N28" s="440">
        <f>SUM(K28:M28)</f>
        <v>86486333</v>
      </c>
    </row>
    <row r="29" spans="1:14" ht="38.25">
      <c r="A29" s="1266" t="s">
        <v>166</v>
      </c>
      <c r="B29" s="718" t="s">
        <v>725</v>
      </c>
      <c r="C29" s="439">
        <v>9914284</v>
      </c>
      <c r="D29" s="439">
        <v>5810806</v>
      </c>
      <c r="E29" s="399"/>
      <c r="F29" s="440">
        <f>SUM(C29:E29)</f>
        <v>15725090</v>
      </c>
      <c r="G29" s="439">
        <v>15727890</v>
      </c>
      <c r="H29" s="439"/>
      <c r="I29" s="399"/>
      <c r="J29" s="440">
        <f>SUM(G29:I29)</f>
        <v>15727890</v>
      </c>
      <c r="K29" s="439">
        <v>13470535</v>
      </c>
      <c r="L29" s="439">
        <v>2257355</v>
      </c>
      <c r="M29" s="399"/>
      <c r="N29" s="440">
        <f>SUM(K29:M29)</f>
        <v>15727890</v>
      </c>
    </row>
    <row r="30" spans="1:14" s="10" customFormat="1" ht="12.75">
      <c r="A30" s="1266" t="s">
        <v>173</v>
      </c>
      <c r="B30" s="613" t="s">
        <v>726</v>
      </c>
      <c r="C30" s="439">
        <v>21441405</v>
      </c>
      <c r="D30" s="439">
        <v>6490000</v>
      </c>
      <c r="E30" s="414"/>
      <c r="F30" s="440">
        <f>SUM(C30:E30)</f>
        <v>27931405</v>
      </c>
      <c r="G30" s="439">
        <v>20973916</v>
      </c>
      <c r="H30" s="439">
        <v>1359346</v>
      </c>
      <c r="I30" s="414"/>
      <c r="J30" s="440">
        <f>SUM(G30:I30)</f>
        <v>22333262</v>
      </c>
      <c r="K30" s="439">
        <v>21895050</v>
      </c>
      <c r="L30" s="439">
        <v>725246</v>
      </c>
      <c r="M30" s="414"/>
      <c r="N30" s="440">
        <f>SUM(K30:M30)</f>
        <v>22620296</v>
      </c>
    </row>
    <row r="31" spans="1:14" s="10" customFormat="1" ht="12.75">
      <c r="A31" s="1266" t="s">
        <v>182</v>
      </c>
      <c r="B31" s="613" t="s">
        <v>727</v>
      </c>
      <c r="C31" s="752">
        <f>SUM(C32:C33)</f>
        <v>500000</v>
      </c>
      <c r="D31" s="752"/>
      <c r="E31" s="752">
        <f>SUM(E32:E33)</f>
        <v>0</v>
      </c>
      <c r="F31" s="440">
        <f>SUM(C31:E31)</f>
        <v>500000</v>
      </c>
      <c r="G31" s="752">
        <f>SUM(G32:G33)</f>
        <v>0</v>
      </c>
      <c r="H31" s="752">
        <v>500000</v>
      </c>
      <c r="I31" s="752">
        <f>SUM(I32:I33)</f>
        <v>0</v>
      </c>
      <c r="J31" s="440">
        <f>SUM(G31:I31)</f>
        <v>500000</v>
      </c>
      <c r="K31" s="752">
        <f>SUM(K32:K33)</f>
        <v>500000</v>
      </c>
      <c r="L31" s="752">
        <v>0</v>
      </c>
      <c r="M31" s="752">
        <f>SUM(M32:M33)</f>
        <v>0</v>
      </c>
      <c r="N31" s="440">
        <f>SUM(K31:M31)</f>
        <v>500000</v>
      </c>
    </row>
    <row r="32" spans="1:14" s="114" customFormat="1" ht="12.75">
      <c r="A32" s="1138"/>
      <c r="B32" s="719" t="s">
        <v>132</v>
      </c>
      <c r="C32" s="437">
        <v>500000</v>
      </c>
      <c r="D32" s="719"/>
      <c r="E32" s="719"/>
      <c r="F32" s="440">
        <f>SUM(C32:E32)</f>
        <v>500000</v>
      </c>
      <c r="G32" s="437">
        <v>0</v>
      </c>
      <c r="H32" s="719">
        <v>500000</v>
      </c>
      <c r="I32" s="719"/>
      <c r="J32" s="440">
        <f>SUM(G32:I32)</f>
        <v>500000</v>
      </c>
      <c r="K32" s="437">
        <v>500000</v>
      </c>
      <c r="L32" s="719">
        <v>0</v>
      </c>
      <c r="M32" s="719"/>
      <c r="N32" s="440">
        <f>SUM(K32:M32)</f>
        <v>500000</v>
      </c>
    </row>
    <row r="33" spans="1:14" s="114" customFormat="1" ht="13.5" thickBot="1">
      <c r="A33" s="1149"/>
      <c r="B33" s="728" t="s">
        <v>134</v>
      </c>
      <c r="C33" s="728"/>
      <c r="D33" s="728"/>
      <c r="E33" s="728"/>
      <c r="F33" s="1150"/>
      <c r="G33" s="728"/>
      <c r="H33" s="728"/>
      <c r="I33" s="728"/>
      <c r="J33" s="1150"/>
      <c r="K33" s="728"/>
      <c r="L33" s="728"/>
      <c r="M33" s="728"/>
      <c r="N33" s="1150"/>
    </row>
    <row r="34" spans="1:14" ht="16.5" thickBot="1">
      <c r="A34" s="753"/>
      <c r="B34" s="754" t="s">
        <v>728</v>
      </c>
      <c r="C34" s="755">
        <f>SUM(C28:C32)</f>
        <v>86792205</v>
      </c>
      <c r="D34" s="755">
        <f>SUM(D28:D32)</f>
        <v>44334623</v>
      </c>
      <c r="E34" s="755">
        <f>SUM(E28:E31)</f>
        <v>0</v>
      </c>
      <c r="F34" s="756">
        <f>SUM(F28:F31)</f>
        <v>130626828</v>
      </c>
      <c r="G34" s="755">
        <f>SUM(G28:G32)</f>
        <v>123188139</v>
      </c>
      <c r="H34" s="755">
        <f>SUM(H28:H31)</f>
        <v>1859346</v>
      </c>
      <c r="I34" s="755">
        <f>SUM(I28:I31)</f>
        <v>0</v>
      </c>
      <c r="J34" s="756">
        <f>SUM(J28:J31)</f>
        <v>125047485</v>
      </c>
      <c r="K34" s="755">
        <f>SUM(K28:K32)</f>
        <v>110204808</v>
      </c>
      <c r="L34" s="755">
        <f>SUM(L28:L31)</f>
        <v>15629711</v>
      </c>
      <c r="M34" s="755">
        <f>SUM(M28:M31)</f>
        <v>0</v>
      </c>
      <c r="N34" s="756">
        <f>SUM(N28:N31)</f>
        <v>125334519</v>
      </c>
    </row>
  </sheetData>
  <sheetProtection/>
  <mergeCells count="10">
    <mergeCell ref="A1:N1"/>
    <mergeCell ref="G10:J10"/>
    <mergeCell ref="A22:B22"/>
    <mergeCell ref="A27:B27"/>
    <mergeCell ref="A10:B11"/>
    <mergeCell ref="C10:F10"/>
    <mergeCell ref="K10:N10"/>
    <mergeCell ref="A6:N6"/>
    <mergeCell ref="A2:N2"/>
    <mergeCell ref="F4:H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"/>
  <sheetViews>
    <sheetView showGridLines="0" view="pageBreakPreview" zoomScale="95" zoomScaleSheetLayoutView="95" zoomScalePageLayoutView="0" workbookViewId="0" topLeftCell="A1">
      <pane xSplit="1" topLeftCell="E1" activePane="topRight" state="frozen"/>
      <selection pane="topLeft" activeCell="A1" sqref="A1"/>
      <selection pane="topRight" activeCell="N3" sqref="N3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6.421875" style="0" customWidth="1"/>
    <col min="8" max="8" width="16.7109375" style="0" customWidth="1"/>
    <col min="9" max="9" width="13.7109375" style="0" customWidth="1"/>
    <col min="10" max="10" width="17.28125" style="0" customWidth="1"/>
    <col min="11" max="11" width="16.421875" style="0" customWidth="1"/>
    <col min="12" max="12" width="16.7109375" style="0" customWidth="1"/>
    <col min="13" max="13" width="13.7109375" style="0" customWidth="1"/>
    <col min="14" max="14" width="17.28125" style="0" customWidth="1"/>
  </cols>
  <sheetData>
    <row r="1" spans="1:14" ht="15">
      <c r="A1" s="2126" t="s">
        <v>731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  <c r="N1" s="2126"/>
    </row>
    <row r="2" spans="1:14" ht="12.75">
      <c r="A2" s="1856" t="s">
        <v>1259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</row>
    <row r="3" spans="1:14" ht="12.75">
      <c r="A3" s="715"/>
      <c r="B3" s="715"/>
      <c r="C3" s="715"/>
      <c r="D3" s="715"/>
      <c r="E3" s="715"/>
      <c r="F3" s="1856" t="s">
        <v>1261</v>
      </c>
      <c r="G3" s="1856"/>
      <c r="H3" s="1856"/>
      <c r="I3" s="1856"/>
      <c r="J3" s="715"/>
      <c r="K3" s="715"/>
      <c r="L3" s="715"/>
      <c r="M3" s="715"/>
      <c r="N3" s="715" t="s">
        <v>1269</v>
      </c>
    </row>
    <row r="4" spans="1:14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</row>
    <row r="5" spans="1:14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</row>
    <row r="6" spans="1:14" ht="29.25" customHeight="1">
      <c r="A6" s="2137" t="s">
        <v>1023</v>
      </c>
      <c r="B6" s="2137"/>
      <c r="C6" s="2137"/>
      <c r="D6" s="2137"/>
      <c r="E6" s="2137"/>
      <c r="F6" s="2137"/>
      <c r="G6" s="2137"/>
      <c r="H6" s="2137"/>
      <c r="I6" s="2137"/>
      <c r="J6" s="2137"/>
      <c r="K6" s="2137"/>
      <c r="L6" s="2137"/>
      <c r="M6" s="2137"/>
      <c r="N6" s="2137"/>
    </row>
    <row r="9" spans="6:14" ht="13.5" thickBot="1">
      <c r="F9" s="851"/>
      <c r="J9" s="851"/>
      <c r="N9" s="851" t="s">
        <v>214</v>
      </c>
    </row>
    <row r="10" spans="1:14" ht="12.75">
      <c r="A10" s="2133" t="s">
        <v>706</v>
      </c>
      <c r="B10" s="2134"/>
      <c r="C10" s="2127" t="s">
        <v>522</v>
      </c>
      <c r="D10" s="2127"/>
      <c r="E10" s="2127"/>
      <c r="F10" s="2128"/>
      <c r="G10" s="2127" t="s">
        <v>1165</v>
      </c>
      <c r="H10" s="2127"/>
      <c r="I10" s="2127"/>
      <c r="J10" s="2128"/>
      <c r="K10" s="2127" t="s">
        <v>1186</v>
      </c>
      <c r="L10" s="2127"/>
      <c r="M10" s="2127"/>
      <c r="N10" s="2128"/>
    </row>
    <row r="11" spans="1:14" s="4" customFormat="1" ht="39.75" customHeight="1" thickBot="1">
      <c r="A11" s="2135"/>
      <c r="B11" s="2136"/>
      <c r="C11" s="750" t="s">
        <v>707</v>
      </c>
      <c r="D11" s="750" t="s">
        <v>708</v>
      </c>
      <c r="E11" s="750" t="s">
        <v>709</v>
      </c>
      <c r="F11" s="751" t="s">
        <v>25</v>
      </c>
      <c r="G11" s="750" t="s">
        <v>707</v>
      </c>
      <c r="H11" s="750" t="s">
        <v>708</v>
      </c>
      <c r="I11" s="750" t="s">
        <v>709</v>
      </c>
      <c r="J11" s="751" t="s">
        <v>25</v>
      </c>
      <c r="K11" s="750" t="s">
        <v>707</v>
      </c>
      <c r="L11" s="750" t="s">
        <v>708</v>
      </c>
      <c r="M11" s="750" t="s">
        <v>709</v>
      </c>
      <c r="N11" s="751" t="s">
        <v>25</v>
      </c>
    </row>
    <row r="12" spans="1:14" s="4" customFormat="1" ht="39.75" customHeight="1" thickBot="1">
      <c r="A12" s="833"/>
      <c r="B12" s="1364" t="s">
        <v>1034</v>
      </c>
      <c r="C12" s="1362"/>
      <c r="D12" s="1362"/>
      <c r="E12" s="1362"/>
      <c r="F12" s="1363"/>
      <c r="G12" s="1362"/>
      <c r="H12" s="1362"/>
      <c r="I12" s="1362"/>
      <c r="J12" s="1363"/>
      <c r="K12" s="1362"/>
      <c r="L12" s="1362"/>
      <c r="M12" s="1362"/>
      <c r="N12" s="1363"/>
    </row>
    <row r="13" spans="1:14" s="10" customFormat="1" ht="13.5" thickBot="1">
      <c r="A13" s="745"/>
      <c r="B13" s="723" t="s">
        <v>711</v>
      </c>
      <c r="C13" s="731">
        <f>SUM(C14:C16)</f>
        <v>0</v>
      </c>
      <c r="D13" s="731">
        <f>SUM(D14:D16)</f>
        <v>1217000</v>
      </c>
      <c r="E13" s="731">
        <v>0</v>
      </c>
      <c r="F13" s="732">
        <f>SUM(C13:E13)</f>
        <v>1217000</v>
      </c>
      <c r="G13" s="731">
        <f>SUM(G14:G16)</f>
        <v>0</v>
      </c>
      <c r="H13" s="731">
        <f>SUM(H14:H16)</f>
        <v>350000</v>
      </c>
      <c r="I13" s="731">
        <v>0</v>
      </c>
      <c r="J13" s="732">
        <f>SUM(G13:I13)</f>
        <v>350000</v>
      </c>
      <c r="K13" s="731">
        <f>SUM(K14:K16)</f>
        <v>0</v>
      </c>
      <c r="L13" s="731">
        <f>SUM(L14:L16)</f>
        <v>400020</v>
      </c>
      <c r="M13" s="731">
        <v>0</v>
      </c>
      <c r="N13" s="732">
        <f>SUM(K13:M13)</f>
        <v>400020</v>
      </c>
    </row>
    <row r="14" spans="1:14" s="114" customFormat="1" ht="12.75">
      <c r="A14" s="1262"/>
      <c r="B14" s="717" t="s">
        <v>729</v>
      </c>
      <c r="C14" s="734"/>
      <c r="D14" s="735">
        <v>1217000</v>
      </c>
      <c r="E14" s="735"/>
      <c r="F14" s="1142">
        <f>SUM(C14:E14)</f>
        <v>1217000</v>
      </c>
      <c r="G14" s="734"/>
      <c r="H14" s="735">
        <v>350000</v>
      </c>
      <c r="I14" s="735"/>
      <c r="J14" s="1142">
        <f>SUM(G14:I14)</f>
        <v>350000</v>
      </c>
      <c r="K14" s="734"/>
      <c r="L14" s="735">
        <v>400000</v>
      </c>
      <c r="M14" s="735"/>
      <c r="N14" s="1142">
        <f>SUM(K14:M14)</f>
        <v>400000</v>
      </c>
    </row>
    <row r="15" spans="1:14" s="114" customFormat="1" ht="25.5">
      <c r="A15" s="814"/>
      <c r="B15" s="717" t="s">
        <v>715</v>
      </c>
      <c r="C15" s="736">
        <v>0</v>
      </c>
      <c r="D15" s="729"/>
      <c r="E15" s="729"/>
      <c r="F15" s="1144">
        <f>SUM(C15:E15)</f>
        <v>0</v>
      </c>
      <c r="G15" s="736">
        <v>0</v>
      </c>
      <c r="H15" s="729"/>
      <c r="I15" s="729"/>
      <c r="J15" s="1144">
        <f>SUM(G15:I15)</f>
        <v>0</v>
      </c>
      <c r="K15" s="736">
        <v>0</v>
      </c>
      <c r="L15" s="729"/>
      <c r="M15" s="729"/>
      <c r="N15" s="1144">
        <f>SUM(K15:M15)</f>
        <v>0</v>
      </c>
    </row>
    <row r="16" spans="1:14" s="114" customFormat="1" ht="13.5" thickBot="1">
      <c r="A16" s="814"/>
      <c r="B16" s="899" t="s">
        <v>730</v>
      </c>
      <c r="C16" s="737">
        <v>0</v>
      </c>
      <c r="D16" s="730"/>
      <c r="E16" s="730"/>
      <c r="F16" s="1592">
        <f>SUM(C16:E16)</f>
        <v>0</v>
      </c>
      <c r="G16" s="737">
        <v>0</v>
      </c>
      <c r="H16" s="730"/>
      <c r="I16" s="730"/>
      <c r="J16" s="1592">
        <f>SUM(G16:I16)</f>
        <v>0</v>
      </c>
      <c r="K16" s="737">
        <v>0</v>
      </c>
      <c r="L16" s="730">
        <v>20</v>
      </c>
      <c r="M16" s="730"/>
      <c r="N16" s="1592">
        <f>SUM(K16:M16)</f>
        <v>20</v>
      </c>
    </row>
    <row r="17" spans="1:14" s="522" customFormat="1" ht="16.5" thickBot="1">
      <c r="A17" s="1593" t="s">
        <v>164</v>
      </c>
      <c r="B17" s="900" t="s">
        <v>479</v>
      </c>
      <c r="C17" s="738">
        <f aca="true" t="shared" si="0" ref="C17:J17">SUM(C13)</f>
        <v>0</v>
      </c>
      <c r="D17" s="738">
        <f t="shared" si="0"/>
        <v>1217000</v>
      </c>
      <c r="E17" s="738">
        <f t="shared" si="0"/>
        <v>0</v>
      </c>
      <c r="F17" s="739">
        <f t="shared" si="0"/>
        <v>1217000</v>
      </c>
      <c r="G17" s="738">
        <f t="shared" si="0"/>
        <v>0</v>
      </c>
      <c r="H17" s="738">
        <f t="shared" si="0"/>
        <v>350000</v>
      </c>
      <c r="I17" s="738">
        <f t="shared" si="0"/>
        <v>0</v>
      </c>
      <c r="J17" s="739">
        <f t="shared" si="0"/>
        <v>350000</v>
      </c>
      <c r="K17" s="738">
        <f>SUM(K13)</f>
        <v>0</v>
      </c>
      <c r="L17" s="738">
        <f>SUM(L13)</f>
        <v>400020</v>
      </c>
      <c r="M17" s="738">
        <f>SUM(M13)</f>
        <v>0</v>
      </c>
      <c r="N17" s="739">
        <f>SUM(N13)</f>
        <v>400020</v>
      </c>
    </row>
    <row r="18" spans="1:14" ht="25.5">
      <c r="A18" s="1137"/>
      <c r="B18" s="899" t="s">
        <v>718</v>
      </c>
      <c r="C18" s="740">
        <v>269743</v>
      </c>
      <c r="D18" s="740"/>
      <c r="E18" s="740"/>
      <c r="F18" s="1131">
        <v>269743</v>
      </c>
      <c r="G18" s="740">
        <v>269743</v>
      </c>
      <c r="H18" s="740"/>
      <c r="I18" s="740"/>
      <c r="J18" s="1131">
        <v>269743</v>
      </c>
      <c r="K18" s="740">
        <v>269743</v>
      </c>
      <c r="L18" s="740"/>
      <c r="M18" s="740"/>
      <c r="N18" s="1131">
        <v>269743</v>
      </c>
    </row>
    <row r="19" spans="1:14" ht="12.75">
      <c r="A19" s="1137"/>
      <c r="B19" s="901" t="s">
        <v>719</v>
      </c>
      <c r="C19" s="614">
        <v>269743</v>
      </c>
      <c r="D19" s="614"/>
      <c r="E19" s="614"/>
      <c r="F19" s="1152">
        <v>269743</v>
      </c>
      <c r="G19" s="614">
        <v>269743</v>
      </c>
      <c r="H19" s="614"/>
      <c r="I19" s="614"/>
      <c r="J19" s="1152">
        <v>269743</v>
      </c>
      <c r="K19" s="614">
        <v>269743</v>
      </c>
      <c r="L19" s="614"/>
      <c r="M19" s="614"/>
      <c r="N19" s="1152">
        <v>269743</v>
      </c>
    </row>
    <row r="20" spans="1:14" ht="26.25" thickBot="1">
      <c r="A20" s="1264"/>
      <c r="B20" s="724" t="s">
        <v>720</v>
      </c>
      <c r="C20" s="741">
        <v>25310663</v>
      </c>
      <c r="D20" s="741">
        <v>1320000</v>
      </c>
      <c r="E20" s="741"/>
      <c r="F20" s="1157">
        <f>SUM(C20:E20)</f>
        <v>26630663</v>
      </c>
      <c r="G20" s="741">
        <v>21853049</v>
      </c>
      <c r="H20" s="741">
        <v>1820000</v>
      </c>
      <c r="I20" s="741"/>
      <c r="J20" s="1157">
        <f>SUM(G20:I20)</f>
        <v>23673049</v>
      </c>
      <c r="K20" s="741">
        <v>22483839</v>
      </c>
      <c r="L20" s="741">
        <v>1419980</v>
      </c>
      <c r="M20" s="741"/>
      <c r="N20" s="1157">
        <f>SUM(K20:M20)</f>
        <v>23903819</v>
      </c>
    </row>
    <row r="21" spans="1:14" ht="32.25" thickBot="1">
      <c r="A21" s="898" t="s">
        <v>166</v>
      </c>
      <c r="B21" s="727" t="s">
        <v>721</v>
      </c>
      <c r="C21" s="742">
        <f>SUM(C20+C19)</f>
        <v>25580406</v>
      </c>
      <c r="D21" s="742">
        <f>SUM(D19:D20)</f>
        <v>1320000</v>
      </c>
      <c r="E21" s="742">
        <f>SUM(E19:E20)</f>
        <v>0</v>
      </c>
      <c r="F21" s="1135">
        <f>SUM(F19:F20)</f>
        <v>26900406</v>
      </c>
      <c r="G21" s="742">
        <f>SUM(G20+G19)</f>
        <v>22122792</v>
      </c>
      <c r="H21" s="742">
        <f>SUM(H19:H20)</f>
        <v>1820000</v>
      </c>
      <c r="I21" s="742">
        <f>SUM(I19:I20)</f>
        <v>0</v>
      </c>
      <c r="J21" s="1135">
        <f>SUM(J19:J20)</f>
        <v>23942792</v>
      </c>
      <c r="K21" s="742">
        <f>SUM(K20+K19)</f>
        <v>22753582</v>
      </c>
      <c r="L21" s="742">
        <f>SUM(L19:L20)</f>
        <v>1419980</v>
      </c>
      <c r="M21" s="742">
        <f>SUM(M19:M20)</f>
        <v>0</v>
      </c>
      <c r="N21" s="1135">
        <f>SUM(N19:N20)</f>
        <v>24173562</v>
      </c>
    </row>
    <row r="22" spans="1:14" ht="16.5" thickBot="1">
      <c r="A22" s="2131" t="s">
        <v>157</v>
      </c>
      <c r="B22" s="2132"/>
      <c r="C22" s="743">
        <f aca="true" t="shared" si="1" ref="C22:J22">SUM(C17+C21)</f>
        <v>25580406</v>
      </c>
      <c r="D22" s="743">
        <f t="shared" si="1"/>
        <v>2537000</v>
      </c>
      <c r="E22" s="743">
        <f t="shared" si="1"/>
        <v>0</v>
      </c>
      <c r="F22" s="744">
        <f t="shared" si="1"/>
        <v>28117406</v>
      </c>
      <c r="G22" s="743">
        <f t="shared" si="1"/>
        <v>22122792</v>
      </c>
      <c r="H22" s="743">
        <f t="shared" si="1"/>
        <v>2170000</v>
      </c>
      <c r="I22" s="743">
        <f t="shared" si="1"/>
        <v>0</v>
      </c>
      <c r="J22" s="744">
        <f t="shared" si="1"/>
        <v>24292792</v>
      </c>
      <c r="K22" s="743">
        <f>SUM(K17+K21)</f>
        <v>22753582</v>
      </c>
      <c r="L22" s="743">
        <f>SUM(L17+L21)</f>
        <v>1820000</v>
      </c>
      <c r="M22" s="743">
        <f>SUM(M17+M21)</f>
        <v>0</v>
      </c>
      <c r="N22" s="744">
        <f>SUM(N17+N21)</f>
        <v>24573582</v>
      </c>
    </row>
    <row r="23" spans="1:14" ht="12.75">
      <c r="A23" s="1265" t="s">
        <v>164</v>
      </c>
      <c r="B23" s="718" t="s">
        <v>724</v>
      </c>
      <c r="C23" s="439">
        <v>11927834</v>
      </c>
      <c r="D23" s="439"/>
      <c r="E23" s="721"/>
      <c r="F23" s="1594">
        <f aca="true" t="shared" si="2" ref="F23:F28">SUM(C23:E23)</f>
        <v>11927834</v>
      </c>
      <c r="G23" s="439">
        <v>12026035</v>
      </c>
      <c r="H23" s="439"/>
      <c r="I23" s="721"/>
      <c r="J23" s="1594">
        <f aca="true" t="shared" si="3" ref="J23:J28">SUM(G23:I23)</f>
        <v>12026035</v>
      </c>
      <c r="K23" s="439">
        <v>12222435</v>
      </c>
      <c r="L23" s="439"/>
      <c r="M23" s="721"/>
      <c r="N23" s="1594">
        <f aca="true" t="shared" si="4" ref="N23:N28">SUM(K23:M23)</f>
        <v>12222435</v>
      </c>
    </row>
    <row r="24" spans="1:14" ht="25.5">
      <c r="A24" s="1266" t="s">
        <v>166</v>
      </c>
      <c r="B24" s="718" t="s">
        <v>725</v>
      </c>
      <c r="C24" s="439">
        <v>2129572</v>
      </c>
      <c r="D24" s="414"/>
      <c r="E24" s="399"/>
      <c r="F24" s="1594">
        <f t="shared" si="2"/>
        <v>2129572</v>
      </c>
      <c r="G24" s="439">
        <v>2146757</v>
      </c>
      <c r="H24" s="414"/>
      <c r="I24" s="399"/>
      <c r="J24" s="1594">
        <f t="shared" si="3"/>
        <v>2146757</v>
      </c>
      <c r="K24" s="439">
        <v>2181127</v>
      </c>
      <c r="L24" s="414"/>
      <c r="M24" s="399"/>
      <c r="N24" s="1594">
        <f t="shared" si="4"/>
        <v>2181127</v>
      </c>
    </row>
    <row r="25" spans="1:14" s="10" customFormat="1" ht="12.75">
      <c r="A25" s="1266" t="s">
        <v>173</v>
      </c>
      <c r="B25" s="613" t="s">
        <v>726</v>
      </c>
      <c r="C25" s="439">
        <v>11523000</v>
      </c>
      <c r="D25" s="414">
        <v>2037000</v>
      </c>
      <c r="E25" s="414"/>
      <c r="F25" s="1594">
        <f t="shared" si="2"/>
        <v>13560000</v>
      </c>
      <c r="G25" s="439">
        <v>8300000</v>
      </c>
      <c r="H25" s="414">
        <v>1320000</v>
      </c>
      <c r="I25" s="414"/>
      <c r="J25" s="1594">
        <f t="shared" si="3"/>
        <v>9620000</v>
      </c>
      <c r="K25" s="439">
        <v>8350020</v>
      </c>
      <c r="L25" s="414">
        <v>1320000</v>
      </c>
      <c r="M25" s="414"/>
      <c r="N25" s="1594">
        <f t="shared" si="4"/>
        <v>9670020</v>
      </c>
    </row>
    <row r="26" spans="1:14" s="10" customFormat="1" ht="12.75">
      <c r="A26" s="1266" t="s">
        <v>182</v>
      </c>
      <c r="B26" s="613" t="s">
        <v>727</v>
      </c>
      <c r="C26" s="752"/>
      <c r="D26" s="752">
        <v>500000</v>
      </c>
      <c r="E26" s="752">
        <f>SUM(E27:E28)</f>
        <v>0</v>
      </c>
      <c r="F26" s="1594">
        <f t="shared" si="2"/>
        <v>500000</v>
      </c>
      <c r="G26" s="752"/>
      <c r="H26" s="752">
        <v>500000</v>
      </c>
      <c r="I26" s="752">
        <f>SUM(I27:I28)</f>
        <v>0</v>
      </c>
      <c r="J26" s="1594">
        <f t="shared" si="3"/>
        <v>500000</v>
      </c>
      <c r="K26" s="752"/>
      <c r="L26" s="752">
        <v>500000</v>
      </c>
      <c r="M26" s="752">
        <f>SUM(M27:M28)</f>
        <v>0</v>
      </c>
      <c r="N26" s="1594">
        <f t="shared" si="4"/>
        <v>500000</v>
      </c>
    </row>
    <row r="27" spans="1:14" s="114" customFormat="1" ht="12.75">
      <c r="A27" s="1138"/>
      <c r="B27" s="719" t="s">
        <v>132</v>
      </c>
      <c r="C27" s="437"/>
      <c r="D27" s="719">
        <v>500000</v>
      </c>
      <c r="E27" s="719"/>
      <c r="F27" s="1594">
        <f t="shared" si="2"/>
        <v>500000</v>
      </c>
      <c r="G27" s="437"/>
      <c r="H27" s="719">
        <v>500000</v>
      </c>
      <c r="I27" s="719"/>
      <c r="J27" s="1594">
        <f t="shared" si="3"/>
        <v>500000</v>
      </c>
      <c r="K27" s="437"/>
      <c r="L27" s="719">
        <v>500000</v>
      </c>
      <c r="M27" s="719"/>
      <c r="N27" s="1594">
        <f t="shared" si="4"/>
        <v>500000</v>
      </c>
    </row>
    <row r="28" spans="1:14" s="114" customFormat="1" ht="13.5" thickBot="1">
      <c r="A28" s="1149"/>
      <c r="B28" s="728" t="s">
        <v>134</v>
      </c>
      <c r="C28" s="567"/>
      <c r="D28" s="728"/>
      <c r="E28" s="728"/>
      <c r="F28" s="1594">
        <f t="shared" si="2"/>
        <v>0</v>
      </c>
      <c r="G28" s="567"/>
      <c r="H28" s="728"/>
      <c r="I28" s="728"/>
      <c r="J28" s="1594">
        <f t="shared" si="3"/>
        <v>0</v>
      </c>
      <c r="K28" s="567"/>
      <c r="L28" s="728"/>
      <c r="M28" s="728"/>
      <c r="N28" s="1594">
        <f t="shared" si="4"/>
        <v>0</v>
      </c>
    </row>
    <row r="29" spans="1:14" ht="16.5" thickBot="1">
      <c r="A29" s="753"/>
      <c r="B29" s="754" t="s">
        <v>728</v>
      </c>
      <c r="C29" s="755">
        <f>SUM(C23:C28)</f>
        <v>25580406</v>
      </c>
      <c r="D29" s="755">
        <f>SUM(D23:D26)</f>
        <v>2537000</v>
      </c>
      <c r="E29" s="755">
        <f>SUM(E23:E26)</f>
        <v>0</v>
      </c>
      <c r="F29" s="756">
        <f>SUM(F23:F26)</f>
        <v>28117406</v>
      </c>
      <c r="G29" s="755">
        <f>SUM(G23:G28)</f>
        <v>22472792</v>
      </c>
      <c r="H29" s="755">
        <f>SUM(H23:H26)</f>
        <v>1820000</v>
      </c>
      <c r="I29" s="755">
        <f>SUM(I23:I26)</f>
        <v>0</v>
      </c>
      <c r="J29" s="756">
        <f>SUM(J23:J26)</f>
        <v>24292792</v>
      </c>
      <c r="K29" s="755">
        <f>SUM(K23:K28)</f>
        <v>22753582</v>
      </c>
      <c r="L29" s="755">
        <f>SUM(L23:L26)</f>
        <v>1820000</v>
      </c>
      <c r="M29" s="755">
        <f>SUM(M23:M26)</f>
        <v>0</v>
      </c>
      <c r="N29" s="756">
        <f>SUM(N23:N26)</f>
        <v>24573582</v>
      </c>
    </row>
  </sheetData>
  <sheetProtection/>
  <mergeCells count="9">
    <mergeCell ref="K10:N10"/>
    <mergeCell ref="A6:N6"/>
    <mergeCell ref="A2:N2"/>
    <mergeCell ref="A1:N1"/>
    <mergeCell ref="G10:J10"/>
    <mergeCell ref="A22:B22"/>
    <mergeCell ref="A10:B11"/>
    <mergeCell ref="C10:F10"/>
    <mergeCell ref="F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showGridLines="0" view="pageBreakPreview" zoomScaleSheetLayoutView="100" zoomScalePageLayoutView="0" workbookViewId="0" topLeftCell="F1">
      <selection activeCell="K16" sqref="K16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9.00390625" style="0" customWidth="1"/>
    <col min="4" max="4" width="16.7109375" style="0" customWidth="1"/>
    <col min="5" max="5" width="16.8515625" style="0" customWidth="1"/>
    <col min="6" max="6" width="17.28125" style="0" customWidth="1"/>
    <col min="7" max="7" width="19.003906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9.00390625" style="0" customWidth="1"/>
    <col min="12" max="12" width="16.7109375" style="0" customWidth="1"/>
    <col min="13" max="13" width="16.8515625" style="0" customWidth="1"/>
    <col min="14" max="14" width="17.28125" style="0" customWidth="1"/>
  </cols>
  <sheetData>
    <row r="1" spans="1:20" ht="15">
      <c r="A1" s="1737" t="s">
        <v>733</v>
      </c>
      <c r="B1" s="1737"/>
      <c r="C1" s="1737"/>
      <c r="D1" s="1737"/>
      <c r="E1" s="1737"/>
      <c r="F1" s="1737"/>
      <c r="G1" s="1737"/>
      <c r="H1" s="1737"/>
      <c r="I1" s="1737"/>
      <c r="J1" s="1737"/>
      <c r="K1" s="2126" t="s">
        <v>733</v>
      </c>
      <c r="L1" s="2126"/>
      <c r="M1" s="2126"/>
      <c r="N1" s="2126"/>
      <c r="O1" s="2209"/>
      <c r="P1" s="2209"/>
      <c r="Q1" s="2209"/>
      <c r="R1" s="2209"/>
      <c r="S1" s="2209"/>
      <c r="T1" s="2209"/>
    </row>
    <row r="2" spans="1:14" ht="12.75">
      <c r="A2" s="1856" t="s">
        <v>1259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</row>
    <row r="3" spans="1:14" ht="12.75">
      <c r="A3" s="715"/>
      <c r="B3" s="715"/>
      <c r="C3" s="715"/>
      <c r="D3" s="715"/>
      <c r="E3" s="715"/>
      <c r="F3" s="1856" t="s">
        <v>1261</v>
      </c>
      <c r="G3" s="1856"/>
      <c r="H3" s="1856"/>
      <c r="I3" s="715"/>
      <c r="J3" s="715"/>
      <c r="K3" s="715"/>
      <c r="L3" s="715"/>
      <c r="M3" s="715"/>
      <c r="N3" s="715" t="s">
        <v>1270</v>
      </c>
    </row>
    <row r="4" spans="1:14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</row>
    <row r="5" spans="1:14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</row>
    <row r="6" spans="1:14" ht="29.25" customHeight="1">
      <c r="A6" s="1851" t="s">
        <v>732</v>
      </c>
      <c r="B6" s="1851"/>
      <c r="C6" s="1851"/>
      <c r="D6" s="1851"/>
      <c r="E6" s="1851"/>
      <c r="F6" s="1851"/>
      <c r="G6" s="1851"/>
      <c r="H6" s="1851"/>
      <c r="I6" s="1851"/>
      <c r="J6" s="1851"/>
      <c r="K6" s="1851"/>
      <c r="L6" s="1851"/>
      <c r="M6" s="1851"/>
      <c r="N6" s="1851"/>
    </row>
    <row r="9" spans="6:14" ht="13.5" thickBot="1">
      <c r="F9" s="851"/>
      <c r="J9" s="851"/>
      <c r="N9" s="851" t="s">
        <v>214</v>
      </c>
    </row>
    <row r="10" spans="1:14" ht="12.75">
      <c r="A10" s="2133" t="s">
        <v>706</v>
      </c>
      <c r="B10" s="2140"/>
      <c r="C10" s="2138" t="s">
        <v>522</v>
      </c>
      <c r="D10" s="2127"/>
      <c r="E10" s="2127"/>
      <c r="F10" s="2128"/>
      <c r="G10" s="2138" t="s">
        <v>1165</v>
      </c>
      <c r="H10" s="2127"/>
      <c r="I10" s="2127"/>
      <c r="J10" s="2128"/>
      <c r="K10" s="2138" t="s">
        <v>1186</v>
      </c>
      <c r="L10" s="2127"/>
      <c r="M10" s="2127"/>
      <c r="N10" s="2128"/>
    </row>
    <row r="11" spans="1:14" s="4" customFormat="1" ht="26.25" customHeight="1" thickBot="1">
      <c r="A11" s="2135"/>
      <c r="B11" s="2141"/>
      <c r="C11" s="1130" t="s">
        <v>707</v>
      </c>
      <c r="D11" s="750" t="s">
        <v>708</v>
      </c>
      <c r="E11" s="750" t="s">
        <v>709</v>
      </c>
      <c r="F11" s="751" t="s">
        <v>25</v>
      </c>
      <c r="G11" s="1130" t="s">
        <v>707</v>
      </c>
      <c r="H11" s="750" t="s">
        <v>708</v>
      </c>
      <c r="I11" s="750" t="s">
        <v>709</v>
      </c>
      <c r="J11" s="751" t="s">
        <v>25</v>
      </c>
      <c r="K11" s="1130" t="s">
        <v>707</v>
      </c>
      <c r="L11" s="750" t="s">
        <v>708</v>
      </c>
      <c r="M11" s="750" t="s">
        <v>709</v>
      </c>
      <c r="N11" s="751" t="s">
        <v>25</v>
      </c>
    </row>
    <row r="12" spans="1:14" s="10" customFormat="1" ht="13.5" thickBot="1">
      <c r="A12" s="745" t="s">
        <v>164</v>
      </c>
      <c r="B12" s="1271" t="s">
        <v>711</v>
      </c>
      <c r="C12" s="1140">
        <f>SUM(C13:C15)</f>
        <v>0</v>
      </c>
      <c r="D12" s="731">
        <f>SUM(D13:D16)</f>
        <v>2071000</v>
      </c>
      <c r="E12" s="731">
        <f>SUM(E13:E16)</f>
        <v>0</v>
      </c>
      <c r="F12" s="732">
        <f>SUM(F13:F16)</f>
        <v>2071000</v>
      </c>
      <c r="G12" s="1140">
        <f>SUM(G13:G15)</f>
        <v>0</v>
      </c>
      <c r="H12" s="731">
        <f>SUM(H13:H17)</f>
        <v>2000008</v>
      </c>
      <c r="I12" s="731">
        <f>SUM(I13:I16)</f>
        <v>0</v>
      </c>
      <c r="J12" s="732">
        <f>SUM(J13:J17)</f>
        <v>2000008</v>
      </c>
      <c r="K12" s="1140">
        <f>SUM(K13:K15)</f>
        <v>0</v>
      </c>
      <c r="L12" s="731">
        <f>SUM(L13:L17)</f>
        <v>2000031</v>
      </c>
      <c r="M12" s="731">
        <f>SUM(M13:M16)</f>
        <v>0</v>
      </c>
      <c r="N12" s="732">
        <f>SUM(N13:N17)</f>
        <v>2000031</v>
      </c>
    </row>
    <row r="13" spans="1:14" s="114" customFormat="1" ht="12.75">
      <c r="A13" s="1262"/>
      <c r="B13" s="1272" t="s">
        <v>729</v>
      </c>
      <c r="C13" s="1141"/>
      <c r="D13" s="735">
        <v>171000</v>
      </c>
      <c r="E13" s="735"/>
      <c r="F13" s="1142">
        <f>SUM(C13:E13)</f>
        <v>171000</v>
      </c>
      <c r="G13" s="1141"/>
      <c r="H13" s="735">
        <v>100000</v>
      </c>
      <c r="I13" s="735"/>
      <c r="J13" s="1142">
        <f>SUM(G13:I13)</f>
        <v>100000</v>
      </c>
      <c r="K13" s="1141"/>
      <c r="L13" s="735">
        <v>100000</v>
      </c>
      <c r="M13" s="735"/>
      <c r="N13" s="1142">
        <f>SUM(K13:M13)</f>
        <v>100000</v>
      </c>
    </row>
    <row r="14" spans="1:14" s="114" customFormat="1" ht="25.5">
      <c r="A14" s="814"/>
      <c r="B14" s="1272" t="s">
        <v>734</v>
      </c>
      <c r="C14" s="1143"/>
      <c r="D14" s="735">
        <v>1500000</v>
      </c>
      <c r="E14" s="729"/>
      <c r="F14" s="1144">
        <f>SUM(C14:E14)</f>
        <v>1500000</v>
      </c>
      <c r="G14" s="1143"/>
      <c r="H14" s="735">
        <v>1500000</v>
      </c>
      <c r="I14" s="729"/>
      <c r="J14" s="1144">
        <f>SUM(G14:I14)</f>
        <v>1500000</v>
      </c>
      <c r="K14" s="1143"/>
      <c r="L14" s="735">
        <v>1500000</v>
      </c>
      <c r="M14" s="729"/>
      <c r="N14" s="1144">
        <f>SUM(K14:M14)</f>
        <v>1500000</v>
      </c>
    </row>
    <row r="15" spans="1:14" s="114" customFormat="1" ht="25.5">
      <c r="A15" s="814"/>
      <c r="B15" s="1272" t="s">
        <v>714</v>
      </c>
      <c r="C15" s="1143"/>
      <c r="D15" s="735">
        <v>400000</v>
      </c>
      <c r="E15" s="729"/>
      <c r="F15" s="1144">
        <f>SUM(C15:E15)</f>
        <v>400000</v>
      </c>
      <c r="G15" s="1143"/>
      <c r="H15" s="735">
        <v>400000</v>
      </c>
      <c r="I15" s="729"/>
      <c r="J15" s="1144">
        <f>SUM(G15:I15)</f>
        <v>400000</v>
      </c>
      <c r="K15" s="1143"/>
      <c r="L15" s="735">
        <v>400000</v>
      </c>
      <c r="M15" s="729"/>
      <c r="N15" s="1144">
        <f>SUM(K15:M15)</f>
        <v>400000</v>
      </c>
    </row>
    <row r="16" spans="1:14" s="114" customFormat="1" ht="25.5">
      <c r="A16" s="814"/>
      <c r="B16" s="1272" t="s">
        <v>715</v>
      </c>
      <c r="C16" s="1143"/>
      <c r="D16" s="729"/>
      <c r="E16" s="729"/>
      <c r="F16" s="1144"/>
      <c r="G16" s="1143"/>
      <c r="H16" s="729"/>
      <c r="I16" s="729"/>
      <c r="J16" s="1144"/>
      <c r="K16" s="1143"/>
      <c r="L16" s="729">
        <v>1</v>
      </c>
      <c r="M16" s="729"/>
      <c r="N16" s="1144">
        <v>1</v>
      </c>
    </row>
    <row r="17" spans="1:14" s="114" customFormat="1" ht="13.5" thickBot="1">
      <c r="A17" s="1346"/>
      <c r="B17" s="1347" t="s">
        <v>181</v>
      </c>
      <c r="C17" s="1151"/>
      <c r="D17" s="757"/>
      <c r="E17" s="757"/>
      <c r="F17" s="1253"/>
      <c r="G17" s="1151"/>
      <c r="H17" s="757">
        <v>8</v>
      </c>
      <c r="I17" s="757"/>
      <c r="J17" s="1253">
        <v>8</v>
      </c>
      <c r="K17" s="1151"/>
      <c r="L17" s="757">
        <v>30</v>
      </c>
      <c r="M17" s="757"/>
      <c r="N17" s="1253">
        <v>30</v>
      </c>
    </row>
    <row r="18" spans="1:14" s="10" customFormat="1" ht="26.25" thickBot="1">
      <c r="A18" s="745" t="s">
        <v>166</v>
      </c>
      <c r="B18" s="723" t="s">
        <v>1038</v>
      </c>
      <c r="C18" s="1351"/>
      <c r="D18" s="731"/>
      <c r="E18" s="731"/>
      <c r="F18" s="732"/>
      <c r="G18" s="1351"/>
      <c r="H18" s="731"/>
      <c r="I18" s="731"/>
      <c r="J18" s="732"/>
      <c r="K18" s="1351"/>
      <c r="L18" s="731"/>
      <c r="M18" s="731"/>
      <c r="N18" s="732"/>
    </row>
    <row r="19" spans="1:14" s="522" customFormat="1" ht="16.5" thickBot="1">
      <c r="A19" s="2142" t="s">
        <v>479</v>
      </c>
      <c r="B19" s="2143"/>
      <c r="C19" s="1348">
        <f aca="true" t="shared" si="0" ref="C19:J19">SUM(C12)</f>
        <v>0</v>
      </c>
      <c r="D19" s="1349">
        <f t="shared" si="0"/>
        <v>2071000</v>
      </c>
      <c r="E19" s="1349">
        <f t="shared" si="0"/>
        <v>0</v>
      </c>
      <c r="F19" s="1350">
        <f t="shared" si="0"/>
        <v>2071000</v>
      </c>
      <c r="G19" s="1348">
        <f t="shared" si="0"/>
        <v>0</v>
      </c>
      <c r="H19" s="1349">
        <f t="shared" si="0"/>
        <v>2000008</v>
      </c>
      <c r="I19" s="1349">
        <f t="shared" si="0"/>
        <v>0</v>
      </c>
      <c r="J19" s="1350">
        <f t="shared" si="0"/>
        <v>2000008</v>
      </c>
      <c r="K19" s="1348">
        <f>SUM(K12)</f>
        <v>0</v>
      </c>
      <c r="L19" s="1349">
        <f>SUM(L12)</f>
        <v>2000031</v>
      </c>
      <c r="M19" s="1349">
        <f>SUM(M12)</f>
        <v>0</v>
      </c>
      <c r="N19" s="1350">
        <f>SUM(N12)</f>
        <v>2000031</v>
      </c>
    </row>
    <row r="20" spans="1:14" ht="25.5">
      <c r="A20" s="1263"/>
      <c r="B20" s="1272" t="s">
        <v>718</v>
      </c>
      <c r="C20" s="1268"/>
      <c r="D20" s="1269">
        <v>203352</v>
      </c>
      <c r="E20" s="1269"/>
      <c r="F20" s="1270">
        <f>SUM(C20:E20)</f>
        <v>203352</v>
      </c>
      <c r="G20" s="1268"/>
      <c r="H20" s="1269">
        <v>203352</v>
      </c>
      <c r="I20" s="1269"/>
      <c r="J20" s="1270">
        <f>SUM(G20:I20)</f>
        <v>203352</v>
      </c>
      <c r="K20" s="1268"/>
      <c r="L20" s="1269">
        <v>203352</v>
      </c>
      <c r="M20" s="1269"/>
      <c r="N20" s="1270">
        <f>SUM(K20:M20)</f>
        <v>203352</v>
      </c>
    </row>
    <row r="21" spans="1:14" ht="12.75">
      <c r="A21" s="1137"/>
      <c r="B21" s="1273" t="s">
        <v>719</v>
      </c>
      <c r="C21" s="1132">
        <f aca="true" t="shared" si="1" ref="C21:J21">SUM(C20)</f>
        <v>0</v>
      </c>
      <c r="D21" s="614">
        <f t="shared" si="1"/>
        <v>203352</v>
      </c>
      <c r="E21" s="614">
        <f t="shared" si="1"/>
        <v>0</v>
      </c>
      <c r="F21" s="1152">
        <f t="shared" si="1"/>
        <v>203352</v>
      </c>
      <c r="G21" s="1132">
        <f t="shared" si="1"/>
        <v>0</v>
      </c>
      <c r="H21" s="614">
        <f t="shared" si="1"/>
        <v>203352</v>
      </c>
      <c r="I21" s="614">
        <f t="shared" si="1"/>
        <v>0</v>
      </c>
      <c r="J21" s="1152">
        <f t="shared" si="1"/>
        <v>203352</v>
      </c>
      <c r="K21" s="1132">
        <f>SUM(K20)</f>
        <v>0</v>
      </c>
      <c r="L21" s="614">
        <f>SUM(L20)</f>
        <v>203352</v>
      </c>
      <c r="M21" s="614">
        <f>SUM(M20)</f>
        <v>0</v>
      </c>
      <c r="N21" s="1152">
        <f>SUM(N20)</f>
        <v>203352</v>
      </c>
    </row>
    <row r="22" spans="1:14" ht="26.25" thickBot="1">
      <c r="A22" s="1264"/>
      <c r="B22" s="1274" t="s">
        <v>720</v>
      </c>
      <c r="C22" s="1133">
        <v>96944100</v>
      </c>
      <c r="D22" s="741"/>
      <c r="E22" s="741"/>
      <c r="F22" s="1131">
        <f>SUM(C22:E22)</f>
        <v>96944100</v>
      </c>
      <c r="G22" s="1133">
        <v>103214157</v>
      </c>
      <c r="H22" s="741">
        <v>70992</v>
      </c>
      <c r="I22" s="741"/>
      <c r="J22" s="1131">
        <f>SUM(G22:I22)</f>
        <v>103285149</v>
      </c>
      <c r="K22" s="1133">
        <v>103214157</v>
      </c>
      <c r="L22" s="741">
        <v>70992</v>
      </c>
      <c r="M22" s="741"/>
      <c r="N22" s="1131">
        <f>SUM(K22:M22)</f>
        <v>103285149</v>
      </c>
    </row>
    <row r="23" spans="1:14" ht="16.5" thickBot="1">
      <c r="A23" s="726"/>
      <c r="B23" s="1275" t="s">
        <v>721</v>
      </c>
      <c r="C23" s="1134">
        <f aca="true" t="shared" si="2" ref="C23:J23">SUM(C21:C22)</f>
        <v>96944100</v>
      </c>
      <c r="D23" s="742">
        <f t="shared" si="2"/>
        <v>203352</v>
      </c>
      <c r="E23" s="742">
        <f t="shared" si="2"/>
        <v>0</v>
      </c>
      <c r="F23" s="1135">
        <f t="shared" si="2"/>
        <v>97147452</v>
      </c>
      <c r="G23" s="1134">
        <f t="shared" si="2"/>
        <v>103214157</v>
      </c>
      <c r="H23" s="742">
        <f t="shared" si="2"/>
        <v>274344</v>
      </c>
      <c r="I23" s="742">
        <f t="shared" si="2"/>
        <v>0</v>
      </c>
      <c r="J23" s="1135">
        <f t="shared" si="2"/>
        <v>103488501</v>
      </c>
      <c r="K23" s="1134">
        <f>SUM(K21:K22)</f>
        <v>103214157</v>
      </c>
      <c r="L23" s="742">
        <f>SUM(L21:L22)</f>
        <v>274344</v>
      </c>
      <c r="M23" s="742">
        <f>SUM(M21:M22)</f>
        <v>0</v>
      </c>
      <c r="N23" s="1135">
        <f>SUM(N21:N22)</f>
        <v>103488501</v>
      </c>
    </row>
    <row r="24" spans="1:14" ht="16.5" thickBot="1">
      <c r="A24" s="2131" t="s">
        <v>157</v>
      </c>
      <c r="B24" s="2139"/>
      <c r="C24" s="1136">
        <f aca="true" t="shared" si="3" ref="C24:J24">SUM(C19+C23)</f>
        <v>96944100</v>
      </c>
      <c r="D24" s="743">
        <f t="shared" si="3"/>
        <v>2274352</v>
      </c>
      <c r="E24" s="743">
        <f t="shared" si="3"/>
        <v>0</v>
      </c>
      <c r="F24" s="744">
        <f t="shared" si="3"/>
        <v>99218452</v>
      </c>
      <c r="G24" s="1136">
        <f t="shared" si="3"/>
        <v>103214157</v>
      </c>
      <c r="H24" s="743">
        <f t="shared" si="3"/>
        <v>2274352</v>
      </c>
      <c r="I24" s="743">
        <f t="shared" si="3"/>
        <v>0</v>
      </c>
      <c r="J24" s="744">
        <f t="shared" si="3"/>
        <v>105488509</v>
      </c>
      <c r="K24" s="1136">
        <f>SUM(K19+K23)</f>
        <v>103214157</v>
      </c>
      <c r="L24" s="743">
        <f>SUM(L19+L23)</f>
        <v>2274375</v>
      </c>
      <c r="M24" s="743">
        <f>SUM(M19+M23)</f>
        <v>0</v>
      </c>
      <c r="N24" s="744">
        <f>SUM(N19+N23)</f>
        <v>105488532</v>
      </c>
    </row>
    <row r="25" spans="1:14" ht="12.75">
      <c r="A25" s="1265" t="s">
        <v>164</v>
      </c>
      <c r="B25" s="1273" t="s">
        <v>724</v>
      </c>
      <c r="C25" s="1145">
        <v>73224344</v>
      </c>
      <c r="D25" s="439"/>
      <c r="E25" s="721"/>
      <c r="F25" s="440">
        <f>SUM(C25:E25)</f>
        <v>73224344</v>
      </c>
      <c r="G25" s="1145">
        <v>78798803</v>
      </c>
      <c r="H25" s="439"/>
      <c r="I25" s="721"/>
      <c r="J25" s="440">
        <f>SUM(G25:I25)</f>
        <v>78798803</v>
      </c>
      <c r="K25" s="1145">
        <v>78798803</v>
      </c>
      <c r="L25" s="439"/>
      <c r="M25" s="721"/>
      <c r="N25" s="440">
        <f>SUM(K25:M25)</f>
        <v>78798803</v>
      </c>
    </row>
    <row r="26" spans="1:14" ht="25.5">
      <c r="A26" s="1266" t="s">
        <v>166</v>
      </c>
      <c r="B26" s="1273" t="s">
        <v>725</v>
      </c>
      <c r="C26" s="1145">
        <v>13044108</v>
      </c>
      <c r="D26" s="414">
        <v>0</v>
      </c>
      <c r="E26" s="399"/>
      <c r="F26" s="440">
        <f>SUM(C26:E26)</f>
        <v>13044108</v>
      </c>
      <c r="G26" s="1145">
        <v>13739698</v>
      </c>
      <c r="H26" s="414">
        <v>0</v>
      </c>
      <c r="I26" s="399"/>
      <c r="J26" s="440">
        <f>SUM(G26:I26)</f>
        <v>13739698</v>
      </c>
      <c r="K26" s="1145">
        <v>13739698</v>
      </c>
      <c r="L26" s="414">
        <v>0</v>
      </c>
      <c r="M26" s="399"/>
      <c r="N26" s="440">
        <f>SUM(K26:M26)</f>
        <v>13739698</v>
      </c>
    </row>
    <row r="27" spans="1:14" s="10" customFormat="1" ht="12.75">
      <c r="A27" s="1266" t="s">
        <v>173</v>
      </c>
      <c r="B27" s="1276" t="s">
        <v>726</v>
      </c>
      <c r="C27" s="1145">
        <v>10675648</v>
      </c>
      <c r="D27" s="414">
        <v>1674352</v>
      </c>
      <c r="E27" s="414"/>
      <c r="F27" s="440">
        <f>SUM(C27:E27)</f>
        <v>12350000</v>
      </c>
      <c r="G27" s="1145">
        <v>10675648</v>
      </c>
      <c r="H27" s="414">
        <v>1674352</v>
      </c>
      <c r="I27" s="414"/>
      <c r="J27" s="440">
        <f>SUM(G27:I27)</f>
        <v>12350000</v>
      </c>
      <c r="K27" s="1145">
        <v>10675656</v>
      </c>
      <c r="L27" s="414">
        <v>1674375</v>
      </c>
      <c r="M27" s="414"/>
      <c r="N27" s="440">
        <f>SUM(K27:M27)</f>
        <v>12350031</v>
      </c>
    </row>
    <row r="28" spans="1:14" s="10" customFormat="1" ht="12.75">
      <c r="A28" s="1266" t="s">
        <v>182</v>
      </c>
      <c r="B28" s="1276" t="s">
        <v>727</v>
      </c>
      <c r="C28" s="1146"/>
      <c r="D28" s="752">
        <v>600000</v>
      </c>
      <c r="E28" s="752"/>
      <c r="F28" s="440">
        <f>SUM(C28:E28)</f>
        <v>600000</v>
      </c>
      <c r="G28" s="1146"/>
      <c r="H28" s="752">
        <v>600000</v>
      </c>
      <c r="I28" s="752"/>
      <c r="J28" s="440">
        <f>SUM(G28:I28)</f>
        <v>600000</v>
      </c>
      <c r="K28" s="1146"/>
      <c r="L28" s="752">
        <v>600000</v>
      </c>
      <c r="M28" s="752"/>
      <c r="N28" s="440">
        <f>SUM(K28:M28)</f>
        <v>600000</v>
      </c>
    </row>
    <row r="29" spans="1:14" s="114" customFormat="1" ht="12.75">
      <c r="A29" s="1138"/>
      <c r="B29" s="1148" t="s">
        <v>132</v>
      </c>
      <c r="C29" s="1147"/>
      <c r="D29" s="758">
        <v>600000</v>
      </c>
      <c r="E29" s="758"/>
      <c r="F29" s="1153"/>
      <c r="G29" s="1147"/>
      <c r="H29" s="758">
        <v>600000</v>
      </c>
      <c r="I29" s="758"/>
      <c r="J29" s="1153"/>
      <c r="K29" s="1147"/>
      <c r="L29" s="758">
        <v>600000</v>
      </c>
      <c r="M29" s="758"/>
      <c r="N29" s="1153"/>
    </row>
    <row r="30" spans="1:14" s="114" customFormat="1" ht="13.5" thickBot="1">
      <c r="A30" s="1149"/>
      <c r="B30" s="1150" t="s">
        <v>134</v>
      </c>
      <c r="C30" s="1149"/>
      <c r="D30" s="759"/>
      <c r="E30" s="759"/>
      <c r="F30" s="1154"/>
      <c r="G30" s="1149"/>
      <c r="H30" s="759"/>
      <c r="I30" s="759"/>
      <c r="J30" s="1154"/>
      <c r="K30" s="1149"/>
      <c r="L30" s="759"/>
      <c r="M30" s="759"/>
      <c r="N30" s="1154"/>
    </row>
    <row r="31" spans="1:14" ht="16.5" thickBot="1">
      <c r="A31" s="753"/>
      <c r="B31" s="1277" t="s">
        <v>728</v>
      </c>
      <c r="C31" s="1139">
        <f aca="true" t="shared" si="4" ref="C31:J31">SUM(C25:C28)</f>
        <v>96944100</v>
      </c>
      <c r="D31" s="755">
        <f t="shared" si="4"/>
        <v>2274352</v>
      </c>
      <c r="E31" s="755">
        <f t="shared" si="4"/>
        <v>0</v>
      </c>
      <c r="F31" s="756">
        <f t="shared" si="4"/>
        <v>99218452</v>
      </c>
      <c r="G31" s="1139">
        <f t="shared" si="4"/>
        <v>103214149</v>
      </c>
      <c r="H31" s="755">
        <f t="shared" si="4"/>
        <v>2274352</v>
      </c>
      <c r="I31" s="755">
        <f t="shared" si="4"/>
        <v>0</v>
      </c>
      <c r="J31" s="756">
        <f t="shared" si="4"/>
        <v>105488501</v>
      </c>
      <c r="K31" s="1139">
        <f>SUM(K25:K28)</f>
        <v>103214157</v>
      </c>
      <c r="L31" s="755">
        <f>SUM(L25:L28)</f>
        <v>2274375</v>
      </c>
      <c r="M31" s="755">
        <f>SUM(M25:M28)</f>
        <v>0</v>
      </c>
      <c r="N31" s="756">
        <f>SUM(N25:N28)</f>
        <v>105488532</v>
      </c>
    </row>
  </sheetData>
  <sheetProtection/>
  <mergeCells count="10">
    <mergeCell ref="F3:H3"/>
    <mergeCell ref="K1:N1"/>
    <mergeCell ref="K10:N10"/>
    <mergeCell ref="A6:N6"/>
    <mergeCell ref="A2:N2"/>
    <mergeCell ref="G10:J10"/>
    <mergeCell ref="A24:B24"/>
    <mergeCell ref="A10:B11"/>
    <mergeCell ref="C10:F10"/>
    <mergeCell ref="A19:B1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showGridLines="0" view="pageBreakPreview" zoomScaleSheetLayoutView="10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4" sqref="I24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4.14062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4.140625" style="0" customWidth="1"/>
    <col min="14" max="14" width="17.28125" style="0" customWidth="1"/>
  </cols>
  <sheetData>
    <row r="1" spans="1:14" ht="15">
      <c r="A1" s="2126" t="s">
        <v>736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  <c r="N1" s="2126"/>
    </row>
    <row r="2" spans="1:14" ht="12.75">
      <c r="A2" s="1856" t="s">
        <v>1259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</row>
    <row r="3" spans="1:14" ht="12.75">
      <c r="A3" s="715"/>
      <c r="B3" s="715"/>
      <c r="C3" s="715"/>
      <c r="D3" s="715"/>
      <c r="E3" s="715"/>
      <c r="F3" s="1856" t="s">
        <v>1261</v>
      </c>
      <c r="G3" s="1856"/>
      <c r="H3" s="1856"/>
      <c r="I3" s="715"/>
      <c r="J3" s="715"/>
      <c r="K3" s="715"/>
      <c r="L3" s="715"/>
      <c r="M3" s="715"/>
      <c r="N3" s="715" t="s">
        <v>1271</v>
      </c>
    </row>
    <row r="4" spans="1:14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</row>
    <row r="5" spans="1:14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</row>
    <row r="6" spans="1:14" ht="29.25" customHeight="1">
      <c r="A6" s="2137" t="s">
        <v>735</v>
      </c>
      <c r="B6" s="2137"/>
      <c r="C6" s="2137"/>
      <c r="D6" s="2137"/>
      <c r="E6" s="2137"/>
      <c r="F6" s="2137"/>
      <c r="G6" s="2137"/>
      <c r="H6" s="2137"/>
      <c r="I6" s="2137"/>
      <c r="J6" s="2137"/>
      <c r="K6" s="2137"/>
      <c r="L6" s="2137"/>
      <c r="M6" s="2137"/>
      <c r="N6" s="2137"/>
    </row>
    <row r="9" spans="6:14" ht="13.5" thickBot="1">
      <c r="F9" s="851"/>
      <c r="J9" s="851"/>
      <c r="N9" s="851" t="s">
        <v>214</v>
      </c>
    </row>
    <row r="10" spans="1:14" ht="12.75">
      <c r="A10" s="2147" t="s">
        <v>706</v>
      </c>
      <c r="B10" s="2148"/>
      <c r="C10" s="2144" t="s">
        <v>522</v>
      </c>
      <c r="D10" s="2145"/>
      <c r="E10" s="2145"/>
      <c r="F10" s="2146"/>
      <c r="G10" s="2144" t="s">
        <v>1165</v>
      </c>
      <c r="H10" s="2145"/>
      <c r="I10" s="2145"/>
      <c r="J10" s="2146"/>
      <c r="K10" s="2144" t="s">
        <v>1257</v>
      </c>
      <c r="L10" s="2145"/>
      <c r="M10" s="2145"/>
      <c r="N10" s="2146"/>
    </row>
    <row r="11" spans="1:14" s="4" customFormat="1" ht="26.25" customHeight="1" thickBot="1">
      <c r="A11" s="2149"/>
      <c r="B11" s="2150"/>
      <c r="C11" s="750" t="s">
        <v>707</v>
      </c>
      <c r="D11" s="720" t="s">
        <v>708</v>
      </c>
      <c r="E11" s="720" t="s">
        <v>709</v>
      </c>
      <c r="F11" s="762" t="s">
        <v>25</v>
      </c>
      <c r="G11" s="750" t="s">
        <v>707</v>
      </c>
      <c r="H11" s="720" t="s">
        <v>708</v>
      </c>
      <c r="I11" s="720" t="s">
        <v>709</v>
      </c>
      <c r="J11" s="762" t="s">
        <v>25</v>
      </c>
      <c r="K11" s="750" t="s">
        <v>707</v>
      </c>
      <c r="L11" s="720" t="s">
        <v>708</v>
      </c>
      <c r="M11" s="720" t="s">
        <v>709</v>
      </c>
      <c r="N11" s="762" t="s">
        <v>25</v>
      </c>
    </row>
    <row r="12" spans="1:14" s="4" customFormat="1" ht="26.25" customHeight="1" thickBot="1">
      <c r="A12" s="833" t="s">
        <v>164</v>
      </c>
      <c r="B12" s="902" t="s">
        <v>789</v>
      </c>
      <c r="C12" s="903">
        <v>0</v>
      </c>
      <c r="D12" s="834">
        <v>0</v>
      </c>
      <c r="E12" s="835">
        <v>0</v>
      </c>
      <c r="F12" s="904">
        <v>0</v>
      </c>
      <c r="G12" s="903">
        <v>0</v>
      </c>
      <c r="H12" s="834">
        <v>0</v>
      </c>
      <c r="I12" s="835">
        <v>0</v>
      </c>
      <c r="J12" s="904">
        <v>0</v>
      </c>
      <c r="K12" s="903">
        <v>0</v>
      </c>
      <c r="L12" s="834">
        <v>0</v>
      </c>
      <c r="M12" s="835">
        <v>0</v>
      </c>
      <c r="N12" s="904">
        <v>0</v>
      </c>
    </row>
    <row r="13" spans="1:14" s="10" customFormat="1" ht="13.5" thickBot="1">
      <c r="A13" s="745" t="s">
        <v>166</v>
      </c>
      <c r="B13" s="723" t="s">
        <v>711</v>
      </c>
      <c r="C13" s="731">
        <f>SUM(C14:C19)</f>
        <v>12327702</v>
      </c>
      <c r="D13" s="748">
        <f>SUM(D14:D19)</f>
        <v>12619798</v>
      </c>
      <c r="E13" s="748">
        <f>SUM(E14:E19)</f>
        <v>0</v>
      </c>
      <c r="F13" s="749">
        <f>SUM(F14:F19)</f>
        <v>24947500</v>
      </c>
      <c r="G13" s="731">
        <f>SUM(G14:G19)</f>
        <v>20536126</v>
      </c>
      <c r="H13" s="748">
        <f>SUM(H14:H20)</f>
        <v>1237548</v>
      </c>
      <c r="I13" s="748">
        <f>SUM(I14:I20)</f>
        <v>0</v>
      </c>
      <c r="J13" s="748">
        <f>SUM(J14:J20)</f>
        <v>21773674</v>
      </c>
      <c r="K13" s="731">
        <f>SUM(K14:K19)</f>
        <v>20536126</v>
      </c>
      <c r="L13" s="748">
        <f>SUM(L14:L20)</f>
        <v>1237601</v>
      </c>
      <c r="M13" s="748">
        <f>SUM(M14:M20)</f>
        <v>0</v>
      </c>
      <c r="N13" s="748">
        <f>SUM(N14:N20)</f>
        <v>21773727</v>
      </c>
    </row>
    <row r="14" spans="1:14" s="114" customFormat="1" ht="12.75">
      <c r="A14" s="1262"/>
      <c r="B14" s="717" t="s">
        <v>737</v>
      </c>
      <c r="C14" s="734"/>
      <c r="D14" s="735">
        <v>210000</v>
      </c>
      <c r="E14" s="735"/>
      <c r="F14" s="1142">
        <f>SUM(C14:E14)</f>
        <v>210000</v>
      </c>
      <c r="G14" s="734"/>
      <c r="H14" s="735">
        <v>100000</v>
      </c>
      <c r="I14" s="735"/>
      <c r="J14" s="1142">
        <f>SUM(G14:I14)</f>
        <v>100000</v>
      </c>
      <c r="K14" s="734"/>
      <c r="L14" s="735">
        <v>100000</v>
      </c>
      <c r="M14" s="735"/>
      <c r="N14" s="1142">
        <f>SUM(K14:M14)</f>
        <v>100000</v>
      </c>
    </row>
    <row r="15" spans="1:14" s="114" customFormat="1" ht="12.75">
      <c r="A15" s="1262"/>
      <c r="B15" s="1267" t="s">
        <v>1024</v>
      </c>
      <c r="C15" s="734"/>
      <c r="D15" s="735">
        <v>16500</v>
      </c>
      <c r="E15" s="735"/>
      <c r="F15" s="1142">
        <v>16500</v>
      </c>
      <c r="G15" s="734"/>
      <c r="H15" s="735">
        <v>16500</v>
      </c>
      <c r="I15" s="735"/>
      <c r="J15" s="1142">
        <v>16500</v>
      </c>
      <c r="K15" s="734"/>
      <c r="L15" s="735">
        <v>16500</v>
      </c>
      <c r="M15" s="735"/>
      <c r="N15" s="1142">
        <v>16500</v>
      </c>
    </row>
    <row r="16" spans="1:14" s="114" customFormat="1" ht="12.75">
      <c r="A16" s="1262"/>
      <c r="B16" s="717" t="s">
        <v>738</v>
      </c>
      <c r="C16" s="734"/>
      <c r="D16" s="735">
        <v>121000</v>
      </c>
      <c r="E16" s="735"/>
      <c r="F16" s="1142">
        <f>SUM(C16:E16)</f>
        <v>121000</v>
      </c>
      <c r="G16" s="734"/>
      <c r="H16" s="735">
        <v>121000</v>
      </c>
      <c r="I16" s="735"/>
      <c r="J16" s="1142">
        <f>SUM(G16:I16)</f>
        <v>121000</v>
      </c>
      <c r="K16" s="734"/>
      <c r="L16" s="735">
        <v>121000</v>
      </c>
      <c r="M16" s="735"/>
      <c r="N16" s="1142">
        <f>SUM(K16:M16)</f>
        <v>121000</v>
      </c>
    </row>
    <row r="17" spans="1:14" s="114" customFormat="1" ht="12.75">
      <c r="A17" s="1262"/>
      <c r="B17" s="717" t="s">
        <v>713</v>
      </c>
      <c r="C17" s="734">
        <v>7027702</v>
      </c>
      <c r="D17" s="735">
        <v>12272298</v>
      </c>
      <c r="E17" s="735"/>
      <c r="F17" s="1142">
        <f>SUM(C17:E17)</f>
        <v>19300000</v>
      </c>
      <c r="G17" s="734">
        <v>15887501</v>
      </c>
      <c r="H17" s="735">
        <v>1000000</v>
      </c>
      <c r="I17" s="735"/>
      <c r="J17" s="1142">
        <f>SUM(G17:I17)</f>
        <v>16887501</v>
      </c>
      <c r="K17" s="734">
        <v>15887501</v>
      </c>
      <c r="L17" s="735">
        <v>1000000</v>
      </c>
      <c r="M17" s="735"/>
      <c r="N17" s="1142">
        <f>SUM(K17:M17)</f>
        <v>16887501</v>
      </c>
    </row>
    <row r="18" spans="1:14" s="114" customFormat="1" ht="25.5">
      <c r="A18" s="1262"/>
      <c r="B18" s="717" t="s">
        <v>714</v>
      </c>
      <c r="C18" s="734">
        <v>5300000</v>
      </c>
      <c r="D18" s="735"/>
      <c r="E18" s="735"/>
      <c r="F18" s="1142">
        <f>SUM(C18:E18)</f>
        <v>5300000</v>
      </c>
      <c r="G18" s="734">
        <v>4648625</v>
      </c>
      <c r="H18" s="735"/>
      <c r="I18" s="735"/>
      <c r="J18" s="1142">
        <f>SUM(G18:I18)</f>
        <v>4648625</v>
      </c>
      <c r="K18" s="734">
        <v>4648625</v>
      </c>
      <c r="L18" s="735"/>
      <c r="M18" s="735"/>
      <c r="N18" s="1142">
        <f>SUM(K18:M18)</f>
        <v>4648625</v>
      </c>
    </row>
    <row r="19" spans="1:14" s="114" customFormat="1" ht="12.75">
      <c r="A19" s="814"/>
      <c r="B19" s="717" t="s">
        <v>730</v>
      </c>
      <c r="C19" s="736"/>
      <c r="D19" s="729"/>
      <c r="E19" s="729"/>
      <c r="F19" s="1144">
        <f>SUM(C19:E19)</f>
        <v>0</v>
      </c>
      <c r="G19" s="736"/>
      <c r="H19" s="729">
        <v>47</v>
      </c>
      <c r="I19" s="729"/>
      <c r="J19" s="1144">
        <f>SUM(G19:I19)</f>
        <v>47</v>
      </c>
      <c r="K19" s="736"/>
      <c r="L19" s="729">
        <v>100</v>
      </c>
      <c r="M19" s="729"/>
      <c r="N19" s="1144">
        <v>100</v>
      </c>
    </row>
    <row r="20" spans="1:14" s="114" customFormat="1" ht="13.5" thickBot="1">
      <c r="A20" s="1632"/>
      <c r="B20" s="1634" t="s">
        <v>1185</v>
      </c>
      <c r="C20" s="1633"/>
      <c r="D20" s="757"/>
      <c r="E20" s="757"/>
      <c r="F20" s="1253"/>
      <c r="G20" s="1633"/>
      <c r="H20" s="757">
        <v>1</v>
      </c>
      <c r="I20" s="757"/>
      <c r="J20" s="1253">
        <v>1</v>
      </c>
      <c r="K20" s="1633"/>
      <c r="L20" s="757">
        <v>1</v>
      </c>
      <c r="M20" s="757"/>
      <c r="N20" s="1253">
        <v>1</v>
      </c>
    </row>
    <row r="21" spans="1:14" s="522" customFormat="1" ht="16.5" thickBot="1">
      <c r="A21" s="2129" t="s">
        <v>479</v>
      </c>
      <c r="B21" s="2130"/>
      <c r="C21" s="738">
        <f aca="true" t="shared" si="0" ref="C21:J21">SUM(C13)</f>
        <v>12327702</v>
      </c>
      <c r="D21" s="738">
        <f t="shared" si="0"/>
        <v>12619798</v>
      </c>
      <c r="E21" s="738">
        <f t="shared" si="0"/>
        <v>0</v>
      </c>
      <c r="F21" s="739">
        <f t="shared" si="0"/>
        <v>24947500</v>
      </c>
      <c r="G21" s="738">
        <f t="shared" si="0"/>
        <v>20536126</v>
      </c>
      <c r="H21" s="738">
        <f t="shared" si="0"/>
        <v>1237548</v>
      </c>
      <c r="I21" s="738">
        <f t="shared" si="0"/>
        <v>0</v>
      </c>
      <c r="J21" s="739">
        <f t="shared" si="0"/>
        <v>21773674</v>
      </c>
      <c r="K21" s="738">
        <f>SUM(K13)</f>
        <v>20536126</v>
      </c>
      <c r="L21" s="738">
        <f>SUM(L13)</f>
        <v>1237601</v>
      </c>
      <c r="M21" s="738">
        <f>SUM(M13)</f>
        <v>0</v>
      </c>
      <c r="N21" s="739">
        <f>SUM(N13)</f>
        <v>21773727</v>
      </c>
    </row>
    <row r="22" spans="1:14" ht="25.5">
      <c r="A22" s="1263"/>
      <c r="B22" s="717" t="s">
        <v>718</v>
      </c>
      <c r="C22" s="740">
        <v>530936</v>
      </c>
      <c r="D22" s="740"/>
      <c r="E22" s="740"/>
      <c r="F22" s="1131">
        <f>SUM(C22:E22)</f>
        <v>530936</v>
      </c>
      <c r="G22" s="740">
        <v>530936</v>
      </c>
      <c r="H22" s="740"/>
      <c r="I22" s="740"/>
      <c r="J22" s="1131">
        <f>SUM(G22:I22)</f>
        <v>530936</v>
      </c>
      <c r="K22" s="740">
        <v>530936</v>
      </c>
      <c r="L22" s="740"/>
      <c r="M22" s="740"/>
      <c r="N22" s="1131">
        <f>SUM(K22:M22)</f>
        <v>530936</v>
      </c>
    </row>
    <row r="23" spans="1:14" ht="12.75">
      <c r="A23" s="1266" t="s">
        <v>173</v>
      </c>
      <c r="B23" s="718" t="s">
        <v>719</v>
      </c>
      <c r="C23" s="614">
        <v>530936</v>
      </c>
      <c r="D23" s="614"/>
      <c r="E23" s="614"/>
      <c r="F23" s="1131">
        <f>SUM(C23:E23)</f>
        <v>530936</v>
      </c>
      <c r="G23" s="614">
        <v>530936</v>
      </c>
      <c r="H23" s="614"/>
      <c r="I23" s="614"/>
      <c r="J23" s="1131">
        <f>SUM(G23:I23)</f>
        <v>530936</v>
      </c>
      <c r="K23" s="614">
        <v>530936</v>
      </c>
      <c r="L23" s="614"/>
      <c r="M23" s="614"/>
      <c r="N23" s="1131">
        <f>SUM(K23:M23)</f>
        <v>530936</v>
      </c>
    </row>
    <row r="24" spans="1:14" ht="26.25" thickBot="1">
      <c r="A24" s="1264"/>
      <c r="B24" s="724" t="s">
        <v>720</v>
      </c>
      <c r="C24" s="741">
        <v>77694289</v>
      </c>
      <c r="D24" s="741"/>
      <c r="E24" s="741"/>
      <c r="F24" s="1131">
        <f>SUM(C24:E24)</f>
        <v>77694289</v>
      </c>
      <c r="G24" s="741">
        <v>77728012</v>
      </c>
      <c r="H24" s="741"/>
      <c r="I24" s="741"/>
      <c r="J24" s="1131">
        <f>SUM(G24:I24)</f>
        <v>77728012</v>
      </c>
      <c r="K24" s="741">
        <v>77790991</v>
      </c>
      <c r="L24" s="741"/>
      <c r="M24" s="741"/>
      <c r="N24" s="1131">
        <f>SUM(K24:M24)</f>
        <v>77790991</v>
      </c>
    </row>
    <row r="25" spans="1:14" ht="16.5" thickBot="1">
      <c r="A25" s="726"/>
      <c r="B25" s="727" t="s">
        <v>721</v>
      </c>
      <c r="C25" s="742">
        <f aca="true" t="shared" si="1" ref="C25:J25">SUM(C23:C24)</f>
        <v>78225225</v>
      </c>
      <c r="D25" s="742">
        <f t="shared" si="1"/>
        <v>0</v>
      </c>
      <c r="E25" s="742">
        <f t="shared" si="1"/>
        <v>0</v>
      </c>
      <c r="F25" s="1135">
        <f t="shared" si="1"/>
        <v>78225225</v>
      </c>
      <c r="G25" s="742">
        <f t="shared" si="1"/>
        <v>78258948</v>
      </c>
      <c r="H25" s="742">
        <f t="shared" si="1"/>
        <v>0</v>
      </c>
      <c r="I25" s="742">
        <f t="shared" si="1"/>
        <v>0</v>
      </c>
      <c r="J25" s="1135">
        <f t="shared" si="1"/>
        <v>78258948</v>
      </c>
      <c r="K25" s="742">
        <f>SUM(K23:K24)</f>
        <v>78321927</v>
      </c>
      <c r="L25" s="742">
        <f>SUM(L23:L24)</f>
        <v>0</v>
      </c>
      <c r="M25" s="742">
        <f>SUM(M23:M24)</f>
        <v>0</v>
      </c>
      <c r="N25" s="1135">
        <f>SUM(N23:N24)</f>
        <v>78321927</v>
      </c>
    </row>
    <row r="26" spans="1:14" ht="16.5" thickBot="1">
      <c r="A26" s="2131" t="s">
        <v>157</v>
      </c>
      <c r="B26" s="2132"/>
      <c r="C26" s="743">
        <f aca="true" t="shared" si="2" ref="C26:J26">SUM(C21+C25)</f>
        <v>90552927</v>
      </c>
      <c r="D26" s="743">
        <f t="shared" si="2"/>
        <v>12619798</v>
      </c>
      <c r="E26" s="743">
        <f t="shared" si="2"/>
        <v>0</v>
      </c>
      <c r="F26" s="744">
        <f t="shared" si="2"/>
        <v>103172725</v>
      </c>
      <c r="G26" s="743">
        <f t="shared" si="2"/>
        <v>98795074</v>
      </c>
      <c r="H26" s="743">
        <f t="shared" si="2"/>
        <v>1237548</v>
      </c>
      <c r="I26" s="743">
        <f t="shared" si="2"/>
        <v>0</v>
      </c>
      <c r="J26" s="744">
        <f t="shared" si="2"/>
        <v>100032622</v>
      </c>
      <c r="K26" s="743">
        <f>SUM(K21+K25)</f>
        <v>98858053</v>
      </c>
      <c r="L26" s="743">
        <f>SUM(L21+L25)</f>
        <v>1237601</v>
      </c>
      <c r="M26" s="743">
        <f>SUM(M21+M25)</f>
        <v>0</v>
      </c>
      <c r="N26" s="744">
        <f>SUM(N21+N25)</f>
        <v>100095654</v>
      </c>
    </row>
    <row r="27" spans="1:14" ht="12.75">
      <c r="A27" s="1265" t="s">
        <v>164</v>
      </c>
      <c r="B27" s="718" t="s">
        <v>724</v>
      </c>
      <c r="C27" s="439">
        <v>47179414</v>
      </c>
      <c r="D27" s="439">
        <v>3972889</v>
      </c>
      <c r="E27" s="721"/>
      <c r="F27" s="440">
        <f>SUM(C27:E27)</f>
        <v>51152303</v>
      </c>
      <c r="G27" s="439">
        <v>51181003</v>
      </c>
      <c r="H27" s="439"/>
      <c r="I27" s="721"/>
      <c r="J27" s="440">
        <f>SUM(G27:I27)</f>
        <v>51181003</v>
      </c>
      <c r="K27" s="439">
        <v>51234603</v>
      </c>
      <c r="L27" s="439"/>
      <c r="M27" s="721"/>
      <c r="N27" s="440">
        <f>SUM(K27:M27)</f>
        <v>51234603</v>
      </c>
    </row>
    <row r="28" spans="1:14" ht="25.5">
      <c r="A28" s="1266" t="s">
        <v>166</v>
      </c>
      <c r="B28" s="718" t="s">
        <v>725</v>
      </c>
      <c r="C28" s="439">
        <v>7883513</v>
      </c>
      <c r="D28" s="439">
        <v>646909</v>
      </c>
      <c r="E28" s="399"/>
      <c r="F28" s="440">
        <f>SUM(C28:E28)</f>
        <v>8530422</v>
      </c>
      <c r="G28" s="439">
        <v>8535445</v>
      </c>
      <c r="H28" s="439"/>
      <c r="I28" s="399"/>
      <c r="J28" s="440">
        <f>SUM(G28:I28)</f>
        <v>8535445</v>
      </c>
      <c r="K28" s="439">
        <v>8544824</v>
      </c>
      <c r="L28" s="439"/>
      <c r="M28" s="399"/>
      <c r="N28" s="440">
        <f>SUM(K28:M28)</f>
        <v>8544824</v>
      </c>
    </row>
    <row r="29" spans="1:14" s="10" customFormat="1" ht="12.75">
      <c r="A29" s="1266" t="s">
        <v>173</v>
      </c>
      <c r="B29" s="613" t="s">
        <v>726</v>
      </c>
      <c r="C29" s="439">
        <v>36490000</v>
      </c>
      <c r="D29" s="439">
        <v>6000000</v>
      </c>
      <c r="E29" s="414"/>
      <c r="F29" s="440">
        <f>SUM(C29:E29)</f>
        <v>42490000</v>
      </c>
      <c r="G29" s="439">
        <v>39078626</v>
      </c>
      <c r="H29" s="439">
        <v>237548</v>
      </c>
      <c r="I29" s="414"/>
      <c r="J29" s="440">
        <f>SUM(G29:I29)</f>
        <v>39316174</v>
      </c>
      <c r="K29" s="439">
        <v>39078626</v>
      </c>
      <c r="L29" s="439">
        <v>237601</v>
      </c>
      <c r="M29" s="414"/>
      <c r="N29" s="440">
        <f>SUM(K29:M29)</f>
        <v>39316227</v>
      </c>
    </row>
    <row r="30" spans="1:14" s="10" customFormat="1" ht="12.75">
      <c r="A30" s="1266" t="s">
        <v>182</v>
      </c>
      <c r="B30" s="613" t="s">
        <v>727</v>
      </c>
      <c r="C30" s="752"/>
      <c r="D30" s="752">
        <v>1000000</v>
      </c>
      <c r="E30" s="752">
        <f>SUM(E31:E32)</f>
        <v>0</v>
      </c>
      <c r="F30" s="440">
        <f>SUM(C30:E30)</f>
        <v>1000000</v>
      </c>
      <c r="G30" s="752"/>
      <c r="H30" s="752">
        <v>1000000</v>
      </c>
      <c r="I30" s="752">
        <f>SUM(I31:I32)</f>
        <v>0</v>
      </c>
      <c r="J30" s="440">
        <f>SUM(G30:I30)</f>
        <v>1000000</v>
      </c>
      <c r="K30" s="752"/>
      <c r="L30" s="752">
        <v>1000000</v>
      </c>
      <c r="M30" s="752">
        <f>SUM(M31:M32)</f>
        <v>0</v>
      </c>
      <c r="N30" s="440">
        <f>SUM(K30:M30)</f>
        <v>1000000</v>
      </c>
    </row>
    <row r="31" spans="1:14" s="114" customFormat="1" ht="12.75">
      <c r="A31" s="1138"/>
      <c r="B31" s="719" t="s">
        <v>132</v>
      </c>
      <c r="C31" s="437"/>
      <c r="D31" s="719">
        <v>1000000</v>
      </c>
      <c r="E31" s="719"/>
      <c r="F31" s="1148"/>
      <c r="G31" s="437"/>
      <c r="H31" s="719">
        <v>1000000</v>
      </c>
      <c r="I31" s="719"/>
      <c r="J31" s="1148"/>
      <c r="K31" s="437"/>
      <c r="L31" s="719">
        <v>1000000</v>
      </c>
      <c r="M31" s="719"/>
      <c r="N31" s="1148"/>
    </row>
    <row r="32" spans="1:14" s="114" customFormat="1" ht="13.5" thickBot="1">
      <c r="A32" s="1149"/>
      <c r="B32" s="728" t="s">
        <v>134</v>
      </c>
      <c r="C32" s="728"/>
      <c r="D32" s="728"/>
      <c r="E32" s="728"/>
      <c r="F32" s="1150"/>
      <c r="G32" s="728"/>
      <c r="H32" s="728"/>
      <c r="I32" s="728"/>
      <c r="J32" s="1150"/>
      <c r="K32" s="728"/>
      <c r="L32" s="728"/>
      <c r="M32" s="728"/>
      <c r="N32" s="1150"/>
    </row>
    <row r="33" spans="1:14" ht="16.5" thickBot="1">
      <c r="A33" s="753"/>
      <c r="B33" s="754" t="s">
        <v>728</v>
      </c>
      <c r="C33" s="755">
        <f>SUM(C27:C30)</f>
        <v>91552927</v>
      </c>
      <c r="D33" s="755">
        <f>SUM(D27:D31)</f>
        <v>12619798</v>
      </c>
      <c r="E33" s="755">
        <f aca="true" t="shared" si="3" ref="E33:J33">SUM(E27:E30)</f>
        <v>0</v>
      </c>
      <c r="F33" s="756">
        <f t="shared" si="3"/>
        <v>103172725</v>
      </c>
      <c r="G33" s="755">
        <f t="shared" si="3"/>
        <v>98795074</v>
      </c>
      <c r="H33" s="755">
        <f t="shared" si="3"/>
        <v>1237548</v>
      </c>
      <c r="I33" s="755">
        <f t="shared" si="3"/>
        <v>0</v>
      </c>
      <c r="J33" s="756">
        <f t="shared" si="3"/>
        <v>100032622</v>
      </c>
      <c r="K33" s="755">
        <f>SUM(K27:K30)</f>
        <v>98858053</v>
      </c>
      <c r="L33" s="755">
        <f>SUM(L27:L30)</f>
        <v>1237601</v>
      </c>
      <c r="M33" s="755">
        <f>SUM(M27:M30)</f>
        <v>0</v>
      </c>
      <c r="N33" s="756">
        <f>SUM(N27:N30)</f>
        <v>100095654</v>
      </c>
    </row>
  </sheetData>
  <sheetProtection/>
  <mergeCells count="10">
    <mergeCell ref="K10:N10"/>
    <mergeCell ref="A6:N6"/>
    <mergeCell ref="A2:N2"/>
    <mergeCell ref="A1:N1"/>
    <mergeCell ref="G10:J10"/>
    <mergeCell ref="A26:B26"/>
    <mergeCell ref="A10:B11"/>
    <mergeCell ref="C10:F10"/>
    <mergeCell ref="A21:B21"/>
    <mergeCell ref="F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P72"/>
  <sheetViews>
    <sheetView showGridLines="0" view="pageBreakPreview" zoomScale="106" zoomScaleSheetLayoutView="106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9" sqref="K19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20.140625" style="0" customWidth="1"/>
    <col min="4" max="4" width="17.421875" style="0" customWidth="1"/>
    <col min="5" max="5" width="14.421875" style="0" customWidth="1"/>
    <col min="6" max="6" width="19.140625" style="0" customWidth="1"/>
    <col min="7" max="7" width="20.140625" style="0" customWidth="1"/>
    <col min="8" max="8" width="17.421875" style="0" customWidth="1"/>
    <col min="9" max="9" width="14.421875" style="0" customWidth="1"/>
    <col min="10" max="10" width="19.140625" style="0" customWidth="1"/>
    <col min="11" max="11" width="20.140625" style="0" customWidth="1"/>
    <col min="12" max="12" width="17.421875" style="0" customWidth="1"/>
    <col min="13" max="13" width="14.421875" style="0" customWidth="1"/>
    <col min="14" max="14" width="19.140625" style="0" customWidth="1"/>
  </cols>
  <sheetData>
    <row r="1" spans="1:14" ht="15">
      <c r="A1" s="2126" t="s">
        <v>740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  <c r="N1" s="2126"/>
    </row>
    <row r="2" spans="1:14" ht="12.75">
      <c r="A2" s="1856" t="s">
        <v>1259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</row>
    <row r="3" spans="1:14" ht="12.75">
      <c r="A3" s="715"/>
      <c r="B3" s="715"/>
      <c r="C3" s="715"/>
      <c r="D3" s="715"/>
      <c r="E3" s="715"/>
      <c r="F3" s="1856" t="s">
        <v>1261</v>
      </c>
      <c r="G3" s="1856"/>
      <c r="H3" s="1856"/>
      <c r="I3" s="715"/>
      <c r="J3" s="715"/>
      <c r="K3" s="715"/>
      <c r="L3" s="715"/>
      <c r="M3" s="715"/>
      <c r="N3" s="715" t="s">
        <v>1272</v>
      </c>
    </row>
    <row r="4" spans="1:14" ht="12.75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</row>
    <row r="5" spans="1:14" ht="12.75">
      <c r="A5" s="715"/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</row>
    <row r="6" spans="1:14" ht="42.75" customHeight="1">
      <c r="A6" s="2137" t="s">
        <v>739</v>
      </c>
      <c r="B6" s="2137"/>
      <c r="C6" s="2137"/>
      <c r="D6" s="2137"/>
      <c r="E6" s="2137"/>
      <c r="F6" s="2137"/>
      <c r="G6" s="2137"/>
      <c r="H6" s="2137"/>
      <c r="I6" s="2137"/>
      <c r="J6" s="2137"/>
      <c r="K6" s="2137"/>
      <c r="L6" s="2137"/>
      <c r="M6" s="2137"/>
      <c r="N6" s="2137"/>
    </row>
    <row r="9" ht="13.5" thickBot="1">
      <c r="N9" t="s">
        <v>214</v>
      </c>
    </row>
    <row r="10" spans="1:14" ht="12.75">
      <c r="A10" s="2133" t="s">
        <v>706</v>
      </c>
      <c r="B10" s="2134"/>
      <c r="C10" s="2127" t="s">
        <v>522</v>
      </c>
      <c r="D10" s="2127"/>
      <c r="E10" s="2127"/>
      <c r="F10" s="2128"/>
      <c r="G10" s="2127" t="s">
        <v>1165</v>
      </c>
      <c r="H10" s="2127"/>
      <c r="I10" s="2127"/>
      <c r="J10" s="2128"/>
      <c r="K10" s="2127" t="s">
        <v>1186</v>
      </c>
      <c r="L10" s="2127"/>
      <c r="M10" s="2127"/>
      <c r="N10" s="2128"/>
    </row>
    <row r="11" spans="1:14" s="4" customFormat="1" ht="26.25" customHeight="1">
      <c r="A11" s="2151"/>
      <c r="B11" s="2152"/>
      <c r="C11" s="720" t="s">
        <v>707</v>
      </c>
      <c r="D11" s="720" t="s">
        <v>708</v>
      </c>
      <c r="E11" s="720" t="s">
        <v>709</v>
      </c>
      <c r="F11" s="762" t="s">
        <v>25</v>
      </c>
      <c r="G11" s="720" t="s">
        <v>707</v>
      </c>
      <c r="H11" s="720" t="s">
        <v>708</v>
      </c>
      <c r="I11" s="720" t="s">
        <v>709</v>
      </c>
      <c r="J11" s="762" t="s">
        <v>25</v>
      </c>
      <c r="K11" s="720" t="s">
        <v>707</v>
      </c>
      <c r="L11" s="720" t="s">
        <v>708</v>
      </c>
      <c r="M11" s="720" t="s">
        <v>709</v>
      </c>
      <c r="N11" s="762" t="s">
        <v>25</v>
      </c>
    </row>
    <row r="12" spans="1:14" s="4" customFormat="1" ht="26.25" customHeight="1">
      <c r="A12" s="1595"/>
      <c r="B12" s="717" t="s">
        <v>741</v>
      </c>
      <c r="C12" s="763">
        <v>61975191</v>
      </c>
      <c r="D12" s="763"/>
      <c r="E12" s="763"/>
      <c r="F12" s="1596">
        <f aca="true" t="shared" si="0" ref="F12:F17">SUM(C12:E12)</f>
        <v>61975191</v>
      </c>
      <c r="G12" s="763">
        <v>75331491</v>
      </c>
      <c r="H12" s="763"/>
      <c r="I12" s="763"/>
      <c r="J12" s="1596">
        <f aca="true" t="shared" si="1" ref="J12:J17">SUM(G12:I12)</f>
        <v>75331491</v>
      </c>
      <c r="K12" s="763">
        <v>75719241</v>
      </c>
      <c r="L12" s="763"/>
      <c r="M12" s="763"/>
      <c r="N12" s="1596">
        <f aca="true" t="shared" si="2" ref="N12:N17">SUM(K12:M12)</f>
        <v>75719241</v>
      </c>
    </row>
    <row r="13" spans="1:14" s="4" customFormat="1" ht="26.25" customHeight="1">
      <c r="A13" s="1595"/>
      <c r="B13" s="717" t="s">
        <v>742</v>
      </c>
      <c r="C13" s="763">
        <v>71578420</v>
      </c>
      <c r="D13" s="763"/>
      <c r="E13" s="763"/>
      <c r="F13" s="1596">
        <f t="shared" si="0"/>
        <v>71578420</v>
      </c>
      <c r="G13" s="763">
        <v>71578420</v>
      </c>
      <c r="H13" s="763"/>
      <c r="I13" s="763"/>
      <c r="J13" s="1596">
        <f t="shared" si="1"/>
        <v>71578420</v>
      </c>
      <c r="K13" s="763">
        <v>76658570</v>
      </c>
      <c r="L13" s="763"/>
      <c r="M13" s="763"/>
      <c r="N13" s="1596">
        <f t="shared" si="2"/>
        <v>76658570</v>
      </c>
    </row>
    <row r="14" spans="1:14" s="4" customFormat="1" ht="26.25" customHeight="1">
      <c r="A14" s="1595"/>
      <c r="B14" s="717" t="s">
        <v>743</v>
      </c>
      <c r="C14" s="763">
        <v>68387414</v>
      </c>
      <c r="D14" s="763"/>
      <c r="E14" s="763"/>
      <c r="F14" s="1596">
        <f t="shared" si="0"/>
        <v>68387414</v>
      </c>
      <c r="G14" s="763">
        <v>70287414</v>
      </c>
      <c r="H14" s="763"/>
      <c r="I14" s="763"/>
      <c r="J14" s="1596">
        <f t="shared" si="1"/>
        <v>70287414</v>
      </c>
      <c r="K14" s="763">
        <v>73978454</v>
      </c>
      <c r="L14" s="763"/>
      <c r="M14" s="763"/>
      <c r="N14" s="1596">
        <f t="shared" si="2"/>
        <v>73978454</v>
      </c>
    </row>
    <row r="15" spans="1:14" s="4" customFormat="1" ht="26.25" customHeight="1">
      <c r="A15" s="1595"/>
      <c r="B15" s="717" t="s">
        <v>744</v>
      </c>
      <c r="C15" s="763">
        <v>4357233</v>
      </c>
      <c r="D15" s="763"/>
      <c r="E15" s="763"/>
      <c r="F15" s="1596">
        <f t="shared" si="0"/>
        <v>4357233</v>
      </c>
      <c r="G15" s="763">
        <v>4357233</v>
      </c>
      <c r="H15" s="763"/>
      <c r="I15" s="763"/>
      <c r="J15" s="1596">
        <f t="shared" si="1"/>
        <v>4357233</v>
      </c>
      <c r="K15" s="763">
        <v>5854923</v>
      </c>
      <c r="L15" s="763"/>
      <c r="M15" s="763"/>
      <c r="N15" s="1596">
        <f t="shared" si="2"/>
        <v>5854923</v>
      </c>
    </row>
    <row r="16" spans="1:14" s="4" customFormat="1" ht="26.25" customHeight="1">
      <c r="A16" s="1595"/>
      <c r="B16" s="717" t="s">
        <v>745</v>
      </c>
      <c r="C16" s="763">
        <v>0</v>
      </c>
      <c r="D16" s="763"/>
      <c r="E16" s="763"/>
      <c r="F16" s="1596">
        <f t="shared" si="0"/>
        <v>0</v>
      </c>
      <c r="G16" s="763">
        <v>0</v>
      </c>
      <c r="H16" s="763"/>
      <c r="I16" s="763"/>
      <c r="J16" s="1596">
        <f t="shared" si="1"/>
        <v>0</v>
      </c>
      <c r="K16" s="763">
        <v>0</v>
      </c>
      <c r="L16" s="763"/>
      <c r="M16" s="763"/>
      <c r="N16" s="1596">
        <f t="shared" si="2"/>
        <v>0</v>
      </c>
    </row>
    <row r="17" spans="1:14" s="4" customFormat="1" ht="25.5">
      <c r="A17" s="1595"/>
      <c r="B17" s="717" t="s">
        <v>746</v>
      </c>
      <c r="C17" s="763"/>
      <c r="D17" s="763"/>
      <c r="E17" s="763"/>
      <c r="F17" s="1596">
        <f t="shared" si="0"/>
        <v>0</v>
      </c>
      <c r="G17" s="763"/>
      <c r="H17" s="763"/>
      <c r="I17" s="763"/>
      <c r="J17" s="1596">
        <f t="shared" si="1"/>
        <v>0</v>
      </c>
      <c r="K17" s="763"/>
      <c r="L17" s="763"/>
      <c r="M17" s="763"/>
      <c r="N17" s="1596">
        <f t="shared" si="2"/>
        <v>0</v>
      </c>
    </row>
    <row r="18" spans="1:14" s="4" customFormat="1" ht="26.25" customHeight="1">
      <c r="A18" s="1595"/>
      <c r="B18" s="760" t="s">
        <v>747</v>
      </c>
      <c r="C18" s="764">
        <f aca="true" t="shared" si="3" ref="C18:J18">SUM(C12:C17)</f>
        <v>206298258</v>
      </c>
      <c r="D18" s="764">
        <f t="shared" si="3"/>
        <v>0</v>
      </c>
      <c r="E18" s="764">
        <f t="shared" si="3"/>
        <v>0</v>
      </c>
      <c r="F18" s="1597">
        <f t="shared" si="3"/>
        <v>206298258</v>
      </c>
      <c r="G18" s="764">
        <f t="shared" si="3"/>
        <v>221554558</v>
      </c>
      <c r="H18" s="764">
        <f t="shared" si="3"/>
        <v>0</v>
      </c>
      <c r="I18" s="764">
        <f t="shared" si="3"/>
        <v>0</v>
      </c>
      <c r="J18" s="1597">
        <f t="shared" si="3"/>
        <v>221554558</v>
      </c>
      <c r="K18" s="764">
        <f>SUM(K12:K17)</f>
        <v>232211188</v>
      </c>
      <c r="L18" s="764">
        <f>SUM(L12:L17)</f>
        <v>0</v>
      </c>
      <c r="M18" s="764">
        <f>SUM(M12:M17)</f>
        <v>0</v>
      </c>
      <c r="N18" s="1597">
        <f>SUM(N12:N17)</f>
        <v>232211188</v>
      </c>
    </row>
    <row r="19" spans="1:14" s="765" customFormat="1" ht="26.25" customHeight="1">
      <c r="A19" s="1598"/>
      <c r="B19" s="760" t="s">
        <v>748</v>
      </c>
      <c r="C19" s="764">
        <v>250000</v>
      </c>
      <c r="D19" s="764"/>
      <c r="E19" s="764"/>
      <c r="F19" s="1597">
        <f>SUM(C19:E19)</f>
        <v>250000</v>
      </c>
      <c r="G19" s="764">
        <v>250000</v>
      </c>
      <c r="H19" s="764"/>
      <c r="I19" s="764"/>
      <c r="J19" s="1597">
        <f>SUM(G19:I19)</f>
        <v>250000</v>
      </c>
      <c r="K19" s="764">
        <v>1512404</v>
      </c>
      <c r="L19" s="764"/>
      <c r="M19" s="764"/>
      <c r="N19" s="1597">
        <f>SUM(K19:M19)</f>
        <v>1512404</v>
      </c>
    </row>
    <row r="20" spans="1:14" s="4" customFormat="1" ht="12.75">
      <c r="A20" s="1595"/>
      <c r="B20" s="761" t="s">
        <v>749</v>
      </c>
      <c r="C20" s="763">
        <v>250000</v>
      </c>
      <c r="D20" s="763"/>
      <c r="E20" s="763"/>
      <c r="F20" s="1596">
        <f>SUM(C20:E20)</f>
        <v>250000</v>
      </c>
      <c r="G20" s="763">
        <v>250000</v>
      </c>
      <c r="H20" s="763"/>
      <c r="I20" s="763"/>
      <c r="J20" s="1596">
        <f>SUM(G20:I20)</f>
        <v>250000</v>
      </c>
      <c r="K20" s="763">
        <v>463516</v>
      </c>
      <c r="L20" s="763"/>
      <c r="M20" s="763"/>
      <c r="N20" s="1596">
        <f>SUM(K20:M20)</f>
        <v>463516</v>
      </c>
    </row>
    <row r="21" spans="1:14" s="4" customFormat="1" ht="31.5">
      <c r="A21" s="1595" t="s">
        <v>164</v>
      </c>
      <c r="B21" s="725" t="s">
        <v>750</v>
      </c>
      <c r="C21" s="767">
        <f aca="true" t="shared" si="4" ref="C21:J21">SUM(C18+C19)</f>
        <v>206548258</v>
      </c>
      <c r="D21" s="767">
        <f t="shared" si="4"/>
        <v>0</v>
      </c>
      <c r="E21" s="767">
        <f t="shared" si="4"/>
        <v>0</v>
      </c>
      <c r="F21" s="1599">
        <f t="shared" si="4"/>
        <v>206548258</v>
      </c>
      <c r="G21" s="767">
        <f t="shared" si="4"/>
        <v>221804558</v>
      </c>
      <c r="H21" s="767">
        <f t="shared" si="4"/>
        <v>0</v>
      </c>
      <c r="I21" s="767">
        <f t="shared" si="4"/>
        <v>0</v>
      </c>
      <c r="J21" s="1599">
        <f t="shared" si="4"/>
        <v>221804558</v>
      </c>
      <c r="K21" s="767">
        <f>SUM(K18+K19)</f>
        <v>233723592</v>
      </c>
      <c r="L21" s="767">
        <f>SUM(L18+L19)</f>
        <v>0</v>
      </c>
      <c r="M21" s="767">
        <f>SUM(M18+M19)</f>
        <v>0</v>
      </c>
      <c r="N21" s="1599">
        <f>SUM(N18+N19)</f>
        <v>233723592</v>
      </c>
    </row>
    <row r="22" spans="1:14" s="4" customFormat="1" ht="31.5">
      <c r="A22" s="1595" t="s">
        <v>166</v>
      </c>
      <c r="B22" s="725" t="s">
        <v>167</v>
      </c>
      <c r="C22" s="767">
        <v>0</v>
      </c>
      <c r="D22" s="767">
        <v>0</v>
      </c>
      <c r="E22" s="767">
        <v>0</v>
      </c>
      <c r="F22" s="1599">
        <v>0</v>
      </c>
      <c r="G22" s="767">
        <v>0</v>
      </c>
      <c r="H22" s="767">
        <v>0</v>
      </c>
      <c r="I22" s="767">
        <v>0</v>
      </c>
      <c r="J22" s="1599">
        <v>0</v>
      </c>
      <c r="K22" s="767">
        <v>0</v>
      </c>
      <c r="L22" s="767">
        <v>225723592</v>
      </c>
      <c r="M22" s="767">
        <v>0</v>
      </c>
      <c r="N22" s="1599">
        <v>225628568</v>
      </c>
    </row>
    <row r="23" spans="1:14" s="4" customFormat="1" ht="12.75">
      <c r="A23" s="1595"/>
      <c r="B23" s="760" t="s">
        <v>751</v>
      </c>
      <c r="C23" s="763">
        <f>SUM(C24:C26)</f>
        <v>17700000</v>
      </c>
      <c r="D23" s="763"/>
      <c r="E23" s="763"/>
      <c r="F23" s="1596">
        <f>SUM(C23:E23)</f>
        <v>17700000</v>
      </c>
      <c r="G23" s="763">
        <f>SUM(G24:G26)</f>
        <v>7000000</v>
      </c>
      <c r="H23" s="763"/>
      <c r="I23" s="763"/>
      <c r="J23" s="1596">
        <f>SUM(G23:I23)</f>
        <v>7000000</v>
      </c>
      <c r="K23" s="763">
        <f>SUM(K24:K26)</f>
        <v>7000000</v>
      </c>
      <c r="L23" s="763"/>
      <c r="M23" s="763"/>
      <c r="N23" s="1596">
        <f>SUM(K23:M23)</f>
        <v>7000000</v>
      </c>
    </row>
    <row r="24" spans="1:14" s="4" customFormat="1" ht="12.75">
      <c r="A24" s="1595"/>
      <c r="B24" s="717" t="s">
        <v>752</v>
      </c>
      <c r="C24" s="763">
        <v>7000000</v>
      </c>
      <c r="D24" s="763"/>
      <c r="E24" s="763"/>
      <c r="F24" s="1596">
        <f>SUM(C24:E24)</f>
        <v>7000000</v>
      </c>
      <c r="G24" s="763">
        <v>7000000</v>
      </c>
      <c r="H24" s="763"/>
      <c r="I24" s="763"/>
      <c r="J24" s="1596">
        <f>SUM(G24:I24)</f>
        <v>7000000</v>
      </c>
      <c r="K24" s="763">
        <v>7000000</v>
      </c>
      <c r="L24" s="763"/>
      <c r="M24" s="763"/>
      <c r="N24" s="1596">
        <f>SUM(K24:M24)</f>
        <v>7000000</v>
      </c>
    </row>
    <row r="25" spans="1:14" s="4" customFormat="1" ht="12.75">
      <c r="A25" s="1595"/>
      <c r="B25" s="717" t="s">
        <v>753</v>
      </c>
      <c r="C25" s="763">
        <v>10700000</v>
      </c>
      <c r="D25" s="763"/>
      <c r="E25" s="763"/>
      <c r="F25" s="1596">
        <f>SUM(C25:E25)</f>
        <v>10700000</v>
      </c>
      <c r="G25" s="763">
        <v>0</v>
      </c>
      <c r="H25" s="763"/>
      <c r="I25" s="763"/>
      <c r="J25" s="1596">
        <f>SUM(G25:I25)</f>
        <v>0</v>
      </c>
      <c r="K25" s="763">
        <v>0</v>
      </c>
      <c r="L25" s="763"/>
      <c r="M25" s="763"/>
      <c r="N25" s="1596">
        <f>SUM(K25:M25)</f>
        <v>0</v>
      </c>
    </row>
    <row r="26" spans="1:14" s="4" customFormat="1" ht="25.5">
      <c r="A26" s="1595"/>
      <c r="B26" s="717" t="s">
        <v>754</v>
      </c>
      <c r="C26" s="763">
        <v>0</v>
      </c>
      <c r="D26" s="763"/>
      <c r="E26" s="763"/>
      <c r="F26" s="1596">
        <f>SUM(C26:E26)</f>
        <v>0</v>
      </c>
      <c r="G26" s="763">
        <v>0</v>
      </c>
      <c r="H26" s="763"/>
      <c r="I26" s="763"/>
      <c r="J26" s="1596">
        <f>SUM(G26:I26)</f>
        <v>0</v>
      </c>
      <c r="K26" s="763">
        <v>0</v>
      </c>
      <c r="L26" s="763"/>
      <c r="M26" s="763"/>
      <c r="N26" s="1596">
        <f>SUM(K26:M26)</f>
        <v>0</v>
      </c>
    </row>
    <row r="27" spans="1:14" s="4" customFormat="1" ht="12.75">
      <c r="A27" s="1595"/>
      <c r="B27" s="760" t="s">
        <v>755</v>
      </c>
      <c r="C27" s="763">
        <v>170000000</v>
      </c>
      <c r="D27" s="763">
        <f>SUM(D24:D26)</f>
        <v>0</v>
      </c>
      <c r="E27" s="763">
        <f>SUM(E24:E26)</f>
        <v>0</v>
      </c>
      <c r="F27" s="1596">
        <v>170000000</v>
      </c>
      <c r="G27" s="763">
        <v>149699463</v>
      </c>
      <c r="H27" s="763">
        <f>SUM(H24:H26)</f>
        <v>0</v>
      </c>
      <c r="I27" s="763">
        <f>SUM(I24:I26)</f>
        <v>0</v>
      </c>
      <c r="J27" s="1596">
        <v>149699463</v>
      </c>
      <c r="K27" s="763">
        <v>149699463</v>
      </c>
      <c r="L27" s="763">
        <f>SUM(L24:L26)</f>
        <v>0</v>
      </c>
      <c r="M27" s="763">
        <f>SUM(M24:M26)</f>
        <v>0</v>
      </c>
      <c r="N27" s="1596">
        <v>149699463</v>
      </c>
    </row>
    <row r="28" spans="1:14" s="4" customFormat="1" ht="12.75">
      <c r="A28" s="1595"/>
      <c r="B28" s="760" t="s">
        <v>756</v>
      </c>
      <c r="C28" s="763">
        <v>250000</v>
      </c>
      <c r="D28" s="763"/>
      <c r="E28" s="763">
        <v>0</v>
      </c>
      <c r="F28" s="1596">
        <v>250000</v>
      </c>
      <c r="G28" s="763">
        <v>250000</v>
      </c>
      <c r="H28" s="763"/>
      <c r="I28" s="763">
        <v>0</v>
      </c>
      <c r="J28" s="1596">
        <v>250000</v>
      </c>
      <c r="K28" s="763">
        <v>350000</v>
      </c>
      <c r="L28" s="763"/>
      <c r="M28" s="763">
        <v>0</v>
      </c>
      <c r="N28" s="1596">
        <v>350000</v>
      </c>
    </row>
    <row r="29" spans="1:14" s="4" customFormat="1" ht="15.75">
      <c r="A29" s="1595" t="s">
        <v>166</v>
      </c>
      <c r="B29" s="725" t="s">
        <v>757</v>
      </c>
      <c r="C29" s="766">
        <f>SUM(C23+C27+C28)</f>
        <v>187950000</v>
      </c>
      <c r="D29" s="766">
        <f>SUM(D23+D27+D28)</f>
        <v>0</v>
      </c>
      <c r="E29" s="766">
        <v>0</v>
      </c>
      <c r="F29" s="1600">
        <f>SUM(F23+F27+F28)</f>
        <v>187950000</v>
      </c>
      <c r="G29" s="766">
        <f>SUM(G23+G27+G28)</f>
        <v>156949463</v>
      </c>
      <c r="H29" s="766">
        <f>SUM(H23+H27+H28)</f>
        <v>0</v>
      </c>
      <c r="I29" s="766">
        <v>0</v>
      </c>
      <c r="J29" s="1600">
        <f>SUM(J23+J27+J28)</f>
        <v>156949463</v>
      </c>
      <c r="K29" s="766">
        <f>SUM(K23+K27+K28)</f>
        <v>157049463</v>
      </c>
      <c r="L29" s="766">
        <f>SUM(L23+L27+L28)</f>
        <v>0</v>
      </c>
      <c r="M29" s="766">
        <v>0</v>
      </c>
      <c r="N29" s="1600">
        <f>SUM(N23+N27+N28)</f>
        <v>157049463</v>
      </c>
    </row>
    <row r="30" spans="1:14" s="4" customFormat="1" ht="12.75">
      <c r="A30" s="1595"/>
      <c r="B30" s="717" t="s">
        <v>737</v>
      </c>
      <c r="C30" s="763"/>
      <c r="D30" s="763">
        <v>3600000</v>
      </c>
      <c r="E30" s="763"/>
      <c r="F30" s="1596">
        <f aca="true" t="shared" si="5" ref="F30:F37">SUM(C30:E30)</f>
        <v>3600000</v>
      </c>
      <c r="G30" s="763"/>
      <c r="H30" s="763">
        <v>2500000</v>
      </c>
      <c r="I30" s="763"/>
      <c r="J30" s="1596">
        <f aca="true" t="shared" si="6" ref="J30:J37">SUM(G30:I30)</f>
        <v>2500000</v>
      </c>
      <c r="K30" s="763"/>
      <c r="L30" s="763">
        <v>3000000</v>
      </c>
      <c r="M30" s="763"/>
      <c r="N30" s="1596">
        <f aca="true" t="shared" si="7" ref="N30:N37">SUM(K30:M30)</f>
        <v>3000000</v>
      </c>
    </row>
    <row r="31" spans="1:14" s="4" customFormat="1" ht="25.5">
      <c r="A31" s="1595"/>
      <c r="B31" s="717" t="s">
        <v>758</v>
      </c>
      <c r="C31" s="763"/>
      <c r="D31" s="763">
        <v>5179000</v>
      </c>
      <c r="E31" s="763"/>
      <c r="F31" s="1596">
        <f t="shared" si="5"/>
        <v>5179000</v>
      </c>
      <c r="G31" s="763"/>
      <c r="H31" s="763">
        <v>5179000</v>
      </c>
      <c r="I31" s="763"/>
      <c r="J31" s="1596">
        <f t="shared" si="6"/>
        <v>5179000</v>
      </c>
      <c r="K31" s="763"/>
      <c r="L31" s="763">
        <v>4000000</v>
      </c>
      <c r="M31" s="763"/>
      <c r="N31" s="1596">
        <f t="shared" si="7"/>
        <v>4000000</v>
      </c>
    </row>
    <row r="32" spans="1:14" s="4" customFormat="1" ht="12.75">
      <c r="A32" s="1595"/>
      <c r="B32" s="717" t="s">
        <v>759</v>
      </c>
      <c r="C32" s="763"/>
      <c r="D32" s="763">
        <v>240000</v>
      </c>
      <c r="E32" s="763"/>
      <c r="F32" s="1596">
        <f t="shared" si="5"/>
        <v>240000</v>
      </c>
      <c r="G32" s="763"/>
      <c r="H32" s="763">
        <v>150000</v>
      </c>
      <c r="I32" s="763"/>
      <c r="J32" s="1596">
        <f t="shared" si="6"/>
        <v>150000</v>
      </c>
      <c r="K32" s="763"/>
      <c r="L32" s="763">
        <v>300000</v>
      </c>
      <c r="M32" s="763"/>
      <c r="N32" s="1596">
        <f t="shared" si="7"/>
        <v>300000</v>
      </c>
    </row>
    <row r="33" spans="1:14" s="4" customFormat="1" ht="25.5">
      <c r="A33" s="1595"/>
      <c r="B33" s="717" t="s">
        <v>714</v>
      </c>
      <c r="C33" s="763"/>
      <c r="D33" s="763">
        <v>10000000</v>
      </c>
      <c r="E33" s="763"/>
      <c r="F33" s="1596">
        <f t="shared" si="5"/>
        <v>10000000</v>
      </c>
      <c r="G33" s="763"/>
      <c r="H33" s="763">
        <v>10000000</v>
      </c>
      <c r="I33" s="763"/>
      <c r="J33" s="1596">
        <f t="shared" si="6"/>
        <v>10000000</v>
      </c>
      <c r="K33" s="763"/>
      <c r="L33" s="763">
        <v>9600000</v>
      </c>
      <c r="M33" s="763"/>
      <c r="N33" s="1596">
        <f t="shared" si="7"/>
        <v>9600000</v>
      </c>
    </row>
    <row r="34" spans="1:14" s="4" customFormat="1" ht="26.25" customHeight="1">
      <c r="A34" s="1595"/>
      <c r="B34" s="717" t="s">
        <v>760</v>
      </c>
      <c r="C34" s="763">
        <v>0</v>
      </c>
      <c r="D34" s="763"/>
      <c r="E34" s="763"/>
      <c r="F34" s="1596">
        <f t="shared" si="5"/>
        <v>0</v>
      </c>
      <c r="G34" s="763">
        <v>0</v>
      </c>
      <c r="H34" s="763"/>
      <c r="I34" s="763"/>
      <c r="J34" s="1596">
        <f t="shared" si="6"/>
        <v>0</v>
      </c>
      <c r="K34" s="763">
        <v>0</v>
      </c>
      <c r="L34" s="763"/>
      <c r="M34" s="763"/>
      <c r="N34" s="1596">
        <f t="shared" si="7"/>
        <v>0</v>
      </c>
    </row>
    <row r="35" spans="1:14" s="4" customFormat="1" ht="26.25" customHeight="1">
      <c r="A35" s="1595"/>
      <c r="B35" s="717" t="s">
        <v>761</v>
      </c>
      <c r="C35" s="763">
        <v>0</v>
      </c>
      <c r="D35" s="763"/>
      <c r="E35" s="763"/>
      <c r="F35" s="1596">
        <f t="shared" si="5"/>
        <v>0</v>
      </c>
      <c r="G35" s="763">
        <v>0</v>
      </c>
      <c r="H35" s="763">
        <v>26</v>
      </c>
      <c r="I35" s="763"/>
      <c r="J35" s="1596">
        <f t="shared" si="6"/>
        <v>26</v>
      </c>
      <c r="K35" s="763">
        <v>0</v>
      </c>
      <c r="L35" s="763">
        <v>100</v>
      </c>
      <c r="M35" s="763"/>
      <c r="N35" s="1596">
        <f t="shared" si="7"/>
        <v>100</v>
      </c>
    </row>
    <row r="36" spans="1:14" s="4" customFormat="1" ht="12.75">
      <c r="A36" s="1595"/>
      <c r="B36" s="836" t="s">
        <v>807</v>
      </c>
      <c r="C36" s="763">
        <v>0</v>
      </c>
      <c r="D36" s="763"/>
      <c r="E36" s="763"/>
      <c r="F36" s="1596">
        <f t="shared" si="5"/>
        <v>0</v>
      </c>
      <c r="G36" s="763">
        <v>0</v>
      </c>
      <c r="H36" s="763"/>
      <c r="I36" s="763"/>
      <c r="J36" s="1596">
        <f t="shared" si="6"/>
        <v>0</v>
      </c>
      <c r="K36" s="763">
        <v>0</v>
      </c>
      <c r="L36" s="763"/>
      <c r="M36" s="763"/>
      <c r="N36" s="1596">
        <f t="shared" si="7"/>
        <v>0</v>
      </c>
    </row>
    <row r="37" spans="1:14" s="4" customFormat="1" ht="12.75">
      <c r="A37" s="1595"/>
      <c r="B37" s="717" t="s">
        <v>716</v>
      </c>
      <c r="C37" s="763"/>
      <c r="D37" s="763">
        <v>2000000</v>
      </c>
      <c r="E37" s="763"/>
      <c r="F37" s="1596">
        <f t="shared" si="5"/>
        <v>2000000</v>
      </c>
      <c r="G37" s="763"/>
      <c r="H37" s="763">
        <v>1000000</v>
      </c>
      <c r="I37" s="763"/>
      <c r="J37" s="1596">
        <f t="shared" si="6"/>
        <v>1000000</v>
      </c>
      <c r="K37" s="763"/>
      <c r="L37" s="763">
        <v>100000</v>
      </c>
      <c r="M37" s="763"/>
      <c r="N37" s="1596">
        <f t="shared" si="7"/>
        <v>100000</v>
      </c>
    </row>
    <row r="38" spans="1:14" s="4" customFormat="1" ht="15.75">
      <c r="A38" s="1595" t="s">
        <v>173</v>
      </c>
      <c r="B38" s="725" t="s">
        <v>711</v>
      </c>
      <c r="C38" s="766">
        <f aca="true" t="shared" si="8" ref="C38:J38">SUM(C30:C37)</f>
        <v>0</v>
      </c>
      <c r="D38" s="766">
        <f t="shared" si="8"/>
        <v>21019000</v>
      </c>
      <c r="E38" s="766">
        <f t="shared" si="8"/>
        <v>0</v>
      </c>
      <c r="F38" s="1600">
        <f t="shared" si="8"/>
        <v>21019000</v>
      </c>
      <c r="G38" s="766">
        <f t="shared" si="8"/>
        <v>0</v>
      </c>
      <c r="H38" s="766">
        <f t="shared" si="8"/>
        <v>18829026</v>
      </c>
      <c r="I38" s="766">
        <f t="shared" si="8"/>
        <v>0</v>
      </c>
      <c r="J38" s="1600">
        <f t="shared" si="8"/>
        <v>18829026</v>
      </c>
      <c r="K38" s="766">
        <f>SUM(K30:K37)</f>
        <v>0</v>
      </c>
      <c r="L38" s="766">
        <f>SUM(L30:L37)</f>
        <v>17000100</v>
      </c>
      <c r="M38" s="766">
        <f>SUM(M30:M37)</f>
        <v>0</v>
      </c>
      <c r="N38" s="1600">
        <f>SUM(N30:N37)</f>
        <v>17000100</v>
      </c>
    </row>
    <row r="39" spans="1:14" s="4" customFormat="1" ht="12.75">
      <c r="A39" s="1595"/>
      <c r="B39" s="717" t="s">
        <v>762</v>
      </c>
      <c r="C39" s="763"/>
      <c r="D39" s="763">
        <v>14000000</v>
      </c>
      <c r="E39" s="763"/>
      <c r="F39" s="1596">
        <f>SUM(C39:E39)</f>
        <v>14000000</v>
      </c>
      <c r="G39" s="763"/>
      <c r="H39" s="763">
        <v>16968160</v>
      </c>
      <c r="I39" s="763"/>
      <c r="J39" s="1596">
        <f>SUM(G39:I39)</f>
        <v>16968160</v>
      </c>
      <c r="K39" s="763"/>
      <c r="L39" s="763">
        <v>22893160</v>
      </c>
      <c r="M39" s="763"/>
      <c r="N39" s="1596">
        <f>SUM(K39:M39)</f>
        <v>22893160</v>
      </c>
    </row>
    <row r="40" spans="1:14" s="4" customFormat="1" ht="12.75">
      <c r="A40" s="1595"/>
      <c r="B40" s="717" t="s">
        <v>763</v>
      </c>
      <c r="C40" s="763"/>
      <c r="D40" s="763"/>
      <c r="E40" s="763"/>
      <c r="F40" s="1596">
        <f>SUM(C40:E40)</f>
        <v>0</v>
      </c>
      <c r="G40" s="763"/>
      <c r="H40" s="763"/>
      <c r="I40" s="763"/>
      <c r="J40" s="1596">
        <f>SUM(G40:I40)</f>
        <v>0</v>
      </c>
      <c r="K40" s="763"/>
      <c r="L40" s="763"/>
      <c r="M40" s="763"/>
      <c r="N40" s="1596">
        <f>SUM(K40:M40)</f>
        <v>0</v>
      </c>
    </row>
    <row r="41" spans="1:14" s="4" customFormat="1" ht="15.75">
      <c r="A41" s="1595" t="s">
        <v>182</v>
      </c>
      <c r="B41" s="725" t="s">
        <v>764</v>
      </c>
      <c r="C41" s="766">
        <f aca="true" t="shared" si="9" ref="C41:J41">SUM(C39:C40)</f>
        <v>0</v>
      </c>
      <c r="D41" s="766">
        <f t="shared" si="9"/>
        <v>14000000</v>
      </c>
      <c r="E41" s="766">
        <f t="shared" si="9"/>
        <v>0</v>
      </c>
      <c r="F41" s="1600">
        <f t="shared" si="9"/>
        <v>14000000</v>
      </c>
      <c r="G41" s="766">
        <f t="shared" si="9"/>
        <v>0</v>
      </c>
      <c r="H41" s="766">
        <f t="shared" si="9"/>
        <v>16968160</v>
      </c>
      <c r="I41" s="766">
        <f t="shared" si="9"/>
        <v>0</v>
      </c>
      <c r="J41" s="1600">
        <f t="shared" si="9"/>
        <v>16968160</v>
      </c>
      <c r="K41" s="766">
        <f>SUM(K39:K40)</f>
        <v>0</v>
      </c>
      <c r="L41" s="766">
        <f>SUM(L39:L40)</f>
        <v>22893160</v>
      </c>
      <c r="M41" s="766">
        <f>SUM(M39:M40)</f>
        <v>0</v>
      </c>
      <c r="N41" s="1600">
        <f>SUM(N39:N40)</f>
        <v>22893160</v>
      </c>
    </row>
    <row r="42" spans="1:14" s="4" customFormat="1" ht="26.25" customHeight="1">
      <c r="A42" s="1595"/>
      <c r="B42" s="717" t="s">
        <v>765</v>
      </c>
      <c r="C42" s="763"/>
      <c r="D42" s="763">
        <v>78000</v>
      </c>
      <c r="E42" s="763"/>
      <c r="F42" s="1596">
        <f>SUM(C42:E42)</f>
        <v>78000</v>
      </c>
      <c r="G42" s="763"/>
      <c r="H42" s="763">
        <v>78000</v>
      </c>
      <c r="I42" s="763"/>
      <c r="J42" s="1596">
        <f>SUM(G42:I42)</f>
        <v>78000</v>
      </c>
      <c r="K42" s="763"/>
      <c r="L42" s="763">
        <v>150000</v>
      </c>
      <c r="M42" s="763"/>
      <c r="N42" s="1596">
        <f>SUM(K42:M42)</f>
        <v>150000</v>
      </c>
    </row>
    <row r="43" spans="1:14" s="4" customFormat="1" ht="12.75">
      <c r="A43" s="1595"/>
      <c r="B43" s="761" t="s">
        <v>766</v>
      </c>
      <c r="C43" s="763"/>
      <c r="D43" s="763">
        <v>78000</v>
      </c>
      <c r="E43" s="763"/>
      <c r="F43" s="1596">
        <f>SUM(C43:E43)</f>
        <v>78000</v>
      </c>
      <c r="G43" s="763"/>
      <c r="H43" s="763">
        <v>78000</v>
      </c>
      <c r="I43" s="763"/>
      <c r="J43" s="1596">
        <f>SUM(G43:I43)</f>
        <v>78000</v>
      </c>
      <c r="K43" s="763"/>
      <c r="L43" s="763">
        <v>150000</v>
      </c>
      <c r="M43" s="763"/>
      <c r="N43" s="1596">
        <f>SUM(K43:M43)</f>
        <v>150000</v>
      </c>
    </row>
    <row r="44" spans="1:14" s="4" customFormat="1" ht="26.25" customHeight="1">
      <c r="A44" s="1595"/>
      <c r="B44" s="717" t="s">
        <v>767</v>
      </c>
      <c r="C44" s="763"/>
      <c r="D44" s="763"/>
      <c r="E44" s="763"/>
      <c r="F44" s="1596">
        <f>SUM(C44:E44)</f>
        <v>0</v>
      </c>
      <c r="G44" s="763"/>
      <c r="H44" s="763"/>
      <c r="I44" s="763"/>
      <c r="J44" s="1596">
        <f>SUM(G44:I44)</f>
        <v>0</v>
      </c>
      <c r="K44" s="763"/>
      <c r="L44" s="763">
        <v>1490020</v>
      </c>
      <c r="M44" s="763"/>
      <c r="N44" s="1596">
        <f>SUM(K44:M44)</f>
        <v>1490020</v>
      </c>
    </row>
    <row r="45" spans="1:14" s="4" customFormat="1" ht="12.75">
      <c r="A45" s="1595"/>
      <c r="B45" s="761" t="s">
        <v>768</v>
      </c>
      <c r="C45" s="763"/>
      <c r="D45" s="763"/>
      <c r="E45" s="763"/>
      <c r="F45" s="1596">
        <f>SUM(C45:E45)</f>
        <v>0</v>
      </c>
      <c r="G45" s="763"/>
      <c r="H45" s="763"/>
      <c r="I45" s="763"/>
      <c r="J45" s="1596">
        <f>SUM(G45:I45)</f>
        <v>0</v>
      </c>
      <c r="K45" s="763"/>
      <c r="L45" s="763"/>
      <c r="M45" s="763"/>
      <c r="N45" s="1596">
        <f>SUM(K45:M45)</f>
        <v>0</v>
      </c>
    </row>
    <row r="46" spans="1:14" s="4" customFormat="1" ht="31.5">
      <c r="A46" s="1595" t="s">
        <v>183</v>
      </c>
      <c r="B46" s="725" t="s">
        <v>769</v>
      </c>
      <c r="C46" s="766">
        <f aca="true" t="shared" si="10" ref="C46:J46">SUM(C42+C44)</f>
        <v>0</v>
      </c>
      <c r="D46" s="766">
        <f t="shared" si="10"/>
        <v>78000</v>
      </c>
      <c r="E46" s="766">
        <f t="shared" si="10"/>
        <v>0</v>
      </c>
      <c r="F46" s="1600">
        <f t="shared" si="10"/>
        <v>78000</v>
      </c>
      <c r="G46" s="766">
        <f t="shared" si="10"/>
        <v>0</v>
      </c>
      <c r="H46" s="766">
        <f t="shared" si="10"/>
        <v>78000</v>
      </c>
      <c r="I46" s="766">
        <f t="shared" si="10"/>
        <v>0</v>
      </c>
      <c r="J46" s="1600">
        <f t="shared" si="10"/>
        <v>78000</v>
      </c>
      <c r="K46" s="766">
        <f>SUM(K42+K44)</f>
        <v>0</v>
      </c>
      <c r="L46" s="766">
        <f>SUM(L42+L44)</f>
        <v>1640020</v>
      </c>
      <c r="M46" s="766">
        <f>SUM(M42+M44)</f>
        <v>0</v>
      </c>
      <c r="N46" s="1600">
        <f>SUM(N42+N44)</f>
        <v>1640020</v>
      </c>
    </row>
    <row r="47" spans="1:14" s="4" customFormat="1" ht="26.25" customHeight="1">
      <c r="A47" s="1595"/>
      <c r="B47" s="717" t="s">
        <v>770</v>
      </c>
      <c r="C47" s="716"/>
      <c r="D47" s="716"/>
      <c r="E47" s="716"/>
      <c r="F47" s="1601"/>
      <c r="G47" s="716"/>
      <c r="H47" s="716">
        <v>204583492</v>
      </c>
      <c r="I47" s="716"/>
      <c r="J47" s="1601">
        <v>204583492</v>
      </c>
      <c r="K47" s="716"/>
      <c r="L47" s="716"/>
      <c r="M47" s="716"/>
      <c r="N47" s="1601"/>
    </row>
    <row r="48" spans="1:14" s="4" customFormat="1" ht="32.25" thickBot="1">
      <c r="A48" s="1595" t="s">
        <v>184</v>
      </c>
      <c r="B48" s="725" t="s">
        <v>771</v>
      </c>
      <c r="C48" s="716"/>
      <c r="D48" s="716"/>
      <c r="E48" s="716"/>
      <c r="F48" s="1601"/>
      <c r="G48" s="716"/>
      <c r="H48" s="716">
        <v>204583492</v>
      </c>
      <c r="I48" s="716"/>
      <c r="J48" s="1601">
        <v>204583492</v>
      </c>
      <c r="K48" s="716"/>
      <c r="L48" s="716"/>
      <c r="M48" s="716"/>
      <c r="N48" s="1601"/>
    </row>
    <row r="49" spans="1:14" s="522" customFormat="1" ht="16.5" thickBot="1">
      <c r="A49" s="2129" t="s">
        <v>479</v>
      </c>
      <c r="B49" s="2130"/>
      <c r="C49" s="738">
        <f aca="true" t="shared" si="11" ref="C49:J49">SUM(C21+C29+C38+C41+C46+C48)</f>
        <v>394498258</v>
      </c>
      <c r="D49" s="738">
        <f t="shared" si="11"/>
        <v>35097000</v>
      </c>
      <c r="E49" s="738">
        <f t="shared" si="11"/>
        <v>0</v>
      </c>
      <c r="F49" s="739">
        <f t="shared" si="11"/>
        <v>429595258</v>
      </c>
      <c r="G49" s="738">
        <f t="shared" si="11"/>
        <v>378754021</v>
      </c>
      <c r="H49" s="738">
        <f>SUM(H21+H29+H38+H41+H46+H48)</f>
        <v>240458678</v>
      </c>
      <c r="I49" s="738">
        <f t="shared" si="11"/>
        <v>0</v>
      </c>
      <c r="J49" s="739">
        <f t="shared" si="11"/>
        <v>619212699</v>
      </c>
      <c r="K49" s="738">
        <f>SUM(K21+K29+K38+K41+K46+K48)+K22</f>
        <v>390773055</v>
      </c>
      <c r="L49" s="738">
        <f>SUM(L21+L29+L38+L41+L46+L48)+L22</f>
        <v>267256872</v>
      </c>
      <c r="M49" s="738">
        <f>SUM(M21+M29+M38+M41+M46+M48)</f>
        <v>0</v>
      </c>
      <c r="N49" s="739">
        <f>SUM(N21+N29+N38+N41+N46+N48)+N22</f>
        <v>657934903</v>
      </c>
    </row>
    <row r="50" spans="1:14" ht="25.5">
      <c r="A50" s="1263"/>
      <c r="B50" s="717" t="s">
        <v>718</v>
      </c>
      <c r="C50" s="740">
        <v>492476165</v>
      </c>
      <c r="D50" s="740">
        <v>19532641</v>
      </c>
      <c r="E50" s="740"/>
      <c r="F50" s="1131">
        <f>SUM(C50:E50)</f>
        <v>512008806</v>
      </c>
      <c r="G50" s="740">
        <v>473078990</v>
      </c>
      <c r="H50" s="740">
        <v>38929816</v>
      </c>
      <c r="I50" s="740"/>
      <c r="J50" s="1131">
        <f>SUM(G50:I50)</f>
        <v>512008806</v>
      </c>
      <c r="K50" s="740">
        <f>512008806-424074112</f>
        <v>87934694</v>
      </c>
      <c r="L50" s="740">
        <v>424074112</v>
      </c>
      <c r="M50" s="740"/>
      <c r="N50" s="1131">
        <f>SUM(K50:M50)</f>
        <v>512008806</v>
      </c>
    </row>
    <row r="51" spans="1:14" ht="12.75">
      <c r="A51" s="1137"/>
      <c r="B51" s="718" t="s">
        <v>719</v>
      </c>
      <c r="C51" s="614">
        <f>SUM(C50)</f>
        <v>492476165</v>
      </c>
      <c r="D51" s="614">
        <v>19532641</v>
      </c>
      <c r="E51" s="614"/>
      <c r="F51" s="1131">
        <f>SUM(C51:E51)</f>
        <v>512008806</v>
      </c>
      <c r="G51" s="614">
        <f>SUM(G50)</f>
        <v>473078990</v>
      </c>
      <c r="H51" s="614">
        <f>SUM(H50)</f>
        <v>38929816</v>
      </c>
      <c r="I51" s="614"/>
      <c r="J51" s="1131">
        <f>SUM(G51:I51)</f>
        <v>512008806</v>
      </c>
      <c r="K51" s="614">
        <f>SUM(K50)</f>
        <v>87934694</v>
      </c>
      <c r="L51" s="614">
        <f>SUM(L50)</f>
        <v>424074112</v>
      </c>
      <c r="M51" s="614"/>
      <c r="N51" s="1131">
        <f>SUM(K51:M51)</f>
        <v>512008806</v>
      </c>
    </row>
    <row r="52" spans="1:14" ht="13.5" thickBot="1">
      <c r="A52" s="1264"/>
      <c r="B52" s="768" t="s">
        <v>772</v>
      </c>
      <c r="C52" s="741">
        <v>8251931</v>
      </c>
      <c r="D52" s="741"/>
      <c r="E52" s="741"/>
      <c r="F52" s="1131">
        <f>SUM(C52:E52)</f>
        <v>8251931</v>
      </c>
      <c r="G52" s="741">
        <v>8341969</v>
      </c>
      <c r="H52" s="741"/>
      <c r="I52" s="741"/>
      <c r="J52" s="1131">
        <f>SUM(G52:I52)</f>
        <v>8341969</v>
      </c>
      <c r="K52" s="741">
        <v>8341969</v>
      </c>
      <c r="L52" s="741"/>
      <c r="M52" s="741"/>
      <c r="N52" s="1131">
        <f>SUM(K52:M52)</f>
        <v>8341969</v>
      </c>
    </row>
    <row r="53" spans="1:14" ht="16.5" thickBot="1">
      <c r="A53" s="726"/>
      <c r="B53" s="727" t="s">
        <v>721</v>
      </c>
      <c r="C53" s="742">
        <f>SUM(C51+C52)</f>
        <v>500728096</v>
      </c>
      <c r="D53" s="742">
        <f>SUM(D51:D52)</f>
        <v>19532641</v>
      </c>
      <c r="E53" s="742">
        <f>SUM(E51:E52)</f>
        <v>0</v>
      </c>
      <c r="F53" s="1135">
        <f>SUM(F51:F52)</f>
        <v>520260737</v>
      </c>
      <c r="G53" s="742">
        <f>SUM(G51+G52)</f>
        <v>481420959</v>
      </c>
      <c r="H53" s="742">
        <f>SUM(H51:H52)</f>
        <v>38929816</v>
      </c>
      <c r="I53" s="742">
        <f>SUM(I51:I52)</f>
        <v>0</v>
      </c>
      <c r="J53" s="1135">
        <f>SUM(J51:J52)</f>
        <v>520350775</v>
      </c>
      <c r="K53" s="742">
        <f>SUM(K51+K52)</f>
        <v>96276663</v>
      </c>
      <c r="L53" s="742">
        <f>SUM(L51:L52)</f>
        <v>424074112</v>
      </c>
      <c r="M53" s="742">
        <f>SUM(M51:M52)</f>
        <v>0</v>
      </c>
      <c r="N53" s="1135">
        <f>SUM(N51:N52)</f>
        <v>520350775</v>
      </c>
    </row>
    <row r="54" spans="1:14" ht="16.5" thickBot="1">
      <c r="A54" s="2131" t="s">
        <v>157</v>
      </c>
      <c r="B54" s="2132"/>
      <c r="C54" s="743">
        <f aca="true" t="shared" si="12" ref="C54:J54">SUM(C49+C53)</f>
        <v>895226354</v>
      </c>
      <c r="D54" s="743">
        <f t="shared" si="12"/>
        <v>54629641</v>
      </c>
      <c r="E54" s="743">
        <f t="shared" si="12"/>
        <v>0</v>
      </c>
      <c r="F54" s="744">
        <f t="shared" si="12"/>
        <v>949855995</v>
      </c>
      <c r="G54" s="743">
        <f t="shared" si="12"/>
        <v>860174980</v>
      </c>
      <c r="H54" s="743">
        <f t="shared" si="12"/>
        <v>279388494</v>
      </c>
      <c r="I54" s="743">
        <f t="shared" si="12"/>
        <v>0</v>
      </c>
      <c r="J54" s="744">
        <f t="shared" si="12"/>
        <v>1139563474</v>
      </c>
      <c r="K54" s="743">
        <f>SUM(K49+K53)</f>
        <v>487049718</v>
      </c>
      <c r="L54" s="743">
        <f>SUM(L49+L53)</f>
        <v>691330984</v>
      </c>
      <c r="M54" s="743">
        <f>SUM(M49+M53)</f>
        <v>0</v>
      </c>
      <c r="N54" s="744">
        <f>SUM(N49+N53)</f>
        <v>1178285678</v>
      </c>
    </row>
    <row r="55" spans="1:14" ht="12.75">
      <c r="A55" s="1265" t="s">
        <v>164</v>
      </c>
      <c r="B55" s="718" t="s">
        <v>724</v>
      </c>
      <c r="C55" s="721">
        <v>19050043</v>
      </c>
      <c r="D55" s="721">
        <v>8628000</v>
      </c>
      <c r="E55" s="721"/>
      <c r="F55" s="1594">
        <f aca="true" t="shared" si="13" ref="F55:F62">SUM(C55:E55)</f>
        <v>27678043</v>
      </c>
      <c r="G55" s="721">
        <v>19050043</v>
      </c>
      <c r="H55" s="721">
        <v>8628000</v>
      </c>
      <c r="I55" s="721"/>
      <c r="J55" s="1594">
        <f aca="true" t="shared" si="14" ref="J55:J65">SUM(G55:I55)</f>
        <v>27678043</v>
      </c>
      <c r="K55" s="721">
        <f>29604043</f>
        <v>29604043</v>
      </c>
      <c r="L55" s="721"/>
      <c r="M55" s="721"/>
      <c r="N55" s="1594">
        <f aca="true" t="shared" si="15" ref="N55:N65">SUM(K55:M55)</f>
        <v>29604043</v>
      </c>
    </row>
    <row r="56" spans="1:14" ht="25.5">
      <c r="A56" s="1266" t="s">
        <v>166</v>
      </c>
      <c r="B56" s="718" t="s">
        <v>725</v>
      </c>
      <c r="C56" s="721">
        <v>3356400</v>
      </c>
      <c r="D56" s="721">
        <v>1509900</v>
      </c>
      <c r="E56" s="399"/>
      <c r="F56" s="1594">
        <f t="shared" si="13"/>
        <v>4866300</v>
      </c>
      <c r="G56" s="721">
        <v>3356400</v>
      </c>
      <c r="H56" s="721">
        <v>1509900</v>
      </c>
      <c r="I56" s="399"/>
      <c r="J56" s="1594">
        <f t="shared" si="14"/>
        <v>4866300</v>
      </c>
      <c r="K56" s="721">
        <f>5184156</f>
        <v>5184156</v>
      </c>
      <c r="L56" s="721"/>
      <c r="M56" s="399"/>
      <c r="N56" s="1594">
        <f t="shared" si="15"/>
        <v>5184156</v>
      </c>
    </row>
    <row r="57" spans="1:14" s="10" customFormat="1" ht="12.75">
      <c r="A57" s="1266" t="s">
        <v>173</v>
      </c>
      <c r="B57" s="613" t="s">
        <v>726</v>
      </c>
      <c r="C57" s="721">
        <v>60969794</v>
      </c>
      <c r="D57" s="399">
        <v>6200000</v>
      </c>
      <c r="E57" s="399"/>
      <c r="F57" s="1594">
        <f t="shared" si="13"/>
        <v>67169794</v>
      </c>
      <c r="G57" s="721">
        <v>54044034</v>
      </c>
      <c r="H57" s="399">
        <v>6200000</v>
      </c>
      <c r="I57" s="399"/>
      <c r="J57" s="1594">
        <f t="shared" si="14"/>
        <v>60244034</v>
      </c>
      <c r="K57" s="721">
        <f>63900760</f>
        <v>63900760</v>
      </c>
      <c r="L57" s="399"/>
      <c r="M57" s="399"/>
      <c r="N57" s="1594">
        <f t="shared" si="15"/>
        <v>63900760</v>
      </c>
    </row>
    <row r="58" spans="1:14" s="10" customFormat="1" ht="12.75">
      <c r="A58" s="1266" t="s">
        <v>182</v>
      </c>
      <c r="B58" s="613" t="s">
        <v>774</v>
      </c>
      <c r="C58" s="721">
        <v>3453000</v>
      </c>
      <c r="D58" s="399"/>
      <c r="E58" s="399"/>
      <c r="F58" s="1594">
        <f t="shared" si="13"/>
        <v>3453000</v>
      </c>
      <c r="G58" s="721">
        <v>3453000</v>
      </c>
      <c r="H58" s="399">
        <v>350000</v>
      </c>
      <c r="I58" s="399"/>
      <c r="J58" s="1594">
        <f t="shared" si="14"/>
        <v>3803000</v>
      </c>
      <c r="K58" s="721">
        <v>3453000</v>
      </c>
      <c r="L58" s="399"/>
      <c r="M58" s="399"/>
      <c r="N58" s="1594">
        <f t="shared" si="15"/>
        <v>3453000</v>
      </c>
    </row>
    <row r="59" spans="1:14" s="10" customFormat="1" ht="12.75">
      <c r="A59" s="1266" t="s">
        <v>183</v>
      </c>
      <c r="B59" s="613" t="s">
        <v>217</v>
      </c>
      <c r="C59" s="721">
        <v>462128007</v>
      </c>
      <c r="D59" s="399"/>
      <c r="E59" s="399"/>
      <c r="F59" s="1594">
        <f t="shared" si="13"/>
        <v>462128007</v>
      </c>
      <c r="G59" s="721"/>
      <c r="H59" s="399">
        <v>570382608</v>
      </c>
      <c r="I59" s="399"/>
      <c r="J59" s="1594">
        <f t="shared" si="14"/>
        <v>570382608</v>
      </c>
      <c r="K59" s="721"/>
      <c r="L59" s="399">
        <v>419046334</v>
      </c>
      <c r="M59" s="399"/>
      <c r="N59" s="1594">
        <f t="shared" si="15"/>
        <v>419046334</v>
      </c>
    </row>
    <row r="60" spans="1:14" s="10" customFormat="1" ht="12.75">
      <c r="A60" s="1266" t="s">
        <v>184</v>
      </c>
      <c r="B60" s="613" t="s">
        <v>472</v>
      </c>
      <c r="C60" s="721">
        <v>0</v>
      </c>
      <c r="D60" s="399"/>
      <c r="E60" s="399"/>
      <c r="F60" s="1594">
        <f t="shared" si="13"/>
        <v>0</v>
      </c>
      <c r="G60" s="721">
        <v>354027</v>
      </c>
      <c r="H60" s="399"/>
      <c r="I60" s="399"/>
      <c r="J60" s="1594">
        <f t="shared" si="14"/>
        <v>354027</v>
      </c>
      <c r="K60" s="721">
        <v>354027</v>
      </c>
      <c r="L60" s="399"/>
      <c r="M60" s="399"/>
      <c r="N60" s="1594">
        <f t="shared" si="15"/>
        <v>354027</v>
      </c>
    </row>
    <row r="61" spans="1:14" s="10" customFormat="1" ht="12.75">
      <c r="A61" s="1266" t="s">
        <v>186</v>
      </c>
      <c r="B61" s="613" t="s">
        <v>1233</v>
      </c>
      <c r="C61" s="721"/>
      <c r="D61" s="399"/>
      <c r="E61" s="399"/>
      <c r="F61" s="1594"/>
      <c r="G61" s="721"/>
      <c r="H61" s="399"/>
      <c r="I61" s="399"/>
      <c r="J61" s="1594"/>
      <c r="K61" s="721">
        <v>2017050</v>
      </c>
      <c r="L61" s="399"/>
      <c r="M61" s="399"/>
      <c r="N61" s="1594">
        <v>2017050</v>
      </c>
    </row>
    <row r="62" spans="1:14" s="10" customFormat="1" ht="12.75">
      <c r="A62" s="1266" t="s">
        <v>189</v>
      </c>
      <c r="B62" s="613" t="s">
        <v>775</v>
      </c>
      <c r="C62" s="721">
        <v>6480000</v>
      </c>
      <c r="D62" s="399">
        <v>38291741</v>
      </c>
      <c r="E62" s="399"/>
      <c r="F62" s="1594">
        <f t="shared" si="13"/>
        <v>44771741</v>
      </c>
      <c r="G62" s="721">
        <v>9655647</v>
      </c>
      <c r="H62" s="399">
        <v>32603352</v>
      </c>
      <c r="I62" s="399"/>
      <c r="J62" s="1594">
        <f t="shared" si="14"/>
        <v>42258999</v>
      </c>
      <c r="K62" s="721">
        <v>46035254</v>
      </c>
      <c r="L62" s="399"/>
      <c r="M62" s="399"/>
      <c r="N62" s="1594">
        <f t="shared" si="15"/>
        <v>46035254</v>
      </c>
    </row>
    <row r="63" spans="1:14" s="10" customFormat="1" ht="12.75">
      <c r="A63" s="1266" t="s">
        <v>191</v>
      </c>
      <c r="B63" s="613" t="s">
        <v>773</v>
      </c>
      <c r="C63" s="398">
        <f>SUM(C64:C65)</f>
        <v>2100000</v>
      </c>
      <c r="D63" s="721"/>
      <c r="E63" s="1129"/>
      <c r="F63" s="1594">
        <f>SUM(C63)</f>
        <v>2100000</v>
      </c>
      <c r="G63" s="398">
        <f>SUM(G64:G65)</f>
        <v>0</v>
      </c>
      <c r="H63" s="721">
        <f>SUM(H64:H65)</f>
        <v>93863808</v>
      </c>
      <c r="I63" s="1129"/>
      <c r="J63" s="1594">
        <f t="shared" si="14"/>
        <v>93863808</v>
      </c>
      <c r="K63" s="398">
        <f>SUM(K64:K65)</f>
        <v>0</v>
      </c>
      <c r="L63" s="721">
        <f>SUM(L64:L65)</f>
        <v>272284650</v>
      </c>
      <c r="M63" s="1129"/>
      <c r="N63" s="1594">
        <f t="shared" si="15"/>
        <v>272284650</v>
      </c>
    </row>
    <row r="64" spans="1:14" s="114" customFormat="1" ht="12.75">
      <c r="A64" s="1138"/>
      <c r="B64" s="719" t="s">
        <v>132</v>
      </c>
      <c r="C64" s="719">
        <v>1700000</v>
      </c>
      <c r="D64" s="721"/>
      <c r="E64" s="719"/>
      <c r="F64" s="1594">
        <f>SUM(C64)</f>
        <v>1700000</v>
      </c>
      <c r="G64" s="719"/>
      <c r="H64" s="721">
        <v>93463808</v>
      </c>
      <c r="I64" s="719"/>
      <c r="J64" s="1594">
        <f t="shared" si="14"/>
        <v>93463808</v>
      </c>
      <c r="K64" s="719"/>
      <c r="L64" s="721">
        <v>248842095</v>
      </c>
      <c r="M64" s="719"/>
      <c r="N64" s="1594">
        <f t="shared" si="15"/>
        <v>248842095</v>
      </c>
    </row>
    <row r="65" spans="1:14" s="114" customFormat="1" ht="12.75">
      <c r="A65" s="1138"/>
      <c r="B65" s="719" t="s">
        <v>134</v>
      </c>
      <c r="C65" s="719">
        <v>400000</v>
      </c>
      <c r="D65" s="721"/>
      <c r="E65" s="719"/>
      <c r="F65" s="1594">
        <f>SUM(C65)</f>
        <v>400000</v>
      </c>
      <c r="G65" s="719"/>
      <c r="H65" s="721">
        <v>400000</v>
      </c>
      <c r="I65" s="719"/>
      <c r="J65" s="1594">
        <f t="shared" si="14"/>
        <v>400000</v>
      </c>
      <c r="K65" s="719"/>
      <c r="L65" s="721">
        <v>23442555</v>
      </c>
      <c r="M65" s="719"/>
      <c r="N65" s="1594">
        <f t="shared" si="15"/>
        <v>23442555</v>
      </c>
    </row>
    <row r="66" spans="1:14" s="10" customFormat="1" ht="12.75">
      <c r="A66" s="463" t="s">
        <v>195</v>
      </c>
      <c r="B66" s="613" t="s">
        <v>776</v>
      </c>
      <c r="C66" s="414">
        <v>0</v>
      </c>
      <c r="D66" s="613"/>
      <c r="E66" s="613"/>
      <c r="F66" s="1594">
        <f>SUM(C66)</f>
        <v>0</v>
      </c>
      <c r="G66" s="414">
        <v>0</v>
      </c>
      <c r="H66" s="613"/>
      <c r="I66" s="613"/>
      <c r="J66" s="1594">
        <f>SUM(G66)</f>
        <v>0</v>
      </c>
      <c r="K66" s="414">
        <v>0</v>
      </c>
      <c r="L66" s="613"/>
      <c r="M66" s="613"/>
      <c r="N66" s="1594">
        <f>SUM(K66)</f>
        <v>0</v>
      </c>
    </row>
    <row r="67" spans="1:14" ht="15.75">
      <c r="A67" s="769"/>
      <c r="B67" s="770" t="s">
        <v>728</v>
      </c>
      <c r="C67" s="771">
        <f>SUM(C55:C63)</f>
        <v>557537244</v>
      </c>
      <c r="D67" s="771">
        <f>SUM(D55:D62)</f>
        <v>54629641</v>
      </c>
      <c r="E67" s="771">
        <f aca="true" t="shared" si="16" ref="E67:J67">SUM(E55:E63)</f>
        <v>0</v>
      </c>
      <c r="F67" s="1602">
        <f t="shared" si="16"/>
        <v>612166885</v>
      </c>
      <c r="G67" s="771">
        <f t="shared" si="16"/>
        <v>89913151</v>
      </c>
      <c r="H67" s="771">
        <f t="shared" si="16"/>
        <v>713537668</v>
      </c>
      <c r="I67" s="771">
        <f t="shared" si="16"/>
        <v>0</v>
      </c>
      <c r="J67" s="1602">
        <f t="shared" si="16"/>
        <v>803450819</v>
      </c>
      <c r="K67" s="771">
        <f>SUM(K55:K63)</f>
        <v>150548290</v>
      </c>
      <c r="L67" s="771">
        <f>SUM(L55:L63)</f>
        <v>691330984</v>
      </c>
      <c r="M67" s="771">
        <f>SUM(M55:M63)</f>
        <v>0</v>
      </c>
      <c r="N67" s="1602">
        <f>SUM(N55:N63)</f>
        <v>841879274</v>
      </c>
    </row>
    <row r="68" spans="1:14" ht="25.5">
      <c r="A68" s="1137"/>
      <c r="B68" s="717" t="s">
        <v>777</v>
      </c>
      <c r="C68" s="399">
        <v>8251931</v>
      </c>
      <c r="D68" s="399"/>
      <c r="E68" s="399"/>
      <c r="F68" s="434">
        <f>SUM(C68:E68)</f>
        <v>8251931</v>
      </c>
      <c r="G68" s="399">
        <v>8432007</v>
      </c>
      <c r="H68" s="399"/>
      <c r="I68" s="399"/>
      <c r="J68" s="434">
        <f>SUM(G68:I68)</f>
        <v>8432007</v>
      </c>
      <c r="K68" s="399">
        <v>8432007</v>
      </c>
      <c r="L68" s="399"/>
      <c r="M68" s="399"/>
      <c r="N68" s="434">
        <f>SUM(K68:M68)</f>
        <v>8432007</v>
      </c>
    </row>
    <row r="69" spans="1:14" ht="25.5">
      <c r="A69" s="1137"/>
      <c r="B69" s="717" t="s">
        <v>778</v>
      </c>
      <c r="C69" s="399">
        <v>329437179</v>
      </c>
      <c r="D69" s="399"/>
      <c r="E69" s="399"/>
      <c r="F69" s="434">
        <f>SUM(C69:E69)</f>
        <v>329437179</v>
      </c>
      <c r="G69" s="399">
        <v>327680648</v>
      </c>
      <c r="H69" s="399"/>
      <c r="I69" s="399"/>
      <c r="J69" s="434">
        <f>SUM(G69:I69)</f>
        <v>327680648</v>
      </c>
      <c r="K69" s="399">
        <v>327974397</v>
      </c>
      <c r="L69" s="399"/>
      <c r="M69" s="399"/>
      <c r="N69" s="434">
        <f>SUM(K69:M69)</f>
        <v>327974397</v>
      </c>
    </row>
    <row r="70" spans="1:14" ht="12.75">
      <c r="A70" s="1137" t="s">
        <v>230</v>
      </c>
      <c r="B70" s="760" t="s">
        <v>779</v>
      </c>
      <c r="C70" s="399">
        <f>SUM(C68:C69)</f>
        <v>337689110</v>
      </c>
      <c r="D70" s="399"/>
      <c r="E70" s="399"/>
      <c r="F70" s="434">
        <f>SUM(C70:E70)</f>
        <v>337689110</v>
      </c>
      <c r="G70" s="399">
        <f>SUM(G68:G69)</f>
        <v>336112655</v>
      </c>
      <c r="H70" s="399"/>
      <c r="I70" s="399"/>
      <c r="J70" s="434">
        <f>SUM(G70:I70)</f>
        <v>336112655</v>
      </c>
      <c r="K70" s="399">
        <f>SUM(K68:K69)</f>
        <v>336406404</v>
      </c>
      <c r="L70" s="399"/>
      <c r="M70" s="399"/>
      <c r="N70" s="434">
        <f>SUM(K70:M70)</f>
        <v>336406404</v>
      </c>
    </row>
    <row r="71" spans="1:14" ht="16.5" thickBot="1">
      <c r="A71" s="1264"/>
      <c r="B71" s="773" t="s">
        <v>780</v>
      </c>
      <c r="C71" s="567">
        <f>SUM(C70)</f>
        <v>337689110</v>
      </c>
      <c r="D71" s="567"/>
      <c r="E71" s="567">
        <f>SUM(E68:E69)</f>
        <v>0</v>
      </c>
      <c r="F71" s="1603">
        <f>SUM(F70)</f>
        <v>337689110</v>
      </c>
      <c r="G71" s="567">
        <f>SUM(G70)</f>
        <v>336112655</v>
      </c>
      <c r="H71" s="567"/>
      <c r="I71" s="567">
        <f>SUM(I68:I69)</f>
        <v>0</v>
      </c>
      <c r="J71" s="1603">
        <f>SUM(J70)</f>
        <v>336112655</v>
      </c>
      <c r="K71" s="567">
        <f>SUM(K70)</f>
        <v>336406404</v>
      </c>
      <c r="L71" s="567"/>
      <c r="M71" s="567">
        <f>SUM(M68:M69)</f>
        <v>0</v>
      </c>
      <c r="N71" s="1603">
        <f>SUM(N70)</f>
        <v>336406404</v>
      </c>
    </row>
    <row r="72" spans="1:16" s="772" customFormat="1" ht="16.5" thickBot="1">
      <c r="A72" s="2131" t="s">
        <v>119</v>
      </c>
      <c r="B72" s="2132"/>
      <c r="C72" s="755">
        <f>SUM(C67+C71)</f>
        <v>895226354</v>
      </c>
      <c r="D72" s="755">
        <f>SUM(D67+D71)</f>
        <v>54629641</v>
      </c>
      <c r="E72" s="755">
        <f>SUM(E67+E71)</f>
        <v>0</v>
      </c>
      <c r="F72" s="756">
        <f>SUM(C72+D72)</f>
        <v>949855995</v>
      </c>
      <c r="G72" s="755">
        <f>SUM(G67+G71)</f>
        <v>426025806</v>
      </c>
      <c r="H72" s="755">
        <f>SUM(H67+H71)</f>
        <v>713537668</v>
      </c>
      <c r="I72" s="755">
        <f>SUM(I67+I71)</f>
        <v>0</v>
      </c>
      <c r="J72" s="756">
        <f>SUM(G72+H72)</f>
        <v>1139563474</v>
      </c>
      <c r="K72" s="755">
        <f>SUM(K67+K71)</f>
        <v>486954694</v>
      </c>
      <c r="L72" s="755">
        <f>SUM(L67+L71)</f>
        <v>691330984</v>
      </c>
      <c r="M72" s="755">
        <f>SUM(M67+M71)</f>
        <v>0</v>
      </c>
      <c r="N72" s="756">
        <f>SUM(K72+L72)</f>
        <v>1178285678</v>
      </c>
      <c r="P72" s="772" t="s">
        <v>549</v>
      </c>
    </row>
  </sheetData>
  <sheetProtection/>
  <mergeCells count="11">
    <mergeCell ref="F3:H3"/>
    <mergeCell ref="K10:N10"/>
    <mergeCell ref="A6:N6"/>
    <mergeCell ref="A1:N1"/>
    <mergeCell ref="A2:N2"/>
    <mergeCell ref="G10:J10"/>
    <mergeCell ref="A72:B72"/>
    <mergeCell ref="A54:B54"/>
    <mergeCell ref="A10:B11"/>
    <mergeCell ref="C10:F10"/>
    <mergeCell ref="A49:B49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52" r:id="rId1"/>
  <rowBreaks count="1" manualBreakCount="1">
    <brk id="54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18" customWidth="1"/>
    <col min="2" max="2" width="16.00390625" style="18" customWidth="1"/>
    <col min="3" max="4" width="11.57421875" style="18" customWidth="1"/>
    <col min="5" max="5" width="13.7109375" style="18" customWidth="1"/>
    <col min="6" max="16384" width="11.57421875" style="18" customWidth="1"/>
  </cols>
  <sheetData>
    <row r="1" spans="4:5" ht="12.75" customHeight="1">
      <c r="D1" s="1745" t="s">
        <v>542</v>
      </c>
      <c r="E1" s="1745"/>
    </row>
    <row r="2" spans="2:5" ht="12.75" customHeight="1">
      <c r="B2" s="2153" t="s">
        <v>1</v>
      </c>
      <c r="C2" s="2153"/>
      <c r="D2" s="2153"/>
      <c r="E2" s="2153"/>
    </row>
    <row r="3" spans="1:2" ht="29.25" customHeight="1">
      <c r="A3" s="45"/>
      <c r="B3" s="45"/>
    </row>
    <row r="4" spans="1:5" ht="12.75" customHeight="1">
      <c r="A4" s="2154" t="s">
        <v>2</v>
      </c>
      <c r="B4" s="2154"/>
      <c r="C4" s="2154"/>
      <c r="D4" s="2154"/>
      <c r="E4" s="2154"/>
    </row>
    <row r="5" spans="1:5" ht="12.75" customHeight="1">
      <c r="A5" s="1746" t="s">
        <v>543</v>
      </c>
      <c r="B5" s="1746"/>
      <c r="C5" s="1746"/>
      <c r="D5" s="1746"/>
      <c r="E5" s="1746"/>
    </row>
    <row r="6" spans="1:3" ht="27" customHeight="1">
      <c r="A6" s="240"/>
      <c r="B6" s="240"/>
      <c r="C6" s="240"/>
    </row>
    <row r="7" spans="1:5" ht="13.5" customHeight="1">
      <c r="A7" s="240"/>
      <c r="B7" s="240"/>
      <c r="C7" s="240"/>
      <c r="D7" s="1741" t="s">
        <v>5</v>
      </c>
      <c r="E7" s="1741"/>
    </row>
    <row r="8" spans="1:5" ht="12.75" customHeight="1">
      <c r="A8" s="2155" t="s">
        <v>520</v>
      </c>
      <c r="B8" s="2156" t="s">
        <v>521</v>
      </c>
      <c r="C8" s="2157" t="s">
        <v>544</v>
      </c>
      <c r="D8" s="2157"/>
      <c r="E8" s="2157"/>
    </row>
    <row r="9" spans="1:5" ht="33.75" customHeight="1">
      <c r="A9" s="2155"/>
      <c r="B9" s="2156"/>
      <c r="C9" s="241" t="s">
        <v>523</v>
      </c>
      <c r="D9" s="241" t="s">
        <v>524</v>
      </c>
      <c r="E9" s="242" t="s">
        <v>525</v>
      </c>
    </row>
    <row r="10" spans="1:5" ht="15" customHeight="1">
      <c r="A10" s="243" t="s">
        <v>2</v>
      </c>
      <c r="B10" s="244">
        <f>C10+D10+E10</f>
        <v>210979</v>
      </c>
      <c r="C10" s="245">
        <f>SUM(C11:C14)</f>
        <v>202719</v>
      </c>
      <c r="D10" s="245">
        <f>SUM(D11:D14)</f>
        <v>8260</v>
      </c>
      <c r="E10" s="246">
        <f>SUM(E11:E14)</f>
        <v>0</v>
      </c>
    </row>
    <row r="11" spans="1:5" s="250" customFormat="1" ht="15" customHeight="1">
      <c r="A11" s="247" t="s">
        <v>545</v>
      </c>
      <c r="B11" s="248"/>
      <c r="C11" s="248">
        <v>202719</v>
      </c>
      <c r="D11" s="248"/>
      <c r="E11" s="249"/>
    </row>
    <row r="12" spans="1:5" s="250" customFormat="1" ht="15" customHeight="1">
      <c r="A12" s="247" t="s">
        <v>546</v>
      </c>
      <c r="B12" s="248"/>
      <c r="C12" s="248"/>
      <c r="D12" s="248">
        <v>610</v>
      </c>
      <c r="E12" s="249"/>
    </row>
    <row r="13" spans="1:5" s="250" customFormat="1" ht="15" customHeight="1">
      <c r="A13" s="251" t="s">
        <v>547</v>
      </c>
      <c r="B13" s="252"/>
      <c r="C13" s="248"/>
      <c r="D13" s="252">
        <v>7650</v>
      </c>
      <c r="E13" s="249"/>
    </row>
    <row r="14" spans="1:5" s="250" customFormat="1" ht="15" customHeight="1">
      <c r="A14" s="247" t="s">
        <v>548</v>
      </c>
      <c r="B14" s="248"/>
      <c r="C14" s="248"/>
      <c r="D14" s="248"/>
      <c r="E14" s="249" t="s">
        <v>549</v>
      </c>
    </row>
    <row r="15" spans="1:5" ht="15" customHeight="1">
      <c r="A15" s="253" t="s">
        <v>237</v>
      </c>
      <c r="B15" s="244">
        <f>C15+D15+E15</f>
        <v>112004</v>
      </c>
      <c r="C15" s="244">
        <f>SUM(C16:C17)</f>
        <v>91520</v>
      </c>
      <c r="D15" s="244">
        <f>SUM(D16:D17)</f>
        <v>0</v>
      </c>
      <c r="E15" s="254">
        <f>SUM(E16:E17)</f>
        <v>20484</v>
      </c>
    </row>
    <row r="16" spans="1:5" s="250" customFormat="1" ht="15" customHeight="1">
      <c r="A16" s="251" t="s">
        <v>550</v>
      </c>
      <c r="B16" s="252"/>
      <c r="C16" s="248">
        <v>68282</v>
      </c>
      <c r="D16" s="252"/>
      <c r="E16" s="255">
        <v>20484</v>
      </c>
    </row>
    <row r="17" spans="1:5" s="250" customFormat="1" ht="15" customHeight="1">
      <c r="A17" s="251" t="s">
        <v>551</v>
      </c>
      <c r="B17" s="252"/>
      <c r="C17" s="248">
        <v>23238</v>
      </c>
      <c r="D17" s="252"/>
      <c r="E17" s="255"/>
    </row>
    <row r="18" spans="1:5" ht="15" customHeight="1">
      <c r="A18" s="253" t="s">
        <v>552</v>
      </c>
      <c r="B18" s="244">
        <v>80345</v>
      </c>
      <c r="C18" s="256">
        <f>SUM(C19:C20)</f>
        <v>72285</v>
      </c>
      <c r="D18" s="256">
        <f>SUM(D19:D20)</f>
        <v>8060</v>
      </c>
      <c r="E18" s="257">
        <f>SUM(E19:E20)</f>
        <v>0</v>
      </c>
    </row>
    <row r="19" spans="1:5" s="250" customFormat="1" ht="15" customHeight="1">
      <c r="A19" s="251" t="s">
        <v>553</v>
      </c>
      <c r="B19" s="252"/>
      <c r="C19" s="248">
        <v>72285</v>
      </c>
      <c r="D19" s="252"/>
      <c r="E19" s="255"/>
    </row>
    <row r="20" spans="1:5" s="250" customFormat="1" ht="15" customHeight="1">
      <c r="A20" s="251" t="s">
        <v>554</v>
      </c>
      <c r="B20" s="252"/>
      <c r="C20" s="248"/>
      <c r="D20" s="252">
        <v>8060</v>
      </c>
      <c r="E20" s="255"/>
    </row>
    <row r="21" spans="1:5" ht="15" customHeight="1">
      <c r="A21" s="253" t="s">
        <v>555</v>
      </c>
      <c r="B21" s="244">
        <v>16681</v>
      </c>
      <c r="C21" s="244">
        <f>B21</f>
        <v>16681</v>
      </c>
      <c r="D21" s="244"/>
      <c r="E21" s="254"/>
    </row>
    <row r="22" spans="1:5" ht="15" customHeight="1">
      <c r="A22" s="253" t="s">
        <v>241</v>
      </c>
      <c r="B22" s="244">
        <v>10850</v>
      </c>
      <c r="C22" s="244">
        <f>B22</f>
        <v>10850</v>
      </c>
      <c r="D22" s="244"/>
      <c r="E22" s="254"/>
    </row>
    <row r="23" spans="1:5" s="20" customFormat="1" ht="15" customHeight="1">
      <c r="A23" s="258" t="s">
        <v>25</v>
      </c>
      <c r="B23" s="259">
        <f>B10+B15+B18+B21+B22</f>
        <v>430859</v>
      </c>
      <c r="C23" s="259">
        <f>C10+C15+C18+C21+C22</f>
        <v>394055</v>
      </c>
      <c r="D23" s="259">
        <f>D10+D15+D18+D21+D22</f>
        <v>16320</v>
      </c>
      <c r="E23" s="259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SheetLayoutView="100" zoomScalePageLayoutView="0" workbookViewId="0" topLeftCell="A19">
      <selection activeCell="H15" sqref="H15"/>
    </sheetView>
  </sheetViews>
  <sheetFormatPr defaultColWidth="9.140625" defaultRowHeight="12.75"/>
  <cols>
    <col min="2" max="2" width="67.57421875" style="0" customWidth="1"/>
    <col min="3" max="6" width="17.28125" style="654" customWidth="1"/>
  </cols>
  <sheetData>
    <row r="1" spans="1:6" ht="15">
      <c r="A1" s="1871" t="s">
        <v>542</v>
      </c>
      <c r="B1" s="1871"/>
      <c r="C1" s="1871"/>
      <c r="D1" s="1871"/>
      <c r="E1" s="1871"/>
      <c r="F1" s="1871"/>
    </row>
    <row r="2" spans="1:6" ht="15">
      <c r="A2" s="2162" t="s">
        <v>1259</v>
      </c>
      <c r="B2" s="2162"/>
      <c r="C2" s="2162"/>
      <c r="D2" s="2162"/>
      <c r="E2" s="2162"/>
      <c r="F2" s="2162"/>
    </row>
    <row r="3" spans="1:6" ht="15">
      <c r="A3" s="1738"/>
      <c r="B3" s="2162" t="s">
        <v>1261</v>
      </c>
      <c r="C3" s="2162"/>
      <c r="D3" s="2162"/>
      <c r="E3" s="2162"/>
      <c r="F3" s="1738" t="s">
        <v>511</v>
      </c>
    </row>
    <row r="4" spans="1:6" ht="19.5" customHeight="1">
      <c r="A4" s="2161" t="s">
        <v>1081</v>
      </c>
      <c r="B4" s="2161"/>
      <c r="C4" s="2161"/>
      <c r="D4" s="2161"/>
      <c r="E4" s="2161"/>
      <c r="F4" s="2161"/>
    </row>
    <row r="5" spans="1:2" ht="19.5" customHeight="1">
      <c r="A5" s="774"/>
      <c r="B5" s="774"/>
    </row>
    <row r="6" spans="2:6" ht="12.75">
      <c r="B6" s="2160" t="s">
        <v>155</v>
      </c>
      <c r="C6" s="2160"/>
      <c r="D6" s="2160"/>
      <c r="E6" s="2160"/>
      <c r="F6" s="2160"/>
    </row>
    <row r="7" spans="1:6" ht="25.5">
      <c r="A7" s="2158" t="s">
        <v>156</v>
      </c>
      <c r="B7" s="928" t="s">
        <v>24</v>
      </c>
      <c r="C7" s="1324" t="s">
        <v>1076</v>
      </c>
      <c r="D7" s="1324" t="s">
        <v>1077</v>
      </c>
      <c r="E7" s="1324" t="s">
        <v>1165</v>
      </c>
      <c r="F7" s="1324" t="s">
        <v>1186</v>
      </c>
    </row>
    <row r="8" spans="1:6" ht="12.75">
      <c r="A8" s="2158"/>
      <c r="B8" s="232" t="s">
        <v>158</v>
      </c>
      <c r="C8" s="1321" t="s">
        <v>159</v>
      </c>
      <c r="D8" s="1321" t="s">
        <v>160</v>
      </c>
      <c r="E8" s="1321" t="s">
        <v>161</v>
      </c>
      <c r="F8" s="1321" t="s">
        <v>476</v>
      </c>
    </row>
    <row r="9" spans="1:6" ht="12.75">
      <c r="A9" s="233" t="s">
        <v>38</v>
      </c>
      <c r="B9" s="234" t="s">
        <v>1082</v>
      </c>
      <c r="C9" s="1322"/>
      <c r="D9" s="1322"/>
      <c r="E9" s="1322"/>
      <c r="F9" s="1322"/>
    </row>
    <row r="10" spans="1:6" s="1110" customFormat="1" ht="15">
      <c r="A10" s="1636" t="s">
        <v>40</v>
      </c>
      <c r="B10" s="1637" t="s">
        <v>898</v>
      </c>
      <c r="C10" s="1320">
        <v>24710200</v>
      </c>
      <c r="D10" s="1320">
        <v>24710200</v>
      </c>
      <c r="E10" s="1320">
        <v>24710200</v>
      </c>
      <c r="F10" s="1320">
        <v>24710200</v>
      </c>
    </row>
    <row r="11" spans="1:6" s="1110" customFormat="1" ht="15">
      <c r="A11" s="1636" t="s">
        <v>47</v>
      </c>
      <c r="B11" s="1637" t="s">
        <v>959</v>
      </c>
      <c r="C11" s="1320">
        <v>311334729</v>
      </c>
      <c r="D11" s="1320">
        <v>311334729</v>
      </c>
      <c r="E11" s="1320">
        <v>221820822</v>
      </c>
      <c r="F11" s="1320">
        <v>72632644</v>
      </c>
    </row>
    <row r="12" spans="1:6" s="1110" customFormat="1" ht="12.75">
      <c r="A12" s="1636" t="s">
        <v>49</v>
      </c>
      <c r="B12" s="1638" t="s">
        <v>899</v>
      </c>
      <c r="C12" s="1639">
        <v>3100000</v>
      </c>
      <c r="D12" s="1639">
        <v>3100000</v>
      </c>
      <c r="E12" s="1639">
        <v>3100000</v>
      </c>
      <c r="F12" s="1639">
        <v>3100000</v>
      </c>
    </row>
    <row r="13" spans="1:6" s="654" customFormat="1" ht="12.75">
      <c r="A13" s="1640" t="s">
        <v>51</v>
      </c>
      <c r="B13" s="1638" t="s">
        <v>1041</v>
      </c>
      <c r="C13" s="1639">
        <v>75018755</v>
      </c>
      <c r="D13" s="1639">
        <v>75018755</v>
      </c>
      <c r="E13" s="1639">
        <v>74500493</v>
      </c>
      <c r="F13" s="1639">
        <v>71644263</v>
      </c>
    </row>
    <row r="14" spans="1:6" s="1110" customFormat="1" ht="25.5">
      <c r="A14" s="1636" t="s">
        <v>53</v>
      </c>
      <c r="B14" s="1638" t="s">
        <v>900</v>
      </c>
      <c r="C14" s="1639">
        <v>1700000</v>
      </c>
      <c r="D14" s="1639">
        <v>1700000</v>
      </c>
      <c r="E14" s="1639">
        <v>1700000</v>
      </c>
      <c r="F14" s="1639">
        <v>1700000</v>
      </c>
    </row>
    <row r="15" spans="1:6" s="1110" customFormat="1" ht="25.5">
      <c r="A15" s="1641" t="s">
        <v>55</v>
      </c>
      <c r="B15" s="1642" t="s">
        <v>897</v>
      </c>
      <c r="C15" s="1643">
        <v>2310572</v>
      </c>
      <c r="D15" s="1643">
        <v>2310572</v>
      </c>
      <c r="E15" s="1643">
        <v>2310572</v>
      </c>
      <c r="F15" s="1643">
        <v>2310572</v>
      </c>
    </row>
    <row r="16" spans="1:6" ht="12.75">
      <c r="A16" s="1644" t="s">
        <v>57</v>
      </c>
      <c r="B16" s="1645" t="s">
        <v>901</v>
      </c>
      <c r="C16" s="1646">
        <v>1430284</v>
      </c>
      <c r="D16" s="1646">
        <v>1430284</v>
      </c>
      <c r="E16" s="1646">
        <v>1430284</v>
      </c>
      <c r="F16" s="1646">
        <v>1430284</v>
      </c>
    </row>
    <row r="17" spans="1:6" ht="12.75">
      <c r="A17" s="1644" t="s">
        <v>86</v>
      </c>
      <c r="B17" s="1645" t="s">
        <v>1010</v>
      </c>
      <c r="C17" s="1646">
        <v>0</v>
      </c>
      <c r="D17" s="1646">
        <v>0</v>
      </c>
      <c r="E17" s="1646">
        <v>0</v>
      </c>
      <c r="F17" s="1646">
        <v>0</v>
      </c>
    </row>
    <row r="18" spans="1:6" ht="12.75">
      <c r="A18" s="1647" t="s">
        <v>59</v>
      </c>
      <c r="B18" s="1648" t="s">
        <v>960</v>
      </c>
      <c r="C18" s="1649">
        <v>0</v>
      </c>
      <c r="D18" s="1649">
        <v>0</v>
      </c>
      <c r="E18" s="1649">
        <v>0</v>
      </c>
      <c r="F18" s="1649">
        <v>0</v>
      </c>
    </row>
    <row r="19" spans="1:6" ht="12.75">
      <c r="A19" s="1644" t="s">
        <v>61</v>
      </c>
      <c r="B19" s="1650" t="s">
        <v>960</v>
      </c>
      <c r="C19" s="1646">
        <v>0</v>
      </c>
      <c r="D19" s="1646">
        <v>0</v>
      </c>
      <c r="E19" s="1646">
        <v>0</v>
      </c>
      <c r="F19" s="1646">
        <v>0</v>
      </c>
    </row>
    <row r="20" spans="1:6" s="1110" customFormat="1" ht="12.75">
      <c r="A20" s="1644" t="s">
        <v>63</v>
      </c>
      <c r="B20" s="1650" t="s">
        <v>964</v>
      </c>
      <c r="C20" s="1646">
        <v>991609</v>
      </c>
      <c r="D20" s="1646">
        <v>991609</v>
      </c>
      <c r="E20" s="1646">
        <v>991609</v>
      </c>
      <c r="F20" s="1646">
        <v>0</v>
      </c>
    </row>
    <row r="21" spans="1:6" ht="12.75">
      <c r="A21" s="1644" t="s">
        <v>65</v>
      </c>
      <c r="B21" s="1650" t="s">
        <v>1162</v>
      </c>
      <c r="C21" s="1646">
        <v>4998283</v>
      </c>
      <c r="D21" s="1646">
        <v>4998283</v>
      </c>
      <c r="E21" s="1646">
        <v>4998283</v>
      </c>
      <c r="F21" s="1646">
        <v>4998283</v>
      </c>
    </row>
    <row r="22" spans="1:6" ht="25.5">
      <c r="A22" s="1644" t="s">
        <v>92</v>
      </c>
      <c r="B22" s="1650" t="s">
        <v>1039</v>
      </c>
      <c r="C22" s="1646">
        <v>8256106</v>
      </c>
      <c r="D22" s="1646">
        <v>8256106</v>
      </c>
      <c r="E22" s="1646">
        <v>8256106</v>
      </c>
      <c r="F22" s="1646">
        <v>8256106</v>
      </c>
    </row>
    <row r="23" spans="1:6" ht="25.5">
      <c r="A23" s="1644" t="s">
        <v>66</v>
      </c>
      <c r="B23" s="1650" t="s">
        <v>1188</v>
      </c>
      <c r="C23" s="1646"/>
      <c r="D23" s="1646"/>
      <c r="E23" s="1646"/>
      <c r="F23" s="1646">
        <v>53429</v>
      </c>
    </row>
    <row r="24" spans="1:6" ht="12.75">
      <c r="A24" s="1644" t="s">
        <v>67</v>
      </c>
      <c r="B24" s="1650" t="s">
        <v>1258</v>
      </c>
      <c r="C24" s="1646"/>
      <c r="D24" s="1646"/>
      <c r="E24" s="1646"/>
      <c r="F24" s="1646">
        <v>1772920</v>
      </c>
    </row>
    <row r="25" spans="1:6" s="1110" customFormat="1" ht="12.75">
      <c r="A25" s="1644" t="s">
        <v>68</v>
      </c>
      <c r="B25" s="1650" t="s">
        <v>1169</v>
      </c>
      <c r="C25" s="1646"/>
      <c r="D25" s="1646"/>
      <c r="E25" s="1646">
        <v>199148770</v>
      </c>
      <c r="F25" s="1646">
        <v>199148770</v>
      </c>
    </row>
    <row r="26" spans="1:6" ht="12.75">
      <c r="A26" s="1636" t="s">
        <v>70</v>
      </c>
      <c r="B26" s="1371" t="s">
        <v>540</v>
      </c>
      <c r="C26" s="1107">
        <f>SUM(C10:C22)</f>
        <v>433850538</v>
      </c>
      <c r="D26" s="1107">
        <f>SUM(D10:D22)</f>
        <v>433850538</v>
      </c>
      <c r="E26" s="1107">
        <f>SUM(E10:E25)</f>
        <v>542967139</v>
      </c>
      <c r="F26" s="1107">
        <f>SUM(F10:F25)</f>
        <v>391757471</v>
      </c>
    </row>
    <row r="27" spans="1:6" ht="12.75">
      <c r="A27" s="237" t="s">
        <v>97</v>
      </c>
      <c r="B27" s="1372"/>
      <c r="C27" s="1651"/>
      <c r="D27" s="1651"/>
      <c r="E27" s="1651"/>
      <c r="F27" s="1651"/>
    </row>
    <row r="28" spans="1:6" ht="12.75">
      <c r="A28" s="235" t="s">
        <v>99</v>
      </c>
      <c r="B28" s="1373"/>
      <c r="C28" s="1111"/>
      <c r="D28" s="1111"/>
      <c r="E28" s="1109"/>
      <c r="F28" s="1109"/>
    </row>
    <row r="29" spans="1:6" ht="15">
      <c r="A29" s="235" t="s">
        <v>101</v>
      </c>
      <c r="B29" s="1374"/>
      <c r="C29" s="1108"/>
      <c r="D29" s="1108"/>
      <c r="E29" s="1108"/>
      <c r="F29" s="1108"/>
    </row>
    <row r="30" spans="1:6" ht="15">
      <c r="A30" s="235" t="s">
        <v>103</v>
      </c>
      <c r="B30" s="1375" t="s">
        <v>12</v>
      </c>
      <c r="C30" s="1111"/>
      <c r="D30" s="1111"/>
      <c r="E30" s="1109"/>
      <c r="F30" s="1109"/>
    </row>
    <row r="31" spans="1:6" s="1110" customFormat="1" ht="12.75">
      <c r="A31" s="1636" t="s">
        <v>105</v>
      </c>
      <c r="B31" s="1652" t="s">
        <v>961</v>
      </c>
      <c r="C31" s="1651">
        <v>595883</v>
      </c>
      <c r="D31" s="1651">
        <v>595883</v>
      </c>
      <c r="E31" s="1651">
        <v>595883</v>
      </c>
      <c r="F31" s="1651">
        <v>595883</v>
      </c>
    </row>
    <row r="32" spans="1:6" s="1110" customFormat="1" ht="25.5">
      <c r="A32" s="1636" t="s">
        <v>107</v>
      </c>
      <c r="B32" s="1455" t="s">
        <v>539</v>
      </c>
      <c r="C32" s="1651">
        <v>20423885</v>
      </c>
      <c r="D32" s="1651">
        <v>4285985</v>
      </c>
      <c r="E32" s="1651">
        <v>4285985</v>
      </c>
      <c r="F32" s="1651">
        <v>4285985</v>
      </c>
    </row>
    <row r="33" spans="1:6" s="1110" customFormat="1" ht="12.75">
      <c r="A33" s="1636" t="s">
        <v>109</v>
      </c>
      <c r="B33" s="1653" t="s">
        <v>538</v>
      </c>
      <c r="C33" s="1651">
        <v>10371000</v>
      </c>
      <c r="D33" s="1651">
        <v>10371000</v>
      </c>
      <c r="E33" s="1651">
        <v>9509000</v>
      </c>
      <c r="F33" s="1651">
        <v>9509000</v>
      </c>
    </row>
    <row r="34" spans="1:6" ht="12.75">
      <c r="A34" s="1641" t="s">
        <v>111</v>
      </c>
      <c r="B34" s="1654" t="s">
        <v>901</v>
      </c>
      <c r="C34" s="1651">
        <v>139598</v>
      </c>
      <c r="D34" s="1651">
        <v>139598</v>
      </c>
      <c r="E34" s="1651">
        <v>139598</v>
      </c>
      <c r="F34" s="1651">
        <v>139598</v>
      </c>
    </row>
    <row r="35" spans="1:6" s="1110" customFormat="1" ht="25.5">
      <c r="A35" s="1655" t="s">
        <v>113</v>
      </c>
      <c r="B35" s="1650" t="s">
        <v>962</v>
      </c>
      <c r="C35" s="1656">
        <v>2000000</v>
      </c>
      <c r="D35" s="1656">
        <v>1500000</v>
      </c>
      <c r="E35" s="1656">
        <v>1500000</v>
      </c>
      <c r="F35" s="1656">
        <v>1500000</v>
      </c>
    </row>
    <row r="36" spans="1:6" s="1110" customFormat="1" ht="25.5">
      <c r="A36" s="1644" t="s">
        <v>115</v>
      </c>
      <c r="B36" s="1650" t="s">
        <v>963</v>
      </c>
      <c r="C36" s="1656">
        <v>350000</v>
      </c>
      <c r="D36" s="1656">
        <v>350000</v>
      </c>
      <c r="E36" s="1656">
        <v>350000</v>
      </c>
      <c r="F36" s="1656">
        <v>350000</v>
      </c>
    </row>
    <row r="37" spans="1:6" s="1110" customFormat="1" ht="25.5">
      <c r="A37" s="1644" t="s">
        <v>117</v>
      </c>
      <c r="B37" s="1657" t="s">
        <v>1040</v>
      </c>
      <c r="C37" s="1656">
        <v>126606</v>
      </c>
      <c r="D37" s="1656">
        <v>126606</v>
      </c>
      <c r="E37" s="1656">
        <v>126606</v>
      </c>
      <c r="F37" s="1656">
        <v>0</v>
      </c>
    </row>
    <row r="38" spans="1:6" ht="12.75">
      <c r="A38" s="1644" t="s">
        <v>118</v>
      </c>
      <c r="B38" s="1650"/>
      <c r="C38" s="1656">
        <v>0</v>
      </c>
      <c r="D38" s="1656">
        <v>0</v>
      </c>
      <c r="E38" s="1656">
        <v>0</v>
      </c>
      <c r="F38" s="1656">
        <v>0</v>
      </c>
    </row>
    <row r="39" spans="1:6" ht="12.75">
      <c r="A39" s="1104" t="s">
        <v>120</v>
      </c>
      <c r="B39" s="1105"/>
      <c r="C39" s="1113"/>
      <c r="D39" s="1113"/>
      <c r="E39" s="1112"/>
      <c r="F39" s="1112"/>
    </row>
    <row r="40" spans="1:6" ht="12.75">
      <c r="A40" s="235" t="s">
        <v>122</v>
      </c>
      <c r="B40" s="1106" t="s">
        <v>540</v>
      </c>
      <c r="C40" s="1107">
        <f>SUM(C31:C38)</f>
        <v>34006972</v>
      </c>
      <c r="D40" s="1107">
        <f>SUM(D31:D38)</f>
        <v>17369072</v>
      </c>
      <c r="E40" s="1623">
        <f>SUM(E31:E38)</f>
        <v>16507072</v>
      </c>
      <c r="F40" s="1623">
        <f>SUM(F31:F38)</f>
        <v>16380466</v>
      </c>
    </row>
    <row r="41" spans="1:6" ht="12.75">
      <c r="A41" s="235" t="s">
        <v>124</v>
      </c>
      <c r="B41" s="171"/>
      <c r="C41" s="1323"/>
      <c r="D41" s="1323"/>
      <c r="E41" s="1624"/>
      <c r="F41" s="1624"/>
    </row>
    <row r="42" spans="1:6" ht="12.75">
      <c r="A42" s="235" t="s">
        <v>126</v>
      </c>
      <c r="B42" s="236"/>
      <c r="C42" s="929"/>
      <c r="D42" s="929"/>
      <c r="E42" s="1625"/>
      <c r="F42" s="1625"/>
    </row>
    <row r="43" spans="1:6" ht="12.75">
      <c r="A43" s="235" t="s">
        <v>128</v>
      </c>
      <c r="B43" s="239"/>
      <c r="C43" s="1111"/>
      <c r="D43" s="1111"/>
      <c r="E43" s="1109"/>
      <c r="F43" s="1109"/>
    </row>
    <row r="44" spans="1:6" ht="12.75">
      <c r="A44" s="237" t="s">
        <v>130</v>
      </c>
      <c r="B44" s="236" t="s">
        <v>541</v>
      </c>
      <c r="C44" s="929">
        <f>SUM(C26+C40)</f>
        <v>467857510</v>
      </c>
      <c r="D44" s="929">
        <f>SUM(D26+D40)</f>
        <v>451219610</v>
      </c>
      <c r="E44" s="929">
        <f>SUM(E26+E40)</f>
        <v>559474211</v>
      </c>
      <c r="F44" s="929">
        <f>SUM(F26+F40)</f>
        <v>408137937</v>
      </c>
    </row>
    <row r="45" ht="12.75">
      <c r="A45" s="1103"/>
    </row>
    <row r="46" spans="1:2" ht="15.75">
      <c r="A46" s="2159"/>
      <c r="B46" s="2159"/>
    </row>
    <row r="48" spans="1:6" ht="12.75">
      <c r="A48" s="398" t="s">
        <v>131</v>
      </c>
      <c r="B48" s="398" t="s">
        <v>783</v>
      </c>
      <c r="C48" s="1113">
        <v>10908397</v>
      </c>
      <c r="D48" s="1113">
        <v>10908397</v>
      </c>
      <c r="E48" s="1113">
        <v>10908397</v>
      </c>
      <c r="F48" s="1113">
        <v>10908397</v>
      </c>
    </row>
    <row r="52" spans="1:6" ht="12.75">
      <c r="A52" s="1789" t="s">
        <v>784</v>
      </c>
      <c r="B52" s="1789"/>
      <c r="C52" s="909">
        <f>SUM(C44+C48)</f>
        <v>478765907</v>
      </c>
      <c r="D52" s="909">
        <f>SUM(D44+D48)</f>
        <v>462128007</v>
      </c>
      <c r="E52" s="909">
        <f>SUM(E44+E48)</f>
        <v>570382608</v>
      </c>
      <c r="F52" s="909">
        <f>SUM(F44+F48)</f>
        <v>419046334</v>
      </c>
    </row>
  </sheetData>
  <sheetProtection/>
  <mergeCells count="8">
    <mergeCell ref="A52:B52"/>
    <mergeCell ref="A7:A8"/>
    <mergeCell ref="A46:B46"/>
    <mergeCell ref="B6:F6"/>
    <mergeCell ref="A4:F4"/>
    <mergeCell ref="A2:F2"/>
    <mergeCell ref="B3:E3"/>
    <mergeCell ref="A1:F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18" customWidth="1"/>
    <col min="2" max="2" width="37.57421875" style="18" customWidth="1"/>
    <col min="3" max="7" width="8.7109375" style="25" customWidth="1"/>
    <col min="8" max="16384" width="11.57421875" style="18" customWidth="1"/>
  </cols>
  <sheetData>
    <row r="1" ht="12.75" customHeight="1">
      <c r="F1" s="26" t="s">
        <v>30</v>
      </c>
    </row>
    <row r="2" ht="12.75" customHeight="1">
      <c r="E2" s="25" t="s">
        <v>1</v>
      </c>
    </row>
    <row r="3" ht="12.75" customHeight="1">
      <c r="C3" s="26"/>
    </row>
    <row r="4" spans="2:6" ht="22.5" customHeight="1">
      <c r="B4" s="1742" t="s">
        <v>31</v>
      </c>
      <c r="C4" s="1742"/>
      <c r="D4" s="1742"/>
      <c r="E4" s="1742"/>
      <c r="F4" s="1742"/>
    </row>
    <row r="5" spans="2:6" ht="14.25" customHeight="1">
      <c r="B5" s="27"/>
      <c r="C5" s="27"/>
      <c r="D5" s="27"/>
      <c r="E5" s="27"/>
      <c r="F5" s="27"/>
    </row>
    <row r="6" spans="2:7" ht="58.5" customHeight="1">
      <c r="B6" s="1743" t="s">
        <v>32</v>
      </c>
      <c r="C6" s="1743"/>
      <c r="D6" s="1743"/>
      <c r="E6" s="1743"/>
      <c r="F6" s="1743"/>
      <c r="G6" s="1743"/>
    </row>
    <row r="7" spans="2:3" ht="12.75" customHeight="1">
      <c r="B7" s="28"/>
      <c r="C7" s="29"/>
    </row>
    <row r="8" ht="12.75" customHeight="1">
      <c r="G8" s="30" t="s">
        <v>5</v>
      </c>
    </row>
    <row r="9" spans="1:7" ht="50.25" customHeight="1">
      <c r="A9" s="31" t="s">
        <v>33</v>
      </c>
      <c r="B9" s="32" t="s">
        <v>24</v>
      </c>
      <c r="C9" s="33" t="s">
        <v>34</v>
      </c>
      <c r="D9" s="33" t="s">
        <v>35</v>
      </c>
      <c r="E9" s="33" t="s">
        <v>36</v>
      </c>
      <c r="F9" s="33" t="s">
        <v>37</v>
      </c>
      <c r="G9" s="34" t="s">
        <v>25</v>
      </c>
    </row>
    <row r="10" spans="1:7" s="20" customFormat="1" ht="27.75" customHeight="1">
      <c r="A10" s="35" t="s">
        <v>38</v>
      </c>
      <c r="B10" s="36" t="s">
        <v>39</v>
      </c>
      <c r="C10" s="37">
        <v>132230</v>
      </c>
      <c r="D10" s="37">
        <v>137916</v>
      </c>
      <c r="E10" s="37">
        <v>143846</v>
      </c>
      <c r="F10" s="37">
        <v>150031</v>
      </c>
      <c r="G10" s="37">
        <f aca="true" t="shared" si="0" ref="G10:G18">SUM(C10:F10)</f>
        <v>564023</v>
      </c>
    </row>
    <row r="11" spans="1:7" s="20" customFormat="1" ht="27.75" customHeight="1">
      <c r="A11" s="38" t="s">
        <v>40</v>
      </c>
      <c r="B11" s="39" t="s">
        <v>41</v>
      </c>
      <c r="C11" s="40"/>
      <c r="D11" s="40"/>
      <c r="E11" s="40"/>
      <c r="F11" s="40"/>
      <c r="G11" s="37">
        <f t="shared" si="0"/>
        <v>0</v>
      </c>
    </row>
    <row r="12" spans="1:7" ht="15" customHeight="1">
      <c r="A12" s="24"/>
      <c r="B12" s="41" t="s">
        <v>42</v>
      </c>
      <c r="C12" s="42">
        <v>100</v>
      </c>
      <c r="D12" s="42">
        <v>105</v>
      </c>
      <c r="E12" s="42">
        <v>110</v>
      </c>
      <c r="F12" s="42">
        <v>115</v>
      </c>
      <c r="G12" s="37">
        <f t="shared" si="0"/>
        <v>430</v>
      </c>
    </row>
    <row r="13" spans="1:7" ht="15" customHeight="1">
      <c r="A13" s="24"/>
      <c r="B13" s="41" t="s">
        <v>43</v>
      </c>
      <c r="C13" s="42"/>
      <c r="D13" s="42"/>
      <c r="E13" s="42"/>
      <c r="F13" s="42"/>
      <c r="G13" s="37">
        <f t="shared" si="0"/>
        <v>0</v>
      </c>
    </row>
    <row r="14" spans="1:7" ht="15" customHeight="1">
      <c r="A14" s="24"/>
      <c r="B14" s="41" t="s">
        <v>44</v>
      </c>
      <c r="C14" s="42">
        <v>4385</v>
      </c>
      <c r="D14" s="42">
        <v>4574</v>
      </c>
      <c r="E14" s="42">
        <v>4770</v>
      </c>
      <c r="F14" s="42">
        <v>4980</v>
      </c>
      <c r="G14" s="37">
        <f t="shared" si="0"/>
        <v>18709</v>
      </c>
    </row>
    <row r="15" spans="1:7" ht="15" customHeight="1">
      <c r="A15" s="24"/>
      <c r="B15" s="41" t="s">
        <v>45</v>
      </c>
      <c r="C15" s="42">
        <v>1240</v>
      </c>
      <c r="D15" s="42">
        <v>1300</v>
      </c>
      <c r="E15" s="42">
        <v>1360</v>
      </c>
      <c r="F15" s="42">
        <v>1420</v>
      </c>
      <c r="G15" s="37">
        <f t="shared" si="0"/>
        <v>5320</v>
      </c>
    </row>
    <row r="16" spans="1:7" ht="15" customHeight="1">
      <c r="A16" s="24"/>
      <c r="B16" s="41" t="s">
        <v>46</v>
      </c>
      <c r="C16" s="42"/>
      <c r="D16" s="42"/>
      <c r="E16" s="42"/>
      <c r="F16" s="42"/>
      <c r="G16" s="37">
        <f t="shared" si="0"/>
        <v>0</v>
      </c>
    </row>
    <row r="17" spans="1:7" ht="27.75" customHeight="1">
      <c r="A17" s="24" t="s">
        <v>47</v>
      </c>
      <c r="B17" s="41" t="s">
        <v>48</v>
      </c>
      <c r="C17" s="42"/>
      <c r="D17" s="42"/>
      <c r="E17" s="42"/>
      <c r="F17" s="42"/>
      <c r="G17" s="37">
        <f t="shared" si="0"/>
        <v>0</v>
      </c>
    </row>
    <row r="18" spans="1:7" ht="27.75" customHeight="1">
      <c r="A18" s="24" t="s">
        <v>49</v>
      </c>
      <c r="B18" s="41" t="s">
        <v>50</v>
      </c>
      <c r="C18" s="42"/>
      <c r="D18" s="42"/>
      <c r="E18" s="42"/>
      <c r="F18" s="42"/>
      <c r="G18" s="37">
        <f t="shared" si="0"/>
        <v>0</v>
      </c>
    </row>
    <row r="19" spans="1:7" s="20" customFormat="1" ht="27.75" customHeight="1">
      <c r="A19" s="24" t="s">
        <v>51</v>
      </c>
      <c r="B19" s="39" t="s">
        <v>52</v>
      </c>
      <c r="C19" s="40">
        <f>SUM(C10:C18)</f>
        <v>137955</v>
      </c>
      <c r="D19" s="40">
        <f>SUM(D10:D18)</f>
        <v>143895</v>
      </c>
      <c r="E19" s="40">
        <f>SUM(E10:E18)</f>
        <v>150086</v>
      </c>
      <c r="F19" s="40">
        <f>SUM(F10:F18)</f>
        <v>156546</v>
      </c>
      <c r="G19" s="40">
        <f>SUM(G10:G18)</f>
        <v>588482</v>
      </c>
    </row>
    <row r="20" spans="1:7" s="20" customFormat="1" ht="27.75" customHeight="1">
      <c r="A20" s="24" t="s">
        <v>53</v>
      </c>
      <c r="B20" s="39" t="s">
        <v>54</v>
      </c>
      <c r="C20" s="43">
        <f>C19/2</f>
        <v>68977.5</v>
      </c>
      <c r="D20" s="43">
        <f>D19/2</f>
        <v>71947.5</v>
      </c>
      <c r="E20" s="40">
        <f>E19/2</f>
        <v>75043</v>
      </c>
      <c r="F20" s="40">
        <f>F19/2</f>
        <v>78273</v>
      </c>
      <c r="G20" s="40">
        <f>G19/2</f>
        <v>294241</v>
      </c>
    </row>
    <row r="21" spans="1:7" s="20" customFormat="1" ht="27.75" customHeight="1">
      <c r="A21" s="24" t="s">
        <v>55</v>
      </c>
      <c r="B21" s="39" t="s">
        <v>56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f>SUM(F22:F24)</f>
        <v>0</v>
      </c>
      <c r="G21" s="40">
        <f>SUM(G22:G24)</f>
        <v>0</v>
      </c>
    </row>
    <row r="22" spans="1:7" ht="27.75" customHeight="1">
      <c r="A22" s="24" t="s">
        <v>57</v>
      </c>
      <c r="B22" s="41" t="s">
        <v>58</v>
      </c>
      <c r="C22" s="42"/>
      <c r="D22" s="42"/>
      <c r="E22" s="42"/>
      <c r="F22" s="42"/>
      <c r="G22" s="44">
        <f>SUM(C22:F22)</f>
        <v>0</v>
      </c>
    </row>
    <row r="23" spans="1:7" ht="27.75" customHeight="1">
      <c r="A23" s="24" t="s">
        <v>59</v>
      </c>
      <c r="B23" s="41" t="s">
        <v>60</v>
      </c>
      <c r="C23" s="42"/>
      <c r="D23" s="42"/>
      <c r="E23" s="42"/>
      <c r="F23" s="42"/>
      <c r="G23" s="44">
        <f>SUM(C23:F23)</f>
        <v>0</v>
      </c>
    </row>
    <row r="24" spans="1:7" ht="26.25" customHeight="1">
      <c r="A24" s="24" t="s">
        <v>61</v>
      </c>
      <c r="B24" s="41" t="s">
        <v>62</v>
      </c>
      <c r="C24" s="42"/>
      <c r="D24" s="42"/>
      <c r="E24" s="42"/>
      <c r="F24" s="42"/>
      <c r="G24" s="44">
        <f>SUM(C24:F24)</f>
        <v>0</v>
      </c>
    </row>
    <row r="25" spans="1:7" ht="26.25" customHeight="1">
      <c r="A25" s="24" t="s">
        <v>63</v>
      </c>
      <c r="B25" s="39" t="s">
        <v>64</v>
      </c>
      <c r="C25" s="40">
        <f>SUM(C26:C28)</f>
        <v>0</v>
      </c>
      <c r="D25" s="40">
        <f>SUM(D26:D28)</f>
        <v>0</v>
      </c>
      <c r="E25" s="40">
        <f>SUM(E26:E28)</f>
        <v>0</v>
      </c>
      <c r="F25" s="40">
        <f>SUM(F26:F28)</f>
        <v>0</v>
      </c>
      <c r="G25" s="40">
        <f>SUM(G26:G28)</f>
        <v>0</v>
      </c>
    </row>
    <row r="26" spans="1:7" ht="12.75" customHeight="1">
      <c r="A26" s="24" t="s">
        <v>65</v>
      </c>
      <c r="B26" s="41" t="s">
        <v>58</v>
      </c>
      <c r="C26" s="42"/>
      <c r="D26" s="42"/>
      <c r="E26" s="42"/>
      <c r="F26" s="42"/>
      <c r="G26" s="44">
        <f>SUM(C26:F26)</f>
        <v>0</v>
      </c>
    </row>
    <row r="27" spans="1:7" ht="12.75" customHeight="1">
      <c r="A27" s="24" t="s">
        <v>66</v>
      </c>
      <c r="B27" s="41" t="s">
        <v>60</v>
      </c>
      <c r="C27" s="42"/>
      <c r="D27" s="42"/>
      <c r="E27" s="42"/>
      <c r="F27" s="42"/>
      <c r="G27" s="44">
        <f>SUM(C27:F27)</f>
        <v>0</v>
      </c>
    </row>
    <row r="28" spans="1:7" ht="26.25" customHeight="1">
      <c r="A28" s="24" t="s">
        <v>67</v>
      </c>
      <c r="B28" s="41" t="s">
        <v>62</v>
      </c>
      <c r="C28" s="42"/>
      <c r="D28" s="42"/>
      <c r="E28" s="42"/>
      <c r="F28" s="42"/>
      <c r="G28" s="44">
        <f>SUM(C28:F28)</f>
        <v>0</v>
      </c>
    </row>
    <row r="29" spans="1:7" s="20" customFormat="1" ht="12.75" customHeight="1">
      <c r="A29" s="24" t="s">
        <v>68</v>
      </c>
      <c r="B29" s="39" t="s">
        <v>69</v>
      </c>
      <c r="C29" s="40">
        <f>C21+C25</f>
        <v>0</v>
      </c>
      <c r="D29" s="40">
        <f>D21+D25</f>
        <v>0</v>
      </c>
      <c r="E29" s="40">
        <f>E21+E25</f>
        <v>0</v>
      </c>
      <c r="F29" s="40">
        <f>F21+F25</f>
        <v>0</v>
      </c>
      <c r="G29" s="40">
        <f>G21+G25</f>
        <v>0</v>
      </c>
    </row>
    <row r="30" spans="1:7" ht="26.25" customHeight="1">
      <c r="A30" s="24" t="s">
        <v>70</v>
      </c>
      <c r="B30" s="39" t="s">
        <v>71</v>
      </c>
      <c r="C30" s="43">
        <f>C20-C29</f>
        <v>68977.5</v>
      </c>
      <c r="D30" s="43">
        <f>D20-D29</f>
        <v>71947.5</v>
      </c>
      <c r="E30" s="40">
        <f>E20-E29</f>
        <v>75043</v>
      </c>
      <c r="F30" s="40">
        <f>F20-F29</f>
        <v>78273</v>
      </c>
      <c r="G30" s="40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tabSelected="1" view="pageBreakPreview" zoomScaleSheetLayoutView="100" zoomScalePageLayoutView="0" workbookViewId="0" topLeftCell="A169">
      <selection activeCell="J191" sqref="J191"/>
    </sheetView>
  </sheetViews>
  <sheetFormatPr defaultColWidth="9.140625" defaultRowHeight="12.75"/>
  <cols>
    <col min="1" max="1" width="26.140625" style="946" customWidth="1"/>
    <col min="2" max="5" width="15.57421875" style="946" customWidth="1"/>
    <col min="6" max="16384" width="9.140625" style="946" customWidth="1"/>
  </cols>
  <sheetData>
    <row r="1" s="938" customFormat="1" ht="12">
      <c r="E1" s="938" t="s">
        <v>917</v>
      </c>
    </row>
    <row r="2" s="938" customFormat="1" ht="12"/>
    <row r="3" spans="1:5" s="938" customFormat="1" ht="12.75">
      <c r="A3" s="2169" t="s">
        <v>1259</v>
      </c>
      <c r="B3" s="2169"/>
      <c r="C3" s="2169"/>
      <c r="D3" s="2169"/>
      <c r="E3" s="2169"/>
    </row>
    <row r="4" s="938" customFormat="1" ht="12"/>
    <row r="5" spans="1:14" s="940" customFormat="1" ht="15.75">
      <c r="A5" s="2170" t="s">
        <v>918</v>
      </c>
      <c r="B5" s="2170"/>
      <c r="C5" s="2170"/>
      <c r="D5" s="2170"/>
      <c r="E5" s="2170"/>
      <c r="F5" s="939"/>
      <c r="G5" s="939"/>
      <c r="H5" s="939"/>
      <c r="I5" s="939"/>
      <c r="J5" s="939"/>
      <c r="K5" s="939"/>
      <c r="L5" s="939"/>
      <c r="M5" s="939"/>
      <c r="N5" s="939"/>
    </row>
    <row r="6" spans="1:14" s="943" customFormat="1" ht="30.75" customHeight="1">
      <c r="A6" s="2171" t="s">
        <v>919</v>
      </c>
      <c r="B6" s="2171"/>
      <c r="C6" s="2171"/>
      <c r="D6" s="2171"/>
      <c r="E6" s="2171"/>
      <c r="F6" s="942"/>
      <c r="G6" s="942"/>
      <c r="H6" s="942"/>
      <c r="I6" s="942"/>
      <c r="J6" s="942"/>
      <c r="K6" s="942"/>
      <c r="L6" s="942"/>
      <c r="M6" s="942"/>
      <c r="N6" s="942"/>
    </row>
    <row r="7" spans="1:14" s="943" customFormat="1" ht="30.75" customHeight="1">
      <c r="A7" s="941"/>
      <c r="B7" s="941"/>
      <c r="C7" s="941"/>
      <c r="D7" s="941"/>
      <c r="E7" s="941"/>
      <c r="F7" s="942"/>
      <c r="G7" s="942"/>
      <c r="H7" s="942"/>
      <c r="I7" s="942"/>
      <c r="J7" s="942"/>
      <c r="K7" s="942"/>
      <c r="L7" s="942"/>
      <c r="M7" s="942"/>
      <c r="N7" s="942"/>
    </row>
    <row r="8" spans="1:5" ht="37.5" customHeight="1">
      <c r="A8" s="944" t="s">
        <v>920</v>
      </c>
      <c r="B8" s="2177" t="s">
        <v>921</v>
      </c>
      <c r="C8" s="2178"/>
      <c r="D8" s="2178"/>
      <c r="E8" s="945" t="s">
        <v>214</v>
      </c>
    </row>
    <row r="9" spans="1:5" ht="15" thickBot="1">
      <c r="A9" s="947" t="s">
        <v>922</v>
      </c>
      <c r="B9" s="948">
        <v>2020</v>
      </c>
      <c r="C9" s="948">
        <v>2021</v>
      </c>
      <c r="D9" s="948" t="s">
        <v>1079</v>
      </c>
      <c r="E9" s="949" t="s">
        <v>25</v>
      </c>
    </row>
    <row r="10" spans="1:5" ht="14.25">
      <c r="A10" s="950" t="s">
        <v>923</v>
      </c>
      <c r="B10" s="951"/>
      <c r="C10" s="951"/>
      <c r="D10" s="951"/>
      <c r="E10" s="952">
        <f aca="true" t="shared" si="0" ref="E10:E15">SUM(B10:D10)</f>
        <v>0</v>
      </c>
    </row>
    <row r="11" spans="1:5" ht="14.25">
      <c r="A11" s="953" t="s">
        <v>924</v>
      </c>
      <c r="B11" s="954">
        <v>1569872</v>
      </c>
      <c r="C11" s="954"/>
      <c r="D11" s="954"/>
      <c r="E11" s="955">
        <f t="shared" si="0"/>
        <v>1569872</v>
      </c>
    </row>
    <row r="12" spans="1:5" ht="14.25">
      <c r="A12" s="953" t="s">
        <v>925</v>
      </c>
      <c r="B12" s="954"/>
      <c r="C12" s="954"/>
      <c r="D12" s="954"/>
      <c r="E12" s="955">
        <f t="shared" si="0"/>
        <v>0</v>
      </c>
    </row>
    <row r="13" spans="1:5" ht="14.25">
      <c r="A13" s="953" t="s">
        <v>926</v>
      </c>
      <c r="B13" s="954"/>
      <c r="C13" s="954"/>
      <c r="D13" s="954"/>
      <c r="E13" s="955">
        <f t="shared" si="0"/>
        <v>0</v>
      </c>
    </row>
    <row r="14" spans="1:5" ht="14.25">
      <c r="A14" s="953" t="s">
        <v>927</v>
      </c>
      <c r="B14" s="954"/>
      <c r="C14" s="954"/>
      <c r="D14" s="954"/>
      <c r="E14" s="955">
        <f t="shared" si="0"/>
        <v>0</v>
      </c>
    </row>
    <row r="15" spans="1:5" ht="15" thickBot="1">
      <c r="A15" s="956"/>
      <c r="B15" s="957"/>
      <c r="C15" s="957"/>
      <c r="D15" s="957"/>
      <c r="E15" s="955">
        <f t="shared" si="0"/>
        <v>0</v>
      </c>
    </row>
    <row r="16" spans="1:5" ht="15" thickBot="1">
      <c r="A16" s="958" t="s">
        <v>922</v>
      </c>
      <c r="B16" s="959">
        <f>B10+SUM(B11:B15)</f>
        <v>1569872</v>
      </c>
      <c r="C16" s="959">
        <f>C10+SUM(C11:C15)</f>
        <v>0</v>
      </c>
      <c r="D16" s="959">
        <f>D10+SUM(D11:D15)</f>
        <v>0</v>
      </c>
      <c r="E16" s="960">
        <f>E10+SUM(E11:E15)</f>
        <v>1569872</v>
      </c>
    </row>
    <row r="17" spans="1:5" ht="15" thickBot="1">
      <c r="A17" s="961"/>
      <c r="B17" s="961"/>
      <c r="C17" s="961"/>
      <c r="D17" s="961"/>
      <c r="E17" s="961"/>
    </row>
    <row r="18" spans="1:5" ht="15" thickBot="1">
      <c r="A18" s="962" t="s">
        <v>928</v>
      </c>
      <c r="B18" s="963">
        <v>2020</v>
      </c>
      <c r="C18" s="963">
        <v>2021</v>
      </c>
      <c r="D18" s="963" t="s">
        <v>1079</v>
      </c>
      <c r="E18" s="964" t="s">
        <v>25</v>
      </c>
    </row>
    <row r="19" spans="1:5" ht="14.25">
      <c r="A19" s="950" t="s">
        <v>929</v>
      </c>
      <c r="B19" s="951">
        <v>5600</v>
      </c>
      <c r="C19" s="951"/>
      <c r="D19" s="951"/>
      <c r="E19" s="952">
        <f aca="true" t="shared" si="1" ref="E19:E25">SUM(B19:D19)</f>
        <v>5600</v>
      </c>
    </row>
    <row r="20" spans="1:5" ht="14.25">
      <c r="A20" s="965" t="s">
        <v>930</v>
      </c>
      <c r="B20" s="954">
        <v>1430284</v>
      </c>
      <c r="C20" s="954"/>
      <c r="D20" s="954"/>
      <c r="E20" s="955">
        <f t="shared" si="1"/>
        <v>1430284</v>
      </c>
    </row>
    <row r="21" spans="1:5" ht="14.25">
      <c r="A21" s="953" t="s">
        <v>931</v>
      </c>
      <c r="B21" s="954">
        <v>133988</v>
      </c>
      <c r="C21" s="954"/>
      <c r="D21" s="954"/>
      <c r="E21" s="955">
        <f t="shared" si="1"/>
        <v>133988</v>
      </c>
    </row>
    <row r="22" spans="1:5" ht="14.25">
      <c r="A22" s="953" t="s">
        <v>932</v>
      </c>
      <c r="B22" s="954"/>
      <c r="C22" s="954"/>
      <c r="D22" s="954"/>
      <c r="E22" s="955">
        <f t="shared" si="1"/>
        <v>0</v>
      </c>
    </row>
    <row r="23" spans="1:5" ht="14.25">
      <c r="A23" s="966"/>
      <c r="B23" s="954"/>
      <c r="C23" s="954"/>
      <c r="D23" s="954"/>
      <c r="E23" s="955">
        <f t="shared" si="1"/>
        <v>0</v>
      </c>
    </row>
    <row r="24" spans="1:5" ht="14.25">
      <c r="A24" s="966"/>
      <c r="B24" s="954"/>
      <c r="C24" s="954"/>
      <c r="D24" s="954"/>
      <c r="E24" s="955">
        <f t="shared" si="1"/>
        <v>0</v>
      </c>
    </row>
    <row r="25" spans="1:5" ht="15" thickBot="1">
      <c r="A25" s="956"/>
      <c r="B25" s="967"/>
      <c r="C25" s="967"/>
      <c r="D25" s="967"/>
      <c r="E25" s="968">
        <f t="shared" si="1"/>
        <v>0</v>
      </c>
    </row>
    <row r="26" spans="1:5" ht="15" thickBot="1">
      <c r="A26" s="958" t="s">
        <v>444</v>
      </c>
      <c r="B26" s="959">
        <f>SUM(B19:B25)</f>
        <v>1569872</v>
      </c>
      <c r="C26" s="959">
        <f>SUM(C19:C25)</f>
        <v>0</v>
      </c>
      <c r="D26" s="959">
        <f>SUM(D19:D25)</f>
        <v>0</v>
      </c>
      <c r="E26" s="960">
        <f>SUM(E19:E25)</f>
        <v>1569872</v>
      </c>
    </row>
    <row r="27" spans="1:5" ht="14.25">
      <c r="A27" s="969"/>
      <c r="B27" s="969"/>
      <c r="C27" s="969"/>
      <c r="D27" s="969"/>
      <c r="E27" s="969"/>
    </row>
    <row r="28" spans="1:5" ht="14.25">
      <c r="A28" s="2174" t="s">
        <v>1080</v>
      </c>
      <c r="B28" s="2174"/>
      <c r="C28" s="2174"/>
      <c r="D28" s="2174"/>
      <c r="E28" s="2174"/>
    </row>
    <row r="29" spans="1:5" ht="15" thickBot="1">
      <c r="A29" s="969"/>
      <c r="B29" s="969"/>
      <c r="C29" s="969"/>
      <c r="D29" s="969"/>
      <c r="E29" s="969"/>
    </row>
    <row r="30" spans="1:5" ht="15" thickBot="1">
      <c r="A30" s="2175" t="s">
        <v>933</v>
      </c>
      <c r="B30" s="2175"/>
      <c r="C30" s="2175"/>
      <c r="D30" s="2176" t="s">
        <v>934</v>
      </c>
      <c r="E30" s="2176"/>
    </row>
    <row r="31" spans="1:5" ht="14.25">
      <c r="A31" s="2163"/>
      <c r="B31" s="2163"/>
      <c r="C31" s="2163"/>
      <c r="D31" s="2164"/>
      <c r="E31" s="2164"/>
    </row>
    <row r="32" spans="1:5" ht="15" thickBot="1">
      <c r="A32" s="2165"/>
      <c r="B32" s="2165"/>
      <c r="C32" s="2165"/>
      <c r="D32" s="2166"/>
      <c r="E32" s="2166"/>
    </row>
    <row r="33" spans="1:5" ht="15" thickBot="1">
      <c r="A33" s="2167" t="s">
        <v>444</v>
      </c>
      <c r="B33" s="2167"/>
      <c r="C33" s="2167"/>
      <c r="D33" s="2168">
        <f>SUM(D31:E32)</f>
        <v>0</v>
      </c>
      <c r="E33" s="2168"/>
    </row>
    <row r="34" spans="1:5" ht="14.25">
      <c r="A34" s="970"/>
      <c r="B34" s="970"/>
      <c r="C34" s="970"/>
      <c r="D34" s="971"/>
      <c r="E34" s="971"/>
    </row>
    <row r="35" spans="1:5" ht="14.25">
      <c r="A35" s="938"/>
      <c r="B35" s="938"/>
      <c r="C35" s="938"/>
      <c r="D35" s="938"/>
      <c r="E35" s="938" t="s">
        <v>917</v>
      </c>
    </row>
    <row r="36" spans="1:5" ht="14.25">
      <c r="A36" s="938"/>
      <c r="B36" s="938"/>
      <c r="C36" s="938"/>
      <c r="D36" s="938"/>
      <c r="E36" s="938"/>
    </row>
    <row r="37" spans="1:5" ht="14.25">
      <c r="A37" s="2169" t="s">
        <v>1259</v>
      </c>
      <c r="B37" s="2169"/>
      <c r="C37" s="2169"/>
      <c r="D37" s="2169"/>
      <c r="E37" s="2169"/>
    </row>
    <row r="38" spans="1:5" ht="14.25">
      <c r="A38" s="880"/>
      <c r="B38" s="880"/>
      <c r="C38" s="880"/>
      <c r="D38" s="880"/>
      <c r="E38" s="880"/>
    </row>
    <row r="39" spans="1:5" ht="15.75">
      <c r="A39" s="2170" t="s">
        <v>918</v>
      </c>
      <c r="B39" s="2170"/>
      <c r="C39" s="2170"/>
      <c r="D39" s="2170"/>
      <c r="E39" s="2170"/>
    </row>
    <row r="40" spans="1:5" ht="40.5" customHeight="1">
      <c r="A40" s="2171" t="s">
        <v>919</v>
      </c>
      <c r="B40" s="2171"/>
      <c r="C40" s="2171"/>
      <c r="D40" s="2171"/>
      <c r="E40" s="2171"/>
    </row>
    <row r="41" spans="1:5" ht="40.5" customHeight="1">
      <c r="A41" s="941"/>
      <c r="B41" s="941"/>
      <c r="C41" s="941"/>
      <c r="D41" s="941"/>
      <c r="E41" s="941"/>
    </row>
    <row r="42" spans="1:5" ht="36.75" customHeight="1">
      <c r="A42" s="944" t="s">
        <v>920</v>
      </c>
      <c r="B42" s="2177" t="s">
        <v>935</v>
      </c>
      <c r="C42" s="2178"/>
      <c r="D42" s="2178"/>
      <c r="E42" s="945" t="s">
        <v>214</v>
      </c>
    </row>
    <row r="43" spans="1:5" ht="15" thickBot="1">
      <c r="A43" s="947" t="s">
        <v>922</v>
      </c>
      <c r="B43" s="948">
        <v>2020</v>
      </c>
      <c r="C43" s="948">
        <v>2021</v>
      </c>
      <c r="D43" s="948" t="s">
        <v>1079</v>
      </c>
      <c r="E43" s="949" t="s">
        <v>25</v>
      </c>
    </row>
    <row r="44" spans="1:5" ht="14.25">
      <c r="A44" s="950" t="s">
        <v>923</v>
      </c>
      <c r="B44" s="951">
        <v>24710200</v>
      </c>
      <c r="C44" s="951"/>
      <c r="D44" s="951"/>
      <c r="E44" s="952">
        <f aca="true" t="shared" si="2" ref="E44:E49">SUM(B44:D44)</f>
        <v>24710200</v>
      </c>
    </row>
    <row r="45" spans="1:5" ht="14.25">
      <c r="A45" s="953" t="s">
        <v>924</v>
      </c>
      <c r="B45" s="954">
        <v>321705729</v>
      </c>
      <c r="C45" s="954"/>
      <c r="D45" s="954"/>
      <c r="E45" s="955">
        <f t="shared" si="2"/>
        <v>321705729</v>
      </c>
    </row>
    <row r="46" spans="1:5" ht="14.25">
      <c r="A46" s="953" t="s">
        <v>925</v>
      </c>
      <c r="B46" s="954"/>
      <c r="C46" s="954"/>
      <c r="D46" s="954"/>
      <c r="E46" s="955">
        <f t="shared" si="2"/>
        <v>0</v>
      </c>
    </row>
    <row r="47" spans="1:5" ht="14.25">
      <c r="A47" s="953" t="s">
        <v>926</v>
      </c>
      <c r="B47" s="954"/>
      <c r="C47" s="954"/>
      <c r="D47" s="954"/>
      <c r="E47" s="955">
        <f t="shared" si="2"/>
        <v>0</v>
      </c>
    </row>
    <row r="48" spans="1:5" ht="14.25">
      <c r="A48" s="953" t="s">
        <v>927</v>
      </c>
      <c r="B48" s="954"/>
      <c r="C48" s="954"/>
      <c r="D48" s="954"/>
      <c r="E48" s="955">
        <f t="shared" si="2"/>
        <v>0</v>
      </c>
    </row>
    <row r="49" spans="1:5" ht="15" thickBot="1">
      <c r="A49" s="956"/>
      <c r="B49" s="957"/>
      <c r="C49" s="957"/>
      <c r="D49" s="957"/>
      <c r="E49" s="955">
        <f t="shared" si="2"/>
        <v>0</v>
      </c>
    </row>
    <row r="50" spans="1:5" ht="15" thickBot="1">
      <c r="A50" s="958" t="s">
        <v>922</v>
      </c>
      <c r="B50" s="959">
        <f>B44+SUM(B45:B49)</f>
        <v>346415929</v>
      </c>
      <c r="C50" s="959">
        <f>C44+SUM(C45:C49)</f>
        <v>0</v>
      </c>
      <c r="D50" s="959">
        <f>D44+SUM(D45:D49)</f>
        <v>0</v>
      </c>
      <c r="E50" s="960">
        <f>E44+SUM(E45:E49)</f>
        <v>346415929</v>
      </c>
    </row>
    <row r="51" spans="1:5" ht="15" thickBot="1">
      <c r="A51" s="961"/>
      <c r="B51" s="961"/>
      <c r="C51" s="961"/>
      <c r="D51" s="961"/>
      <c r="E51" s="961"/>
    </row>
    <row r="52" spans="1:5" ht="15" thickBot="1">
      <c r="A52" s="962" t="s">
        <v>928</v>
      </c>
      <c r="B52" s="963">
        <v>2020</v>
      </c>
      <c r="C52" s="963">
        <v>2021</v>
      </c>
      <c r="D52" s="963" t="s">
        <v>1079</v>
      </c>
      <c r="E52" s="964" t="s">
        <v>25</v>
      </c>
    </row>
    <row r="53" spans="1:5" ht="14.25">
      <c r="A53" s="950" t="s">
        <v>929</v>
      </c>
      <c r="B53" s="951">
        <v>1524000</v>
      </c>
      <c r="C53" s="951"/>
      <c r="D53" s="951"/>
      <c r="E53" s="952">
        <f aca="true" t="shared" si="3" ref="E53:E59">SUM(B53:D53)</f>
        <v>1524000</v>
      </c>
    </row>
    <row r="54" spans="1:5" ht="14.25">
      <c r="A54" s="965" t="s">
        <v>930</v>
      </c>
      <c r="B54" s="954">
        <v>335524229</v>
      </c>
      <c r="C54" s="954"/>
      <c r="D54" s="954"/>
      <c r="E54" s="955">
        <f t="shared" si="3"/>
        <v>335524229</v>
      </c>
    </row>
    <row r="55" spans="1:5" ht="14.25">
      <c r="A55" s="953" t="s">
        <v>931</v>
      </c>
      <c r="B55" s="954">
        <v>9367700</v>
      </c>
      <c r="C55" s="954"/>
      <c r="D55" s="954"/>
      <c r="E55" s="955">
        <f t="shared" si="3"/>
        <v>9367700</v>
      </c>
    </row>
    <row r="56" spans="1:5" ht="14.25">
      <c r="A56" s="953" t="s">
        <v>134</v>
      </c>
      <c r="B56" s="954"/>
      <c r="C56" s="954"/>
      <c r="D56" s="954"/>
      <c r="E56" s="955">
        <f t="shared" si="3"/>
        <v>0</v>
      </c>
    </row>
    <row r="57" spans="1:5" ht="14.25">
      <c r="A57" s="966" t="s">
        <v>936</v>
      </c>
      <c r="B57" s="954"/>
      <c r="C57" s="954"/>
      <c r="D57" s="954"/>
      <c r="E57" s="955">
        <f t="shared" si="3"/>
        <v>0</v>
      </c>
    </row>
    <row r="58" spans="1:5" ht="14.25">
      <c r="A58" s="966"/>
      <c r="B58" s="954"/>
      <c r="C58" s="954"/>
      <c r="D58" s="954"/>
      <c r="E58" s="955">
        <f t="shared" si="3"/>
        <v>0</v>
      </c>
    </row>
    <row r="59" spans="1:5" ht="15" thickBot="1">
      <c r="A59" s="956"/>
      <c r="B59" s="967"/>
      <c r="C59" s="967"/>
      <c r="D59" s="967"/>
      <c r="E59" s="968">
        <f t="shared" si="3"/>
        <v>0</v>
      </c>
    </row>
    <row r="60" spans="1:5" ht="15" thickBot="1">
      <c r="A60" s="958" t="s">
        <v>444</v>
      </c>
      <c r="B60" s="959">
        <f>SUM(B53:B59)</f>
        <v>346415929</v>
      </c>
      <c r="C60" s="959">
        <f>SUM(C53:C59)</f>
        <v>0</v>
      </c>
      <c r="D60" s="959">
        <f>SUM(D53:D59)</f>
        <v>0</v>
      </c>
      <c r="E60" s="960">
        <f>SUM(E53:E59)</f>
        <v>346415929</v>
      </c>
    </row>
    <row r="61" spans="1:5" ht="14.25">
      <c r="A61" s="969"/>
      <c r="B61" s="969"/>
      <c r="C61" s="969"/>
      <c r="D61" s="969"/>
      <c r="E61" s="969"/>
    </row>
    <row r="62" spans="1:5" ht="14.25">
      <c r="A62" s="2174" t="s">
        <v>1080</v>
      </c>
      <c r="B62" s="2174"/>
      <c r="C62" s="2174"/>
      <c r="D62" s="2174"/>
      <c r="E62" s="2174"/>
    </row>
    <row r="63" spans="1:5" ht="15" thickBot="1">
      <c r="A63" s="969"/>
      <c r="B63" s="969"/>
      <c r="C63" s="969"/>
      <c r="D63" s="969"/>
      <c r="E63" s="969"/>
    </row>
    <row r="64" spans="1:5" ht="15" thickBot="1">
      <c r="A64" s="2175" t="s">
        <v>933</v>
      </c>
      <c r="B64" s="2175"/>
      <c r="C64" s="2175"/>
      <c r="D64" s="2176" t="s">
        <v>937</v>
      </c>
      <c r="E64" s="2176"/>
    </row>
    <row r="65" spans="1:5" ht="14.25">
      <c r="A65" s="2163"/>
      <c r="B65" s="2163"/>
      <c r="C65" s="2163"/>
      <c r="D65" s="2164"/>
      <c r="E65" s="2164"/>
    </row>
    <row r="66" spans="1:5" ht="15" thickBot="1">
      <c r="A66" s="2165"/>
      <c r="B66" s="2165"/>
      <c r="C66" s="2165"/>
      <c r="D66" s="2166"/>
      <c r="E66" s="2166"/>
    </row>
    <row r="67" spans="1:5" ht="15" thickBot="1">
      <c r="A67" s="2167" t="s">
        <v>444</v>
      </c>
      <c r="B67" s="2167"/>
      <c r="C67" s="2167"/>
      <c r="D67" s="2168">
        <f>SUM(D65:E66)</f>
        <v>0</v>
      </c>
      <c r="E67" s="2168"/>
    </row>
    <row r="68" spans="1:5" ht="14.25">
      <c r="A68" s="970"/>
      <c r="B68" s="970"/>
      <c r="C68" s="970"/>
      <c r="D68" s="971"/>
      <c r="E68" s="971"/>
    </row>
    <row r="69" spans="1:5" ht="14.25">
      <c r="A69" s="938"/>
      <c r="B69" s="938"/>
      <c r="C69" s="938"/>
      <c r="D69" s="938"/>
      <c r="E69" s="938" t="s">
        <v>917</v>
      </c>
    </row>
    <row r="70" spans="1:5" ht="14.25">
      <c r="A70" s="938"/>
      <c r="B70" s="938"/>
      <c r="C70" s="938"/>
      <c r="D70" s="938"/>
      <c r="E70" s="938"/>
    </row>
    <row r="71" spans="1:5" ht="14.25">
      <c r="A71" s="2169" t="s">
        <v>1259</v>
      </c>
      <c r="B71" s="2169"/>
      <c r="C71" s="2169"/>
      <c r="D71" s="2169"/>
      <c r="E71" s="2169"/>
    </row>
    <row r="72" spans="1:5" ht="15.75">
      <c r="A72" s="2170" t="s">
        <v>918</v>
      </c>
      <c r="B72" s="2170"/>
      <c r="C72" s="2170"/>
      <c r="D72" s="2170"/>
      <c r="E72" s="2170"/>
    </row>
    <row r="73" spans="1:5" ht="41.25" customHeight="1">
      <c r="A73" s="2171" t="s">
        <v>919</v>
      </c>
      <c r="B73" s="2171"/>
      <c r="C73" s="2171"/>
      <c r="D73" s="2171"/>
      <c r="E73" s="2171"/>
    </row>
    <row r="74" spans="1:5" ht="37.5" customHeight="1">
      <c r="A74" s="972" t="s">
        <v>920</v>
      </c>
      <c r="B74" s="2179" t="s">
        <v>938</v>
      </c>
      <c r="C74" s="2180"/>
      <c r="D74" s="2180"/>
      <c r="E74" s="945" t="s">
        <v>214</v>
      </c>
    </row>
    <row r="75" spans="1:5" ht="15" thickBot="1">
      <c r="A75" s="947" t="s">
        <v>922</v>
      </c>
      <c r="B75" s="948">
        <v>2020</v>
      </c>
      <c r="C75" s="948">
        <v>2021</v>
      </c>
      <c r="D75" s="948" t="s">
        <v>1079</v>
      </c>
      <c r="E75" s="949" t="s">
        <v>25</v>
      </c>
    </row>
    <row r="76" spans="1:5" ht="14.25">
      <c r="A76" s="950" t="s">
        <v>923</v>
      </c>
      <c r="B76" s="951">
        <v>0</v>
      </c>
      <c r="C76" s="951"/>
      <c r="D76" s="951"/>
      <c r="E76" s="952">
        <f aca="true" t="shared" si="4" ref="E76:E81">SUM(B76:D76)</f>
        <v>0</v>
      </c>
    </row>
    <row r="77" spans="1:5" ht="14.25">
      <c r="A77" s="953" t="s">
        <v>924</v>
      </c>
      <c r="B77" s="954">
        <v>13836175</v>
      </c>
      <c r="C77" s="954">
        <v>860767</v>
      </c>
      <c r="D77" s="954">
        <v>0</v>
      </c>
      <c r="E77" s="955">
        <f t="shared" si="4"/>
        <v>14696942</v>
      </c>
    </row>
    <row r="78" spans="1:5" ht="14.25">
      <c r="A78" s="953" t="s">
        <v>925</v>
      </c>
      <c r="B78" s="954"/>
      <c r="C78" s="954"/>
      <c r="D78" s="954"/>
      <c r="E78" s="955">
        <f t="shared" si="4"/>
        <v>0</v>
      </c>
    </row>
    <row r="79" spans="1:5" ht="14.25">
      <c r="A79" s="953" t="s">
        <v>926</v>
      </c>
      <c r="B79" s="954"/>
      <c r="C79" s="954"/>
      <c r="D79" s="954"/>
      <c r="E79" s="955">
        <f t="shared" si="4"/>
        <v>0</v>
      </c>
    </row>
    <row r="80" spans="1:5" ht="14.25">
      <c r="A80" s="953" t="s">
        <v>927</v>
      </c>
      <c r="B80" s="954"/>
      <c r="C80" s="954"/>
      <c r="D80" s="954"/>
      <c r="E80" s="955">
        <f t="shared" si="4"/>
        <v>0</v>
      </c>
    </row>
    <row r="81" spans="1:5" ht="15" thickBot="1">
      <c r="A81" s="956"/>
      <c r="B81" s="957"/>
      <c r="C81" s="957"/>
      <c r="D81" s="957"/>
      <c r="E81" s="955">
        <f t="shared" si="4"/>
        <v>0</v>
      </c>
    </row>
    <row r="82" spans="1:5" ht="15" thickBot="1">
      <c r="A82" s="958" t="s">
        <v>922</v>
      </c>
      <c r="B82" s="959">
        <f>B76+SUM(B77:B81)</f>
        <v>13836175</v>
      </c>
      <c r="C82" s="959">
        <f>C76+SUM(C77:C81)</f>
        <v>860767</v>
      </c>
      <c r="D82" s="959">
        <f>D76+SUM(D77:D81)</f>
        <v>0</v>
      </c>
      <c r="E82" s="960">
        <f>E76+SUM(E77:E81)</f>
        <v>14696942</v>
      </c>
    </row>
    <row r="83" spans="1:5" ht="15" thickBot="1">
      <c r="A83" s="961"/>
      <c r="B83" s="961"/>
      <c r="C83" s="961"/>
      <c r="D83" s="961"/>
      <c r="E83" s="961"/>
    </row>
    <row r="84" spans="1:5" ht="15" thickBot="1">
      <c r="A84" s="962" t="s">
        <v>928</v>
      </c>
      <c r="B84" s="963">
        <v>2020</v>
      </c>
      <c r="C84" s="963">
        <v>2021</v>
      </c>
      <c r="D84" s="963" t="s">
        <v>1079</v>
      </c>
      <c r="E84" s="964" t="s">
        <v>25</v>
      </c>
    </row>
    <row r="85" spans="1:5" ht="14.25">
      <c r="A85" s="950" t="s">
        <v>929</v>
      </c>
      <c r="B85" s="951">
        <v>8778303</v>
      </c>
      <c r="C85" s="951">
        <v>722667</v>
      </c>
      <c r="D85" s="951"/>
      <c r="E85" s="952">
        <f aca="true" t="shared" si="5" ref="E85:E91">SUM(B85:D85)</f>
        <v>9500970</v>
      </c>
    </row>
    <row r="86" spans="1:5" ht="14.25">
      <c r="A86" s="965" t="s">
        <v>930</v>
      </c>
      <c r="B86" s="954">
        <v>2310572</v>
      </c>
      <c r="C86" s="954">
        <v>0</v>
      </c>
      <c r="D86" s="954"/>
      <c r="E86" s="955">
        <f t="shared" si="5"/>
        <v>2310572</v>
      </c>
    </row>
    <row r="87" spans="1:5" ht="14.25">
      <c r="A87" s="953" t="s">
        <v>931</v>
      </c>
      <c r="B87" s="954">
        <v>2747300</v>
      </c>
      <c r="C87" s="954">
        <v>138100</v>
      </c>
      <c r="D87" s="954"/>
      <c r="E87" s="955">
        <f t="shared" si="5"/>
        <v>2885400</v>
      </c>
    </row>
    <row r="88" spans="1:5" ht="14.25">
      <c r="A88" s="953" t="s">
        <v>932</v>
      </c>
      <c r="B88" s="954"/>
      <c r="C88" s="954"/>
      <c r="D88" s="954"/>
      <c r="E88" s="955">
        <f t="shared" si="5"/>
        <v>0</v>
      </c>
    </row>
    <row r="89" spans="1:5" ht="14.25">
      <c r="A89" s="966" t="s">
        <v>936</v>
      </c>
      <c r="B89" s="973"/>
      <c r="C89" s="954"/>
      <c r="D89" s="954"/>
      <c r="E89" s="955">
        <f t="shared" si="5"/>
        <v>0</v>
      </c>
    </row>
    <row r="90" spans="1:5" ht="14.25">
      <c r="A90" s="966"/>
      <c r="B90" s="954"/>
      <c r="C90" s="954"/>
      <c r="D90" s="954"/>
      <c r="E90" s="955">
        <f t="shared" si="5"/>
        <v>0</v>
      </c>
    </row>
    <row r="91" spans="1:5" ht="15" thickBot="1">
      <c r="A91" s="956"/>
      <c r="B91" s="967"/>
      <c r="C91" s="967"/>
      <c r="D91" s="967"/>
      <c r="E91" s="968">
        <f t="shared" si="5"/>
        <v>0</v>
      </c>
    </row>
    <row r="92" spans="1:5" ht="15" thickBot="1">
      <c r="A92" s="958" t="s">
        <v>444</v>
      </c>
      <c r="B92" s="959">
        <f>SUM(B85:B91)</f>
        <v>13836175</v>
      </c>
      <c r="C92" s="959">
        <f>SUM(C85:C91)</f>
        <v>860767</v>
      </c>
      <c r="D92" s="959">
        <f>SUM(D85:D91)</f>
        <v>0</v>
      </c>
      <c r="E92" s="960">
        <f>SUM(E85:E91)</f>
        <v>14696942</v>
      </c>
    </row>
    <row r="93" spans="1:5" ht="14.25">
      <c r="A93" s="969"/>
      <c r="B93" s="969"/>
      <c r="C93" s="969"/>
      <c r="D93" s="969"/>
      <c r="E93" s="969"/>
    </row>
    <row r="94" spans="1:5" ht="14.25">
      <c r="A94" s="2174" t="s">
        <v>1080</v>
      </c>
      <c r="B94" s="2174"/>
      <c r="C94" s="2174"/>
      <c r="D94" s="2174"/>
      <c r="E94" s="2174"/>
    </row>
    <row r="95" spans="1:5" ht="15" thickBot="1">
      <c r="A95" s="969"/>
      <c r="B95" s="969"/>
      <c r="C95" s="969"/>
      <c r="D95" s="969"/>
      <c r="E95" s="969"/>
    </row>
    <row r="96" spans="1:5" ht="15" thickBot="1">
      <c r="A96" s="2175" t="s">
        <v>933</v>
      </c>
      <c r="B96" s="2175"/>
      <c r="C96" s="2175"/>
      <c r="D96" s="2176" t="s">
        <v>937</v>
      </c>
      <c r="E96" s="2176"/>
    </row>
    <row r="97" spans="1:5" ht="14.25">
      <c r="A97" s="2163"/>
      <c r="B97" s="2163"/>
      <c r="C97" s="2163"/>
      <c r="D97" s="2164"/>
      <c r="E97" s="2164"/>
    </row>
    <row r="98" spans="1:5" ht="15" thickBot="1">
      <c r="A98" s="2165"/>
      <c r="B98" s="2165"/>
      <c r="C98" s="2165"/>
      <c r="D98" s="2166"/>
      <c r="E98" s="2166"/>
    </row>
    <row r="99" spans="1:5" ht="15" thickBot="1">
      <c r="A99" s="2167" t="s">
        <v>444</v>
      </c>
      <c r="B99" s="2167"/>
      <c r="C99" s="2167"/>
      <c r="D99" s="2168">
        <f>SUM(D97:E98)</f>
        <v>0</v>
      </c>
      <c r="E99" s="2168"/>
    </row>
    <row r="100" spans="1:5" ht="14.25">
      <c r="A100" s="938"/>
      <c r="B100" s="938"/>
      <c r="C100" s="938"/>
      <c r="D100" s="938"/>
      <c r="E100" s="938" t="s">
        <v>917</v>
      </c>
    </row>
    <row r="101" spans="1:5" ht="14.25">
      <c r="A101" s="938"/>
      <c r="B101" s="938"/>
      <c r="C101" s="938"/>
      <c r="D101" s="938"/>
      <c r="E101" s="938"/>
    </row>
    <row r="102" spans="1:5" ht="14.25">
      <c r="A102" s="2169" t="s">
        <v>1259</v>
      </c>
      <c r="B102" s="2169"/>
      <c r="C102" s="2169"/>
      <c r="D102" s="2169"/>
      <c r="E102" s="2169"/>
    </row>
    <row r="103" spans="1:5" ht="15.75">
      <c r="A103" s="2170" t="s">
        <v>918</v>
      </c>
      <c r="B103" s="2170"/>
      <c r="C103" s="2170"/>
      <c r="D103" s="2170"/>
      <c r="E103" s="2170"/>
    </row>
    <row r="104" spans="1:5" ht="34.5" customHeight="1">
      <c r="A104" s="2171" t="s">
        <v>919</v>
      </c>
      <c r="B104" s="2171"/>
      <c r="C104" s="2171"/>
      <c r="D104" s="2171"/>
      <c r="E104" s="2171"/>
    </row>
    <row r="105" spans="1:5" ht="30" customHeight="1" thickBot="1">
      <c r="A105" s="974" t="s">
        <v>920</v>
      </c>
      <c r="B105" s="2172" t="s">
        <v>1072</v>
      </c>
      <c r="C105" s="2173"/>
      <c r="D105" s="2173"/>
      <c r="E105" s="975" t="s">
        <v>214</v>
      </c>
    </row>
    <row r="106" spans="1:5" ht="15" thickBot="1">
      <c r="A106" s="962" t="s">
        <v>922</v>
      </c>
      <c r="B106" s="963">
        <v>2020</v>
      </c>
      <c r="C106" s="963">
        <v>2021</v>
      </c>
      <c r="D106" s="963" t="s">
        <v>1079</v>
      </c>
      <c r="E106" s="964" t="s">
        <v>25</v>
      </c>
    </row>
    <row r="107" spans="1:5" ht="14.25">
      <c r="A107" s="950" t="s">
        <v>923</v>
      </c>
      <c r="B107" s="951">
        <v>991609</v>
      </c>
      <c r="C107" s="951">
        <v>0</v>
      </c>
      <c r="D107" s="951"/>
      <c r="E107" s="952">
        <f aca="true" t="shared" si="6" ref="E107:E112">SUM(B107:D107)</f>
        <v>991609</v>
      </c>
    </row>
    <row r="108" spans="1:5" ht="14.25">
      <c r="A108" s="953" t="s">
        <v>924</v>
      </c>
      <c r="B108" s="954">
        <v>504447</v>
      </c>
      <c r="C108" s="954">
        <v>0</v>
      </c>
      <c r="D108" s="954"/>
      <c r="E108" s="955">
        <f t="shared" si="6"/>
        <v>504447</v>
      </c>
    </row>
    <row r="109" spans="1:5" ht="14.25">
      <c r="A109" s="953" t="s">
        <v>925</v>
      </c>
      <c r="B109" s="954"/>
      <c r="C109" s="954"/>
      <c r="D109" s="954"/>
      <c r="E109" s="955">
        <f t="shared" si="6"/>
        <v>0</v>
      </c>
    </row>
    <row r="110" spans="1:5" ht="14.25">
      <c r="A110" s="953" t="s">
        <v>926</v>
      </c>
      <c r="B110" s="954"/>
      <c r="C110" s="954"/>
      <c r="D110" s="954"/>
      <c r="E110" s="955">
        <f t="shared" si="6"/>
        <v>0</v>
      </c>
    </row>
    <row r="111" spans="1:5" ht="14.25">
      <c r="A111" s="953" t="s">
        <v>927</v>
      </c>
      <c r="B111" s="954"/>
      <c r="C111" s="954"/>
      <c r="D111" s="954"/>
      <c r="E111" s="955">
        <f t="shared" si="6"/>
        <v>0</v>
      </c>
    </row>
    <row r="112" spans="1:5" ht="15" thickBot="1">
      <c r="A112" s="956"/>
      <c r="B112" s="957"/>
      <c r="C112" s="957"/>
      <c r="D112" s="957"/>
      <c r="E112" s="955">
        <f t="shared" si="6"/>
        <v>0</v>
      </c>
    </row>
    <row r="113" spans="1:5" ht="15" thickBot="1">
      <c r="A113" s="958" t="s">
        <v>922</v>
      </c>
      <c r="B113" s="959">
        <f>B107+SUM(B108:B112)</f>
        <v>1496056</v>
      </c>
      <c r="C113" s="959">
        <f>C107+SUM(C108:C112)</f>
        <v>0</v>
      </c>
      <c r="D113" s="959">
        <f>D107+SUM(D108:D112)</f>
        <v>0</v>
      </c>
      <c r="E113" s="960">
        <f>E107+SUM(E108:E112)</f>
        <v>1496056</v>
      </c>
    </row>
    <row r="114" spans="1:5" ht="15" thickBot="1">
      <c r="A114" s="961"/>
      <c r="B114" s="961"/>
      <c r="C114" s="961"/>
      <c r="D114" s="961"/>
      <c r="E114" s="961"/>
    </row>
    <row r="115" spans="1:5" ht="15" thickBot="1">
      <c r="A115" s="962" t="s">
        <v>928</v>
      </c>
      <c r="B115" s="963">
        <v>2020</v>
      </c>
      <c r="C115" s="963">
        <v>2021</v>
      </c>
      <c r="D115" s="963" t="s">
        <v>1079</v>
      </c>
      <c r="E115" s="964" t="s">
        <v>25</v>
      </c>
    </row>
    <row r="116" spans="1:5" ht="14.25">
      <c r="A116" s="950" t="s">
        <v>929</v>
      </c>
      <c r="B116" s="951"/>
      <c r="C116" s="951"/>
      <c r="D116" s="951"/>
      <c r="E116" s="952">
        <f aca="true" t="shared" si="7" ref="E116:E122">SUM(B116:D116)</f>
        <v>0</v>
      </c>
    </row>
    <row r="117" spans="1:5" ht="14.25">
      <c r="A117" s="965" t="s">
        <v>930</v>
      </c>
      <c r="B117" s="954"/>
      <c r="C117" s="954"/>
      <c r="D117" s="954"/>
      <c r="E117" s="955">
        <f t="shared" si="7"/>
        <v>0</v>
      </c>
    </row>
    <row r="118" spans="1:5" ht="14.25">
      <c r="A118" s="953" t="s">
        <v>931</v>
      </c>
      <c r="B118" s="954">
        <v>1496056</v>
      </c>
      <c r="C118" s="954">
        <v>0</v>
      </c>
      <c r="D118" s="954"/>
      <c r="E118" s="955">
        <f t="shared" si="7"/>
        <v>1496056</v>
      </c>
    </row>
    <row r="119" spans="1:5" ht="14.25">
      <c r="A119" s="953" t="s">
        <v>932</v>
      </c>
      <c r="B119" s="954"/>
      <c r="C119" s="954"/>
      <c r="D119" s="954"/>
      <c r="E119" s="955">
        <f t="shared" si="7"/>
        <v>0</v>
      </c>
    </row>
    <row r="120" spans="1:5" ht="14.25">
      <c r="A120" s="966" t="s">
        <v>936</v>
      </c>
      <c r="B120" s="973"/>
      <c r="C120" s="954"/>
      <c r="D120" s="954"/>
      <c r="E120" s="955">
        <f t="shared" si="7"/>
        <v>0</v>
      </c>
    </row>
    <row r="121" spans="1:5" ht="14.25">
      <c r="A121" s="966"/>
      <c r="B121" s="954"/>
      <c r="C121" s="954"/>
      <c r="D121" s="954"/>
      <c r="E121" s="955">
        <f t="shared" si="7"/>
        <v>0</v>
      </c>
    </row>
    <row r="122" spans="1:5" ht="15" thickBot="1">
      <c r="A122" s="956"/>
      <c r="B122" s="967"/>
      <c r="C122" s="967"/>
      <c r="D122" s="967"/>
      <c r="E122" s="968">
        <f t="shared" si="7"/>
        <v>0</v>
      </c>
    </row>
    <row r="123" spans="1:5" ht="15" thickBot="1">
      <c r="A123" s="958" t="s">
        <v>444</v>
      </c>
      <c r="B123" s="959">
        <f>SUM(B116:B122)</f>
        <v>1496056</v>
      </c>
      <c r="C123" s="959">
        <f>SUM(C116:C122)</f>
        <v>0</v>
      </c>
      <c r="D123" s="959">
        <f>SUM(D116:D122)</f>
        <v>0</v>
      </c>
      <c r="E123" s="960">
        <f>SUM(E116:E122)</f>
        <v>1496056</v>
      </c>
    </row>
    <row r="124" spans="1:5" ht="14.25">
      <c r="A124" s="969"/>
      <c r="B124" s="969"/>
      <c r="C124" s="969"/>
      <c r="D124" s="969"/>
      <c r="E124" s="969"/>
    </row>
    <row r="125" spans="1:5" ht="14.25">
      <c r="A125" s="2174" t="s">
        <v>1080</v>
      </c>
      <c r="B125" s="2174"/>
      <c r="C125" s="2174"/>
      <c r="D125" s="2174"/>
      <c r="E125" s="2174"/>
    </row>
    <row r="126" spans="1:5" ht="15" thickBot="1">
      <c r="A126" s="969"/>
      <c r="B126" s="969"/>
      <c r="C126" s="969"/>
      <c r="D126" s="969"/>
      <c r="E126" s="969"/>
    </row>
    <row r="127" spans="1:5" ht="15" thickBot="1">
      <c r="A127" s="2175" t="s">
        <v>933</v>
      </c>
      <c r="B127" s="2175"/>
      <c r="C127" s="2175"/>
      <c r="D127" s="2176" t="s">
        <v>934</v>
      </c>
      <c r="E127" s="2176"/>
    </row>
    <row r="128" spans="1:5" ht="14.25">
      <c r="A128" s="2163"/>
      <c r="B128" s="2163"/>
      <c r="C128" s="2163"/>
      <c r="D128" s="2164"/>
      <c r="E128" s="2164"/>
    </row>
    <row r="129" spans="1:5" ht="15" thickBot="1">
      <c r="A129" s="2165"/>
      <c r="B129" s="2165"/>
      <c r="C129" s="2165"/>
      <c r="D129" s="2166"/>
      <c r="E129" s="2166"/>
    </row>
    <row r="130" spans="1:5" ht="15" thickBot="1">
      <c r="A130" s="2167" t="s">
        <v>444</v>
      </c>
      <c r="B130" s="2167"/>
      <c r="C130" s="2167"/>
      <c r="D130" s="2168">
        <f>SUM(D128:E129)</f>
        <v>0</v>
      </c>
      <c r="E130" s="2168"/>
    </row>
    <row r="131" spans="1:5" ht="14.25">
      <c r="A131" s="938"/>
      <c r="B131" s="938"/>
      <c r="C131" s="938"/>
      <c r="D131" s="938"/>
      <c r="E131" s="938" t="s">
        <v>917</v>
      </c>
    </row>
    <row r="132" spans="1:5" ht="14.25">
      <c r="A132" s="938"/>
      <c r="B132" s="938"/>
      <c r="C132" s="938"/>
      <c r="D132" s="938"/>
      <c r="E132" s="938"/>
    </row>
    <row r="133" spans="1:5" ht="14.25">
      <c r="A133" s="2169" t="s">
        <v>1259</v>
      </c>
      <c r="B133" s="2169"/>
      <c r="C133" s="2169"/>
      <c r="D133" s="2169"/>
      <c r="E133" s="2169"/>
    </row>
    <row r="134" spans="1:5" ht="15.75">
      <c r="A134" s="2170" t="s">
        <v>918</v>
      </c>
      <c r="B134" s="2170"/>
      <c r="C134" s="2170"/>
      <c r="D134" s="2170"/>
      <c r="E134" s="2170"/>
    </row>
    <row r="135" spans="1:5" ht="30" customHeight="1">
      <c r="A135" s="2171" t="s">
        <v>919</v>
      </c>
      <c r="B135" s="2171"/>
      <c r="C135" s="2171"/>
      <c r="D135" s="2171"/>
      <c r="E135" s="2171"/>
    </row>
    <row r="136" spans="1:5" ht="60.75" customHeight="1" thickBot="1">
      <c r="A136" s="974" t="s">
        <v>920</v>
      </c>
      <c r="B136" s="2172" t="s">
        <v>1073</v>
      </c>
      <c r="C136" s="2173"/>
      <c r="D136" s="2173"/>
      <c r="E136" s="975" t="s">
        <v>214</v>
      </c>
    </row>
    <row r="137" spans="1:5" ht="15" thickBot="1">
      <c r="A137" s="962" t="s">
        <v>922</v>
      </c>
      <c r="B137" s="963">
        <v>2020</v>
      </c>
      <c r="C137" s="963">
        <v>2021</v>
      </c>
      <c r="D137" s="963" t="s">
        <v>1079</v>
      </c>
      <c r="E137" s="964" t="s">
        <v>25</v>
      </c>
    </row>
    <row r="138" spans="1:5" ht="14.25">
      <c r="A138" s="950" t="s">
        <v>923</v>
      </c>
      <c r="B138" s="951">
        <v>3100000</v>
      </c>
      <c r="C138" s="951">
        <v>0</v>
      </c>
      <c r="D138" s="951"/>
      <c r="E138" s="952">
        <f aca="true" t="shared" si="8" ref="E138:E143">SUM(B138:D138)</f>
        <v>3100000</v>
      </c>
    </row>
    <row r="139" spans="1:5" ht="14.25">
      <c r="A139" s="953" t="s">
        <v>924</v>
      </c>
      <c r="B139" s="954">
        <v>145191371</v>
      </c>
      <c r="C139" s="954">
        <v>0</v>
      </c>
      <c r="D139" s="954"/>
      <c r="E139" s="955">
        <f t="shared" si="8"/>
        <v>145191371</v>
      </c>
    </row>
    <row r="140" spans="1:5" ht="14.25">
      <c r="A140" s="953" t="s">
        <v>925</v>
      </c>
      <c r="B140" s="954"/>
      <c r="C140" s="954"/>
      <c r="D140" s="954"/>
      <c r="E140" s="955">
        <f t="shared" si="8"/>
        <v>0</v>
      </c>
    </row>
    <row r="141" spans="1:5" ht="14.25">
      <c r="A141" s="953" t="s">
        <v>926</v>
      </c>
      <c r="B141" s="954"/>
      <c r="C141" s="954"/>
      <c r="D141" s="954"/>
      <c r="E141" s="955">
        <f t="shared" si="8"/>
        <v>0</v>
      </c>
    </row>
    <row r="142" spans="1:5" ht="14.25">
      <c r="A142" s="953" t="s">
        <v>927</v>
      </c>
      <c r="B142" s="954"/>
      <c r="C142" s="954"/>
      <c r="D142" s="954"/>
      <c r="E142" s="955">
        <f t="shared" si="8"/>
        <v>0</v>
      </c>
    </row>
    <row r="143" spans="1:5" ht="15" thickBot="1">
      <c r="A143" s="956"/>
      <c r="B143" s="957"/>
      <c r="C143" s="957"/>
      <c r="D143" s="957"/>
      <c r="E143" s="955">
        <f t="shared" si="8"/>
        <v>0</v>
      </c>
    </row>
    <row r="144" spans="1:5" ht="15" thickBot="1">
      <c r="A144" s="958" t="s">
        <v>922</v>
      </c>
      <c r="B144" s="959">
        <f>B138+SUM(B139:B143)</f>
        <v>148291371</v>
      </c>
      <c r="C144" s="959">
        <f>C138+SUM(C139:C143)</f>
        <v>0</v>
      </c>
      <c r="D144" s="959">
        <f>D138+SUM(D139:D143)</f>
        <v>0</v>
      </c>
      <c r="E144" s="960">
        <f>E138+SUM(E139:E143)</f>
        <v>148291371</v>
      </c>
    </row>
    <row r="145" spans="1:5" ht="15" thickBot="1">
      <c r="A145" s="961"/>
      <c r="B145" s="961"/>
      <c r="C145" s="961"/>
      <c r="D145" s="961"/>
      <c r="E145" s="961"/>
    </row>
    <row r="146" spans="1:5" ht="15" thickBot="1">
      <c r="A146" s="962" t="s">
        <v>928</v>
      </c>
      <c r="B146" s="963">
        <v>2020</v>
      </c>
      <c r="C146" s="963">
        <v>2021</v>
      </c>
      <c r="D146" s="963" t="s">
        <v>1079</v>
      </c>
      <c r="E146" s="964" t="s">
        <v>25</v>
      </c>
    </row>
    <row r="147" spans="1:5" ht="14.25">
      <c r="A147" s="950" t="s">
        <v>929</v>
      </c>
      <c r="B147" s="951">
        <v>3556000</v>
      </c>
      <c r="C147" s="951"/>
      <c r="D147" s="951"/>
      <c r="E147" s="952">
        <f aca="true" t="shared" si="9" ref="E147:E153">SUM(B147:D147)</f>
        <v>3556000</v>
      </c>
    </row>
    <row r="148" spans="1:5" ht="14.25">
      <c r="A148" s="965" t="s">
        <v>930</v>
      </c>
      <c r="B148" s="954">
        <v>135868941</v>
      </c>
      <c r="C148" s="954"/>
      <c r="D148" s="954"/>
      <c r="E148" s="955">
        <f t="shared" si="9"/>
        <v>135868941</v>
      </c>
    </row>
    <row r="149" spans="1:5" ht="14.25">
      <c r="A149" s="953" t="s">
        <v>931</v>
      </c>
      <c r="B149" s="954">
        <v>8866430</v>
      </c>
      <c r="C149" s="954"/>
      <c r="D149" s="954"/>
      <c r="E149" s="955">
        <f t="shared" si="9"/>
        <v>8866430</v>
      </c>
    </row>
    <row r="150" spans="1:5" ht="14.25">
      <c r="A150" s="953" t="s">
        <v>932</v>
      </c>
      <c r="B150" s="954"/>
      <c r="C150" s="954"/>
      <c r="D150" s="954"/>
      <c r="E150" s="955">
        <f t="shared" si="9"/>
        <v>0</v>
      </c>
    </row>
    <row r="151" spans="1:5" ht="14.25">
      <c r="A151" s="966" t="s">
        <v>936</v>
      </c>
      <c r="B151" s="973"/>
      <c r="C151" s="954"/>
      <c r="D151" s="954"/>
      <c r="E151" s="955">
        <f t="shared" si="9"/>
        <v>0</v>
      </c>
    </row>
    <row r="152" spans="1:5" ht="14.25">
      <c r="A152" s="966"/>
      <c r="B152" s="954"/>
      <c r="C152" s="954"/>
      <c r="D152" s="954"/>
      <c r="E152" s="955">
        <f t="shared" si="9"/>
        <v>0</v>
      </c>
    </row>
    <row r="153" spans="1:5" ht="15" thickBot="1">
      <c r="A153" s="956"/>
      <c r="B153" s="967"/>
      <c r="C153" s="967"/>
      <c r="D153" s="967"/>
      <c r="E153" s="968">
        <f t="shared" si="9"/>
        <v>0</v>
      </c>
    </row>
    <row r="154" spans="1:5" ht="15" thickBot="1">
      <c r="A154" s="958" t="s">
        <v>444</v>
      </c>
      <c r="B154" s="959">
        <f>SUM(B147:B153)</f>
        <v>148291371</v>
      </c>
      <c r="C154" s="959">
        <f>SUM(C147:C153)</f>
        <v>0</v>
      </c>
      <c r="D154" s="959">
        <f>SUM(D147:D153)</f>
        <v>0</v>
      </c>
      <c r="E154" s="960">
        <f>SUM(E147:E153)</f>
        <v>148291371</v>
      </c>
    </row>
    <row r="155" spans="1:5" ht="14.25">
      <c r="A155" s="969"/>
      <c r="B155" s="969"/>
      <c r="C155" s="969"/>
      <c r="D155" s="969"/>
      <c r="E155" s="969"/>
    </row>
    <row r="156" spans="1:5" ht="14.25">
      <c r="A156" s="2174" t="s">
        <v>1080</v>
      </c>
      <c r="B156" s="2174"/>
      <c r="C156" s="2174"/>
      <c r="D156" s="2174"/>
      <c r="E156" s="2174"/>
    </row>
    <row r="157" spans="1:5" ht="15" thickBot="1">
      <c r="A157" s="969"/>
      <c r="B157" s="969"/>
      <c r="C157" s="969"/>
      <c r="D157" s="969"/>
      <c r="E157" s="969"/>
    </row>
    <row r="158" spans="1:5" ht="15" thickBot="1">
      <c r="A158" s="2175" t="s">
        <v>933</v>
      </c>
      <c r="B158" s="2175"/>
      <c r="C158" s="2175"/>
      <c r="D158" s="2176" t="s">
        <v>934</v>
      </c>
      <c r="E158" s="2176"/>
    </row>
    <row r="159" spans="1:5" ht="14.25">
      <c r="A159" s="2163"/>
      <c r="B159" s="2163"/>
      <c r="C159" s="2163"/>
      <c r="D159" s="2164"/>
      <c r="E159" s="2164"/>
    </row>
    <row r="160" spans="1:5" ht="15" thickBot="1">
      <c r="A160" s="2165"/>
      <c r="B160" s="2165"/>
      <c r="C160" s="2165"/>
      <c r="D160" s="2166"/>
      <c r="E160" s="2166"/>
    </row>
    <row r="161" spans="1:5" ht="15" thickBot="1">
      <c r="A161" s="2167" t="s">
        <v>444</v>
      </c>
      <c r="B161" s="2167"/>
      <c r="C161" s="2167"/>
      <c r="D161" s="2168">
        <f>SUM(D159:E160)</f>
        <v>0</v>
      </c>
      <c r="E161" s="2168"/>
    </row>
    <row r="162" spans="1:5" ht="14.25">
      <c r="A162" s="938"/>
      <c r="B162" s="938"/>
      <c r="C162" s="938"/>
      <c r="D162" s="938"/>
      <c r="E162" s="938" t="s">
        <v>917</v>
      </c>
    </row>
    <row r="163" spans="1:5" ht="14.25">
      <c r="A163" s="938"/>
      <c r="B163" s="938"/>
      <c r="C163" s="938"/>
      <c r="D163" s="938"/>
      <c r="E163" s="938"/>
    </row>
    <row r="164" spans="1:5" ht="14.25">
      <c r="A164" s="2169" t="s">
        <v>1259</v>
      </c>
      <c r="B164" s="2169"/>
      <c r="C164" s="2169"/>
      <c r="D164" s="2169"/>
      <c r="E164" s="2169"/>
    </row>
    <row r="165" spans="1:5" ht="15.75">
      <c r="A165" s="2170" t="s">
        <v>918</v>
      </c>
      <c r="B165" s="2170"/>
      <c r="C165" s="2170"/>
      <c r="D165" s="2170"/>
      <c r="E165" s="2170"/>
    </row>
    <row r="166" spans="1:5" ht="27" customHeight="1">
      <c r="A166" s="2171" t="s">
        <v>919</v>
      </c>
      <c r="B166" s="2171"/>
      <c r="C166" s="2171"/>
      <c r="D166" s="2171"/>
      <c r="E166" s="2171"/>
    </row>
    <row r="167" spans="1:5" ht="28.5" customHeight="1" thickBot="1">
      <c r="A167" s="974" t="s">
        <v>920</v>
      </c>
      <c r="B167" s="2172" t="s">
        <v>1066</v>
      </c>
      <c r="C167" s="2173"/>
      <c r="D167" s="2173"/>
      <c r="E167" s="975" t="s">
        <v>214</v>
      </c>
    </row>
    <row r="168" spans="1:5" ht="15" thickBot="1">
      <c r="A168" s="962" t="s">
        <v>922</v>
      </c>
      <c r="B168" s="963">
        <v>2020</v>
      </c>
      <c r="C168" s="963">
        <v>2021</v>
      </c>
      <c r="D168" s="963" t="s">
        <v>1079</v>
      </c>
      <c r="E168" s="964" t="s">
        <v>25</v>
      </c>
    </row>
    <row r="169" spans="1:5" ht="14.25">
      <c r="A169" s="950" t="s">
        <v>923</v>
      </c>
      <c r="B169" s="951">
        <v>0</v>
      </c>
      <c r="C169" s="951"/>
      <c r="D169" s="951"/>
      <c r="E169" s="952">
        <f aca="true" t="shared" si="10" ref="E169:E174">SUM(B169:D169)</f>
        <v>0</v>
      </c>
    </row>
    <row r="170" spans="1:5" ht="14.25">
      <c r="A170" s="953" t="s">
        <v>924</v>
      </c>
      <c r="B170" s="954">
        <v>8256106</v>
      </c>
      <c r="C170" s="954"/>
      <c r="D170" s="954"/>
      <c r="E170" s="955">
        <f t="shared" si="10"/>
        <v>8256106</v>
      </c>
    </row>
    <row r="171" spans="1:5" ht="14.25">
      <c r="A171" s="953" t="s">
        <v>925</v>
      </c>
      <c r="B171" s="954"/>
      <c r="C171" s="954"/>
      <c r="D171" s="954"/>
      <c r="E171" s="955">
        <f t="shared" si="10"/>
        <v>0</v>
      </c>
    </row>
    <row r="172" spans="1:5" ht="14.25">
      <c r="A172" s="953" t="s">
        <v>926</v>
      </c>
      <c r="B172" s="954"/>
      <c r="C172" s="954"/>
      <c r="D172" s="954"/>
      <c r="E172" s="955">
        <f t="shared" si="10"/>
        <v>0</v>
      </c>
    </row>
    <row r="173" spans="1:5" ht="14.25">
      <c r="A173" s="953" t="s">
        <v>927</v>
      </c>
      <c r="B173" s="954"/>
      <c r="C173" s="954"/>
      <c r="D173" s="954"/>
      <c r="E173" s="955">
        <f t="shared" si="10"/>
        <v>0</v>
      </c>
    </row>
    <row r="174" spans="1:5" ht="15" thickBot="1">
      <c r="A174" s="956"/>
      <c r="B174" s="957"/>
      <c r="C174" s="957"/>
      <c r="D174" s="957"/>
      <c r="E174" s="955">
        <f t="shared" si="10"/>
        <v>0</v>
      </c>
    </row>
    <row r="175" spans="1:5" ht="15" thickBot="1">
      <c r="A175" s="958" t="s">
        <v>922</v>
      </c>
      <c r="B175" s="959">
        <f>B169+SUM(B170:B174)</f>
        <v>8256106</v>
      </c>
      <c r="C175" s="959">
        <f>C169+SUM(C170:C174)</f>
        <v>0</v>
      </c>
      <c r="D175" s="959">
        <f>D169+SUM(D170:D174)</f>
        <v>0</v>
      </c>
      <c r="E175" s="960">
        <f>E169+SUM(E170:E174)</f>
        <v>8256106</v>
      </c>
    </row>
    <row r="176" spans="1:5" ht="15" thickBot="1">
      <c r="A176" s="961"/>
      <c r="B176" s="961"/>
      <c r="C176" s="961"/>
      <c r="D176" s="961"/>
      <c r="E176" s="961"/>
    </row>
    <row r="177" spans="1:5" ht="15" thickBot="1">
      <c r="A177" s="962" t="s">
        <v>928</v>
      </c>
      <c r="B177" s="963">
        <v>2020</v>
      </c>
      <c r="C177" s="963">
        <v>2021</v>
      </c>
      <c r="D177" s="963" t="s">
        <v>1079</v>
      </c>
      <c r="E177" s="964" t="s">
        <v>25</v>
      </c>
    </row>
    <row r="178" spans="1:5" ht="14.25">
      <c r="A178" s="950" t="s">
        <v>929</v>
      </c>
      <c r="B178" s="951"/>
      <c r="C178" s="951"/>
      <c r="D178" s="951"/>
      <c r="E178" s="952">
        <f aca="true" t="shared" si="11" ref="E178:E184">SUM(B178:D178)</f>
        <v>0</v>
      </c>
    </row>
    <row r="179" spans="1:5" ht="14.25">
      <c r="A179" s="965" t="s">
        <v>930</v>
      </c>
      <c r="B179" s="954">
        <v>8256106</v>
      </c>
      <c r="C179" s="954">
        <v>8256106</v>
      </c>
      <c r="D179" s="954"/>
      <c r="E179" s="955">
        <f t="shared" si="11"/>
        <v>16512212</v>
      </c>
    </row>
    <row r="180" spans="1:5" ht="14.25">
      <c r="A180" s="953" t="s">
        <v>931</v>
      </c>
      <c r="B180" s="954"/>
      <c r="C180" s="954"/>
      <c r="D180" s="954"/>
      <c r="E180" s="955">
        <f t="shared" si="11"/>
        <v>0</v>
      </c>
    </row>
    <row r="181" spans="1:5" ht="14.25">
      <c r="A181" s="953" t="s">
        <v>932</v>
      </c>
      <c r="B181" s="954"/>
      <c r="C181" s="954"/>
      <c r="D181" s="954"/>
      <c r="E181" s="955">
        <f t="shared" si="11"/>
        <v>0</v>
      </c>
    </row>
    <row r="182" spans="1:5" ht="14.25">
      <c r="A182" s="966" t="s">
        <v>936</v>
      </c>
      <c r="B182" s="973"/>
      <c r="C182" s="954"/>
      <c r="D182" s="954"/>
      <c r="E182" s="955">
        <f t="shared" si="11"/>
        <v>0</v>
      </c>
    </row>
    <row r="183" spans="1:5" ht="14.25">
      <c r="A183" s="966"/>
      <c r="B183" s="954"/>
      <c r="C183" s="954"/>
      <c r="D183" s="954"/>
      <c r="E183" s="955">
        <f t="shared" si="11"/>
        <v>0</v>
      </c>
    </row>
    <row r="184" spans="1:5" ht="15" thickBot="1">
      <c r="A184" s="956"/>
      <c r="B184" s="967"/>
      <c r="C184" s="967"/>
      <c r="D184" s="967"/>
      <c r="E184" s="968">
        <f t="shared" si="11"/>
        <v>0</v>
      </c>
    </row>
    <row r="185" spans="1:5" ht="15" thickBot="1">
      <c r="A185" s="958" t="s">
        <v>444</v>
      </c>
      <c r="B185" s="959">
        <f>SUM(B178:B184)</f>
        <v>8256106</v>
      </c>
      <c r="C185" s="959">
        <f>SUM(C178:C184)</f>
        <v>8256106</v>
      </c>
      <c r="D185" s="959">
        <f>SUM(D178:D184)</f>
        <v>0</v>
      </c>
      <c r="E185" s="960">
        <f>SUM(E178:E184)</f>
        <v>16512212</v>
      </c>
    </row>
    <row r="186" spans="1:5" ht="14.25">
      <c r="A186" s="969"/>
      <c r="B186" s="969"/>
      <c r="C186" s="969"/>
      <c r="D186" s="969"/>
      <c r="E186" s="969"/>
    </row>
    <row r="187" spans="1:5" ht="14.25">
      <c r="A187" s="2174" t="s">
        <v>1080</v>
      </c>
      <c r="B187" s="2174"/>
      <c r="C187" s="2174"/>
      <c r="D187" s="2174"/>
      <c r="E187" s="2174"/>
    </row>
    <row r="188" spans="1:5" ht="15" thickBot="1">
      <c r="A188" s="969"/>
      <c r="B188" s="969"/>
      <c r="C188" s="969"/>
      <c r="D188" s="969"/>
      <c r="E188" s="969"/>
    </row>
    <row r="189" spans="1:5" ht="15" thickBot="1">
      <c r="A189" s="2175" t="s">
        <v>933</v>
      </c>
      <c r="B189" s="2175"/>
      <c r="C189" s="2175"/>
      <c r="D189" s="2176" t="s">
        <v>934</v>
      </c>
      <c r="E189" s="2176"/>
    </row>
    <row r="190" spans="1:5" ht="14.25">
      <c r="A190" s="2163"/>
      <c r="B190" s="2163"/>
      <c r="C190" s="2163"/>
      <c r="D190" s="2164"/>
      <c r="E190" s="2164"/>
    </row>
    <row r="191" spans="1:5" ht="15" thickBot="1">
      <c r="A191" s="2165"/>
      <c r="B191" s="2165"/>
      <c r="C191" s="2165"/>
      <c r="D191" s="2166"/>
      <c r="E191" s="2166"/>
    </row>
    <row r="192" spans="1:5" ht="15" thickBot="1">
      <c r="A192" s="2167" t="s">
        <v>444</v>
      </c>
      <c r="B192" s="2167"/>
      <c r="C192" s="2167"/>
      <c r="D192" s="2168">
        <f>SUM(D190:E191)</f>
        <v>0</v>
      </c>
      <c r="E192" s="2168"/>
    </row>
  </sheetData>
  <sheetProtection selectLockedCells="1" selectUnlockedCells="1"/>
  <mergeCells count="78">
    <mergeCell ref="A128:C128"/>
    <mergeCell ref="D128:E128"/>
    <mergeCell ref="A129:C129"/>
    <mergeCell ref="D129:E129"/>
    <mergeCell ref="A130:C130"/>
    <mergeCell ref="D130:E130"/>
    <mergeCell ref="A102:E102"/>
    <mergeCell ref="A103:E103"/>
    <mergeCell ref="A104:E104"/>
    <mergeCell ref="B105:D105"/>
    <mergeCell ref="A125:E125"/>
    <mergeCell ref="A127:C127"/>
    <mergeCell ref="D127:E127"/>
    <mergeCell ref="A97:C97"/>
    <mergeCell ref="D97:E97"/>
    <mergeCell ref="A98:C98"/>
    <mergeCell ref="D98:E98"/>
    <mergeCell ref="A99:C99"/>
    <mergeCell ref="D99:E99"/>
    <mergeCell ref="A71:E71"/>
    <mergeCell ref="A72:E72"/>
    <mergeCell ref="A73:E73"/>
    <mergeCell ref="B74:D74"/>
    <mergeCell ref="A94:E94"/>
    <mergeCell ref="A96:C96"/>
    <mergeCell ref="D96:E96"/>
    <mergeCell ref="A65:C65"/>
    <mergeCell ref="D65:E65"/>
    <mergeCell ref="A66:C66"/>
    <mergeCell ref="D66:E66"/>
    <mergeCell ref="A67:C67"/>
    <mergeCell ref="D67:E67"/>
    <mergeCell ref="A37:E37"/>
    <mergeCell ref="A39:E39"/>
    <mergeCell ref="A40:E40"/>
    <mergeCell ref="B42:D42"/>
    <mergeCell ref="A62:E62"/>
    <mergeCell ref="A64:C64"/>
    <mergeCell ref="D64:E64"/>
    <mergeCell ref="A31:C31"/>
    <mergeCell ref="D31:E31"/>
    <mergeCell ref="A32:C32"/>
    <mergeCell ref="D32:E32"/>
    <mergeCell ref="A33:C33"/>
    <mergeCell ref="D33:E33"/>
    <mergeCell ref="A3:E3"/>
    <mergeCell ref="A5:E5"/>
    <mergeCell ref="A6:E6"/>
    <mergeCell ref="B8:D8"/>
    <mergeCell ref="A28:E28"/>
    <mergeCell ref="A30:C30"/>
    <mergeCell ref="D30:E30"/>
    <mergeCell ref="A133:E133"/>
    <mergeCell ref="A134:E134"/>
    <mergeCell ref="A135:E135"/>
    <mergeCell ref="B136:D136"/>
    <mergeCell ref="A156:E156"/>
    <mergeCell ref="A158:C158"/>
    <mergeCell ref="D158:E158"/>
    <mergeCell ref="A159:C159"/>
    <mergeCell ref="D159:E159"/>
    <mergeCell ref="A160:C160"/>
    <mergeCell ref="D160:E160"/>
    <mergeCell ref="A161:C161"/>
    <mergeCell ref="D161:E161"/>
    <mergeCell ref="A164:E164"/>
    <mergeCell ref="A165:E165"/>
    <mergeCell ref="A166:E166"/>
    <mergeCell ref="B167:D167"/>
    <mergeCell ref="A187:E187"/>
    <mergeCell ref="A189:C189"/>
    <mergeCell ref="D189:E189"/>
    <mergeCell ref="A190:C190"/>
    <mergeCell ref="D190:E190"/>
    <mergeCell ref="A191:C191"/>
    <mergeCell ref="D191:E191"/>
    <mergeCell ref="A192:C192"/>
    <mergeCell ref="D192:E192"/>
  </mergeCells>
  <conditionalFormatting sqref="B16:D16 E19:E26 B26:D26 D33:E34 E10:E16">
    <cfRule type="cellIs" priority="9" dxfId="0" operator="equal" stopIfTrue="1">
      <formula>0</formula>
    </cfRule>
  </conditionalFormatting>
  <conditionalFormatting sqref="B50:D50 E53:E60 B60:D60 D67:E68 E44:E50">
    <cfRule type="cellIs" priority="7" dxfId="0" operator="equal" stopIfTrue="1">
      <formula>0</formula>
    </cfRule>
  </conditionalFormatting>
  <conditionalFormatting sqref="B82:D82 E85:E92 B92:D92 D99:E99 E76:E82">
    <cfRule type="cellIs" priority="6" dxfId="0" operator="equal" stopIfTrue="1">
      <formula>0</formula>
    </cfRule>
  </conditionalFormatting>
  <conditionalFormatting sqref="B113:D113 E116:E123 B123:D123 D130:E130 E107:E113">
    <cfRule type="cellIs" priority="3" dxfId="0" operator="equal" stopIfTrue="1">
      <formula>0</formula>
    </cfRule>
  </conditionalFormatting>
  <conditionalFormatting sqref="B144:D144 E147:E154 B154:D154 D161:E161 E138:E144">
    <cfRule type="cellIs" priority="2" dxfId="0" operator="equal" stopIfTrue="1">
      <formula>0</formula>
    </cfRule>
  </conditionalFormatting>
  <conditionalFormatting sqref="B175:D175 E178:E185 B185:D185 D192:E192 E169:E175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r:id="rId1"/>
  <rowBreaks count="5" manualBreakCount="5">
    <brk id="34" max="4" man="1"/>
    <brk id="68" max="4" man="1"/>
    <brk id="99" max="4" man="1"/>
    <brk id="130" max="4" man="1"/>
    <brk id="163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4"/>
  <sheetViews>
    <sheetView view="pageBreakPreview" zoomScale="130" zoomScaleSheetLayoutView="130" zoomScalePageLayoutView="0" workbookViewId="0" topLeftCell="A97">
      <selection activeCell="C122" sqref="C122"/>
    </sheetView>
  </sheetViews>
  <sheetFormatPr defaultColWidth="11.57421875" defaultRowHeight="12.75" customHeight="1"/>
  <cols>
    <col min="1" max="1" width="4.00390625" style="0" customWidth="1"/>
    <col min="2" max="2" width="3.28125" style="0" customWidth="1"/>
    <col min="3" max="3" width="46.57421875" style="0" customWidth="1"/>
    <col min="4" max="4" width="12.57421875" style="0" hidden="1" customWidth="1"/>
    <col min="5" max="8" width="18.00390625" style="52" customWidth="1"/>
  </cols>
  <sheetData>
    <row r="1" spans="1:8" ht="16.5" customHeight="1">
      <c r="A1" s="1924" t="s">
        <v>1259</v>
      </c>
      <c r="B1" s="1924"/>
      <c r="C1" s="1924"/>
      <c r="D1" s="1924"/>
      <c r="E1" s="1924"/>
      <c r="F1" s="1924"/>
      <c r="G1" s="1924"/>
      <c r="H1" s="1924"/>
    </row>
    <row r="2" spans="1:8" ht="12.75" customHeight="1">
      <c r="A2" s="2169"/>
      <c r="B2" s="2169"/>
      <c r="C2" s="2169"/>
      <c r="D2" s="2169"/>
      <c r="E2"/>
      <c r="F2"/>
      <c r="G2"/>
      <c r="H2"/>
    </row>
    <row r="3" spans="1:8" ht="18" customHeight="1">
      <c r="A3" s="1934" t="s">
        <v>556</v>
      </c>
      <c r="B3" s="1934"/>
      <c r="C3" s="1934"/>
      <c r="D3" s="1934"/>
      <c r="E3" s="1934"/>
      <c r="F3" s="1934"/>
      <c r="G3" s="1934"/>
      <c r="H3" s="1934"/>
    </row>
    <row r="4" spans="1:8" ht="24.75" customHeight="1">
      <c r="A4" s="2169" t="s">
        <v>557</v>
      </c>
      <c r="B4" s="2169"/>
      <c r="C4" s="2169"/>
      <c r="D4" s="2169"/>
      <c r="E4" s="2169"/>
      <c r="F4" s="2169"/>
      <c r="G4" s="2169"/>
      <c r="H4" s="2169"/>
    </row>
    <row r="5" spans="1:8" ht="24.75" customHeight="1">
      <c r="A5" s="2169"/>
      <c r="B5" s="2169"/>
      <c r="C5" s="2169"/>
      <c r="D5" s="2169"/>
      <c r="E5"/>
      <c r="F5"/>
      <c r="G5"/>
      <c r="H5"/>
    </row>
    <row r="6" spans="1:8" ht="12.75" customHeight="1" thickBot="1">
      <c r="A6" s="1789"/>
      <c r="B6" s="1789"/>
      <c r="C6" s="1789"/>
      <c r="D6" s="3"/>
      <c r="E6"/>
      <c r="F6"/>
      <c r="G6"/>
      <c r="H6" t="s">
        <v>214</v>
      </c>
    </row>
    <row r="7" spans="1:8" ht="39" customHeight="1">
      <c r="A7" s="2182" t="s">
        <v>156</v>
      </c>
      <c r="B7" s="2183"/>
      <c r="C7" s="2186" t="s">
        <v>157</v>
      </c>
      <c r="D7" s="2186"/>
      <c r="E7" s="565" t="s">
        <v>1076</v>
      </c>
      <c r="F7" s="565" t="s">
        <v>1077</v>
      </c>
      <c r="G7" s="565" t="s">
        <v>1165</v>
      </c>
      <c r="H7" s="565" t="s">
        <v>1186</v>
      </c>
    </row>
    <row r="8" spans="1:8" ht="12.75" customHeight="1" thickBot="1">
      <c r="A8" s="2184"/>
      <c r="B8" s="2185"/>
      <c r="C8" s="2187" t="s">
        <v>158</v>
      </c>
      <c r="D8" s="2187"/>
      <c r="E8" s="566" t="s">
        <v>159</v>
      </c>
      <c r="F8" s="566" t="s">
        <v>160</v>
      </c>
      <c r="G8" s="566" t="s">
        <v>161</v>
      </c>
      <c r="H8" s="566" t="s">
        <v>456</v>
      </c>
    </row>
    <row r="9" spans="1:8" s="10" customFormat="1" ht="12.75" customHeight="1">
      <c r="A9" s="465" t="s">
        <v>38</v>
      </c>
      <c r="B9" s="465" t="s">
        <v>164</v>
      </c>
      <c r="C9" s="564" t="s">
        <v>558</v>
      </c>
      <c r="D9" s="564"/>
      <c r="E9" s="439">
        <f>SUM(E10:E16)</f>
        <v>126778064</v>
      </c>
      <c r="F9" s="439">
        <f>SUM(F10:F16)</f>
        <v>130626828</v>
      </c>
      <c r="G9" s="439">
        <f>SUM(G10:G16)</f>
        <v>125047485</v>
      </c>
      <c r="H9" s="439">
        <f>SUM(H10:H16)</f>
        <v>125334519</v>
      </c>
    </row>
    <row r="10" spans="1:8" ht="12.75" customHeight="1">
      <c r="A10" s="295" t="s">
        <v>40</v>
      </c>
      <c r="B10" s="295"/>
      <c r="C10" s="2181" t="s">
        <v>165</v>
      </c>
      <c r="D10" s="2181"/>
      <c r="E10" s="399">
        <f>SUM('15. Óvoda'!E9)</f>
        <v>90183</v>
      </c>
      <c r="F10" s="399">
        <f>SUM('15. Óvoda'!F9)</f>
        <v>0</v>
      </c>
      <c r="G10" s="399">
        <f>SUM('15. Óvoda'!G9)</f>
        <v>35340</v>
      </c>
      <c r="H10" s="399">
        <f>SUM('15. Óvoda'!H9)</f>
        <v>35340</v>
      </c>
    </row>
    <row r="11" spans="1:8" ht="12.75" customHeight="1">
      <c r="A11" s="295" t="s">
        <v>47</v>
      </c>
      <c r="B11" s="295"/>
      <c r="C11" s="2181" t="s">
        <v>78</v>
      </c>
      <c r="D11" s="2181"/>
      <c r="E11" s="399">
        <f>SUM('15. Óvoda'!E10)</f>
        <v>2523187</v>
      </c>
      <c r="F11" s="399">
        <f>SUM('15. Óvoda'!F10)</f>
        <v>2265000</v>
      </c>
      <c r="G11" s="399">
        <f>SUM('15. Óvoda'!G10)</f>
        <v>1824006</v>
      </c>
      <c r="H11" s="399">
        <f>SUM('15. Óvoda'!H10)</f>
        <v>2111040</v>
      </c>
    </row>
    <row r="12" spans="1:8" ht="12.75" customHeight="1">
      <c r="A12" s="295" t="s">
        <v>49</v>
      </c>
      <c r="B12" s="295"/>
      <c r="C12" s="923" t="s">
        <v>905</v>
      </c>
      <c r="D12" s="923"/>
      <c r="E12" s="399">
        <v>498111</v>
      </c>
      <c r="F12" s="399"/>
      <c r="G12" s="399"/>
      <c r="H12" s="399"/>
    </row>
    <row r="13" spans="1:8" ht="12.75" customHeight="1">
      <c r="A13" s="295">
        <v>5</v>
      </c>
      <c r="B13" s="295"/>
      <c r="C13" s="2192" t="s">
        <v>225</v>
      </c>
      <c r="D13" s="2192"/>
      <c r="E13" s="399">
        <f>SUM('15. Óvoda'!E18)</f>
        <v>435505</v>
      </c>
      <c r="F13" s="399">
        <f>SUM('15. Óvoda'!F18)</f>
        <v>0</v>
      </c>
      <c r="G13" s="399">
        <f>SUM('15. Óvoda'!G18)</f>
        <v>0</v>
      </c>
      <c r="H13" s="399">
        <f>SUM('15. Óvoda'!H18)</f>
        <v>0</v>
      </c>
    </row>
    <row r="14" spans="1:8" ht="12.75" customHeight="1">
      <c r="A14" s="295" t="s">
        <v>53</v>
      </c>
      <c r="B14" s="295"/>
      <c r="C14" s="2188" t="s">
        <v>480</v>
      </c>
      <c r="D14" s="2189"/>
      <c r="E14" s="399">
        <f>SUM('15. Óvoda'!E21)</f>
        <v>122992661</v>
      </c>
      <c r="F14" s="399">
        <f>SUM('15. Óvoda'!F21)</f>
        <v>128168127</v>
      </c>
      <c r="G14" s="399">
        <f>SUM('15. Óvoda'!G21)</f>
        <v>122994438</v>
      </c>
      <c r="H14" s="399">
        <f>SUM('15. Óvoda'!H21)</f>
        <v>122994438</v>
      </c>
    </row>
    <row r="15" spans="1:8" ht="12.75" customHeight="1">
      <c r="A15" s="295" t="s">
        <v>55</v>
      </c>
      <c r="B15" s="295"/>
      <c r="C15" s="2192" t="s">
        <v>235</v>
      </c>
      <c r="D15" s="2192"/>
      <c r="E15" s="399">
        <f>SUM('15. Óvoda'!E24)</f>
        <v>238417</v>
      </c>
      <c r="F15" s="399">
        <f>SUM('15. Óvoda'!F24)</f>
        <v>193701</v>
      </c>
      <c r="G15" s="399">
        <f>SUM('15. Óvoda'!G24)</f>
        <v>193701</v>
      </c>
      <c r="H15" s="399">
        <f>SUM('15. Óvoda'!H24)</f>
        <v>193701</v>
      </c>
    </row>
    <row r="16" spans="1:8" ht="12.75" customHeight="1">
      <c r="A16" s="295" t="s">
        <v>57</v>
      </c>
      <c r="B16" s="295"/>
      <c r="C16" s="2188"/>
      <c r="D16" s="2189"/>
      <c r="E16" s="399"/>
      <c r="F16" s="399"/>
      <c r="G16" s="399"/>
      <c r="H16" s="399"/>
    </row>
    <row r="17" spans="1:8" s="212" customFormat="1" ht="12.75" customHeight="1">
      <c r="A17" s="396" t="s">
        <v>86</v>
      </c>
      <c r="B17" s="562" t="s">
        <v>166</v>
      </c>
      <c r="C17" s="509" t="s">
        <v>1015</v>
      </c>
      <c r="D17" s="509"/>
      <c r="E17" s="563">
        <f>SUM(E18:E21)</f>
        <v>26593210</v>
      </c>
      <c r="F17" s="563">
        <f>SUM(F18:F21)</f>
        <v>28177406</v>
      </c>
      <c r="G17" s="563">
        <f>SUM(G18:G21)</f>
        <v>24292792</v>
      </c>
      <c r="H17" s="563">
        <f>SUM(H18:H21)</f>
        <v>24573582</v>
      </c>
    </row>
    <row r="18" spans="1:8" s="212" customFormat="1" ht="12.75" customHeight="1">
      <c r="A18" s="1366">
        <v>10</v>
      </c>
      <c r="B18" s="562"/>
      <c r="C18" s="2181" t="s">
        <v>165</v>
      </c>
      <c r="D18" s="2181"/>
      <c r="E18" s="1365">
        <v>56273</v>
      </c>
      <c r="F18" s="1365">
        <v>0</v>
      </c>
      <c r="G18" s="1365">
        <v>0</v>
      </c>
      <c r="H18" s="1365">
        <v>0</v>
      </c>
    </row>
    <row r="19" spans="1:8" ht="12.75" customHeight="1">
      <c r="A19" s="295" t="s">
        <v>61</v>
      </c>
      <c r="B19" s="295"/>
      <c r="C19" s="2181" t="s">
        <v>559</v>
      </c>
      <c r="D19" s="2181"/>
      <c r="E19" s="399">
        <f>SUM('16. Műv. ház'!E10)</f>
        <v>1277049</v>
      </c>
      <c r="F19" s="399">
        <f>SUM('16. Műv. ház'!F10)</f>
        <v>1277000</v>
      </c>
      <c r="G19" s="399">
        <f>SUM('16. Műv. ház'!G10)</f>
        <v>350000</v>
      </c>
      <c r="H19" s="399">
        <f>SUM('16. Műv. ház'!H10)</f>
        <v>400020</v>
      </c>
    </row>
    <row r="20" spans="1:8" ht="12.75" customHeight="1">
      <c r="A20" s="295" t="s">
        <v>63</v>
      </c>
      <c r="B20" s="295"/>
      <c r="C20" s="2192" t="s">
        <v>480</v>
      </c>
      <c r="D20" s="2192"/>
      <c r="E20" s="399">
        <f>SUM('16. Műv. ház'!E15)</f>
        <v>24938230</v>
      </c>
      <c r="F20" s="399">
        <f>SUM('16. Műv. ház'!F15)</f>
        <v>26630663</v>
      </c>
      <c r="G20" s="399">
        <f>SUM('16. Műv. ház'!G15)</f>
        <v>23673049</v>
      </c>
      <c r="H20" s="399">
        <f>SUM('16. Műv. ház'!H15)</f>
        <v>23903819</v>
      </c>
    </row>
    <row r="21" spans="1:8" ht="12.75" customHeight="1">
      <c r="A21" s="295" t="s">
        <v>65</v>
      </c>
      <c r="B21" s="295"/>
      <c r="C21" s="2192" t="s">
        <v>235</v>
      </c>
      <c r="D21" s="2192"/>
      <c r="E21" s="399">
        <f>SUM('16. Műv. ház'!E18)</f>
        <v>321658</v>
      </c>
      <c r="F21" s="399">
        <f>SUM('16. Műv. ház'!F18)</f>
        <v>269743</v>
      </c>
      <c r="G21" s="399">
        <f>SUM('16. Műv. ház'!G18)</f>
        <v>269743</v>
      </c>
      <c r="H21" s="399">
        <f>SUM('16. Műv. ház'!H18)</f>
        <v>269743</v>
      </c>
    </row>
    <row r="22" spans="1:8" ht="12.75" customHeight="1">
      <c r="A22" s="295" t="s">
        <v>92</v>
      </c>
      <c r="B22" s="295"/>
      <c r="C22" s="2188"/>
      <c r="D22" s="2189"/>
      <c r="E22" s="399"/>
      <c r="F22" s="399"/>
      <c r="G22" s="399"/>
      <c r="H22" s="399"/>
    </row>
    <row r="23" spans="1:8" s="212" customFormat="1" ht="12.75" customHeight="1">
      <c r="A23" s="396" t="s">
        <v>66</v>
      </c>
      <c r="B23" s="562" t="s">
        <v>173</v>
      </c>
      <c r="C23" s="2196" t="s">
        <v>305</v>
      </c>
      <c r="D23" s="2197"/>
      <c r="E23" s="563">
        <f>SUM(E24:E27)</f>
        <v>87653371</v>
      </c>
      <c r="F23" s="563">
        <f>SUM(F24:F27)</f>
        <v>99218452</v>
      </c>
      <c r="G23" s="563">
        <f>SUM(G24:G27)</f>
        <v>105488509</v>
      </c>
      <c r="H23" s="563">
        <f>SUM(H24:H27)</f>
        <v>105488532</v>
      </c>
    </row>
    <row r="24" spans="1:8" ht="12.75" customHeight="1">
      <c r="A24" s="295" t="s">
        <v>67</v>
      </c>
      <c r="B24" s="295"/>
      <c r="C24" s="2181" t="s">
        <v>559</v>
      </c>
      <c r="D24" s="2181"/>
      <c r="E24" s="399">
        <f>SUM('17. Hivatal'!E10)</f>
        <v>2096933</v>
      </c>
      <c r="F24" s="399">
        <f>SUM('17. Hivatal'!F10)</f>
        <v>2071000</v>
      </c>
      <c r="G24" s="399">
        <f>SUM('17. Hivatal'!G10)</f>
        <v>2000008</v>
      </c>
      <c r="H24" s="399">
        <f>SUM('17. Hivatal'!H10)</f>
        <v>2000031</v>
      </c>
    </row>
    <row r="25" spans="1:8" ht="12.75" customHeight="1">
      <c r="A25" s="295" t="s">
        <v>68</v>
      </c>
      <c r="B25" s="295"/>
      <c r="C25" s="2181" t="s">
        <v>185</v>
      </c>
      <c r="D25" s="2181"/>
      <c r="E25" s="399">
        <f>SUM('17. Hivatal'!E17)</f>
        <v>3143412</v>
      </c>
      <c r="F25" s="399">
        <f>SUM('17. Hivatal'!F17)</f>
        <v>0</v>
      </c>
      <c r="G25" s="399">
        <f>SUM('17. Hivatal'!G17)</f>
        <v>0</v>
      </c>
      <c r="H25" s="399">
        <f>SUM('17. Hivatal'!H17)</f>
        <v>0</v>
      </c>
    </row>
    <row r="26" spans="1:8" ht="12.75" customHeight="1">
      <c r="A26" s="295" t="s">
        <v>70</v>
      </c>
      <c r="B26" s="295"/>
      <c r="C26" s="2192" t="s">
        <v>480</v>
      </c>
      <c r="D26" s="2192"/>
      <c r="E26" s="399">
        <f>SUM('17. Hivatal'!E22)</f>
        <v>82145676</v>
      </c>
      <c r="F26" s="399">
        <f>SUM('17. Hivatal'!F22)</f>
        <v>96944100</v>
      </c>
      <c r="G26" s="399">
        <f>SUM('17. Hivatal'!G22)</f>
        <v>103285149</v>
      </c>
      <c r="H26" s="399">
        <f>SUM('17. Hivatal'!H22)</f>
        <v>103285149</v>
      </c>
    </row>
    <row r="27" spans="1:8" ht="12.75" customHeight="1">
      <c r="A27" s="295" t="s">
        <v>97</v>
      </c>
      <c r="B27" s="295"/>
      <c r="C27" s="2192" t="s">
        <v>235</v>
      </c>
      <c r="D27" s="2192"/>
      <c r="E27" s="399">
        <f>SUM('17. Hivatal'!E21)</f>
        <v>267350</v>
      </c>
      <c r="F27" s="399">
        <f>SUM('17. Hivatal'!F21)</f>
        <v>203352</v>
      </c>
      <c r="G27" s="399">
        <f>SUM('17. Hivatal'!G21)</f>
        <v>203352</v>
      </c>
      <c r="H27" s="399">
        <f>SUM('17. Hivatal'!H21)</f>
        <v>203352</v>
      </c>
    </row>
    <row r="28" spans="1:8" ht="12.75" customHeight="1">
      <c r="A28" s="295" t="s">
        <v>99</v>
      </c>
      <c r="B28" s="295"/>
      <c r="C28" s="2188"/>
      <c r="D28" s="2189"/>
      <c r="E28" s="399"/>
      <c r="F28" s="399"/>
      <c r="G28" s="399"/>
      <c r="H28" s="399"/>
    </row>
    <row r="29" spans="1:8" s="10" customFormat="1" ht="12.75" customHeight="1">
      <c r="A29" s="396" t="s">
        <v>101</v>
      </c>
      <c r="B29" s="396" t="s">
        <v>182</v>
      </c>
      <c r="C29" s="1915" t="s">
        <v>902</v>
      </c>
      <c r="D29" s="1916"/>
      <c r="E29" s="414">
        <f>SUM(E30:E33)</f>
        <v>97428352</v>
      </c>
      <c r="F29" s="414">
        <f>SUM(F30:F33)</f>
        <v>103172725</v>
      </c>
      <c r="G29" s="414">
        <f>SUM(G30:G33)</f>
        <v>100032622</v>
      </c>
      <c r="H29" s="414">
        <f>SUM(H30:H33)</f>
        <v>100095654</v>
      </c>
    </row>
    <row r="30" spans="1:8" ht="12.75" customHeight="1">
      <c r="A30" s="295" t="s">
        <v>103</v>
      </c>
      <c r="B30" s="295"/>
      <c r="C30" s="818" t="s">
        <v>165</v>
      </c>
      <c r="D30" s="819"/>
      <c r="E30" s="399">
        <f>SUM('18. VÜKI'!E9)</f>
        <v>1090635</v>
      </c>
      <c r="F30" s="399">
        <f>SUM('18. VÜKI'!F9)</f>
        <v>0</v>
      </c>
      <c r="G30" s="399">
        <f>SUM('18. VÜKI'!G9)</f>
        <v>0</v>
      </c>
      <c r="H30" s="399">
        <f>SUM('18. VÜKI'!H9)</f>
        <v>0</v>
      </c>
    </row>
    <row r="31" spans="1:8" ht="12.75" customHeight="1">
      <c r="A31" s="295" t="s">
        <v>105</v>
      </c>
      <c r="B31" s="295"/>
      <c r="C31" s="2181" t="s">
        <v>559</v>
      </c>
      <c r="D31" s="2181"/>
      <c r="E31" s="399">
        <f>SUM('18. VÜKI'!E11)</f>
        <v>24961549</v>
      </c>
      <c r="F31" s="399">
        <f>SUM('18. VÜKI'!F11)</f>
        <v>24947500</v>
      </c>
      <c r="G31" s="399">
        <f>SUM('18. VÜKI'!G11)</f>
        <v>21773674</v>
      </c>
      <c r="H31" s="399">
        <f>SUM('18. VÜKI'!H11)</f>
        <v>21773727</v>
      </c>
    </row>
    <row r="32" spans="1:8" ht="12.75" customHeight="1">
      <c r="A32" s="295" t="s">
        <v>107</v>
      </c>
      <c r="B32" s="295"/>
      <c r="C32" s="2194" t="s">
        <v>480</v>
      </c>
      <c r="D32" s="2195"/>
      <c r="E32" s="399">
        <f>SUM('18. VÜKI'!E21)</f>
        <v>70028771</v>
      </c>
      <c r="F32" s="399">
        <f>SUM('18. VÜKI'!F21)</f>
        <v>77694289</v>
      </c>
      <c r="G32" s="399">
        <f>SUM('18. VÜKI'!G21)</f>
        <v>77728012</v>
      </c>
      <c r="H32" s="399">
        <f>SUM('18. VÜKI'!H21)</f>
        <v>77790991</v>
      </c>
    </row>
    <row r="33" spans="1:8" ht="12.75" customHeight="1">
      <c r="A33" s="295" t="s">
        <v>109</v>
      </c>
      <c r="B33" s="295"/>
      <c r="C33" s="2188" t="s">
        <v>235</v>
      </c>
      <c r="D33" s="2189"/>
      <c r="E33" s="399">
        <f>SUM('18. VÜKI'!E20)</f>
        <v>1347397</v>
      </c>
      <c r="F33" s="399">
        <f>SUM('18. VÜKI'!F20)</f>
        <v>530936</v>
      </c>
      <c r="G33" s="399">
        <f>SUM('18. VÜKI'!G20)</f>
        <v>530936</v>
      </c>
      <c r="H33" s="399">
        <f>SUM('18. VÜKI'!H20)</f>
        <v>530936</v>
      </c>
    </row>
    <row r="34" spans="1:8" ht="12.75" customHeight="1">
      <c r="A34" s="295" t="s">
        <v>111</v>
      </c>
      <c r="B34" s="295"/>
      <c r="C34" s="2188"/>
      <c r="D34" s="2189"/>
      <c r="E34" s="399"/>
      <c r="F34" s="399"/>
      <c r="G34" s="399"/>
      <c r="H34" s="399"/>
    </row>
    <row r="35" spans="1:8" ht="12.75" customHeight="1">
      <c r="A35" s="396" t="s">
        <v>113</v>
      </c>
      <c r="B35" s="396" t="s">
        <v>183</v>
      </c>
      <c r="C35" s="1915" t="s">
        <v>903</v>
      </c>
      <c r="D35" s="1916"/>
      <c r="E35" s="414">
        <f>SUM(E36:E45)</f>
        <v>1242677868</v>
      </c>
      <c r="F35" s="414">
        <f>SUM(F36:F45)</f>
        <v>949855995</v>
      </c>
      <c r="G35" s="414">
        <f>SUM(G36:G45)</f>
        <v>1139563474</v>
      </c>
      <c r="H35" s="414">
        <f>SUM(H36:H45)</f>
        <v>1178285678</v>
      </c>
    </row>
    <row r="36" spans="1:8" ht="29.25" customHeight="1">
      <c r="A36" s="295" t="s">
        <v>115</v>
      </c>
      <c r="B36" s="295"/>
      <c r="C36" s="2193" t="s">
        <v>165</v>
      </c>
      <c r="D36" s="2193"/>
      <c r="E36" s="399">
        <f>SUM('19 önkormányzat'!E22)</f>
        <v>242721409</v>
      </c>
      <c r="F36" s="399">
        <f>SUM('19 önkormányzat'!F22)</f>
        <v>206548258</v>
      </c>
      <c r="G36" s="399">
        <f>SUM('19 önkormányzat'!G22)</f>
        <v>221804558</v>
      </c>
      <c r="H36" s="399">
        <f>SUM('19 önkormányzat'!H22)</f>
        <v>233723592</v>
      </c>
    </row>
    <row r="37" spans="1:8" ht="12.75" customHeight="1">
      <c r="A37" s="295" t="s">
        <v>117</v>
      </c>
      <c r="B37" s="295"/>
      <c r="C37" s="2181" t="s">
        <v>167</v>
      </c>
      <c r="D37" s="2181"/>
      <c r="E37" s="399">
        <f>SUM('19 önkormányzat'!E23)</f>
        <v>86558434</v>
      </c>
      <c r="F37" s="399">
        <f>SUM('19 önkormányzat'!F23)</f>
        <v>0</v>
      </c>
      <c r="G37" s="399">
        <f>SUM('19 önkormányzat'!G23)</f>
        <v>204583492</v>
      </c>
      <c r="H37" s="399">
        <f>SUM('19 önkormányzat'!H23)</f>
        <v>225628568</v>
      </c>
    </row>
    <row r="38" spans="1:8" ht="12.75" customHeight="1">
      <c r="A38" s="295" t="s">
        <v>118</v>
      </c>
      <c r="B38" s="295"/>
      <c r="C38" s="2181" t="s">
        <v>174</v>
      </c>
      <c r="D38" s="2181"/>
      <c r="E38" s="399">
        <f>SUM('19 önkormányzat'!E35)</f>
        <v>197268452</v>
      </c>
      <c r="F38" s="399">
        <f>SUM('19 önkormányzat'!F35)</f>
        <v>187950000</v>
      </c>
      <c r="G38" s="399">
        <f>SUM('19 önkormányzat'!G35)</f>
        <v>156949463</v>
      </c>
      <c r="H38" s="399">
        <f>SUM('19 önkormányzat'!H35)</f>
        <v>157049463</v>
      </c>
    </row>
    <row r="39" spans="1:8" ht="30" customHeight="1">
      <c r="A39" s="295" t="s">
        <v>120</v>
      </c>
      <c r="B39" s="295"/>
      <c r="C39" s="2181" t="s">
        <v>78</v>
      </c>
      <c r="D39" s="2181"/>
      <c r="E39" s="399">
        <f>SUM('19 önkormányzat'!E44)</f>
        <v>22606514</v>
      </c>
      <c r="F39" s="399">
        <f>SUM('19 önkormányzat'!F44)</f>
        <v>21019000</v>
      </c>
      <c r="G39" s="399">
        <f>SUM('19 önkormányzat'!G44)</f>
        <v>18829026</v>
      </c>
      <c r="H39" s="399">
        <f>SUM('19 önkormányzat'!H44)</f>
        <v>17000100</v>
      </c>
    </row>
    <row r="40" spans="1:8" ht="42" customHeight="1">
      <c r="A40" s="295" t="s">
        <v>122</v>
      </c>
      <c r="B40" s="295"/>
      <c r="C40" s="2181" t="s">
        <v>13</v>
      </c>
      <c r="D40" s="2181"/>
      <c r="E40" s="399">
        <f>SUM('19 önkormányzat'!E45)</f>
        <v>31616633</v>
      </c>
      <c r="F40" s="399">
        <f>SUM('19 önkormányzat'!F45)</f>
        <v>14000000</v>
      </c>
      <c r="G40" s="399">
        <f>SUM('19 önkormányzat'!G45)</f>
        <v>16968160</v>
      </c>
      <c r="H40" s="399">
        <f>SUM('19 önkormányzat'!H45)</f>
        <v>22893160</v>
      </c>
    </row>
    <row r="41" spans="1:8" ht="12.75" customHeight="1">
      <c r="A41" s="295" t="s">
        <v>124</v>
      </c>
      <c r="B41" s="295"/>
      <c r="C41" s="2181" t="s">
        <v>185</v>
      </c>
      <c r="D41" s="2181"/>
      <c r="E41" s="399">
        <f>SUM('19 önkormányzat'!E56)</f>
        <v>1117184</v>
      </c>
      <c r="F41" s="399">
        <f>SUM('19 önkormányzat'!F56)</f>
        <v>78000</v>
      </c>
      <c r="G41" s="399">
        <f>SUM('19 önkormányzat'!G56)</f>
        <v>78000</v>
      </c>
      <c r="H41" s="399">
        <f>SUM('19 önkormányzat'!H56)</f>
        <v>1640020</v>
      </c>
    </row>
    <row r="42" spans="1:8" ht="12.75" customHeight="1">
      <c r="A42" s="295" t="s">
        <v>126</v>
      </c>
      <c r="B42" s="295"/>
      <c r="C42" s="2181" t="s">
        <v>187</v>
      </c>
      <c r="D42" s="2181"/>
      <c r="E42" s="399">
        <f>SUM('19 önkormányzat'!E59)</f>
        <v>0</v>
      </c>
      <c r="F42" s="399">
        <f>SUM('19 önkormányzat'!F59)</f>
        <v>0</v>
      </c>
      <c r="G42" s="399">
        <f>SUM('19 önkormányzat'!G59)</f>
        <v>0</v>
      </c>
      <c r="H42" s="399">
        <f>SUM('19 önkormányzat'!H59)</f>
        <v>0</v>
      </c>
    </row>
    <row r="43" spans="1:8" ht="12.75" customHeight="1">
      <c r="A43" s="295" t="s">
        <v>128</v>
      </c>
      <c r="B43" s="295"/>
      <c r="C43" s="2181" t="s">
        <v>641</v>
      </c>
      <c r="D43" s="2181"/>
      <c r="E43" s="399">
        <f>SUM('19 önkormányzat'!E61)</f>
        <v>0</v>
      </c>
      <c r="F43" s="399">
        <f>SUM('19 önkormányzat'!F61)</f>
        <v>0</v>
      </c>
      <c r="G43" s="399">
        <f>SUM('19 önkormányzat'!G61)</f>
        <v>0</v>
      </c>
      <c r="H43" s="399">
        <f>SUM('19 önkormányzat'!H61)</f>
        <v>0</v>
      </c>
    </row>
    <row r="44" spans="1:8" ht="12.75" customHeight="1">
      <c r="A44" s="295" t="s">
        <v>130</v>
      </c>
      <c r="B44" s="295"/>
      <c r="C44" s="2181" t="s">
        <v>220</v>
      </c>
      <c r="D44" s="2181"/>
      <c r="E44" s="399">
        <f>SUM('19 önkormányzat'!E62)</f>
        <v>651363270</v>
      </c>
      <c r="F44" s="399">
        <f>SUM('19 önkormányzat'!F62)</f>
        <v>512008806</v>
      </c>
      <c r="G44" s="399">
        <f>SUM('19 önkormányzat'!G62)</f>
        <v>512008806</v>
      </c>
      <c r="H44" s="399">
        <f>SUM('19 önkormányzat'!H62)</f>
        <v>512008806</v>
      </c>
    </row>
    <row r="45" spans="1:8" ht="12.75" customHeight="1">
      <c r="A45" s="295" t="s">
        <v>131</v>
      </c>
      <c r="B45" s="295"/>
      <c r="C45" s="2181" t="s">
        <v>223</v>
      </c>
      <c r="D45" s="2181"/>
      <c r="E45" s="399">
        <f>SUM('19 önkormányzat'!E65)</f>
        <v>9425972</v>
      </c>
      <c r="F45" s="399">
        <f>SUM('19 önkormányzat'!F65)</f>
        <v>8251931</v>
      </c>
      <c r="G45" s="399">
        <f>SUM('19 önkormányzat'!G65)</f>
        <v>8341969</v>
      </c>
      <c r="H45" s="399">
        <f>SUM('19 önkormányzat'!H65)</f>
        <v>8341969</v>
      </c>
    </row>
    <row r="46" spans="1:8" ht="12.75" customHeight="1" thickBot="1">
      <c r="A46" s="470" t="s">
        <v>133</v>
      </c>
      <c r="B46" s="470"/>
      <c r="C46" s="2200" t="s">
        <v>480</v>
      </c>
      <c r="D46" s="2200"/>
      <c r="E46" s="567">
        <f>SUM(-E14-E20)-E26-E32</f>
        <v>-300105338</v>
      </c>
      <c r="F46" s="567">
        <f>SUM(-F14-F20)-F26-F32</f>
        <v>-329437179</v>
      </c>
      <c r="G46" s="567">
        <f>SUM(-G14-G20)-G26-G32</f>
        <v>-327680648</v>
      </c>
      <c r="H46" s="567">
        <f>SUM(-H14-H20)-H26-H32</f>
        <v>-327974397</v>
      </c>
    </row>
    <row r="47" spans="1:8" s="10" customFormat="1" ht="12.75" customHeight="1" thickBot="1">
      <c r="A47" s="568" t="s">
        <v>135</v>
      </c>
      <c r="B47" s="569"/>
      <c r="C47" s="2198" t="s">
        <v>116</v>
      </c>
      <c r="D47" s="2199"/>
      <c r="E47" s="570">
        <f>SUM(E9+E17+E23+E29+E35)+E46</f>
        <v>1281025527</v>
      </c>
      <c r="F47" s="570">
        <f>SUM(F9+F17+F23+F29+F35)+F46</f>
        <v>981614227</v>
      </c>
      <c r="G47" s="570">
        <f>SUM(G9+G17+G23+G29+G35)+G46</f>
        <v>1166744234</v>
      </c>
      <c r="H47" s="570">
        <f>SUM(H9+H17+H23+H29+H35)+H46</f>
        <v>1205803568</v>
      </c>
    </row>
    <row r="48" spans="1:8" ht="12.75" customHeight="1" thickBot="1">
      <c r="A48" s="2144"/>
      <c r="B48" s="2145"/>
      <c r="C48" s="2145"/>
      <c r="D48" s="2145"/>
      <c r="E48"/>
      <c r="F48"/>
      <c r="G48"/>
      <c r="H48"/>
    </row>
    <row r="49" spans="1:8" ht="33.75" customHeight="1" thickBot="1">
      <c r="A49" s="2190" t="s">
        <v>156</v>
      </c>
      <c r="B49" s="2190"/>
      <c r="C49" s="561" t="s">
        <v>560</v>
      </c>
      <c r="D49" s="561" t="s">
        <v>494</v>
      </c>
      <c r="E49" s="565" t="s">
        <v>1076</v>
      </c>
      <c r="F49" s="565" t="s">
        <v>1077</v>
      </c>
      <c r="G49" s="565" t="s">
        <v>1165</v>
      </c>
      <c r="H49" s="565" t="s">
        <v>1186</v>
      </c>
    </row>
    <row r="50" spans="1:8" ht="12.75" customHeight="1" thickBot="1" thickTop="1">
      <c r="A50" s="2191"/>
      <c r="B50" s="2191"/>
      <c r="C50" s="261" t="s">
        <v>158</v>
      </c>
      <c r="D50" s="261" t="s">
        <v>159</v>
      </c>
      <c r="E50" s="262" t="s">
        <v>159</v>
      </c>
      <c r="F50" s="262" t="s">
        <v>160</v>
      </c>
      <c r="G50" s="262" t="s">
        <v>161</v>
      </c>
      <c r="H50" s="262" t="s">
        <v>456</v>
      </c>
    </row>
    <row r="51" spans="1:8" ht="24.75" customHeight="1" thickTop="1">
      <c r="A51" s="128" t="s">
        <v>38</v>
      </c>
      <c r="B51" s="175" t="s">
        <v>164</v>
      </c>
      <c r="C51" s="84" t="s">
        <v>239</v>
      </c>
      <c r="D51" s="176">
        <f>'15. Óvoda'!D68</f>
        <v>27</v>
      </c>
      <c r="E51" s="230">
        <f>SUM(E52:E55)</f>
        <v>126778064</v>
      </c>
      <c r="F51" s="230">
        <f>SUM(F52:F55)</f>
        <v>130626828</v>
      </c>
      <c r="G51" s="230">
        <f>SUM(G52:G55)</f>
        <v>125047485</v>
      </c>
      <c r="H51" s="230">
        <f>SUM(H52:H55)</f>
        <v>125334519</v>
      </c>
    </row>
    <row r="52" spans="1:8" ht="12.75" customHeight="1">
      <c r="A52" s="132" t="s">
        <v>40</v>
      </c>
      <c r="B52" s="133"/>
      <c r="C52" s="17" t="str">
        <f>'15. Óvoda'!C69</f>
        <v>Ebből: Személyi juttatás</v>
      </c>
      <c r="D52" s="17"/>
      <c r="E52" s="78">
        <f>SUM('15. Óvoda'!E69)</f>
        <v>82862658</v>
      </c>
      <c r="F52" s="78">
        <f>SUM('15. Óvoda'!F69)</f>
        <v>86470333</v>
      </c>
      <c r="G52" s="78">
        <f>SUM('15. Óvoda'!G69)</f>
        <v>86486333</v>
      </c>
      <c r="H52" s="78">
        <f>SUM('15. Óvoda'!H69)</f>
        <v>86486333</v>
      </c>
    </row>
    <row r="53" spans="1:8" ht="12.75" customHeight="1">
      <c r="A53" s="132" t="s">
        <v>47</v>
      </c>
      <c r="B53" s="133"/>
      <c r="C53" s="17" t="str">
        <f>'15. Óvoda'!C70</f>
        <v>          Járulékok</v>
      </c>
      <c r="D53" s="17"/>
      <c r="E53" s="78">
        <f>SUM('15. Óvoda'!E70)</f>
        <v>15929086</v>
      </c>
      <c r="F53" s="78">
        <f>SUM('15. Óvoda'!F70)</f>
        <v>15725090</v>
      </c>
      <c r="G53" s="78">
        <f>SUM('15. Óvoda'!G70)</f>
        <v>15727890</v>
      </c>
      <c r="H53" s="78">
        <f>SUM('15. Óvoda'!H70)</f>
        <v>15727890</v>
      </c>
    </row>
    <row r="54" spans="1:8" ht="12.75" customHeight="1">
      <c r="A54" s="132" t="s">
        <v>49</v>
      </c>
      <c r="B54" s="133"/>
      <c r="C54" s="17" t="str">
        <f>'15. Óvoda'!C71</f>
        <v>          Dologi kiadás</v>
      </c>
      <c r="D54" s="9"/>
      <c r="E54" s="78">
        <f>SUM('15. Óvoda'!E71)</f>
        <v>27178698</v>
      </c>
      <c r="F54" s="78">
        <f>SUM('15. Óvoda'!F71)</f>
        <v>27931405</v>
      </c>
      <c r="G54" s="78">
        <f>SUM('15. Óvoda'!G71)</f>
        <v>22333262</v>
      </c>
      <c r="H54" s="78">
        <f>SUM('15. Óvoda'!H71)</f>
        <v>22620296</v>
      </c>
    </row>
    <row r="55" spans="1:8" ht="12.75" customHeight="1">
      <c r="A55" s="132" t="s">
        <v>51</v>
      </c>
      <c r="B55" s="133"/>
      <c r="C55" s="17" t="s">
        <v>267</v>
      </c>
      <c r="D55" s="17"/>
      <c r="E55" s="78">
        <f>SUM('15. Óvoda'!E72)</f>
        <v>807622</v>
      </c>
      <c r="F55" s="78">
        <f>SUM('15. Óvoda'!F72)</f>
        <v>500000</v>
      </c>
      <c r="G55" s="78">
        <f>SUM('15. Óvoda'!G72)</f>
        <v>500000</v>
      </c>
      <c r="H55" s="78">
        <f>SUM('15. Óvoda'!H72)</f>
        <v>500000</v>
      </c>
    </row>
    <row r="56" spans="1:8" ht="12.75" customHeight="1">
      <c r="A56" s="128" t="s">
        <v>53</v>
      </c>
      <c r="B56" s="130" t="s">
        <v>166</v>
      </c>
      <c r="C56" s="260" t="s">
        <v>1015</v>
      </c>
      <c r="D56" s="17">
        <f>'16. Műv. ház'!D39</f>
        <v>5</v>
      </c>
      <c r="E56" s="62">
        <f>SUM(E57:E60)</f>
        <v>26593210</v>
      </c>
      <c r="F56" s="62">
        <f>SUM(F57:F60)</f>
        <v>28177406</v>
      </c>
      <c r="G56" s="62">
        <f>SUM(G57:G60)</f>
        <v>24292792</v>
      </c>
      <c r="H56" s="62">
        <f>SUM(H57:H60)</f>
        <v>24573582</v>
      </c>
    </row>
    <row r="57" spans="1:8" ht="12.75" customHeight="1">
      <c r="A57" s="132" t="s">
        <v>55</v>
      </c>
      <c r="B57" s="130"/>
      <c r="C57" s="120" t="str">
        <f>'16. Műv. ház'!C40</f>
        <v>Ebből: Személyi juttatás</v>
      </c>
      <c r="D57" s="120"/>
      <c r="E57" s="78">
        <f>SUM('16. Műv. ház'!E40)</f>
        <v>11818516</v>
      </c>
      <c r="F57" s="78">
        <f>SUM('16. Műv. ház'!F40)</f>
        <v>11927834</v>
      </c>
      <c r="G57" s="78">
        <f>SUM('16. Műv. ház'!G40)</f>
        <v>12026035</v>
      </c>
      <c r="H57" s="78">
        <f>SUM('16. Műv. ház'!H40)</f>
        <v>12222435</v>
      </c>
    </row>
    <row r="58" spans="1:8" ht="12.75" customHeight="1">
      <c r="A58" s="132" t="s">
        <v>57</v>
      </c>
      <c r="B58" s="130"/>
      <c r="C58" s="120" t="str">
        <f>'16. Műv. ház'!C41</f>
        <v>          Járulékok</v>
      </c>
      <c r="D58" s="17"/>
      <c r="E58" s="78">
        <f>SUM('16. Műv. ház'!E41)</f>
        <v>2031672</v>
      </c>
      <c r="F58" s="78">
        <f>SUM('16. Műv. ház'!F41)</f>
        <v>2129572</v>
      </c>
      <c r="G58" s="78">
        <f>SUM('16. Műv. ház'!G41)</f>
        <v>2146757</v>
      </c>
      <c r="H58" s="78">
        <f>SUM('16. Műv. ház'!H41)</f>
        <v>2181127</v>
      </c>
    </row>
    <row r="59" spans="1:8" ht="12.75" customHeight="1">
      <c r="A59" s="132" t="s">
        <v>86</v>
      </c>
      <c r="B59" s="130"/>
      <c r="C59" s="120" t="str">
        <f>'16. Műv. ház'!C42</f>
        <v>          Dologi kiadás</v>
      </c>
      <c r="D59" s="9"/>
      <c r="E59" s="78">
        <f>SUM('16. Műv. ház'!E42)</f>
        <v>12656191</v>
      </c>
      <c r="F59" s="78">
        <f>SUM('16. Műv. ház'!F42)</f>
        <v>13620000</v>
      </c>
      <c r="G59" s="78">
        <f>SUM('16. Műv. ház'!G42)</f>
        <v>9620000</v>
      </c>
      <c r="H59" s="78">
        <f>SUM('16. Műv. ház'!H42)</f>
        <v>9670020</v>
      </c>
    </row>
    <row r="60" spans="1:8" ht="12.75" customHeight="1">
      <c r="A60" s="132" t="s">
        <v>59</v>
      </c>
      <c r="B60" s="130"/>
      <c r="C60" s="120" t="s">
        <v>267</v>
      </c>
      <c r="D60" s="9"/>
      <c r="E60" s="78">
        <v>86831</v>
      </c>
      <c r="F60" s="78">
        <f>SUM('16. Műv. ház'!F43)</f>
        <v>500000</v>
      </c>
      <c r="G60" s="78">
        <f>SUM('16. Műv. ház'!G43)</f>
        <v>500000</v>
      </c>
      <c r="H60" s="78">
        <f>SUM('16. Műv. ház'!H43)</f>
        <v>500000</v>
      </c>
    </row>
    <row r="61" spans="1:8" ht="12.75" customHeight="1">
      <c r="A61" s="128" t="s">
        <v>61</v>
      </c>
      <c r="B61" s="130" t="s">
        <v>173</v>
      </c>
      <c r="C61" s="9" t="s">
        <v>305</v>
      </c>
      <c r="D61" s="9">
        <f>'17. Hivatal'!D48</f>
        <v>14</v>
      </c>
      <c r="E61" s="62">
        <f>SUM(E62:E65)</f>
        <v>87653371</v>
      </c>
      <c r="F61" s="62">
        <f>SUM(F62:F65)</f>
        <v>99218452</v>
      </c>
      <c r="G61" s="62">
        <f>SUM(G62:G65)</f>
        <v>105488509</v>
      </c>
      <c r="H61" s="62">
        <f>SUM(H62:H65)</f>
        <v>105488532</v>
      </c>
    </row>
    <row r="62" spans="1:8" ht="12.75" customHeight="1">
      <c r="A62" s="132" t="s">
        <v>63</v>
      </c>
      <c r="B62" s="130"/>
      <c r="C62" s="17" t="str">
        <f>'17. Hivatal'!C49</f>
        <v>Ebből: Személyi juttatás</v>
      </c>
      <c r="D62" s="17"/>
      <c r="E62" s="78">
        <f>SUM('17. Hivatal'!E49)</f>
        <v>62217645</v>
      </c>
      <c r="F62" s="78">
        <f>SUM('17. Hivatal'!F49)</f>
        <v>73224344</v>
      </c>
      <c r="G62" s="78">
        <f>SUM('17. Hivatal'!G49)</f>
        <v>78798803</v>
      </c>
      <c r="H62" s="78">
        <f>SUM('17. Hivatal'!H49)</f>
        <v>78798803</v>
      </c>
    </row>
    <row r="63" spans="1:8" ht="12.75" customHeight="1">
      <c r="A63" s="132" t="s">
        <v>65</v>
      </c>
      <c r="B63" s="130"/>
      <c r="C63" s="17" t="str">
        <f>'17. Hivatal'!C50</f>
        <v>          Járulékok</v>
      </c>
      <c r="D63" s="9"/>
      <c r="E63" s="78">
        <f>SUM('17. Hivatal'!E50)</f>
        <v>12151620</v>
      </c>
      <c r="F63" s="78">
        <f>SUM('17. Hivatal'!F50)</f>
        <v>13044108</v>
      </c>
      <c r="G63" s="78">
        <f>SUM('17. Hivatal'!G50)</f>
        <v>13739698</v>
      </c>
      <c r="H63" s="78">
        <f>SUM('17. Hivatal'!H50)</f>
        <v>13739698</v>
      </c>
    </row>
    <row r="64" spans="1:8" ht="12.75" customHeight="1">
      <c r="A64" s="132" t="s">
        <v>92</v>
      </c>
      <c r="B64" s="130"/>
      <c r="C64" s="17" t="str">
        <f>'17. Hivatal'!C51</f>
        <v>          Dologi kiadás</v>
      </c>
      <c r="D64" s="17"/>
      <c r="E64" s="78">
        <f>SUM('17. Hivatal'!E51)</f>
        <v>12618426</v>
      </c>
      <c r="F64" s="78">
        <f>SUM('17. Hivatal'!F51)</f>
        <v>12350000</v>
      </c>
      <c r="G64" s="78">
        <f>SUM('17. Hivatal'!G51)</f>
        <v>12350008</v>
      </c>
      <c r="H64" s="78">
        <f>SUM('17. Hivatal'!H51)</f>
        <v>12350031</v>
      </c>
    </row>
    <row r="65" spans="1:8" ht="12.75" customHeight="1">
      <c r="A65" s="132" t="s">
        <v>66</v>
      </c>
      <c r="B65" s="130"/>
      <c r="C65" s="17" t="s">
        <v>267</v>
      </c>
      <c r="D65" s="17"/>
      <c r="E65" s="78">
        <f>SUM('17. Hivatal'!E52)</f>
        <v>665680</v>
      </c>
      <c r="F65" s="78">
        <f>SUM('17. Hivatal'!F52)</f>
        <v>600000</v>
      </c>
      <c r="G65" s="78">
        <f>SUM('17. Hivatal'!G52)</f>
        <v>600000</v>
      </c>
      <c r="H65" s="78">
        <f>SUM('17. Hivatal'!H52)</f>
        <v>600000</v>
      </c>
    </row>
    <row r="66" spans="1:8" s="10" customFormat="1" ht="12.75" customHeight="1">
      <c r="A66" s="128" t="s">
        <v>67</v>
      </c>
      <c r="B66" s="130" t="s">
        <v>182</v>
      </c>
      <c r="C66" s="9" t="s">
        <v>561</v>
      </c>
      <c r="D66" s="9">
        <v>18</v>
      </c>
      <c r="E66" s="62">
        <f>SUM(E67:E70)</f>
        <v>97428352</v>
      </c>
      <c r="F66" s="62">
        <f>SUM(F67:F70)</f>
        <v>103172725</v>
      </c>
      <c r="G66" s="62">
        <f>SUM(G67:G70)</f>
        <v>100032622</v>
      </c>
      <c r="H66" s="62">
        <f>SUM(H67:H70)</f>
        <v>100095654</v>
      </c>
    </row>
    <row r="67" spans="1:8" ht="12.75" customHeight="1">
      <c r="A67" s="132" t="s">
        <v>68</v>
      </c>
      <c r="B67" s="130"/>
      <c r="C67" s="17" t="s">
        <v>250</v>
      </c>
      <c r="D67" s="9"/>
      <c r="E67" s="78">
        <f>SUM('18. VÜKI'!E76)</f>
        <v>42792987</v>
      </c>
      <c r="F67" s="78">
        <f>SUM('18. VÜKI'!F76)</f>
        <v>51152303</v>
      </c>
      <c r="G67" s="78">
        <f>SUM('18. VÜKI'!G76)</f>
        <v>51181003</v>
      </c>
      <c r="H67" s="78">
        <f>SUM('18. VÜKI'!H76)</f>
        <v>51234603</v>
      </c>
    </row>
    <row r="68" spans="1:8" ht="12.75" customHeight="1">
      <c r="A68" s="132" t="s">
        <v>70</v>
      </c>
      <c r="B68" s="130"/>
      <c r="C68" s="17" t="s">
        <v>562</v>
      </c>
      <c r="D68" s="9"/>
      <c r="E68" s="78">
        <f>SUM('18. VÜKI'!E77)</f>
        <v>8284276</v>
      </c>
      <c r="F68" s="78">
        <f>SUM('18. VÜKI'!F77)</f>
        <v>8530422</v>
      </c>
      <c r="G68" s="78">
        <f>SUM('18. VÜKI'!G77)</f>
        <v>8535445</v>
      </c>
      <c r="H68" s="78">
        <f>SUM('18. VÜKI'!H77)</f>
        <v>8544824</v>
      </c>
    </row>
    <row r="69" spans="1:8" ht="12.75" customHeight="1">
      <c r="A69" s="132" t="s">
        <v>97</v>
      </c>
      <c r="B69" s="130"/>
      <c r="C69" s="17" t="s">
        <v>349</v>
      </c>
      <c r="D69" s="9"/>
      <c r="E69" s="78">
        <f>SUM('18. VÜKI'!E78)</f>
        <v>45847501</v>
      </c>
      <c r="F69" s="78">
        <f>SUM('18. VÜKI'!F78)</f>
        <v>42490000</v>
      </c>
      <c r="G69" s="78">
        <f>SUM('18. VÜKI'!G78)</f>
        <v>39316174</v>
      </c>
      <c r="H69" s="78">
        <f>SUM('18. VÜKI'!H78)</f>
        <v>39316227</v>
      </c>
    </row>
    <row r="70" spans="1:8" ht="12.75" customHeight="1">
      <c r="A70" s="132" t="s">
        <v>99</v>
      </c>
      <c r="B70" s="130"/>
      <c r="C70" s="17" t="s">
        <v>267</v>
      </c>
      <c r="D70" s="9"/>
      <c r="E70" s="78">
        <f>'18. VÜKI'!E79</f>
        <v>503588</v>
      </c>
      <c r="F70" s="78">
        <f>'18. VÜKI'!F79</f>
        <v>1000000</v>
      </c>
      <c r="G70" s="78">
        <f>'18. VÜKI'!G79</f>
        <v>1000000</v>
      </c>
      <c r="H70" s="78">
        <f>'18. VÜKI'!H79</f>
        <v>1000000</v>
      </c>
    </row>
    <row r="71" spans="1:8" ht="12.75" customHeight="1">
      <c r="A71" s="128" t="s">
        <v>101</v>
      </c>
      <c r="B71" s="130" t="s">
        <v>183</v>
      </c>
      <c r="C71" s="9" t="s">
        <v>2</v>
      </c>
      <c r="D71" s="9">
        <v>4</v>
      </c>
      <c r="E71" s="62">
        <f>SUM(E72:E85)</f>
        <v>1242677868.2</v>
      </c>
      <c r="F71" s="62">
        <f>SUM(F72:F85)</f>
        <v>949855995.3</v>
      </c>
      <c r="G71" s="62">
        <f>SUM(G72:G85)</f>
        <v>1139563474.3</v>
      </c>
      <c r="H71" s="62">
        <f>SUM(H72:H85)</f>
        <v>1178285678.3</v>
      </c>
    </row>
    <row r="72" spans="1:8" ht="12.75" customHeight="1">
      <c r="A72" s="132" t="s">
        <v>103</v>
      </c>
      <c r="B72" s="130"/>
      <c r="C72" s="17" t="s">
        <v>250</v>
      </c>
      <c r="D72" s="9"/>
      <c r="E72" s="78">
        <f>SUM('19 önkormányzat'!E161)</f>
        <v>30665512</v>
      </c>
      <c r="F72" s="78">
        <f>SUM('19 önkormányzat'!F161)</f>
        <v>27678043</v>
      </c>
      <c r="G72" s="78">
        <f>SUM('19 önkormányzat'!G161)</f>
        <v>27678043</v>
      </c>
      <c r="H72" s="78">
        <f>SUM('19 önkormányzat'!H161)</f>
        <v>29604043</v>
      </c>
    </row>
    <row r="73" spans="1:8" ht="12.75" customHeight="1">
      <c r="A73" s="132" t="s">
        <v>105</v>
      </c>
      <c r="B73" s="130"/>
      <c r="C73" s="17" t="s">
        <v>562</v>
      </c>
      <c r="D73" s="17"/>
      <c r="E73" s="78">
        <f>SUM('19 önkormányzat'!E162)</f>
        <v>5675164</v>
      </c>
      <c r="F73" s="78">
        <f>SUM('19 önkormányzat'!F162)</f>
        <v>4866300</v>
      </c>
      <c r="G73" s="78">
        <f>SUM('19 önkormányzat'!G162)</f>
        <v>4866300</v>
      </c>
      <c r="H73" s="78">
        <f>SUM('19 önkormányzat'!H162)</f>
        <v>5184156</v>
      </c>
    </row>
    <row r="74" spans="1:8" ht="12.75" customHeight="1">
      <c r="A74" s="132" t="s">
        <v>107</v>
      </c>
      <c r="B74" s="133"/>
      <c r="C74" s="17" t="s">
        <v>349</v>
      </c>
      <c r="D74" s="17"/>
      <c r="E74" s="78">
        <f>SUM('19 önkormányzat'!E163)</f>
        <v>164766811.2</v>
      </c>
      <c r="F74" s="78">
        <f>SUM('19 önkormányzat'!F163)</f>
        <v>67169794.3</v>
      </c>
      <c r="G74" s="78">
        <f>SUM('19 önkormányzat'!G163)</f>
        <v>60244034.3</v>
      </c>
      <c r="H74" s="78">
        <f>SUM('19 önkormányzat'!H163)</f>
        <v>63900760.3</v>
      </c>
    </row>
    <row r="75" spans="1:8" ht="12.75" customHeight="1">
      <c r="A75" s="132" t="s">
        <v>109</v>
      </c>
      <c r="B75" s="133"/>
      <c r="C75" s="17" t="s">
        <v>680</v>
      </c>
      <c r="D75" s="120"/>
      <c r="E75" s="78">
        <f>SUM('19 önkormányzat'!E164)</f>
        <v>4209730</v>
      </c>
      <c r="F75" s="78">
        <f>SUM('19 önkormányzat'!F164)</f>
        <v>3453000</v>
      </c>
      <c r="G75" s="78">
        <f>SUM('19 önkormányzat'!G164)</f>
        <v>3803000</v>
      </c>
      <c r="H75" s="78">
        <f>SUM('19 önkormányzat'!H164)</f>
        <v>3453000</v>
      </c>
    </row>
    <row r="76" spans="1:8" ht="12.75" customHeight="1">
      <c r="A76" s="132" t="s">
        <v>111</v>
      </c>
      <c r="B76" s="135"/>
      <c r="C76" s="17" t="s">
        <v>563</v>
      </c>
      <c r="D76" s="120"/>
      <c r="E76" s="78">
        <f>SUM('19 önkormányzat'!E166)</f>
        <v>44186648</v>
      </c>
      <c r="F76" s="78">
        <f>SUM('19 önkormányzat'!F166)</f>
        <v>44771741</v>
      </c>
      <c r="G76" s="78">
        <f>SUM('19 önkormányzat'!G166)</f>
        <v>42258999</v>
      </c>
      <c r="H76" s="78">
        <f>SUM('19 önkormányzat'!H166)</f>
        <v>46035254</v>
      </c>
    </row>
    <row r="77" spans="1:8" ht="12.75" customHeight="1">
      <c r="A77" s="132" t="s">
        <v>113</v>
      </c>
      <c r="B77" s="135"/>
      <c r="C77" s="17" t="s">
        <v>564</v>
      </c>
      <c r="D77" s="9"/>
      <c r="E77" s="78">
        <f>SUM('19 önkormányzat'!E167)</f>
        <v>203611617</v>
      </c>
      <c r="F77" s="78">
        <f>SUM('19 önkormányzat'!F167)</f>
        <v>2100000</v>
      </c>
      <c r="G77" s="78">
        <f>SUM('19 önkormányzat'!G167)</f>
        <v>93863808</v>
      </c>
      <c r="H77" s="78">
        <f>SUM('19 önkormányzat'!H167)</f>
        <v>272284650</v>
      </c>
    </row>
    <row r="78" spans="1:8" ht="13.5" customHeight="1">
      <c r="A78" s="132" t="s">
        <v>115</v>
      </c>
      <c r="B78" s="135"/>
      <c r="C78" s="17" t="s">
        <v>565</v>
      </c>
      <c r="D78" s="17"/>
      <c r="E78" s="78">
        <f>SUM('19 önkormányzat'!E174)</f>
        <v>300105338</v>
      </c>
      <c r="F78" s="78">
        <f>SUM('19 önkormányzat'!F174)</f>
        <v>329437179</v>
      </c>
      <c r="G78" s="78">
        <f>SUM('19 önkormányzat'!G174)</f>
        <v>327680648</v>
      </c>
      <c r="H78" s="78">
        <f>SUM('19 önkormányzat'!H174)</f>
        <v>327974397</v>
      </c>
    </row>
    <row r="79" spans="1:8" ht="13.5" customHeight="1">
      <c r="A79" s="132" t="s">
        <v>117</v>
      </c>
      <c r="B79" s="135"/>
      <c r="C79" s="17" t="s">
        <v>271</v>
      </c>
      <c r="D79" s="17"/>
      <c r="E79" s="78">
        <v>0</v>
      </c>
      <c r="F79" s="78">
        <v>0</v>
      </c>
      <c r="G79" s="78">
        <v>0</v>
      </c>
      <c r="H79" s="78">
        <v>0</v>
      </c>
    </row>
    <row r="80" spans="1:8" ht="13.5" customHeight="1">
      <c r="A80" s="132" t="s">
        <v>118</v>
      </c>
      <c r="B80" s="135"/>
      <c r="C80" s="17" t="s">
        <v>681</v>
      </c>
      <c r="D80" s="17"/>
      <c r="E80" s="78"/>
      <c r="F80" s="78"/>
      <c r="G80" s="78">
        <v>354027</v>
      </c>
      <c r="H80" s="78">
        <v>354027</v>
      </c>
    </row>
    <row r="81" spans="1:8" ht="13.5" customHeight="1">
      <c r="A81" s="132" t="s">
        <v>120</v>
      </c>
      <c r="B81" s="135"/>
      <c r="C81" s="17" t="s">
        <v>1012</v>
      </c>
      <c r="D81" s="17"/>
      <c r="E81" s="78">
        <f>SUM('19 önkormányzat'!E128)</f>
        <v>2482037</v>
      </c>
      <c r="F81" s="78">
        <f>SUM('19 önkormányzat'!F128)</f>
        <v>0</v>
      </c>
      <c r="G81" s="78">
        <f>SUM('19 önkormányzat'!G128)</f>
        <v>0</v>
      </c>
      <c r="H81" s="78">
        <f>SUM('19 önkormányzat'!H128)</f>
        <v>2017050</v>
      </c>
    </row>
    <row r="82" spans="1:8" ht="29.25" customHeight="1">
      <c r="A82" s="132" t="s">
        <v>122</v>
      </c>
      <c r="B82" s="135"/>
      <c r="C82" s="115" t="s">
        <v>269</v>
      </c>
      <c r="D82" s="17"/>
      <c r="E82" s="78">
        <f>SUM('19 önkormányzat'!E172)</f>
        <v>8209104</v>
      </c>
      <c r="F82" s="78">
        <f>SUM('19 önkormányzat'!F172)</f>
        <v>8251931</v>
      </c>
      <c r="G82" s="78">
        <f>SUM('19 önkormányzat'!G172)</f>
        <v>8432007</v>
      </c>
      <c r="H82" s="78">
        <f>SUM('19 önkormányzat'!H172)</f>
        <v>8432007</v>
      </c>
    </row>
    <row r="83" spans="1:8" ht="29.25" customHeight="1">
      <c r="A83" s="132" t="s">
        <v>124</v>
      </c>
      <c r="B83" s="135"/>
      <c r="C83" s="115" t="s">
        <v>683</v>
      </c>
      <c r="D83" s="17"/>
      <c r="E83" s="78"/>
      <c r="F83" s="78"/>
      <c r="G83" s="78"/>
      <c r="H83" s="78"/>
    </row>
    <row r="84" spans="1:8" ht="12.75">
      <c r="A84" s="132" t="s">
        <v>126</v>
      </c>
      <c r="B84" s="135"/>
      <c r="C84" s="115" t="s">
        <v>682</v>
      </c>
      <c r="D84" s="17"/>
      <c r="E84" s="78"/>
      <c r="F84" s="78"/>
      <c r="G84" s="78"/>
      <c r="H84" s="78"/>
    </row>
    <row r="85" spans="1:8" ht="12.75" customHeight="1">
      <c r="A85" s="132" t="s">
        <v>128</v>
      </c>
      <c r="B85" s="135"/>
      <c r="C85" s="17" t="s">
        <v>515</v>
      </c>
      <c r="D85" s="17"/>
      <c r="E85" s="78">
        <f>SUM('19 önkormányzat'!E165)</f>
        <v>478765907</v>
      </c>
      <c r="F85" s="78">
        <f>SUM('19 önkormányzat'!F165)</f>
        <v>462128007</v>
      </c>
      <c r="G85" s="78">
        <f>SUM('19 önkormányzat'!G165)</f>
        <v>570382608</v>
      </c>
      <c r="H85" s="78">
        <f>SUM('19 önkormányzat'!H165)</f>
        <v>419046334</v>
      </c>
    </row>
    <row r="86" spans="1:8" s="10" customFormat="1" ht="12.75" customHeight="1">
      <c r="A86" s="263" t="s">
        <v>130</v>
      </c>
      <c r="B86" s="264"/>
      <c r="C86" s="265" t="s">
        <v>541</v>
      </c>
      <c r="D86" s="265"/>
      <c r="E86" s="266">
        <f>E51+E56+E61+E71-E78+E66</f>
        <v>1281025527.2</v>
      </c>
      <c r="F86" s="266">
        <f>F51+F56+F61+F71-F78+F66</f>
        <v>981614227.3</v>
      </c>
      <c r="G86" s="266">
        <f>G51+G56+G61+G71-G78+G66</f>
        <v>1166744234.3</v>
      </c>
      <c r="H86" s="266">
        <f>H51+H56+H61+H71-H78+H66</f>
        <v>1205803568.3</v>
      </c>
    </row>
    <row r="87" spans="1:8" ht="12.75" customHeight="1">
      <c r="A87" s="263" t="s">
        <v>131</v>
      </c>
      <c r="B87" s="267"/>
      <c r="C87" s="268" t="s">
        <v>566</v>
      </c>
      <c r="D87" s="269"/>
      <c r="E87" s="270">
        <f>E86+E78</f>
        <v>1581130865.2</v>
      </c>
      <c r="F87" s="270">
        <f>F86+F78</f>
        <v>1311051406.3</v>
      </c>
      <c r="G87" s="270">
        <f>G86+G78</f>
        <v>1494424882.3</v>
      </c>
      <c r="H87" s="270">
        <f>H86+H78</f>
        <v>1533777965.3</v>
      </c>
    </row>
    <row r="88" spans="1:8" ht="12.75" customHeight="1">
      <c r="A88" s="132" t="s">
        <v>133</v>
      </c>
      <c r="B88" s="95"/>
      <c r="C88" s="271" t="s">
        <v>567</v>
      </c>
      <c r="D88" s="95"/>
      <c r="E88" s="78"/>
      <c r="F88" s="78"/>
      <c r="G88" s="78"/>
      <c r="H88" s="78"/>
    </row>
    <row r="89" spans="1:8" ht="12.75" customHeight="1">
      <c r="A89" s="132" t="s">
        <v>135</v>
      </c>
      <c r="B89" s="95"/>
      <c r="C89" s="169" t="s">
        <v>568</v>
      </c>
      <c r="D89" s="95"/>
      <c r="E89" s="78">
        <f>E52+E57+E62+E67+E72</f>
        <v>230357318</v>
      </c>
      <c r="F89" s="78">
        <f>F52+F57+F62+F67+F72</f>
        <v>250452857</v>
      </c>
      <c r="G89" s="78">
        <f>G52+G57+G62+G67+G72</f>
        <v>256170217</v>
      </c>
      <c r="H89" s="78">
        <f>H52+H57+H62+H67+H72</f>
        <v>258346217</v>
      </c>
    </row>
    <row r="90" spans="1:8" ht="12.75" customHeight="1">
      <c r="A90" s="132" t="s">
        <v>137</v>
      </c>
      <c r="B90" s="95"/>
      <c r="C90" s="169" t="s">
        <v>569</v>
      </c>
      <c r="D90" s="95"/>
      <c r="E90" s="78">
        <f>E73+E68+E63+E58+E53</f>
        <v>44071818</v>
      </c>
      <c r="F90" s="78">
        <f>F73+F68+F63+F58+F53</f>
        <v>44295492</v>
      </c>
      <c r="G90" s="78">
        <f>G73+G68+G63+G58+G53</f>
        <v>45016090</v>
      </c>
      <c r="H90" s="78">
        <f>H73+H68+H63+H58+H53</f>
        <v>45377695</v>
      </c>
    </row>
    <row r="91" spans="1:8" ht="12.75" customHeight="1">
      <c r="A91" s="132" t="s">
        <v>139</v>
      </c>
      <c r="B91" s="95"/>
      <c r="C91" s="169" t="s">
        <v>570</v>
      </c>
      <c r="D91" s="95"/>
      <c r="E91" s="78">
        <f>E54+E59+E64+E69+E74</f>
        <v>263067627.2</v>
      </c>
      <c r="F91" s="78">
        <f>F54+F59+F64+F69+F74</f>
        <v>163561199.3</v>
      </c>
      <c r="G91" s="78">
        <f>G54+G59+G64+G69+G74</f>
        <v>143863478.3</v>
      </c>
      <c r="H91" s="78">
        <f>H54+H59+H64+H69+H74</f>
        <v>147857334.3</v>
      </c>
    </row>
    <row r="92" spans="1:8" s="10" customFormat="1" ht="12.75" customHeight="1">
      <c r="A92" s="128" t="s">
        <v>141</v>
      </c>
      <c r="B92" s="94"/>
      <c r="C92" s="272" t="s">
        <v>25</v>
      </c>
      <c r="D92" s="82"/>
      <c r="E92" s="82">
        <f>SUM(E89:E91)</f>
        <v>537496763.2</v>
      </c>
      <c r="F92" s="82">
        <f>SUM(F89:F91)</f>
        <v>458309548.3</v>
      </c>
      <c r="G92" s="82">
        <f>SUM(G89:G91)</f>
        <v>445049785.3</v>
      </c>
      <c r="H92" s="82">
        <f>SUM(H89:H91)</f>
        <v>451581246.3</v>
      </c>
    </row>
    <row r="93" spans="1:8" s="10" customFormat="1" ht="12.75" customHeight="1">
      <c r="A93" s="132" t="s">
        <v>143</v>
      </c>
      <c r="B93" s="94"/>
      <c r="C93" s="169" t="s">
        <v>256</v>
      </c>
      <c r="D93" s="94"/>
      <c r="E93" s="78">
        <f>E76</f>
        <v>44186648</v>
      </c>
      <c r="F93" s="78">
        <f>F76</f>
        <v>44771741</v>
      </c>
      <c r="G93" s="78">
        <f>G76</f>
        <v>42258999</v>
      </c>
      <c r="H93" s="78">
        <f>H76</f>
        <v>46035254</v>
      </c>
    </row>
    <row r="94" spans="1:8" s="10" customFormat="1" ht="12.75" customHeight="1">
      <c r="A94" s="132" t="s">
        <v>145</v>
      </c>
      <c r="B94" s="94"/>
      <c r="C94" s="169" t="s">
        <v>295</v>
      </c>
      <c r="D94" s="94"/>
      <c r="E94" s="78">
        <f>SUM(E75)</f>
        <v>4209730</v>
      </c>
      <c r="F94" s="78">
        <f>SUM(F75)</f>
        <v>3453000</v>
      </c>
      <c r="G94" s="78">
        <f>SUM(G75)</f>
        <v>3803000</v>
      </c>
      <c r="H94" s="78">
        <f>SUM(H75)</f>
        <v>3453000</v>
      </c>
    </row>
    <row r="95" spans="1:8" s="10" customFormat="1" ht="12.75" customHeight="1">
      <c r="A95" s="132" t="s">
        <v>147</v>
      </c>
      <c r="B95" s="94"/>
      <c r="C95" s="169" t="s">
        <v>297</v>
      </c>
      <c r="D95" s="94"/>
      <c r="E95" s="78">
        <f>E55+E60+E65+E70+E77</f>
        <v>205675338</v>
      </c>
      <c r="F95" s="78">
        <f>F55+F60+F65+F70+F77</f>
        <v>4700000</v>
      </c>
      <c r="G95" s="78">
        <f>G55+G60+G65+G70+G77</f>
        <v>96463808</v>
      </c>
      <c r="H95" s="78">
        <f>H55+H60+H65+H70+H77</f>
        <v>274884650</v>
      </c>
    </row>
    <row r="96" spans="1:8" s="10" customFormat="1" ht="12.75" customHeight="1">
      <c r="A96" s="132" t="s">
        <v>149</v>
      </c>
      <c r="B96" s="94"/>
      <c r="C96" s="169" t="s">
        <v>299</v>
      </c>
      <c r="D96" s="94"/>
      <c r="E96" s="78">
        <f>E78</f>
        <v>300105338</v>
      </c>
      <c r="F96" s="78">
        <f>F78</f>
        <v>329437179</v>
      </c>
      <c r="G96" s="78">
        <f>G78</f>
        <v>327680648</v>
      </c>
      <c r="H96" s="78">
        <f>H78</f>
        <v>327974397</v>
      </c>
    </row>
    <row r="97" spans="1:8" s="10" customFormat="1" ht="12.75" customHeight="1">
      <c r="A97" s="132" t="s">
        <v>151</v>
      </c>
      <c r="B97" s="94"/>
      <c r="C97" s="169" t="s">
        <v>515</v>
      </c>
      <c r="D97" s="94"/>
      <c r="E97" s="78">
        <f>E85</f>
        <v>478765907</v>
      </c>
      <c r="F97" s="78">
        <f>F85</f>
        <v>462128007</v>
      </c>
      <c r="G97" s="78">
        <f>G85</f>
        <v>570382608</v>
      </c>
      <c r="H97" s="78">
        <f>H85</f>
        <v>419046334</v>
      </c>
    </row>
    <row r="98" spans="1:8" s="10" customFormat="1" ht="12.75" customHeight="1">
      <c r="A98" s="132" t="s">
        <v>205</v>
      </c>
      <c r="B98" s="94"/>
      <c r="C98" s="17" t="s">
        <v>681</v>
      </c>
      <c r="D98" s="94"/>
      <c r="E98" s="78">
        <f>SUM(E81)</f>
        <v>2482037</v>
      </c>
      <c r="F98" s="78">
        <f>SUM(F81)</f>
        <v>0</v>
      </c>
      <c r="G98" s="78">
        <f>SUM(G80)</f>
        <v>354027</v>
      </c>
      <c r="H98" s="78">
        <f>SUM(H80)</f>
        <v>354027</v>
      </c>
    </row>
    <row r="99" spans="1:8" s="10" customFormat="1" ht="12.75" customHeight="1">
      <c r="A99" s="132" t="s">
        <v>207</v>
      </c>
      <c r="B99" s="94"/>
      <c r="C99" s="17" t="s">
        <v>1012</v>
      </c>
      <c r="D99" s="94"/>
      <c r="E99" s="78"/>
      <c r="F99" s="78"/>
      <c r="G99" s="78"/>
      <c r="H99" s="78">
        <v>2017050</v>
      </c>
    </row>
    <row r="100" spans="1:8" s="10" customFormat="1" ht="12.75" customHeight="1">
      <c r="A100" s="132" t="s">
        <v>261</v>
      </c>
      <c r="B100" s="94"/>
      <c r="C100" s="115" t="s">
        <v>683</v>
      </c>
      <c r="D100" s="94"/>
      <c r="E100" s="78"/>
      <c r="F100" s="78"/>
      <c r="G100" s="78"/>
      <c r="H100" s="78"/>
    </row>
    <row r="101" spans="1:8" s="10" customFormat="1" ht="12.75" customHeight="1">
      <c r="A101" s="132" t="s">
        <v>208</v>
      </c>
      <c r="B101" s="94"/>
      <c r="C101" s="115" t="s">
        <v>682</v>
      </c>
      <c r="D101" s="94"/>
      <c r="E101" s="78"/>
      <c r="F101" s="78"/>
      <c r="G101" s="78"/>
      <c r="H101" s="78"/>
    </row>
    <row r="102" spans="1:8" s="10" customFormat="1" ht="12.75" customHeight="1">
      <c r="A102" s="132" t="s">
        <v>210</v>
      </c>
      <c r="B102" s="94"/>
      <c r="C102" s="169" t="s">
        <v>269</v>
      </c>
      <c r="D102" s="94"/>
      <c r="E102" s="78">
        <f>E82</f>
        <v>8209104</v>
      </c>
      <c r="F102" s="78">
        <f>F82</f>
        <v>8251931</v>
      </c>
      <c r="G102" s="78">
        <f>G82</f>
        <v>8432007</v>
      </c>
      <c r="H102" s="78">
        <f>H82</f>
        <v>8432007</v>
      </c>
    </row>
    <row r="103" spans="1:8" s="10" customFormat="1" ht="12.75" customHeight="1">
      <c r="A103" s="132" t="s">
        <v>263</v>
      </c>
      <c r="B103" s="94"/>
      <c r="C103" s="169" t="s">
        <v>271</v>
      </c>
      <c r="D103" s="94"/>
      <c r="E103" s="78">
        <f>SUM(E79)</f>
        <v>0</v>
      </c>
      <c r="F103" s="78">
        <f>SUM(F79)</f>
        <v>0</v>
      </c>
      <c r="G103" s="78">
        <f>SUM(G79)</f>
        <v>0</v>
      </c>
      <c r="H103" s="78">
        <f>SUM(H79)</f>
        <v>0</v>
      </c>
    </row>
    <row r="104" spans="1:8" s="10" customFormat="1" ht="12.75" customHeight="1">
      <c r="A104" s="132" t="s">
        <v>264</v>
      </c>
      <c r="B104" s="269"/>
      <c r="C104" s="273" t="s">
        <v>541</v>
      </c>
      <c r="D104" s="269"/>
      <c r="E104" s="270">
        <f>SUM(E92:E103)</f>
        <v>1581130865.2</v>
      </c>
      <c r="F104" s="270">
        <f>SUM(F92:F103)</f>
        <v>1311051406.3</v>
      </c>
      <c r="G104" s="270">
        <f>SUM(G92:G103)</f>
        <v>1494424882.3</v>
      </c>
      <c r="H104" s="270">
        <f>SUM(H92:H103)</f>
        <v>1533777965.3</v>
      </c>
    </row>
    <row r="65536" ht="12.75" customHeight="1"/>
  </sheetData>
  <sheetProtection selectLockedCells="1" selectUnlockedCells="1"/>
  <mergeCells count="46">
    <mergeCell ref="A3:H3"/>
    <mergeCell ref="A1:H1"/>
    <mergeCell ref="C18:D18"/>
    <mergeCell ref="A48:D48"/>
    <mergeCell ref="C47:D47"/>
    <mergeCell ref="C29:D29"/>
    <mergeCell ref="C28:D28"/>
    <mergeCell ref="C14:D14"/>
    <mergeCell ref="C16:D16"/>
    <mergeCell ref="C46:D46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6:D36"/>
    <mergeCell ref="C32:D32"/>
    <mergeCell ref="C20:D20"/>
    <mergeCell ref="C21:D21"/>
    <mergeCell ref="C24:D24"/>
    <mergeCell ref="C25:D25"/>
    <mergeCell ref="C26:D26"/>
    <mergeCell ref="C27:D27"/>
    <mergeCell ref="C23:D23"/>
    <mergeCell ref="A49:B50"/>
    <mergeCell ref="A2:D2"/>
    <mergeCell ref="A5:D5"/>
    <mergeCell ref="A6:C6"/>
    <mergeCell ref="C11:D11"/>
    <mergeCell ref="C10:D10"/>
    <mergeCell ref="C13:D13"/>
    <mergeCell ref="C34:D34"/>
    <mergeCell ref="C15:D15"/>
    <mergeCell ref="C33:D33"/>
    <mergeCell ref="A4:H4"/>
    <mergeCell ref="C19:D19"/>
    <mergeCell ref="C35:D35"/>
    <mergeCell ref="A7:B8"/>
    <mergeCell ref="C7:D7"/>
    <mergeCell ref="C8:D8"/>
    <mergeCell ref="C22:D22"/>
    <mergeCell ref="C31:D31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72" r:id="rId1"/>
  <headerFooter alignWithMargins="0">
    <oddFooter>&amp;C&amp;P. oldal</oddFooter>
  </headerFooter>
  <rowBreaks count="1" manualBreakCount="1">
    <brk id="70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8" customWidth="1"/>
    <col min="2" max="2" width="42.8515625" style="18" customWidth="1"/>
    <col min="3" max="3" width="12.00390625" style="18" customWidth="1"/>
    <col min="4" max="4" width="11.140625" style="18" customWidth="1"/>
    <col min="5" max="5" width="11.00390625" style="18" customWidth="1"/>
    <col min="6" max="16384" width="9.140625" style="18" customWidth="1"/>
  </cols>
  <sheetData>
    <row r="1" spans="4:5" ht="12.75" customHeight="1">
      <c r="D1" s="1745" t="s">
        <v>72</v>
      </c>
      <c r="E1" s="1745"/>
    </row>
    <row r="2" spans="2:5" ht="12.75" customHeight="1">
      <c r="B2" s="1741" t="s">
        <v>1</v>
      </c>
      <c r="C2" s="1741"/>
      <c r="D2" s="1741"/>
      <c r="E2" s="1741"/>
    </row>
    <row r="3" spans="2:5" ht="12.75" customHeight="1">
      <c r="B3" s="45"/>
      <c r="C3" s="45"/>
      <c r="D3" s="45"/>
      <c r="E3" s="45"/>
    </row>
    <row r="4" spans="2:5" ht="12.75" customHeight="1">
      <c r="B4" s="1746" t="s">
        <v>73</v>
      </c>
      <c r="C4" s="1746"/>
      <c r="D4" s="1746"/>
      <c r="E4" s="1746"/>
    </row>
    <row r="5" spans="2:5" ht="12.75" customHeight="1">
      <c r="B5" s="1746" t="s">
        <v>74</v>
      </c>
      <c r="C5" s="1746"/>
      <c r="D5" s="1746"/>
      <c r="E5" s="1746"/>
    </row>
    <row r="6" spans="4:5" ht="12.75" customHeight="1">
      <c r="D6" s="1745"/>
      <c r="E6" s="1745"/>
    </row>
    <row r="7" spans="4:5" ht="12.75" customHeight="1">
      <c r="D7" s="1747" t="s">
        <v>5</v>
      </c>
      <c r="E7" s="1747"/>
    </row>
    <row r="8" spans="1:5" ht="12.75" customHeight="1">
      <c r="A8" s="1744" t="s">
        <v>24</v>
      </c>
      <c r="B8" s="1744"/>
      <c r="C8" s="46" t="s">
        <v>75</v>
      </c>
      <c r="D8" s="46" t="s">
        <v>76</v>
      </c>
      <c r="E8" s="46" t="s">
        <v>77</v>
      </c>
    </row>
    <row r="9" spans="1:5" ht="12.75" customHeight="1">
      <c r="A9" s="47" t="s">
        <v>38</v>
      </c>
      <c r="B9" s="48" t="s">
        <v>78</v>
      </c>
      <c r="C9" s="49"/>
      <c r="D9" s="49"/>
      <c r="E9" s="49"/>
    </row>
    <row r="10" spans="1:5" ht="12.75" customHeight="1">
      <c r="A10" s="24" t="s">
        <v>40</v>
      </c>
      <c r="B10" s="49" t="s">
        <v>79</v>
      </c>
      <c r="C10" s="50">
        <v>30602</v>
      </c>
      <c r="D10" s="50">
        <f>C10*1.043</f>
        <v>31917.886</v>
      </c>
      <c r="E10" s="50">
        <f>D10*1.043</f>
        <v>33290.35509799999</v>
      </c>
    </row>
    <row r="11" spans="1:5" ht="12.75" customHeight="1">
      <c r="A11" s="47" t="s">
        <v>47</v>
      </c>
      <c r="B11" s="49" t="s">
        <v>80</v>
      </c>
      <c r="C11" s="50"/>
      <c r="D11" s="50"/>
      <c r="E11" s="50"/>
    </row>
    <row r="12" spans="1:5" ht="12.75" customHeight="1">
      <c r="A12" s="24" t="s">
        <v>49</v>
      </c>
      <c r="B12" s="49" t="s">
        <v>81</v>
      </c>
      <c r="C12" s="50"/>
      <c r="D12" s="50"/>
      <c r="E12" s="50"/>
    </row>
    <row r="13" spans="1:5" ht="12.75" customHeight="1">
      <c r="A13" s="47" t="s">
        <v>51</v>
      </c>
      <c r="B13" s="49" t="s">
        <v>82</v>
      </c>
      <c r="C13" s="50"/>
      <c r="D13" s="50"/>
      <c r="E13" s="50"/>
    </row>
    <row r="14" spans="1:5" ht="12.75" customHeight="1">
      <c r="A14" s="24" t="s">
        <v>53</v>
      </c>
      <c r="B14" s="49" t="s">
        <v>83</v>
      </c>
      <c r="C14" s="50"/>
      <c r="D14" s="50"/>
      <c r="E14" s="50"/>
    </row>
    <row r="15" spans="1:5" ht="12.75" customHeight="1">
      <c r="A15" s="47" t="s">
        <v>55</v>
      </c>
      <c r="B15" s="22" t="s">
        <v>84</v>
      </c>
      <c r="C15" s="50"/>
      <c r="D15" s="50"/>
      <c r="E15" s="50"/>
    </row>
    <row r="16" spans="1:5" ht="12.75" customHeight="1">
      <c r="A16" s="24" t="s">
        <v>57</v>
      </c>
      <c r="B16" s="49" t="s">
        <v>85</v>
      </c>
      <c r="C16" s="50">
        <v>27004</v>
      </c>
      <c r="D16" s="50">
        <f>C16*1.043</f>
        <v>28165.172</v>
      </c>
      <c r="E16" s="50">
        <f>D16*1.043</f>
        <v>29376.274395999997</v>
      </c>
    </row>
    <row r="17" spans="1:5" ht="12.75" customHeight="1">
      <c r="A17" s="47" t="s">
        <v>86</v>
      </c>
      <c r="B17" s="49" t="s">
        <v>87</v>
      </c>
      <c r="C17" s="50"/>
      <c r="D17" s="50"/>
      <c r="E17" s="50"/>
    </row>
    <row r="18" spans="1:5" ht="12.75" customHeight="1">
      <c r="A18" s="24" t="s">
        <v>59</v>
      </c>
      <c r="B18" s="49" t="s">
        <v>88</v>
      </c>
      <c r="C18" s="50"/>
      <c r="D18" s="50"/>
      <c r="E18" s="50"/>
    </row>
    <row r="19" spans="1:5" ht="12.75" customHeight="1">
      <c r="A19" s="47" t="s">
        <v>61</v>
      </c>
      <c r="B19" s="49" t="s">
        <v>89</v>
      </c>
      <c r="C19" s="50">
        <v>166778</v>
      </c>
      <c r="D19" s="50">
        <f>C19*1.043</f>
        <v>173949.454</v>
      </c>
      <c r="E19" s="50">
        <f>D19*1.043</f>
        <v>181429.280522</v>
      </c>
    </row>
    <row r="20" spans="1:5" ht="12.75" customHeight="1">
      <c r="A20" s="24" t="s">
        <v>63</v>
      </c>
      <c r="B20" s="22" t="s">
        <v>90</v>
      </c>
      <c r="C20" s="50"/>
      <c r="D20" s="50"/>
      <c r="E20" s="50"/>
    </row>
    <row r="21" spans="1:5" ht="12.75" customHeight="1">
      <c r="A21" s="47" t="s">
        <v>65</v>
      </c>
      <c r="B21" s="49" t="s">
        <v>91</v>
      </c>
      <c r="C21" s="50"/>
      <c r="D21" s="50"/>
      <c r="E21" s="50"/>
    </row>
    <row r="22" spans="1:5" ht="12.75" customHeight="1">
      <c r="A22" s="24" t="s">
        <v>92</v>
      </c>
      <c r="B22" s="49" t="s">
        <v>39</v>
      </c>
      <c r="C22" s="50">
        <v>132230</v>
      </c>
      <c r="D22" s="50">
        <f aca="true" t="shared" si="0" ref="D22:E24">C22*1.043</f>
        <v>137915.88999999998</v>
      </c>
      <c r="E22" s="50">
        <f t="shared" si="0"/>
        <v>143846.27326999998</v>
      </c>
    </row>
    <row r="23" spans="1:5" ht="12.75" customHeight="1">
      <c r="A23" s="47" t="s">
        <v>66</v>
      </c>
      <c r="B23" s="49" t="s">
        <v>93</v>
      </c>
      <c r="C23" s="50">
        <v>6045</v>
      </c>
      <c r="D23" s="50">
        <f t="shared" si="0"/>
        <v>6304.9349999999995</v>
      </c>
      <c r="E23" s="50">
        <f t="shared" si="0"/>
        <v>6576.047204999999</v>
      </c>
    </row>
    <row r="24" spans="1:5" ht="12.75" customHeight="1">
      <c r="A24" s="24" t="s">
        <v>67</v>
      </c>
      <c r="B24" s="49" t="s">
        <v>94</v>
      </c>
      <c r="C24" s="50">
        <v>8000</v>
      </c>
      <c r="D24" s="50">
        <f t="shared" si="0"/>
        <v>8344</v>
      </c>
      <c r="E24" s="50">
        <f t="shared" si="0"/>
        <v>8702.792</v>
      </c>
    </row>
    <row r="25" spans="1:5" ht="12.75" customHeight="1">
      <c r="A25" s="47" t="s">
        <v>68</v>
      </c>
      <c r="B25" s="49" t="s">
        <v>95</v>
      </c>
      <c r="C25" s="50"/>
      <c r="D25" s="50"/>
      <c r="E25" s="50"/>
    </row>
    <row r="26" spans="1:5" ht="12.75" customHeight="1">
      <c r="A26" s="24" t="s">
        <v>70</v>
      </c>
      <c r="B26" s="49" t="s">
        <v>96</v>
      </c>
      <c r="C26" s="50">
        <v>100</v>
      </c>
      <c r="D26" s="50">
        <f>C26*1.043</f>
        <v>104.3</v>
      </c>
      <c r="E26" s="50">
        <f>D26*1.043</f>
        <v>108.7849</v>
      </c>
    </row>
    <row r="27" spans="1:5" ht="12.75" customHeight="1">
      <c r="A27" s="47" t="s">
        <v>97</v>
      </c>
      <c r="B27" s="22" t="s">
        <v>98</v>
      </c>
      <c r="C27" s="50"/>
      <c r="D27" s="50"/>
      <c r="E27" s="50"/>
    </row>
    <row r="28" spans="1:5" ht="12.75" customHeight="1">
      <c r="A28" s="24" t="s">
        <v>99</v>
      </c>
      <c r="B28" s="49" t="s">
        <v>100</v>
      </c>
      <c r="C28" s="50"/>
      <c r="D28" s="50"/>
      <c r="E28" s="50"/>
    </row>
    <row r="29" spans="1:5" ht="12.75" customHeight="1">
      <c r="A29" s="47" t="s">
        <v>101</v>
      </c>
      <c r="B29" s="49" t="s">
        <v>102</v>
      </c>
      <c r="C29" s="50"/>
      <c r="D29" s="50"/>
      <c r="E29" s="50"/>
    </row>
    <row r="30" spans="1:5" ht="12.75" customHeight="1">
      <c r="A30" s="24" t="s">
        <v>103</v>
      </c>
      <c r="B30" s="49" t="s">
        <v>104</v>
      </c>
      <c r="C30" s="50"/>
      <c r="D30" s="50"/>
      <c r="E30" s="50"/>
    </row>
    <row r="31" spans="1:5" ht="12.75" customHeight="1">
      <c r="A31" s="47" t="s">
        <v>105</v>
      </c>
      <c r="B31" s="22" t="s">
        <v>106</v>
      </c>
      <c r="C31" s="50"/>
      <c r="D31" s="50"/>
      <c r="E31" s="50"/>
    </row>
    <row r="32" spans="1:5" ht="12.75" customHeight="1">
      <c r="A32" s="24" t="s">
        <v>107</v>
      </c>
      <c r="B32" s="49" t="s">
        <v>108</v>
      </c>
      <c r="C32" s="50">
        <v>60</v>
      </c>
      <c r="D32" s="50">
        <f>C32*1.043</f>
        <v>62.58</v>
      </c>
      <c r="E32" s="50">
        <f>D32*1.043</f>
        <v>65.27094</v>
      </c>
    </row>
    <row r="33" spans="1:5" ht="12.75" customHeight="1">
      <c r="A33" s="47" t="s">
        <v>109</v>
      </c>
      <c r="B33" s="49" t="s">
        <v>110</v>
      </c>
      <c r="C33" s="50"/>
      <c r="D33" s="50"/>
      <c r="E33" s="50"/>
    </row>
    <row r="34" spans="1:5" ht="12.75" customHeight="1">
      <c r="A34" s="24" t="s">
        <v>111</v>
      </c>
      <c r="B34" s="49" t="s">
        <v>112</v>
      </c>
      <c r="C34" s="50">
        <v>40</v>
      </c>
      <c r="D34" s="50">
        <f>C34*1.043</f>
        <v>41.72</v>
      </c>
      <c r="E34" s="50">
        <f>D34*1.043</f>
        <v>43.51396</v>
      </c>
    </row>
    <row r="35" spans="1:5" ht="12.75" customHeight="1">
      <c r="A35" s="47" t="s">
        <v>113</v>
      </c>
      <c r="B35" s="49" t="s">
        <v>114</v>
      </c>
      <c r="C35" s="50">
        <v>60000</v>
      </c>
      <c r="D35" s="50">
        <f>C54</f>
        <v>52500</v>
      </c>
      <c r="E35" s="50">
        <f>D54</f>
        <v>56359</v>
      </c>
    </row>
    <row r="36" spans="1:5" ht="12.75" customHeight="1">
      <c r="A36" s="24" t="s">
        <v>115</v>
      </c>
      <c r="B36" s="22" t="s">
        <v>116</v>
      </c>
      <c r="C36" s="51">
        <f>SUM(C9:C35)</f>
        <v>430859</v>
      </c>
      <c r="D36" s="51">
        <f>SUM(D9:D35)</f>
        <v>439305.937</v>
      </c>
      <c r="E36" s="51">
        <f>SUM(E9:E35)</f>
        <v>459797.592291</v>
      </c>
    </row>
    <row r="37" spans="1:5" ht="12.75" customHeight="1">
      <c r="A37" s="47" t="s">
        <v>117</v>
      </c>
      <c r="B37" s="49"/>
      <c r="C37" s="50"/>
      <c r="D37" s="50"/>
      <c r="E37" s="50"/>
    </row>
    <row r="38" spans="1:5" ht="12.75" customHeight="1">
      <c r="A38" s="24" t="s">
        <v>118</v>
      </c>
      <c r="B38" s="22" t="s">
        <v>119</v>
      </c>
      <c r="C38" s="50"/>
      <c r="D38" s="50"/>
      <c r="E38" s="50"/>
    </row>
    <row r="39" spans="1:5" ht="12.75" customHeight="1">
      <c r="A39" s="47" t="s">
        <v>120</v>
      </c>
      <c r="B39" s="49" t="s">
        <v>121</v>
      </c>
      <c r="C39" s="50">
        <v>169901</v>
      </c>
      <c r="D39" s="50">
        <f aca="true" t="shared" si="1" ref="D39:E43">C39*1.043</f>
        <v>177206.743</v>
      </c>
      <c r="E39" s="50">
        <f t="shared" si="1"/>
        <v>184826.63294899996</v>
      </c>
    </row>
    <row r="40" spans="1:5" ht="12.75" customHeight="1">
      <c r="A40" s="24" t="s">
        <v>122</v>
      </c>
      <c r="B40" s="49" t="s">
        <v>123</v>
      </c>
      <c r="C40" s="50">
        <v>43754</v>
      </c>
      <c r="D40" s="50">
        <f t="shared" si="1"/>
        <v>45635.422</v>
      </c>
      <c r="E40" s="50">
        <f t="shared" si="1"/>
        <v>47597.745145999994</v>
      </c>
    </row>
    <row r="41" spans="1:5" ht="12.75" customHeight="1">
      <c r="A41" s="47" t="s">
        <v>124</v>
      </c>
      <c r="B41" s="49" t="s">
        <v>125</v>
      </c>
      <c r="C41" s="50">
        <v>134174</v>
      </c>
      <c r="D41" s="50">
        <f t="shared" si="1"/>
        <v>139943.482</v>
      </c>
      <c r="E41" s="50">
        <f t="shared" si="1"/>
        <v>145961.05172599998</v>
      </c>
    </row>
    <row r="42" spans="1:5" ht="12.75" customHeight="1">
      <c r="A42" s="24" t="s">
        <v>126</v>
      </c>
      <c r="B42" s="49" t="s">
        <v>127</v>
      </c>
      <c r="C42" s="50">
        <v>8850</v>
      </c>
      <c r="D42" s="50">
        <f t="shared" si="1"/>
        <v>9230.55</v>
      </c>
      <c r="E42" s="50">
        <f t="shared" si="1"/>
        <v>9627.463649999998</v>
      </c>
    </row>
    <row r="43" spans="1:5" ht="12.75" customHeight="1">
      <c r="A43" s="47" t="s">
        <v>128</v>
      </c>
      <c r="B43" s="49" t="s">
        <v>129</v>
      </c>
      <c r="C43" s="50">
        <v>10480</v>
      </c>
      <c r="D43" s="50">
        <f t="shared" si="1"/>
        <v>10930.64</v>
      </c>
      <c r="E43" s="50">
        <f t="shared" si="1"/>
        <v>11400.657519999999</v>
      </c>
    </row>
    <row r="44" spans="1:5" ht="12.75" customHeight="1">
      <c r="A44" s="24" t="s">
        <v>130</v>
      </c>
      <c r="B44" s="22" t="s">
        <v>15</v>
      </c>
      <c r="C44" s="50"/>
      <c r="D44" s="50"/>
      <c r="E44" s="50"/>
    </row>
    <row r="45" spans="1:5" ht="12.75" customHeight="1">
      <c r="A45" s="47" t="s">
        <v>131</v>
      </c>
      <c r="B45" s="49" t="s">
        <v>132</v>
      </c>
      <c r="C45" s="50">
        <v>1000</v>
      </c>
      <c r="D45" s="50"/>
      <c r="E45" s="50"/>
    </row>
    <row r="46" spans="1:5" ht="12.75" customHeight="1">
      <c r="A46" s="24" t="s">
        <v>133</v>
      </c>
      <c r="B46" s="49" t="s">
        <v>134</v>
      </c>
      <c r="C46" s="50">
        <v>10200</v>
      </c>
      <c r="D46" s="50"/>
      <c r="E46" s="50"/>
    </row>
    <row r="47" spans="1:5" ht="12.75" customHeight="1">
      <c r="A47" s="47" t="s">
        <v>135</v>
      </c>
      <c r="B47" s="49" t="s">
        <v>136</v>
      </c>
      <c r="C47" s="50"/>
      <c r="D47" s="50"/>
      <c r="E47" s="50"/>
    </row>
    <row r="48" spans="1:5" ht="12.75" customHeight="1">
      <c r="A48" s="24" t="s">
        <v>137</v>
      </c>
      <c r="B48" s="49" t="s">
        <v>138</v>
      </c>
      <c r="C48" s="50"/>
      <c r="D48" s="50"/>
      <c r="E48" s="50"/>
    </row>
    <row r="49" spans="1:5" ht="12.75" customHeight="1">
      <c r="A49" s="47" t="s">
        <v>139</v>
      </c>
      <c r="B49" s="49" t="s">
        <v>140</v>
      </c>
      <c r="C49" s="50"/>
      <c r="D49" s="50"/>
      <c r="E49" s="50"/>
    </row>
    <row r="50" spans="1:5" ht="12.75" customHeight="1">
      <c r="A50" s="24" t="s">
        <v>141</v>
      </c>
      <c r="B50" s="49" t="s">
        <v>142</v>
      </c>
      <c r="C50" s="50"/>
      <c r="D50" s="50"/>
      <c r="E50" s="50"/>
    </row>
    <row r="51" spans="1:5" ht="12.75" customHeight="1">
      <c r="A51" s="47" t="s">
        <v>143</v>
      </c>
      <c r="B51" s="49" t="s">
        <v>144</v>
      </c>
      <c r="C51" s="50"/>
      <c r="D51" s="50"/>
      <c r="E51" s="50"/>
    </row>
    <row r="52" spans="1:5" ht="12.75" customHeight="1">
      <c r="A52" s="24" t="s">
        <v>145</v>
      </c>
      <c r="B52" s="49" t="s">
        <v>146</v>
      </c>
      <c r="C52" s="50"/>
      <c r="D52" s="50"/>
      <c r="E52" s="50"/>
    </row>
    <row r="53" spans="1:5" ht="12.75" customHeight="1">
      <c r="A53" s="47" t="s">
        <v>147</v>
      </c>
      <c r="B53" s="49" t="s">
        <v>148</v>
      </c>
      <c r="C53" s="50"/>
      <c r="D53" s="50"/>
      <c r="E53" s="50"/>
    </row>
    <row r="54" spans="1:5" ht="12.75" customHeight="1">
      <c r="A54" s="24" t="s">
        <v>149</v>
      </c>
      <c r="B54" s="22" t="s">
        <v>150</v>
      </c>
      <c r="C54" s="50">
        <v>52500</v>
      </c>
      <c r="D54" s="50">
        <v>56359</v>
      </c>
      <c r="E54" s="50">
        <v>60384</v>
      </c>
    </row>
    <row r="55" spans="1:5" ht="12.75" customHeight="1">
      <c r="A55" s="47" t="s">
        <v>151</v>
      </c>
      <c r="B55" s="22" t="s">
        <v>152</v>
      </c>
      <c r="C55" s="51">
        <f>SUM(C39:C54)</f>
        <v>430859</v>
      </c>
      <c r="D55" s="51">
        <f>SUM(D39:D54)</f>
        <v>439305.837</v>
      </c>
      <c r="E55" s="51">
        <f>SUM(E39:E54)</f>
        <v>459797.55099099997</v>
      </c>
    </row>
    <row r="57" spans="4:5" ht="12.75" customHeight="1">
      <c r="D57" s="21">
        <f>D55-D36</f>
        <v>-0.09999999997671694</v>
      </c>
      <c r="E57" s="21">
        <f>E55-E36</f>
        <v>-0.04130000004079193</v>
      </c>
    </row>
    <row r="59" ht="12.75" customHeight="1">
      <c r="C59" s="18">
        <v>430859</v>
      </c>
    </row>
    <row r="60" ht="12.75" customHeight="1">
      <c r="C60" s="21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4"/>
  <sheetViews>
    <sheetView showGridLines="0" view="pageBreakPreview" zoomScaleSheetLayoutView="100" workbookViewId="0" topLeftCell="A1">
      <selection activeCell="C14" sqref="C14"/>
    </sheetView>
  </sheetViews>
  <sheetFormatPr defaultColWidth="11.7109375" defaultRowHeight="12.75" customHeight="1"/>
  <cols>
    <col min="1" max="2" width="3.8515625" style="5" customWidth="1"/>
    <col min="3" max="3" width="60.140625" style="5" customWidth="1"/>
    <col min="4" max="7" width="21.57421875" style="52" customWidth="1"/>
    <col min="8" max="16384" width="11.7109375" style="5" customWidth="1"/>
  </cols>
  <sheetData>
    <row r="1" spans="1:7" ht="12.75" customHeight="1">
      <c r="A1" s="1750" t="s">
        <v>153</v>
      </c>
      <c r="B1" s="1750"/>
      <c r="C1" s="1750"/>
      <c r="D1" s="1750"/>
      <c r="E1" s="1750"/>
      <c r="F1" s="1750"/>
      <c r="G1" s="1750"/>
    </row>
    <row r="2" spans="1:7" ht="12.75" customHeight="1">
      <c r="A2" s="1749" t="s">
        <v>1259</v>
      </c>
      <c r="B2" s="1749"/>
      <c r="C2" s="1749"/>
      <c r="D2" s="1749"/>
      <c r="E2" s="1749"/>
      <c r="F2" s="1749"/>
      <c r="G2" s="1749"/>
    </row>
    <row r="3" spans="1:7" ht="12.75" customHeight="1">
      <c r="A3" s="1783" t="s">
        <v>1260</v>
      </c>
      <c r="B3" s="1783"/>
      <c r="C3" s="1783"/>
      <c r="D3" s="1783"/>
      <c r="E3" s="1783"/>
      <c r="F3" s="1783"/>
      <c r="G3" s="2201" t="s">
        <v>153</v>
      </c>
    </row>
    <row r="4" spans="1:7" ht="26.25" customHeight="1">
      <c r="A4" s="1748" t="s">
        <v>2</v>
      </c>
      <c r="B4" s="1748"/>
      <c r="C4" s="1748"/>
      <c r="D4" s="1748"/>
      <c r="E4" s="1748"/>
      <c r="F4" s="1748"/>
      <c r="G4" s="1748"/>
    </row>
    <row r="5" spans="1:7" ht="12.75" customHeight="1">
      <c r="A5" s="1748" t="s">
        <v>154</v>
      </c>
      <c r="B5" s="1748"/>
      <c r="C5" s="1748"/>
      <c r="D5" s="1748"/>
      <c r="E5" s="1748"/>
      <c r="F5" s="1748"/>
      <c r="G5" s="1748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 thickBot="1">
      <c r="A7" s="2"/>
      <c r="B7" s="2"/>
      <c r="C7" s="2"/>
      <c r="D7" s="1352"/>
      <c r="E7" s="1352"/>
      <c r="F7" s="1352"/>
      <c r="G7" s="1352" t="s">
        <v>214</v>
      </c>
    </row>
    <row r="8" spans="1:7" ht="46.5" customHeight="1" thickBot="1">
      <c r="A8" s="1753" t="s">
        <v>156</v>
      </c>
      <c r="B8" s="1754"/>
      <c r="C8" s="1336" t="s">
        <v>157</v>
      </c>
      <c r="D8" s="357" t="s">
        <v>1076</v>
      </c>
      <c r="E8" s="357" t="s">
        <v>1077</v>
      </c>
      <c r="F8" s="357" t="s">
        <v>1165</v>
      </c>
      <c r="G8" s="357" t="s">
        <v>1186</v>
      </c>
    </row>
    <row r="9" spans="1:7" ht="12.75" customHeight="1" thickBot="1">
      <c r="A9" s="1755"/>
      <c r="B9" s="1756"/>
      <c r="C9" s="358" t="s">
        <v>158</v>
      </c>
      <c r="D9" s="359" t="s">
        <v>159</v>
      </c>
      <c r="E9" s="359" t="s">
        <v>160</v>
      </c>
      <c r="F9" s="359" t="s">
        <v>161</v>
      </c>
      <c r="G9" s="359" t="s">
        <v>456</v>
      </c>
    </row>
    <row r="10" spans="1:7" s="55" customFormat="1" ht="12.75" customHeight="1">
      <c r="A10" s="1512" t="s">
        <v>38</v>
      </c>
      <c r="B10" s="53"/>
      <c r="C10" s="54" t="s">
        <v>162</v>
      </c>
      <c r="D10" s="227">
        <f>SUM('19 önkormányzat'!E16)</f>
        <v>224127634</v>
      </c>
      <c r="E10" s="700">
        <f>SUM('19 önkormányzat'!F16)</f>
        <v>206298258</v>
      </c>
      <c r="F10" s="700">
        <f>SUM('19 önkormányzat'!G16)</f>
        <v>221554558</v>
      </c>
      <c r="G10" s="700">
        <f>SUM('19 önkormányzat'!H16)</f>
        <v>232211188</v>
      </c>
    </row>
    <row r="11" spans="1:7" s="60" customFormat="1" ht="12.75" customHeight="1">
      <c r="A11" s="1513" t="s">
        <v>40</v>
      </c>
      <c r="B11" s="56"/>
      <c r="C11" s="57" t="s">
        <v>163</v>
      </c>
      <c r="D11" s="227">
        <f>SUM('19 önkormányzat'!E17)+'ÖNK ÖSSZESITŐ'!E30+'17. Hivatal'!E17+'15. Óvoda'!E9+'16. Műv. ház'!E9</f>
        <v>22974278</v>
      </c>
      <c r="E11" s="700">
        <f>SUM('19 önkormányzat'!F17)+'ÖNK ÖSSZESITŐ'!F30+'17. Hivatal'!F17+'15. Óvoda'!F9+'16. Műv. ház'!F9</f>
        <v>250000</v>
      </c>
      <c r="F11" s="700">
        <f>SUM('19 önkormányzat'!G17)+'ÖNK ÖSSZESITŐ'!G30+'17. Hivatal'!G17+'15. Óvoda'!G9+'16. Műv. ház'!G9</f>
        <v>285340</v>
      </c>
      <c r="G11" s="700">
        <f>SUM('19 önkormányzat'!H17)+'ÖNK ÖSSZESITŐ'!H30+'17. Hivatal'!H17+'15. Óvoda'!H9+'16. Műv. ház'!H9</f>
        <v>1547744</v>
      </c>
    </row>
    <row r="12" spans="1:7" s="64" customFormat="1" ht="12.75" customHeight="1">
      <c r="A12" s="1514" t="s">
        <v>47</v>
      </c>
      <c r="B12" s="61" t="s">
        <v>164</v>
      </c>
      <c r="C12" s="9" t="s">
        <v>165</v>
      </c>
      <c r="D12" s="62">
        <f>SUM(D10:D11)</f>
        <v>247101912</v>
      </c>
      <c r="E12" s="429">
        <f>SUM(E10:E11)</f>
        <v>206548258</v>
      </c>
      <c r="F12" s="429">
        <f>SUM(F10:F11)</f>
        <v>221839898</v>
      </c>
      <c r="G12" s="429">
        <f>SUM(G10:G11)</f>
        <v>233758932</v>
      </c>
    </row>
    <row r="13" spans="1:7" s="64" customFormat="1" ht="12.75" customHeight="1">
      <c r="A13" s="1514" t="s">
        <v>49</v>
      </c>
      <c r="B13" s="61" t="s">
        <v>166</v>
      </c>
      <c r="C13" s="9" t="s">
        <v>167</v>
      </c>
      <c r="D13" s="63">
        <f>SUM('ÖNK ÖSSZESITŐ'!E37)</f>
        <v>86558434</v>
      </c>
      <c r="E13" s="1515">
        <f>SUM('ÖNK ÖSSZESITŐ'!F37)</f>
        <v>0</v>
      </c>
      <c r="F13" s="1515">
        <f>SUM('ÖNK ÖSSZESITŐ'!G37)</f>
        <v>204583492</v>
      </c>
      <c r="G13" s="1515">
        <f>SUM('ÖNK ÖSSZESITŐ'!H37)</f>
        <v>225628568</v>
      </c>
    </row>
    <row r="14" spans="1:7" s="60" customFormat="1" ht="12.75" customHeight="1">
      <c r="A14" s="1513" t="s">
        <v>51</v>
      </c>
      <c r="B14" s="56"/>
      <c r="C14" s="57" t="s">
        <v>168</v>
      </c>
      <c r="D14" s="58">
        <f>SUM('19 önkormányzat'!E30)</f>
        <v>7416968</v>
      </c>
      <c r="E14" s="702">
        <f>SUM('19 önkormányzat'!F30)</f>
        <v>7000000</v>
      </c>
      <c r="F14" s="702">
        <f>SUM('19 önkormányzat'!G30)</f>
        <v>7000000</v>
      </c>
      <c r="G14" s="702">
        <f>SUM('19 önkormányzat'!H30)</f>
        <v>7000000</v>
      </c>
    </row>
    <row r="15" spans="1:7" s="60" customFormat="1" ht="23.25" customHeight="1">
      <c r="A15" s="1513" t="s">
        <v>53</v>
      </c>
      <c r="B15" s="56"/>
      <c r="C15" s="57" t="s">
        <v>169</v>
      </c>
      <c r="D15" s="58">
        <f>SUM('19 önkormányzat'!E31)</f>
        <v>178695853</v>
      </c>
      <c r="E15" s="702">
        <f>SUM('19 önkormányzat'!F31)</f>
        <v>170000000</v>
      </c>
      <c r="F15" s="702">
        <f>SUM('19 önkormányzat'!G31)</f>
        <v>149699463</v>
      </c>
      <c r="G15" s="702">
        <f>SUM('19 önkormányzat'!H31)</f>
        <v>149699463</v>
      </c>
    </row>
    <row r="16" spans="1:7" s="60" customFormat="1" ht="12.75" customHeight="1">
      <c r="A16" s="1513" t="s">
        <v>55</v>
      </c>
      <c r="B16" s="56"/>
      <c r="C16" s="57" t="s">
        <v>170</v>
      </c>
      <c r="D16" s="58">
        <f>SUM('19 önkormányzat'!E32)</f>
        <v>10879813</v>
      </c>
      <c r="E16" s="702">
        <f>SUM('19 önkormányzat'!F32)</f>
        <v>10700000</v>
      </c>
      <c r="F16" s="702">
        <f>SUM('19 önkormányzat'!G32)</f>
        <v>0</v>
      </c>
      <c r="G16" s="702">
        <f>SUM('19 önkormányzat'!H32)</f>
        <v>0</v>
      </c>
    </row>
    <row r="17" spans="1:7" s="60" customFormat="1" ht="12.75" customHeight="1">
      <c r="A17" s="1513" t="s">
        <v>57</v>
      </c>
      <c r="B17" s="56"/>
      <c r="C17" s="57" t="s">
        <v>171</v>
      </c>
      <c r="D17" s="58">
        <f>SUM('19 önkormányzat'!E33)</f>
        <v>0</v>
      </c>
      <c r="E17" s="702">
        <f>SUM('19 önkormányzat'!F33)</f>
        <v>0</v>
      </c>
      <c r="F17" s="702">
        <f>SUM('19 önkormányzat'!G33)</f>
        <v>0</v>
      </c>
      <c r="G17" s="702">
        <f>SUM('19 önkormányzat'!H33)</f>
        <v>0</v>
      </c>
    </row>
    <row r="18" spans="1:7" s="60" customFormat="1" ht="12.75" customHeight="1">
      <c r="A18" s="1513" t="s">
        <v>86</v>
      </c>
      <c r="B18" s="56"/>
      <c r="C18" s="57" t="s">
        <v>172</v>
      </c>
      <c r="D18" s="58">
        <f>SUM('19 önkormányzat'!E34)</f>
        <v>275818</v>
      </c>
      <c r="E18" s="702">
        <f>SUM('19 önkormányzat'!F34)</f>
        <v>250000</v>
      </c>
      <c r="F18" s="702">
        <f>SUM('19 önkormányzat'!G34)</f>
        <v>250000</v>
      </c>
      <c r="G18" s="702">
        <f>SUM('19 önkormányzat'!H34)</f>
        <v>350000</v>
      </c>
    </row>
    <row r="19" spans="1:7" s="64" customFormat="1" ht="12.75" customHeight="1">
      <c r="A19" s="1514" t="s">
        <v>59</v>
      </c>
      <c r="B19" s="61" t="s">
        <v>173</v>
      </c>
      <c r="C19" s="9" t="s">
        <v>174</v>
      </c>
      <c r="D19" s="656">
        <f>SUM(D14:D18)</f>
        <v>197268452</v>
      </c>
      <c r="E19" s="1328">
        <f>SUM(E14:E18)</f>
        <v>187950000</v>
      </c>
      <c r="F19" s="1328">
        <f>SUM(F14:F18)</f>
        <v>156949463</v>
      </c>
      <c r="G19" s="1328">
        <f>SUM(G14:G18)</f>
        <v>157049463</v>
      </c>
    </row>
    <row r="20" spans="1:7" s="60" customFormat="1" ht="12.75" customHeight="1">
      <c r="A20" s="1513" t="s">
        <v>61</v>
      </c>
      <c r="B20" s="56"/>
      <c r="C20" s="57" t="s">
        <v>175</v>
      </c>
      <c r="D20" s="713">
        <f>SUM('17. Hivatal'!E11+'18. VÜKI'!E12+'19 önkormányzat'!E36)</f>
        <v>4036017</v>
      </c>
      <c r="E20" s="1516">
        <f>SUM('17. Hivatal'!F11+'18. VÜKI'!F12+'19 önkormányzat'!F36)</f>
        <v>3981000</v>
      </c>
      <c r="F20" s="1516">
        <f>SUM('17. Hivatal'!G11+'18. VÜKI'!G12+'19 önkormányzat'!G36)</f>
        <v>2700000</v>
      </c>
      <c r="G20" s="1516">
        <f>SUM('17. Hivatal'!H11+'18. VÜKI'!H12+'19 önkormányzat'!H36)</f>
        <v>3200000</v>
      </c>
    </row>
    <row r="21" spans="1:7" s="60" customFormat="1" ht="12.75" customHeight="1">
      <c r="A21" s="1513" t="s">
        <v>63</v>
      </c>
      <c r="B21" s="56"/>
      <c r="C21" s="57" t="s">
        <v>176</v>
      </c>
      <c r="D21" s="713">
        <f>SUM('17. Hivatal'!E12+'19 önkormányzat'!E37)+'18. VÜKI'!E13</f>
        <v>6708948</v>
      </c>
      <c r="E21" s="1516">
        <f>SUM('17. Hivatal'!F12+'19 önkormányzat'!F37)+'18. VÜKI'!F13</f>
        <v>6695500</v>
      </c>
      <c r="F21" s="1516">
        <f>SUM('17. Hivatal'!G12+'19 önkormányzat'!G37)+'18. VÜKI'!G13</f>
        <v>6695500</v>
      </c>
      <c r="G21" s="1516">
        <f>SUM('17. Hivatal'!H12+'19 önkormányzat'!H37)+'18. VÜKI'!H13</f>
        <v>5516500</v>
      </c>
    </row>
    <row r="22" spans="1:7" s="60" customFormat="1" ht="12.75" customHeight="1">
      <c r="A22" s="1517" t="s">
        <v>65</v>
      </c>
      <c r="B22" s="65"/>
      <c r="C22" s="57" t="s">
        <v>177</v>
      </c>
      <c r="D22" s="713">
        <f>SUM('16. Műv. ház'!E11+'18. VÜKI'!E14+'19 önkormányzat'!E38)</f>
        <v>1645960</v>
      </c>
      <c r="E22" s="1516">
        <f>SUM('16. Műv. ház'!F11+'18. VÜKI'!F14+'19 önkormányzat'!F38)</f>
        <v>1638000</v>
      </c>
      <c r="F22" s="1516">
        <f>SUM('16. Műv. ház'!G11+'18. VÜKI'!G14+'19 önkormányzat'!G38)</f>
        <v>621000</v>
      </c>
      <c r="G22" s="1516">
        <f>SUM('16. Műv. ház'!H11+'18. VÜKI'!H14+'19 önkormányzat'!H38)</f>
        <v>821000</v>
      </c>
    </row>
    <row r="23" spans="1:7" s="60" customFormat="1" ht="12.75" customHeight="1">
      <c r="A23" s="1513" t="s">
        <v>92</v>
      </c>
      <c r="B23" s="56"/>
      <c r="C23" s="57" t="s">
        <v>178</v>
      </c>
      <c r="D23" s="713">
        <f>SUM('15. Óvoda'!E11+'15. Óvoda'!E12+'18. VÜKI'!E15)</f>
        <v>21064715</v>
      </c>
      <c r="E23" s="1516">
        <f>SUM('15. Óvoda'!F11+'15. Óvoda'!F12+'18. VÜKI'!F15)</f>
        <v>21065000</v>
      </c>
      <c r="F23" s="1516">
        <f>SUM('15. Óvoda'!G11+'15. Óvoda'!G12+'18. VÜKI'!G15)</f>
        <v>18211501</v>
      </c>
      <c r="G23" s="1516">
        <f>SUM('15. Óvoda'!H11+'15. Óvoda'!H12+'18. VÜKI'!H15)</f>
        <v>18211501</v>
      </c>
    </row>
    <row r="24" spans="1:7" s="60" customFormat="1" ht="12.75" customHeight="1">
      <c r="A24" s="1513" t="s">
        <v>66</v>
      </c>
      <c r="B24" s="56"/>
      <c r="C24" s="57" t="s">
        <v>179</v>
      </c>
      <c r="D24" s="713">
        <f>SUM('15. Óvoda'!E13+'17. Hivatal'!E13+'18. VÜKI'!E16+'19 önkormányzat'!E39)</f>
        <v>16196012</v>
      </c>
      <c r="E24" s="1516">
        <f>SUM('15. Óvoda'!F13+'17. Hivatal'!F13+'18. VÜKI'!F16+'19 önkormányzat'!F39)</f>
        <v>16200000</v>
      </c>
      <c r="F24" s="1516">
        <f>SUM('15. Óvoda'!G13+'17. Hivatal'!G13+'18. VÜKI'!G16+'19 önkormányzat'!G39)</f>
        <v>15548625</v>
      </c>
      <c r="G24" s="1516">
        <f>SUM('15. Óvoda'!H13+'17. Hivatal'!H13+'18. VÜKI'!H16+'19 önkormányzat'!H39)</f>
        <v>15148625</v>
      </c>
    </row>
    <row r="25" spans="1:7" s="60" customFormat="1" ht="12.75" customHeight="1">
      <c r="A25" s="1518" t="s">
        <v>67</v>
      </c>
      <c r="B25" s="56"/>
      <c r="C25" s="660" t="s">
        <v>698</v>
      </c>
      <c r="D25" s="713">
        <f>SUM('15. Óvoda'!E16+'17. Hivatal'!E16)</f>
        <v>292000</v>
      </c>
      <c r="E25" s="1516">
        <f>SUM('15. Óvoda'!F16+'17. Hivatal'!F16)</f>
        <v>0</v>
      </c>
      <c r="F25" s="1516">
        <f>SUM('15. Óvoda'!G16+'17. Hivatal'!G16)</f>
        <v>0</v>
      </c>
      <c r="G25" s="1516">
        <f>SUM('15. Óvoda'!H16+'17. Hivatal'!H16)</f>
        <v>287000</v>
      </c>
    </row>
    <row r="26" spans="1:7" s="60" customFormat="1" ht="12.75" customHeight="1">
      <c r="A26" s="1513" t="s">
        <v>68</v>
      </c>
      <c r="B26" s="56"/>
      <c r="C26" s="57" t="s">
        <v>180</v>
      </c>
      <c r="D26" s="713">
        <f>SUM('15. Óvoda'!E14+'16. Műv. ház'!E12+'17. Hivatal'!E14+'18. VÜKI'!E18+'19 önkormányzat'!E41)</f>
        <v>56</v>
      </c>
      <c r="E26" s="1516">
        <f>SUM('15. Óvoda'!F14+'16. Műv. ház'!F12+'17. Hivatal'!F14+'18. VÜKI'!F18+'19 önkormányzat'!F41)</f>
        <v>0</v>
      </c>
      <c r="F26" s="1516">
        <f>SUM('15. Óvoda'!G14+'16. Műv. ház'!G12+'17. Hivatal'!G14+'18. VÜKI'!G18+'19 önkormányzat'!G41)</f>
        <v>27</v>
      </c>
      <c r="G26" s="1516">
        <f>SUM('15. Óvoda'!H14+'16. Műv. ház'!H12+'17. Hivatal'!H14+'18. VÜKI'!H18+'19 önkormányzat'!H41)</f>
        <v>102</v>
      </c>
    </row>
    <row r="27" spans="1:7" s="60" customFormat="1" ht="12.75" customHeight="1">
      <c r="A27" s="1513" t="s">
        <v>70</v>
      </c>
      <c r="B27" s="56"/>
      <c r="C27" s="57" t="s">
        <v>966</v>
      </c>
      <c r="D27" s="714">
        <v>113750</v>
      </c>
      <c r="E27" s="1519">
        <v>0</v>
      </c>
      <c r="F27" s="1519">
        <v>0</v>
      </c>
      <c r="G27" s="1519">
        <v>0</v>
      </c>
    </row>
    <row r="28" spans="1:7" s="60" customFormat="1" ht="12.75" customHeight="1">
      <c r="A28" s="1513" t="s">
        <v>97</v>
      </c>
      <c r="B28" s="56"/>
      <c r="C28" s="57" t="s">
        <v>181</v>
      </c>
      <c r="D28" s="713">
        <f>SUM('15. Óvoda'!E15+'16. Műv. ház'!E13+'17. Hivatal'!E15+'18. VÜKI'!E17+'19 önkormányzat'!E43)</f>
        <v>3407774</v>
      </c>
      <c r="E28" s="1516">
        <f>SUM('15. Óvoda'!F15+'16. Műv. ház'!F13+'17. Hivatal'!F15+'18. VÜKI'!F17+'19 önkormányzat'!F43)</f>
        <v>2000000</v>
      </c>
      <c r="F28" s="1516">
        <f>SUM('15. Óvoda'!G15+'16. Műv. ház'!G13+'17. Hivatal'!G15+'18. VÜKI'!G17+'19 önkormányzat'!G43)</f>
        <v>1000061</v>
      </c>
      <c r="G28" s="1516">
        <f>SUM('15. Óvoda'!H15+'16. Műv. ház'!H13+'17. Hivatal'!H15+'18. VÜKI'!H17+'19 önkormányzat'!H43)</f>
        <v>100190</v>
      </c>
    </row>
    <row r="29" spans="1:7" s="64" customFormat="1" ht="12.75" customHeight="1">
      <c r="A29" s="1514" t="s">
        <v>99</v>
      </c>
      <c r="B29" s="9" t="s">
        <v>182</v>
      </c>
      <c r="C29" s="9" t="s">
        <v>78</v>
      </c>
      <c r="D29" s="656">
        <f>SUM(D20:D28)</f>
        <v>53465232</v>
      </c>
      <c r="E29" s="1328">
        <f>SUM(E20:E28)</f>
        <v>51579500</v>
      </c>
      <c r="F29" s="1328">
        <f>SUM(F20:F28)</f>
        <v>44776714</v>
      </c>
      <c r="G29" s="1328">
        <f>SUM(G20:G28)</f>
        <v>43284918</v>
      </c>
    </row>
    <row r="30" spans="1:7" s="64" customFormat="1" ht="12.75" customHeight="1">
      <c r="A30" s="1514" t="s">
        <v>101</v>
      </c>
      <c r="B30" s="9" t="s">
        <v>183</v>
      </c>
      <c r="C30" s="9" t="s">
        <v>13</v>
      </c>
      <c r="D30" s="656">
        <f>SUM('ÖNK ÖSSZESITŐ'!E40)</f>
        <v>31616633</v>
      </c>
      <c r="E30" s="1328">
        <f>SUM('ÖNK ÖSSZESITŐ'!F40)</f>
        <v>14000000</v>
      </c>
      <c r="F30" s="1328">
        <f>SUM('ÖNK ÖSSZESITŐ'!G40)</f>
        <v>16968160</v>
      </c>
      <c r="G30" s="1328">
        <f>SUM('ÖNK ÖSSZESITŐ'!H40)</f>
        <v>22893160</v>
      </c>
    </row>
    <row r="31" spans="1:7" s="64" customFormat="1" ht="12.75" customHeight="1">
      <c r="A31" s="1514" t="s">
        <v>103</v>
      </c>
      <c r="B31" s="9" t="s">
        <v>184</v>
      </c>
      <c r="C31" s="9" t="s">
        <v>185</v>
      </c>
      <c r="D31" s="656">
        <f>SUM('15. Óvoda'!E17+'19 önkormányzat'!E56)</f>
        <v>1615295</v>
      </c>
      <c r="E31" s="1328">
        <f>SUM('15. Óvoda'!F17+'19 önkormányzat'!F56)</f>
        <v>78000</v>
      </c>
      <c r="F31" s="1328">
        <f>SUM('15. Óvoda'!G17+'19 önkormányzat'!G56)</f>
        <v>78000</v>
      </c>
      <c r="G31" s="1328">
        <f>SUM('15. Óvoda'!H17+'19 önkormányzat'!H56)</f>
        <v>1640020</v>
      </c>
    </row>
    <row r="32" spans="1:7" s="64" customFormat="1" ht="12.75" customHeight="1" thickBot="1">
      <c r="A32" s="1514" t="s">
        <v>105</v>
      </c>
      <c r="B32" s="9" t="s">
        <v>186</v>
      </c>
      <c r="C32" s="9" t="s">
        <v>187</v>
      </c>
      <c r="D32" s="656">
        <f>SUM('15. Óvoda'!E18)</f>
        <v>435505</v>
      </c>
      <c r="E32" s="1328">
        <f>SUM('15. Óvoda'!F18)</f>
        <v>0</v>
      </c>
      <c r="F32" s="1328">
        <f>SUM('15. Óvoda'!G18)</f>
        <v>0</v>
      </c>
      <c r="G32" s="1328">
        <f>SUM('15. Óvoda'!H18)</f>
        <v>0</v>
      </c>
    </row>
    <row r="33" spans="1:7" s="66" customFormat="1" ht="19.5" customHeight="1" thickBot="1">
      <c r="A33" s="1520" t="s">
        <v>107</v>
      </c>
      <c r="B33" s="574"/>
      <c r="C33" s="575" t="s">
        <v>188</v>
      </c>
      <c r="D33" s="576">
        <f>SUM(D12+D13+D19+D29+D30+D31+D32)</f>
        <v>618061463</v>
      </c>
      <c r="E33" s="1521">
        <f>SUM(E12+E13+E19+E29+E30+E31+E32)</f>
        <v>460155758</v>
      </c>
      <c r="F33" s="1521">
        <f>SUM(F12+F13+F19+F29+F30+F31+F32)</f>
        <v>645195727</v>
      </c>
      <c r="G33" s="1521">
        <f>SUM(G12+G13+G19+G29+G30+G31+G32)</f>
        <v>684255061</v>
      </c>
    </row>
    <row r="34" spans="1:7" ht="12.75" customHeight="1">
      <c r="A34" s="577" t="s">
        <v>109</v>
      </c>
      <c r="B34" s="578"/>
      <c r="C34" s="579"/>
      <c r="D34" s="657"/>
      <c r="E34" s="1522"/>
      <c r="F34" s="1522"/>
      <c r="G34" s="1522"/>
    </row>
    <row r="35" spans="1:7" ht="12.75" customHeight="1">
      <c r="A35" s="458" t="s">
        <v>111</v>
      </c>
      <c r="B35" s="396" t="s">
        <v>189</v>
      </c>
      <c r="C35" s="397" t="s">
        <v>190</v>
      </c>
      <c r="D35" s="501">
        <f>SUM('ÖNK ÖSSZESITŐ'!F43)</f>
        <v>0</v>
      </c>
      <c r="E35" s="1523">
        <f>SUM('ÖNK ÖSSZESITŐ'!G43)</f>
        <v>0</v>
      </c>
      <c r="F35" s="1523">
        <f>SUM('ÖNK ÖSSZESITŐ'!H43)</f>
        <v>0</v>
      </c>
      <c r="G35" s="1523">
        <f>SUM('ÖNK ÖSSZESITŐ'!I43)</f>
        <v>0</v>
      </c>
    </row>
    <row r="36" spans="1:7" s="64" customFormat="1" ht="12.75" customHeight="1">
      <c r="A36" s="580" t="s">
        <v>113</v>
      </c>
      <c r="B36" s="396" t="s">
        <v>191</v>
      </c>
      <c r="C36" s="397" t="s">
        <v>192</v>
      </c>
      <c r="D36" s="501">
        <f>SUM('ÖNK ÖSSZESITŐ'!E15+'ÖNK ÖSSZESITŐ'!E21+'ÖNK ÖSSZESITŐ'!E27+'ÖNK ÖSSZESITŐ'!E33+'ÖNK ÖSSZESITŐ'!E44)</f>
        <v>653538092</v>
      </c>
      <c r="E36" s="1523">
        <f>SUM('ÖNK ÖSSZESITŐ'!F15+'ÖNK ÖSSZESITŐ'!F21+'ÖNK ÖSSZESITŐ'!F27+'ÖNK ÖSSZESITŐ'!F33+'ÖNK ÖSSZESITŐ'!F44)</f>
        <v>513206538</v>
      </c>
      <c r="F36" s="1523">
        <f>SUM('ÖNK ÖSSZESITŐ'!G15+'ÖNK ÖSSZESITŐ'!G21+'ÖNK ÖSSZESITŐ'!G27+'ÖNK ÖSSZESITŐ'!G33+'ÖNK ÖSSZESITŐ'!G44)</f>
        <v>513206538</v>
      </c>
      <c r="G36" s="1523">
        <f>SUM('ÖNK ÖSSZESITŐ'!H15+'ÖNK ÖSSZESITŐ'!H21+'ÖNK ÖSSZESITŐ'!H27+'ÖNK ÖSSZESITŐ'!H33+'ÖNK ÖSSZESITŐ'!H44)</f>
        <v>513206538</v>
      </c>
    </row>
    <row r="37" spans="1:7" s="60" customFormat="1" ht="12.75" customHeight="1">
      <c r="A37" s="581" t="s">
        <v>115</v>
      </c>
      <c r="B37" s="502"/>
      <c r="C37" s="314" t="s">
        <v>193</v>
      </c>
      <c r="D37" s="1389">
        <v>513195008</v>
      </c>
      <c r="E37" s="1524">
        <v>424550538</v>
      </c>
      <c r="F37" s="1524">
        <v>424550538</v>
      </c>
      <c r="G37" s="1524">
        <v>418120393</v>
      </c>
    </row>
    <row r="38" spans="1:7" s="60" customFormat="1" ht="12.75" customHeight="1">
      <c r="A38" s="582" t="s">
        <v>117</v>
      </c>
      <c r="B38" s="502"/>
      <c r="C38" s="314" t="s">
        <v>194</v>
      </c>
      <c r="D38" s="1390">
        <v>140343084</v>
      </c>
      <c r="E38" s="559">
        <f>SUM('2. melléklet'!E30)</f>
        <v>88656000</v>
      </c>
      <c r="F38" s="559">
        <f>SUM('2. melléklet'!F30)</f>
        <v>95327243</v>
      </c>
      <c r="G38" s="559">
        <f>SUM('2. melléklet'!G30)</f>
        <v>95086145</v>
      </c>
    </row>
    <row r="39" spans="1:7" s="60" customFormat="1" ht="12.75" customHeight="1">
      <c r="A39" s="583" t="s">
        <v>118</v>
      </c>
      <c r="B39" s="396" t="s">
        <v>195</v>
      </c>
      <c r="C39" s="397" t="s">
        <v>196</v>
      </c>
      <c r="D39" s="437">
        <f>SUM('ÖNK ÖSSZESITŐ'!E45)</f>
        <v>9425972</v>
      </c>
      <c r="E39" s="1525">
        <f>SUM('ÖNK ÖSSZESITŐ'!F45)</f>
        <v>8251931</v>
      </c>
      <c r="F39" s="1525">
        <f>SUM('ÖNK ÖSSZESITŐ'!G45)</f>
        <v>8341969</v>
      </c>
      <c r="G39" s="1525">
        <f>SUM('ÖNK ÖSSZESITŐ'!H45)</f>
        <v>8341969</v>
      </c>
    </row>
    <row r="40" spans="1:7" s="64" customFormat="1" ht="28.5" customHeight="1" thickBot="1">
      <c r="A40" s="584" t="s">
        <v>120</v>
      </c>
      <c r="B40" s="585"/>
      <c r="C40" s="586" t="s">
        <v>197</v>
      </c>
      <c r="D40" s="587">
        <f>SUM(D35+D36+D39)</f>
        <v>662964064</v>
      </c>
      <c r="E40" s="1526">
        <f>SUM(E35+E36+E39)</f>
        <v>521458469</v>
      </c>
      <c r="F40" s="1526">
        <f>SUM(F35+F36+F39)</f>
        <v>521548507</v>
      </c>
      <c r="G40" s="1526">
        <f>SUM(G35+G36+G39)</f>
        <v>521548507</v>
      </c>
    </row>
    <row r="41" spans="1:7" s="73" customFormat="1" ht="21.75" customHeight="1" thickBot="1">
      <c r="A41" s="571" t="s">
        <v>122</v>
      </c>
      <c r="B41" s="572"/>
      <c r="C41" s="572" t="s">
        <v>198</v>
      </c>
      <c r="D41" s="573">
        <f>D33+D40</f>
        <v>1281025527</v>
      </c>
      <c r="E41" s="1527">
        <f>E33+E40</f>
        <v>981614227</v>
      </c>
      <c r="F41" s="1527">
        <f>F33+F40</f>
        <v>1166744234</v>
      </c>
      <c r="G41" s="1527">
        <f>G33+G40</f>
        <v>1205803568</v>
      </c>
    </row>
    <row r="42" spans="1:3" ht="12.75" customHeight="1">
      <c r="A42" s="74"/>
      <c r="C42" s="75"/>
    </row>
    <row r="43" spans="1:3" ht="12.75" customHeight="1">
      <c r="A43" s="74"/>
      <c r="C43" s="75"/>
    </row>
    <row r="44" spans="1:3" ht="1.5" customHeight="1" thickBot="1">
      <c r="A44" s="74"/>
      <c r="C44" s="75"/>
    </row>
    <row r="45" spans="1:7" ht="53.25" customHeight="1" thickBot="1">
      <c r="A45" s="1757" t="s">
        <v>156</v>
      </c>
      <c r="B45" s="1758"/>
      <c r="C45" s="1336" t="s">
        <v>119</v>
      </c>
      <c r="D45" s="1528" t="s">
        <v>1076</v>
      </c>
      <c r="E45" s="357" t="s">
        <v>1077</v>
      </c>
      <c r="F45" s="357" t="s">
        <v>1165</v>
      </c>
      <c r="G45" s="357" t="s">
        <v>1186</v>
      </c>
    </row>
    <row r="46" spans="1:7" ht="12.75" customHeight="1">
      <c r="A46" s="1759"/>
      <c r="B46" s="1760"/>
      <c r="C46" s="76" t="s">
        <v>158</v>
      </c>
      <c r="D46" s="658" t="s">
        <v>159</v>
      </c>
      <c r="E46" s="1529" t="s">
        <v>160</v>
      </c>
      <c r="F46" s="1529" t="s">
        <v>161</v>
      </c>
      <c r="G46" s="1529" t="s">
        <v>456</v>
      </c>
    </row>
    <row r="47" spans="1:7" s="64" customFormat="1" ht="12.75" customHeight="1">
      <c r="A47" s="1514" t="s">
        <v>124</v>
      </c>
      <c r="B47" s="61" t="s">
        <v>164</v>
      </c>
      <c r="C47" s="9" t="s">
        <v>121</v>
      </c>
      <c r="D47" s="62">
        <f>SUM('ÖNK ÖSSZESITŐ'!E89)</f>
        <v>230357318</v>
      </c>
      <c r="E47" s="429">
        <f>SUM('ÖNK ÖSSZESITŐ'!F89)</f>
        <v>250452857</v>
      </c>
      <c r="F47" s="429">
        <f>SUM('ÖNK ÖSSZESITŐ'!G89)</f>
        <v>256170217</v>
      </c>
      <c r="G47" s="429">
        <f>SUM('ÖNK ÖSSZESITŐ'!H89)</f>
        <v>258346217</v>
      </c>
    </row>
    <row r="48" spans="1:7" s="64" customFormat="1" ht="12.75" customHeight="1">
      <c r="A48" s="1514" t="s">
        <v>126</v>
      </c>
      <c r="B48" s="61" t="s">
        <v>166</v>
      </c>
      <c r="C48" s="9" t="s">
        <v>199</v>
      </c>
      <c r="D48" s="656">
        <f>SUM('ÖNK ÖSSZESITŐ'!E90)</f>
        <v>44071818</v>
      </c>
      <c r="E48" s="1328">
        <f>SUM('ÖNK ÖSSZESITŐ'!F90)</f>
        <v>44295492</v>
      </c>
      <c r="F48" s="1328">
        <f>SUM('ÖNK ÖSSZESITŐ'!G90)</f>
        <v>45016090</v>
      </c>
      <c r="G48" s="1328">
        <f>SUM('ÖNK ÖSSZESITŐ'!H90)</f>
        <v>45377695</v>
      </c>
    </row>
    <row r="49" spans="1:7" ht="12.75" customHeight="1">
      <c r="A49" s="643" t="s">
        <v>128</v>
      </c>
      <c r="B49" s="61" t="s">
        <v>200</v>
      </c>
      <c r="C49" s="77" t="s">
        <v>125</v>
      </c>
      <c r="D49" s="656">
        <f>SUM('ÖNK ÖSSZESITŐ'!E91)</f>
        <v>263067627.2</v>
      </c>
      <c r="E49" s="1328">
        <f>SUM('ÖNK ÖSSZESITŐ'!F91)</f>
        <v>163561199.3</v>
      </c>
      <c r="F49" s="1328">
        <f>SUM('ÖNK ÖSSZESITŐ'!G91)</f>
        <v>143863478.3</v>
      </c>
      <c r="G49" s="1328">
        <f>SUM('ÖNK ÖSSZESITŐ'!H91)</f>
        <v>147857334.3</v>
      </c>
    </row>
    <row r="50" spans="1:7" s="64" customFormat="1" ht="12.75" customHeight="1">
      <c r="A50" s="1514" t="s">
        <v>130</v>
      </c>
      <c r="B50" s="61" t="s">
        <v>182</v>
      </c>
      <c r="C50" s="9" t="s">
        <v>201</v>
      </c>
      <c r="D50" s="656">
        <f>SUM('ÖNK ÖSSZESITŐ'!E94)</f>
        <v>4209730</v>
      </c>
      <c r="E50" s="1328">
        <f>SUM('ÖNK ÖSSZESITŐ'!F94)</f>
        <v>3453000</v>
      </c>
      <c r="F50" s="1328">
        <f>SUM('ÖNK ÖSSZESITŐ'!G94)</f>
        <v>3803000</v>
      </c>
      <c r="G50" s="1328">
        <f>SUM('ÖNK ÖSSZESITŐ'!H94)</f>
        <v>3453000</v>
      </c>
    </row>
    <row r="51" spans="1:7" s="64" customFormat="1" ht="12.75" customHeight="1">
      <c r="A51" s="1514" t="s">
        <v>131</v>
      </c>
      <c r="B51" s="61" t="s">
        <v>183</v>
      </c>
      <c r="C51" s="9" t="s">
        <v>808</v>
      </c>
      <c r="D51" s="656">
        <v>2482037</v>
      </c>
      <c r="E51" s="1328">
        <v>0</v>
      </c>
      <c r="F51" s="1328">
        <v>354027</v>
      </c>
      <c r="G51" s="1328">
        <v>354027</v>
      </c>
    </row>
    <row r="52" spans="1:7" s="64" customFormat="1" ht="12.75" customHeight="1">
      <c r="A52" s="1514" t="s">
        <v>133</v>
      </c>
      <c r="B52" s="61" t="s">
        <v>184</v>
      </c>
      <c r="C52" s="9" t="s">
        <v>1231</v>
      </c>
      <c r="D52" s="656"/>
      <c r="E52" s="1328"/>
      <c r="F52" s="1328"/>
      <c r="G52" s="1328">
        <v>2017050</v>
      </c>
    </row>
    <row r="53" spans="1:7" s="64" customFormat="1" ht="12.75" customHeight="1">
      <c r="A53" s="1514" t="s">
        <v>135</v>
      </c>
      <c r="B53" s="61" t="s">
        <v>186</v>
      </c>
      <c r="C53" s="9" t="s">
        <v>150</v>
      </c>
      <c r="D53" s="929">
        <f>SUM('ÖNK ÖSSZESITŐ'!E97)</f>
        <v>478765907</v>
      </c>
      <c r="E53" s="1530">
        <f>SUM('ÖNK ÖSSZESITŐ'!F97)</f>
        <v>462128007</v>
      </c>
      <c r="F53" s="1530">
        <f>SUM('ÖNK ÖSSZESITŐ'!G97)</f>
        <v>570382608</v>
      </c>
      <c r="G53" s="1530">
        <f>SUM('ÖNK ÖSSZESITŐ'!H97)</f>
        <v>419046334</v>
      </c>
    </row>
    <row r="54" spans="1:7" ht="12.75" customHeight="1">
      <c r="A54" s="643" t="s">
        <v>137</v>
      </c>
      <c r="B54" s="79"/>
      <c r="C54" s="57" t="s">
        <v>193</v>
      </c>
      <c r="D54" s="929">
        <v>433850538</v>
      </c>
      <c r="E54" s="1530">
        <f>SUM('21. céltartalék'!D26)</f>
        <v>433850538</v>
      </c>
      <c r="F54" s="1530">
        <f>SUM('21. céltartalék'!E26)</f>
        <v>542967139</v>
      </c>
      <c r="G54" s="1530">
        <f>SUM('21. céltartalék'!F26)</f>
        <v>391757471</v>
      </c>
    </row>
    <row r="55" spans="1:7" ht="12.75" customHeight="1">
      <c r="A55" s="643" t="s">
        <v>139</v>
      </c>
      <c r="B55" s="79"/>
      <c r="C55" s="67" t="s">
        <v>194</v>
      </c>
      <c r="D55" s="929">
        <f>SUM('21. céltartalék'!C40+'21. céltartalék'!C48)</f>
        <v>44915369</v>
      </c>
      <c r="E55" s="1530">
        <f>SUM('21. céltartalék'!D40+'21. céltartalék'!D48)</f>
        <v>28277469</v>
      </c>
      <c r="F55" s="1530">
        <f>SUM('21. céltartalék'!E40+'21. céltartalék'!E48)</f>
        <v>27415469</v>
      </c>
      <c r="G55" s="1530">
        <f>SUM('21. céltartalék'!F40+'21. céltartalék'!F48)</f>
        <v>27288863</v>
      </c>
    </row>
    <row r="56" spans="1:7" s="64" customFormat="1" ht="12.75" customHeight="1">
      <c r="A56" s="1531" t="s">
        <v>141</v>
      </c>
      <c r="B56" s="70" t="s">
        <v>189</v>
      </c>
      <c r="C56" s="70" t="s">
        <v>202</v>
      </c>
      <c r="D56" s="930">
        <f>SUM('ÖNK ÖSSZESITŐ'!E93)</f>
        <v>44186648</v>
      </c>
      <c r="E56" s="1532">
        <f>SUM('ÖNK ÖSSZESITŐ'!F93)</f>
        <v>44771741</v>
      </c>
      <c r="F56" s="1532">
        <f>SUM('ÖNK ÖSSZESITŐ'!G93)</f>
        <v>42258999</v>
      </c>
      <c r="G56" s="1532">
        <f>SUM('ÖNK ÖSSZESITŐ'!H93)</f>
        <v>46035254</v>
      </c>
    </row>
    <row r="57" spans="1:7" s="64" customFormat="1" ht="12.75" customHeight="1">
      <c r="A57" s="1533" t="s">
        <v>143</v>
      </c>
      <c r="B57" s="9" t="s">
        <v>191</v>
      </c>
      <c r="C57" s="9" t="s">
        <v>132</v>
      </c>
      <c r="D57" s="929">
        <v>196200181</v>
      </c>
      <c r="E57" s="1530">
        <f>SUM('6,7,8 Melléklet'!D18)</f>
        <v>4300000</v>
      </c>
      <c r="F57" s="1530">
        <f>SUM('6,7,8 Melléklet'!E18)</f>
        <v>96063808</v>
      </c>
      <c r="G57" s="1530">
        <f>SUM('6,7,8 Melléklet'!F18)</f>
        <v>251442095</v>
      </c>
    </row>
    <row r="58" spans="1:7" s="55" customFormat="1" ht="12.75" customHeight="1">
      <c r="A58" s="1514" t="s">
        <v>145</v>
      </c>
      <c r="B58" s="61" t="s">
        <v>195</v>
      </c>
      <c r="C58" s="9" t="s">
        <v>134</v>
      </c>
      <c r="D58" s="929">
        <v>9475157</v>
      </c>
      <c r="E58" s="1530">
        <f>SUM('6,7,8 Melléklet'!D13)</f>
        <v>400000</v>
      </c>
      <c r="F58" s="1530">
        <f>SUM('6,7,8 Melléklet'!E13)</f>
        <v>400000</v>
      </c>
      <c r="G58" s="1530">
        <f>SUM('6,7,8 Melléklet'!F13)</f>
        <v>23442555</v>
      </c>
    </row>
    <row r="59" spans="1:7" s="64" customFormat="1" ht="12" customHeight="1" thickBot="1">
      <c r="A59" s="1531" t="s">
        <v>147</v>
      </c>
      <c r="B59" s="69" t="s">
        <v>230</v>
      </c>
      <c r="C59" s="70" t="s">
        <v>203</v>
      </c>
      <c r="D59" s="82">
        <v>0</v>
      </c>
      <c r="E59" s="1534">
        <v>0</v>
      </c>
      <c r="F59" s="1534">
        <v>0</v>
      </c>
      <c r="G59" s="1534">
        <v>0</v>
      </c>
    </row>
    <row r="60" spans="1:7" s="83" customFormat="1" ht="27" customHeight="1" thickBot="1">
      <c r="A60" s="1761" t="s">
        <v>149</v>
      </c>
      <c r="B60" s="1762"/>
      <c r="C60" s="588" t="s">
        <v>204</v>
      </c>
      <c r="D60" s="589">
        <f>SUM(D47+D50+D56+D57)+D58+D59+D48+D49+D53+D51</f>
        <v>1272816423.2</v>
      </c>
      <c r="E60" s="1535">
        <f>SUM(E47+E50+E56+E57)+E58+E59+E48+E49+E53+E51</f>
        <v>973362296.3</v>
      </c>
      <c r="F60" s="1535">
        <f>SUM(F47+F50+F56+F57)+F58+F59+F48+F49+F53+F51</f>
        <v>1158312227.3</v>
      </c>
      <c r="G60" s="1535">
        <f>SUM(G47+G50+G56+G57)+G58+G59+G48+G49+G53+G51+G52</f>
        <v>1197371561.3</v>
      </c>
    </row>
    <row r="61" spans="1:7" s="64" customFormat="1" ht="25.5" customHeight="1">
      <c r="A61" s="592" t="s">
        <v>151</v>
      </c>
      <c r="B61" s="593" t="s">
        <v>230</v>
      </c>
      <c r="C61" s="594" t="s">
        <v>206</v>
      </c>
      <c r="D61" s="659">
        <v>0</v>
      </c>
      <c r="E61" s="1536">
        <v>0</v>
      </c>
      <c r="F61" s="1536">
        <v>0</v>
      </c>
      <c r="G61" s="1536">
        <v>0</v>
      </c>
    </row>
    <row r="62" spans="1:7" s="64" customFormat="1" ht="12.75" customHeight="1">
      <c r="A62" s="458" t="s">
        <v>205</v>
      </c>
      <c r="B62" s="397" t="s">
        <v>514</v>
      </c>
      <c r="C62" s="397" t="s">
        <v>196</v>
      </c>
      <c r="D62" s="414">
        <v>8209104</v>
      </c>
      <c r="E62" s="420">
        <f>SUM('ÖNK ÖSSZESITŐ'!F102)</f>
        <v>8251931</v>
      </c>
      <c r="F62" s="420">
        <f>SUM('ÖNK ÖSSZESITŐ'!G102)</f>
        <v>8432007</v>
      </c>
      <c r="G62" s="420">
        <f>SUM('ÖNK ÖSSZESITŐ'!H102)</f>
        <v>8432007</v>
      </c>
    </row>
    <row r="63" spans="1:7" s="85" customFormat="1" ht="22.5" customHeight="1">
      <c r="A63" s="1763" t="s">
        <v>207</v>
      </c>
      <c r="B63" s="1764"/>
      <c r="C63" s="590" t="s">
        <v>209</v>
      </c>
      <c r="D63" s="591">
        <f>SUM(D61:D62)</f>
        <v>8209104</v>
      </c>
      <c r="E63" s="1537">
        <f>SUM(E61:E62)</f>
        <v>8251931</v>
      </c>
      <c r="F63" s="1537">
        <f>SUM(F61:F62)</f>
        <v>8432007</v>
      </c>
      <c r="G63" s="1537">
        <f>SUM(G61:G62)</f>
        <v>8432007</v>
      </c>
    </row>
    <row r="64" spans="1:7" s="86" customFormat="1" ht="22.5" customHeight="1" thickBot="1">
      <c r="A64" s="1751" t="s">
        <v>261</v>
      </c>
      <c r="B64" s="1752"/>
      <c r="C64" s="595" t="s">
        <v>211</v>
      </c>
      <c r="D64" s="596">
        <f>SUM(D60+D63)</f>
        <v>1281025527.2</v>
      </c>
      <c r="E64" s="1538">
        <f>SUM(E60+E63)</f>
        <v>981614227.3</v>
      </c>
      <c r="F64" s="1538">
        <f>SUM(F60+F63)</f>
        <v>1166744234.3</v>
      </c>
      <c r="G64" s="1538">
        <f>SUM(G60+G63)</f>
        <v>1205803568.3</v>
      </c>
    </row>
    <row r="66" ht="4.5" customHeight="1"/>
    <row r="65526" ht="12.75" customHeight="1"/>
    <row r="65527" ht="12.75" customHeight="1"/>
    <row r="65528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3:F3"/>
    <mergeCell ref="A4:G4"/>
    <mergeCell ref="A2:G2"/>
    <mergeCell ref="A1:G1"/>
    <mergeCell ref="A64:B64"/>
    <mergeCell ref="A8:B9"/>
    <mergeCell ref="A45:B46"/>
    <mergeCell ref="A60:B60"/>
    <mergeCell ref="A63:B63"/>
    <mergeCell ref="A5:G5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view="pageBreakPreview" zoomScaleSheetLayoutView="100" zoomScalePageLayoutView="0" workbookViewId="0" topLeftCell="A1">
      <selection activeCell="A3" sqref="A3:G3"/>
    </sheetView>
  </sheetViews>
  <sheetFormatPr defaultColWidth="11.7109375" defaultRowHeight="12.75" customHeight="1"/>
  <cols>
    <col min="1" max="1" width="3.8515625" style="5" customWidth="1"/>
    <col min="2" max="2" width="4.57421875" style="74" customWidth="1"/>
    <col min="3" max="3" width="39.57421875" style="5" customWidth="1"/>
    <col min="4" max="7" width="18.7109375" style="5" customWidth="1"/>
    <col min="8" max="16384" width="11.7109375" style="5" customWidth="1"/>
  </cols>
  <sheetData>
    <row r="1" spans="1:6" ht="12.75" customHeight="1">
      <c r="A1" s="1768" t="s">
        <v>212</v>
      </c>
      <c r="B1" s="1768"/>
      <c r="C1" s="1768"/>
      <c r="D1" s="1768"/>
      <c r="E1" s="1768"/>
      <c r="F1" s="1768"/>
    </row>
    <row r="2" spans="1:7" ht="12.75" customHeight="1">
      <c r="A2" s="850"/>
      <c r="B2" s="850"/>
      <c r="C2" s="2202" t="s">
        <v>1259</v>
      </c>
      <c r="D2" s="2202"/>
      <c r="E2" s="2202"/>
      <c r="F2" s="2202"/>
      <c r="G2" s="850"/>
    </row>
    <row r="3" spans="1:7" ht="19.5" customHeight="1">
      <c r="A3" s="1749" t="s">
        <v>1261</v>
      </c>
      <c r="B3" s="1749"/>
      <c r="C3" s="1749"/>
      <c r="D3" s="1749"/>
      <c r="E3" s="1749"/>
      <c r="F3" s="1749"/>
      <c r="G3" s="1749"/>
    </row>
    <row r="4" spans="1:3" ht="4.5" customHeight="1">
      <c r="A4" s="1771"/>
      <c r="B4" s="1771"/>
      <c r="C4" s="1771"/>
    </row>
    <row r="5" spans="1:7" ht="38.25" customHeight="1">
      <c r="A5" s="1767" t="s">
        <v>1153</v>
      </c>
      <c r="B5" s="1767"/>
      <c r="C5" s="1767"/>
      <c r="D5" s="1767"/>
      <c r="E5" s="1767"/>
      <c r="F5" s="1767"/>
      <c r="G5" s="1767"/>
    </row>
    <row r="6" spans="1:7" ht="19.5" customHeight="1">
      <c r="A6" s="648"/>
      <c r="B6" s="648"/>
      <c r="C6" s="648"/>
      <c r="D6" s="648"/>
      <c r="E6" s="648"/>
      <c r="F6" s="648"/>
      <c r="G6" s="648"/>
    </row>
    <row r="7" spans="1:7" ht="21.75" customHeight="1" thickBot="1">
      <c r="A7" s="5"/>
      <c r="B7" s="89" t="s">
        <v>213</v>
      </c>
      <c r="D7" s="851"/>
      <c r="E7" s="851"/>
      <c r="F7" s="851"/>
      <c r="G7" s="851" t="s">
        <v>214</v>
      </c>
    </row>
    <row r="8" spans="1:7" ht="12.75" customHeight="1">
      <c r="A8" s="1772" t="s">
        <v>156</v>
      </c>
      <c r="B8" s="1765"/>
      <c r="C8" s="1775" t="s">
        <v>215</v>
      </c>
      <c r="D8" s="1765" t="s">
        <v>1076</v>
      </c>
      <c r="E8" s="1765" t="s">
        <v>1077</v>
      </c>
      <c r="F8" s="1765" t="s">
        <v>1165</v>
      </c>
      <c r="G8" s="1765" t="s">
        <v>1186</v>
      </c>
    </row>
    <row r="9" spans="1:7" s="91" customFormat="1" ht="33" customHeight="1">
      <c r="A9" s="1773"/>
      <c r="B9" s="1774"/>
      <c r="C9" s="1776"/>
      <c r="D9" s="1766"/>
      <c r="E9" s="1766"/>
      <c r="F9" s="1766"/>
      <c r="G9" s="1766"/>
    </row>
    <row r="10" spans="1:7" ht="12.75" customHeight="1" thickBot="1">
      <c r="A10" s="1769" t="s">
        <v>158</v>
      </c>
      <c r="B10" s="1770"/>
      <c r="C10" s="292" t="s">
        <v>159</v>
      </c>
      <c r="D10" s="293" t="s">
        <v>160</v>
      </c>
      <c r="E10" s="293" t="s">
        <v>161</v>
      </c>
      <c r="F10" s="293" t="s">
        <v>456</v>
      </c>
      <c r="G10" s="293" t="s">
        <v>476</v>
      </c>
    </row>
    <row r="11" spans="1:7" ht="31.5" customHeight="1">
      <c r="A11" s="496" t="s">
        <v>38</v>
      </c>
      <c r="B11" s="106"/>
      <c r="C11" s="290" t="s">
        <v>165</v>
      </c>
      <c r="D11" s="288">
        <f>SUM('1. melléklet'!D12)</f>
        <v>247101912</v>
      </c>
      <c r="E11" s="288">
        <f>SUM('1. melléklet'!E12)</f>
        <v>206548258</v>
      </c>
      <c r="F11" s="288">
        <f>SUM('1. melléklet'!F12)</f>
        <v>221839898</v>
      </c>
      <c r="G11" s="288">
        <f>SUM('1. melléklet'!G12)</f>
        <v>233758932</v>
      </c>
    </row>
    <row r="12" spans="1:7" ht="21" customHeight="1">
      <c r="A12" s="643" t="s">
        <v>40</v>
      </c>
      <c r="B12" s="92"/>
      <c r="C12" s="93" t="s">
        <v>174</v>
      </c>
      <c r="D12" s="59">
        <f>SUM('1. melléklet'!D19)</f>
        <v>197268452</v>
      </c>
      <c r="E12" s="59">
        <f>SUM('1. melléklet'!E19)</f>
        <v>187950000</v>
      </c>
      <c r="F12" s="59">
        <f>SUM('1. melléklet'!F19)</f>
        <v>156949463</v>
      </c>
      <c r="G12" s="59">
        <f>SUM('1. melléklet'!G19)</f>
        <v>157049463</v>
      </c>
    </row>
    <row r="13" spans="1:7" ht="12.75" customHeight="1">
      <c r="A13" s="643" t="s">
        <v>47</v>
      </c>
      <c r="B13" s="92"/>
      <c r="C13" s="93" t="s">
        <v>9</v>
      </c>
      <c r="D13" s="59">
        <f>SUM('1. melléklet'!D29)</f>
        <v>53465232</v>
      </c>
      <c r="E13" s="59">
        <f>SUM('1. melléklet'!E29)</f>
        <v>51579500</v>
      </c>
      <c r="F13" s="59">
        <f>SUM('1. melléklet'!F29)</f>
        <v>44776714</v>
      </c>
      <c r="G13" s="59">
        <f>SUM('1. melléklet'!G29)</f>
        <v>43284918</v>
      </c>
    </row>
    <row r="14" spans="1:7" ht="12.75" customHeight="1" thickBot="1">
      <c r="A14" s="644" t="s">
        <v>49</v>
      </c>
      <c r="B14" s="281"/>
      <c r="C14" s="282" t="s">
        <v>185</v>
      </c>
      <c r="D14" s="103">
        <f>SUM('1. melléklet'!D31)</f>
        <v>1615295</v>
      </c>
      <c r="E14" s="103">
        <f>SUM('1. melléklet'!E31)</f>
        <v>78000</v>
      </c>
      <c r="F14" s="103">
        <f>SUM('1. melléklet'!F31)</f>
        <v>78000</v>
      </c>
      <c r="G14" s="103">
        <f>SUM('1. melléklet'!G31)</f>
        <v>1640020</v>
      </c>
    </row>
    <row r="15" spans="1:7" ht="12.75" customHeight="1" thickBot="1">
      <c r="A15" s="283" t="s">
        <v>51</v>
      </c>
      <c r="B15" s="284" t="s">
        <v>164</v>
      </c>
      <c r="C15" s="285" t="s">
        <v>216</v>
      </c>
      <c r="D15" s="286">
        <f>SUM(D11:D14)</f>
        <v>499450891</v>
      </c>
      <c r="E15" s="286">
        <f>SUM(E11:E14)</f>
        <v>446155758</v>
      </c>
      <c r="F15" s="286">
        <f>SUM(F11:F14)</f>
        <v>423644075</v>
      </c>
      <c r="G15" s="286">
        <f>SUM(G11:G14)</f>
        <v>435733333</v>
      </c>
    </row>
    <row r="16" spans="1:7" ht="12.75" customHeight="1">
      <c r="A16" s="496" t="s">
        <v>53</v>
      </c>
      <c r="B16" s="106"/>
      <c r="C16" s="228" t="s">
        <v>121</v>
      </c>
      <c r="D16" s="1353">
        <f>SUM('1. melléklet'!D47)</f>
        <v>230357318</v>
      </c>
      <c r="E16" s="1353">
        <f>SUM('1. melléklet'!E47)</f>
        <v>250452857</v>
      </c>
      <c r="F16" s="1353">
        <f>SUM('1. melléklet'!F47)</f>
        <v>256170217</v>
      </c>
      <c r="G16" s="1353">
        <f>SUM('1. melléklet'!G47)</f>
        <v>258346217</v>
      </c>
    </row>
    <row r="17" spans="1:7" ht="28.5" customHeight="1">
      <c r="A17" s="643" t="s">
        <v>55</v>
      </c>
      <c r="B17" s="92"/>
      <c r="C17" s="96" t="s">
        <v>199</v>
      </c>
      <c r="D17" s="1353">
        <f>SUM('1. melléklet'!D48)</f>
        <v>44071818</v>
      </c>
      <c r="E17" s="1353">
        <f>SUM('1. melléklet'!E48)</f>
        <v>44295492</v>
      </c>
      <c r="F17" s="1353">
        <f>SUM('1. melléklet'!F48)</f>
        <v>45016090</v>
      </c>
      <c r="G17" s="1353">
        <f>SUM('1. melléklet'!G48)</f>
        <v>45377695</v>
      </c>
    </row>
    <row r="18" spans="1:7" ht="12.75" customHeight="1">
      <c r="A18" s="643" t="s">
        <v>57</v>
      </c>
      <c r="B18" s="92"/>
      <c r="C18" s="95" t="s">
        <v>125</v>
      </c>
      <c r="D18" s="1353">
        <f>SUM('1. melléklet'!D49)</f>
        <v>263067627.2</v>
      </c>
      <c r="E18" s="1353">
        <f>SUM('1. melléklet'!E49)</f>
        <v>163561199.3</v>
      </c>
      <c r="F18" s="1353">
        <f>SUM('1. melléklet'!F49)</f>
        <v>143863478.3</v>
      </c>
      <c r="G18" s="1353">
        <f>SUM('1. melléklet'!G49)</f>
        <v>147857334.3</v>
      </c>
    </row>
    <row r="19" spans="1:7" ht="12.75" customHeight="1">
      <c r="A19" s="643" t="s">
        <v>86</v>
      </c>
      <c r="B19" s="92"/>
      <c r="C19" s="96" t="s">
        <v>201</v>
      </c>
      <c r="D19" s="59">
        <f>SUM('1. melléklet'!D50)</f>
        <v>4209730</v>
      </c>
      <c r="E19" s="59">
        <f>SUM('1. melléklet'!E50)</f>
        <v>3453000</v>
      </c>
      <c r="F19" s="59">
        <f>SUM('1. melléklet'!F50)</f>
        <v>3803000</v>
      </c>
      <c r="G19" s="59">
        <f>SUM('1. melléklet'!G50)</f>
        <v>3453000</v>
      </c>
    </row>
    <row r="20" spans="1:7" ht="12.75" customHeight="1">
      <c r="A20" s="643" t="s">
        <v>59</v>
      </c>
      <c r="B20" s="92"/>
      <c r="C20" s="96" t="s">
        <v>1232</v>
      </c>
      <c r="D20" s="59"/>
      <c r="E20" s="59"/>
      <c r="F20" s="59"/>
      <c r="G20" s="59">
        <v>2017050</v>
      </c>
    </row>
    <row r="21" spans="1:7" ht="12.75" customHeight="1">
      <c r="A21" s="643" t="s">
        <v>61</v>
      </c>
      <c r="B21" s="92"/>
      <c r="C21" s="96" t="s">
        <v>808</v>
      </c>
      <c r="D21" s="59">
        <v>2482037</v>
      </c>
      <c r="E21" s="59">
        <v>0</v>
      </c>
      <c r="F21" s="59">
        <v>354027</v>
      </c>
      <c r="G21" s="59">
        <v>354027</v>
      </c>
    </row>
    <row r="22" spans="1:7" ht="12.75" customHeight="1">
      <c r="A22" s="643" t="s">
        <v>63</v>
      </c>
      <c r="B22" s="92"/>
      <c r="C22" s="97" t="s">
        <v>217</v>
      </c>
      <c r="D22" s="59">
        <f>SUM('1. melléklet'!D55)</f>
        <v>44915369</v>
      </c>
      <c r="E22" s="59">
        <f>SUM('1. melléklet'!E55)</f>
        <v>28277469</v>
      </c>
      <c r="F22" s="59">
        <f>SUM('1. melléklet'!F55)</f>
        <v>27415469</v>
      </c>
      <c r="G22" s="59">
        <f>SUM('1. melléklet'!G55)</f>
        <v>27288863</v>
      </c>
    </row>
    <row r="23" spans="1:7" ht="12.75" customHeight="1" thickBot="1">
      <c r="A23" s="644" t="s">
        <v>65</v>
      </c>
      <c r="B23" s="281"/>
      <c r="C23" s="102" t="s">
        <v>202</v>
      </c>
      <c r="D23" s="287">
        <f>SUM('1. melléklet'!D56)</f>
        <v>44186648</v>
      </c>
      <c r="E23" s="287">
        <f>SUM('1. melléklet'!E56)</f>
        <v>44771741</v>
      </c>
      <c r="F23" s="287">
        <f>SUM('1. melléklet'!F56)</f>
        <v>42258999</v>
      </c>
      <c r="G23" s="287">
        <f>SUM('1. melléklet'!G56)</f>
        <v>46035254</v>
      </c>
    </row>
    <row r="24" spans="1:7" ht="12.75" customHeight="1" thickBot="1">
      <c r="A24" s="283" t="s">
        <v>92</v>
      </c>
      <c r="B24" s="284" t="s">
        <v>166</v>
      </c>
      <c r="C24" s="285" t="s">
        <v>218</v>
      </c>
      <c r="D24" s="289">
        <f>SUM(D16:D23)</f>
        <v>633290547.2</v>
      </c>
      <c r="E24" s="289">
        <f>SUM(E16:E23)</f>
        <v>534811758.3</v>
      </c>
      <c r="F24" s="289">
        <f>SUM(F16:F23)</f>
        <v>518881280.3</v>
      </c>
      <c r="G24" s="289">
        <f>SUM(G16:G23)</f>
        <v>530729440.3</v>
      </c>
    </row>
    <row r="25" spans="1:7" ht="12.75" customHeight="1">
      <c r="A25" s="496" t="s">
        <v>66</v>
      </c>
      <c r="B25" s="106"/>
      <c r="C25" s="104" t="s">
        <v>219</v>
      </c>
      <c r="D25" s="288">
        <f>SUM(D26:D27)</f>
        <v>0</v>
      </c>
      <c r="E25" s="288">
        <f>SUM(E26:E27)</f>
        <v>0</v>
      </c>
      <c r="F25" s="288">
        <f>SUM(F26:F27)</f>
        <v>0</v>
      </c>
      <c r="G25" s="288">
        <f>SUM(G26:G27)</f>
        <v>0</v>
      </c>
    </row>
    <row r="26" spans="1:7" s="280" customFormat="1" ht="27" customHeight="1">
      <c r="A26" s="645" t="s">
        <v>67</v>
      </c>
      <c r="B26" s="278"/>
      <c r="C26" s="275" t="s">
        <v>581</v>
      </c>
      <c r="D26" s="279">
        <v>0</v>
      </c>
      <c r="E26" s="279">
        <v>0</v>
      </c>
      <c r="F26" s="279">
        <v>0</v>
      </c>
      <c r="G26" s="279">
        <v>0</v>
      </c>
    </row>
    <row r="27" spans="1:7" s="280" customFormat="1" ht="30" customHeight="1">
      <c r="A27" s="645" t="s">
        <v>68</v>
      </c>
      <c r="B27" s="278"/>
      <c r="C27" s="275" t="s">
        <v>582</v>
      </c>
      <c r="D27" s="279">
        <v>0</v>
      </c>
      <c r="E27" s="279">
        <v>0</v>
      </c>
      <c r="F27" s="279">
        <v>0</v>
      </c>
      <c r="G27" s="279">
        <v>0</v>
      </c>
    </row>
    <row r="28" spans="1:7" ht="12.75" customHeight="1">
      <c r="A28" s="643" t="s">
        <v>70</v>
      </c>
      <c r="B28" s="92"/>
      <c r="C28" s="96" t="s">
        <v>220</v>
      </c>
      <c r="D28" s="59">
        <f>SUM(D30+D29)</f>
        <v>653538092</v>
      </c>
      <c r="E28" s="59">
        <f>SUM(E30+E29)</f>
        <v>513206538</v>
      </c>
      <c r="F28" s="59">
        <f>SUM(F30+F29)</f>
        <v>513206538</v>
      </c>
      <c r="G28" s="59">
        <f>SUM(G30+G29)</f>
        <v>513206538</v>
      </c>
    </row>
    <row r="29" spans="1:7" s="90" customFormat="1" ht="12.75" customHeight="1">
      <c r="A29" s="646" t="s">
        <v>97</v>
      </c>
      <c r="B29" s="98"/>
      <c r="C29" s="99" t="s">
        <v>193</v>
      </c>
      <c r="D29" s="100">
        <v>513195008</v>
      </c>
      <c r="E29" s="1539">
        <v>424550538</v>
      </c>
      <c r="F29" s="1539">
        <v>417879295</v>
      </c>
      <c r="G29" s="1539">
        <v>418120393</v>
      </c>
    </row>
    <row r="30" spans="1:7" s="90" customFormat="1" ht="12.75" customHeight="1">
      <c r="A30" s="646" t="s">
        <v>99</v>
      </c>
      <c r="B30" s="98"/>
      <c r="C30" s="101" t="s">
        <v>194</v>
      </c>
      <c r="D30" s="100">
        <v>140343084</v>
      </c>
      <c r="E30" s="1539">
        <v>88656000</v>
      </c>
      <c r="F30" s="1539">
        <v>95327243</v>
      </c>
      <c r="G30" s="1539">
        <v>95086145</v>
      </c>
    </row>
    <row r="31" spans="1:7" ht="12.75" customHeight="1" thickBot="1">
      <c r="A31" s="644" t="s">
        <v>101</v>
      </c>
      <c r="B31" s="281"/>
      <c r="C31" s="102" t="s">
        <v>221</v>
      </c>
      <c r="D31" s="287">
        <f>SUM('1. melléklet'!D39)</f>
        <v>9425972</v>
      </c>
      <c r="E31" s="287">
        <f>SUM('1. melléklet'!E39)</f>
        <v>8251931</v>
      </c>
      <c r="F31" s="287">
        <f>SUM('1. melléklet'!F39)</f>
        <v>8341969</v>
      </c>
      <c r="G31" s="287">
        <f>SUM('1. melléklet'!G39)</f>
        <v>8341969</v>
      </c>
    </row>
    <row r="32" spans="1:7" ht="12.75" customHeight="1" thickBot="1">
      <c r="A32" s="283" t="s">
        <v>103</v>
      </c>
      <c r="B32" s="284" t="s">
        <v>173</v>
      </c>
      <c r="C32" s="285" t="s">
        <v>222</v>
      </c>
      <c r="D32" s="289">
        <f>SUM(D25+D28+D31)</f>
        <v>662964064</v>
      </c>
      <c r="E32" s="289">
        <f>SUM(E25+E28+E31)</f>
        <v>521458469</v>
      </c>
      <c r="F32" s="289">
        <f>SUM(F25+F28+F31)</f>
        <v>521548507</v>
      </c>
      <c r="G32" s="289">
        <f>SUM(G25+G28+G31)</f>
        <v>521548507</v>
      </c>
    </row>
    <row r="33" spans="1:7" ht="27.75" customHeight="1">
      <c r="A33" s="496" t="s">
        <v>105</v>
      </c>
      <c r="B33" s="106"/>
      <c r="C33" s="290" t="s">
        <v>583</v>
      </c>
      <c r="D33" s="288">
        <f>SUM(D34:D35)</f>
        <v>0</v>
      </c>
      <c r="E33" s="288">
        <f>SUM(E34:E35)</f>
        <v>0</v>
      </c>
      <c r="F33" s="288">
        <f>SUM(F34:F35)</f>
        <v>0</v>
      </c>
      <c r="G33" s="288">
        <f>SUM(G34:G35)</f>
        <v>0</v>
      </c>
    </row>
    <row r="34" spans="1:7" s="277" customFormat="1" ht="27.75" customHeight="1">
      <c r="A34" s="647" t="s">
        <v>107</v>
      </c>
      <c r="B34" s="274"/>
      <c r="C34" s="275" t="s">
        <v>584</v>
      </c>
      <c r="D34" s="276">
        <v>0</v>
      </c>
      <c r="E34" s="276">
        <v>0</v>
      </c>
      <c r="F34" s="276">
        <v>0</v>
      </c>
      <c r="G34" s="276">
        <v>0</v>
      </c>
    </row>
    <row r="35" spans="1:7" s="277" customFormat="1" ht="27.75" customHeight="1">
      <c r="A35" s="647" t="s">
        <v>109</v>
      </c>
      <c r="B35" s="274"/>
      <c r="C35" s="275" t="s">
        <v>585</v>
      </c>
      <c r="D35" s="276">
        <v>0</v>
      </c>
      <c r="E35" s="276">
        <v>0</v>
      </c>
      <c r="F35" s="276">
        <v>0</v>
      </c>
      <c r="G35" s="276">
        <v>0</v>
      </c>
    </row>
    <row r="36" spans="1:7" ht="30.75" customHeight="1" thickBot="1">
      <c r="A36" s="644" t="s">
        <v>111</v>
      </c>
      <c r="B36" s="281"/>
      <c r="C36" s="102" t="s">
        <v>586</v>
      </c>
      <c r="D36" s="103">
        <f>SUM('1. melléklet'!D62)</f>
        <v>8209104</v>
      </c>
      <c r="E36" s="103">
        <f>SUM('1. melléklet'!E62)</f>
        <v>8251931</v>
      </c>
      <c r="F36" s="103">
        <f>SUM('1. melléklet'!F62)</f>
        <v>8432007</v>
      </c>
      <c r="G36" s="103">
        <f>SUM('1. melléklet'!G62)</f>
        <v>8432007</v>
      </c>
    </row>
    <row r="37" spans="1:7" ht="12.75" customHeight="1" thickBot="1">
      <c r="A37" s="283" t="s">
        <v>113</v>
      </c>
      <c r="B37" s="284" t="s">
        <v>182</v>
      </c>
      <c r="C37" s="291" t="s">
        <v>209</v>
      </c>
      <c r="D37" s="289">
        <f>SUM(D33:D36)</f>
        <v>8209104</v>
      </c>
      <c r="E37" s="289">
        <f>SUM(E33:E36)</f>
        <v>8251931</v>
      </c>
      <c r="F37" s="289">
        <f>SUM(F33:F36)</f>
        <v>8432007</v>
      </c>
      <c r="G37" s="289">
        <f>SUM(G33:G36)</f>
        <v>8432007</v>
      </c>
    </row>
    <row r="38" spans="1:7" ht="29.25" customHeight="1">
      <c r="A38" s="496" t="s">
        <v>115</v>
      </c>
      <c r="B38" s="106"/>
      <c r="C38" s="104" t="s">
        <v>167</v>
      </c>
      <c r="D38" s="105">
        <f>SUM('1. melléklet'!D13)</f>
        <v>86558434</v>
      </c>
      <c r="E38" s="105">
        <f>SUM('1. melléklet'!E13)</f>
        <v>0</v>
      </c>
      <c r="F38" s="105">
        <f>SUM('1. melléklet'!F13)</f>
        <v>204583492</v>
      </c>
      <c r="G38" s="105">
        <f>SUM('1. melléklet'!G13)</f>
        <v>225628568</v>
      </c>
    </row>
    <row r="39" spans="1:7" ht="12.75" customHeight="1">
      <c r="A39" s="643" t="s">
        <v>117</v>
      </c>
      <c r="B39" s="92"/>
      <c r="C39" s="95" t="s">
        <v>224</v>
      </c>
      <c r="D39" s="80">
        <f>SUM('1. melléklet'!D30)</f>
        <v>31616633</v>
      </c>
      <c r="E39" s="80">
        <f>SUM('1. melléklet'!E30)</f>
        <v>14000000</v>
      </c>
      <c r="F39" s="80">
        <f>SUM('1. melléklet'!F30)</f>
        <v>16968160</v>
      </c>
      <c r="G39" s="80">
        <f>SUM('1. melléklet'!G30)</f>
        <v>22893160</v>
      </c>
    </row>
    <row r="40" spans="1:7" ht="12.75" customHeight="1">
      <c r="A40" s="644" t="s">
        <v>118</v>
      </c>
      <c r="B40" s="281"/>
      <c r="C40" s="224" t="s">
        <v>225</v>
      </c>
      <c r="D40" s="287">
        <f>SUM('1. melléklet'!D32)</f>
        <v>435505</v>
      </c>
      <c r="E40" s="287">
        <f>SUM('1. melléklet'!E32)</f>
        <v>0</v>
      </c>
      <c r="F40" s="287">
        <f>SUM('1. melléklet'!F32)</f>
        <v>0</v>
      </c>
      <c r="G40" s="287">
        <f>SUM('1. melléklet'!G32)</f>
        <v>0</v>
      </c>
    </row>
    <row r="41" spans="1:7" ht="12.75" customHeight="1">
      <c r="A41" s="459" t="s">
        <v>120</v>
      </c>
      <c r="B41" s="396"/>
      <c r="C41" s="398" t="s">
        <v>685</v>
      </c>
      <c r="D41" s="604"/>
      <c r="E41" s="604"/>
      <c r="F41" s="604"/>
      <c r="G41" s="604"/>
    </row>
    <row r="42" spans="1:7" ht="12.75" customHeight="1">
      <c r="A42" s="295" t="s">
        <v>122</v>
      </c>
      <c r="B42" s="396"/>
      <c r="C42" s="398" t="s">
        <v>701</v>
      </c>
      <c r="D42" s="604"/>
      <c r="E42" s="604"/>
      <c r="F42" s="604"/>
      <c r="G42" s="604"/>
    </row>
    <row r="43" spans="1:7" ht="12.75" customHeight="1" thickBot="1">
      <c r="A43" s="600" t="s">
        <v>124</v>
      </c>
      <c r="B43" s="601" t="s">
        <v>183</v>
      </c>
      <c r="C43" s="602" t="s">
        <v>226</v>
      </c>
      <c r="D43" s="603">
        <f>SUM(D38:D42)</f>
        <v>118610572</v>
      </c>
      <c r="E43" s="603">
        <f>SUM(E38:E42)</f>
        <v>14000000</v>
      </c>
      <c r="F43" s="603">
        <f>SUM(F38:F42)</f>
        <v>221551652</v>
      </c>
      <c r="G43" s="603">
        <f>SUM(G38:G42)</f>
        <v>248521728</v>
      </c>
    </row>
    <row r="44" spans="1:7" ht="12.75" customHeight="1">
      <c r="A44" s="496" t="s">
        <v>126</v>
      </c>
      <c r="B44" s="106"/>
      <c r="C44" s="104" t="s">
        <v>132</v>
      </c>
      <c r="D44" s="105">
        <f>SUM('1. melléklet'!D57)</f>
        <v>196200181</v>
      </c>
      <c r="E44" s="105">
        <f>SUM('1. melléklet'!E57)</f>
        <v>4300000</v>
      </c>
      <c r="F44" s="105">
        <f>SUM('1. melléklet'!F57)</f>
        <v>96063808</v>
      </c>
      <c r="G44" s="105">
        <f>SUM('1. melléklet'!G57)</f>
        <v>251442095</v>
      </c>
    </row>
    <row r="45" spans="1:7" ht="12.75" customHeight="1">
      <c r="A45" s="643" t="s">
        <v>128</v>
      </c>
      <c r="B45" s="92"/>
      <c r="C45" s="95" t="s">
        <v>134</v>
      </c>
      <c r="D45" s="105">
        <f>SUM('1. melléklet'!D58)</f>
        <v>9475157</v>
      </c>
      <c r="E45" s="105">
        <f>SUM('1. melléklet'!E58)</f>
        <v>400000</v>
      </c>
      <c r="F45" s="105">
        <f>SUM('1. melléklet'!F58)</f>
        <v>400000</v>
      </c>
      <c r="G45" s="105">
        <f>SUM('1. melléklet'!G58)</f>
        <v>23442555</v>
      </c>
    </row>
    <row r="46" spans="1:7" ht="12.75" customHeight="1">
      <c r="A46" s="644" t="s">
        <v>130</v>
      </c>
      <c r="B46" s="281"/>
      <c r="C46" s="224" t="s">
        <v>684</v>
      </c>
      <c r="D46" s="599">
        <f>SUM('1. melléklet'!D54)</f>
        <v>433850538</v>
      </c>
      <c r="E46" s="599">
        <f>SUM('1. melléklet'!E54)</f>
        <v>433850538</v>
      </c>
      <c r="F46" s="599">
        <f>SUM('1. melléklet'!F54)</f>
        <v>542967139</v>
      </c>
      <c r="G46" s="599">
        <f>SUM('1. melléklet'!G54)</f>
        <v>391757471</v>
      </c>
    </row>
    <row r="47" spans="1:7" ht="12.75" customHeight="1" thickBot="1">
      <c r="A47" s="644" t="s">
        <v>131</v>
      </c>
      <c r="B47" s="281"/>
      <c r="C47" s="224" t="s">
        <v>203</v>
      </c>
      <c r="D47" s="287">
        <f>SUM('1. melléklet'!D59)</f>
        <v>0</v>
      </c>
      <c r="E47" s="287">
        <f>SUM('1. melléklet'!E59)</f>
        <v>0</v>
      </c>
      <c r="F47" s="287">
        <f>SUM('1. melléklet'!F59)</f>
        <v>0</v>
      </c>
      <c r="G47" s="287">
        <f>SUM('1. melléklet'!G59)</f>
        <v>0</v>
      </c>
    </row>
    <row r="48" spans="1:7" ht="12.75" customHeight="1" thickBot="1">
      <c r="A48" s="283" t="s">
        <v>133</v>
      </c>
      <c r="B48" s="284" t="s">
        <v>184</v>
      </c>
      <c r="C48" s="285" t="s">
        <v>227</v>
      </c>
      <c r="D48" s="289">
        <f>SUM(D44:D47)</f>
        <v>639525876</v>
      </c>
      <c r="E48" s="289">
        <f>SUM(E44:E47)</f>
        <v>438550538</v>
      </c>
      <c r="F48" s="289">
        <f>SUM(F44:F47)</f>
        <v>639430947</v>
      </c>
      <c r="G48" s="289">
        <f>SUM(G44:G47)</f>
        <v>666642121</v>
      </c>
    </row>
    <row r="50" spans="1:7" ht="12.75" customHeight="1">
      <c r="A50" s="107"/>
      <c r="B50" s="107"/>
      <c r="C50" s="107" t="s">
        <v>228</v>
      </c>
      <c r="D50" s="108">
        <f>SUM(D15+D32+D43)</f>
        <v>1281025527</v>
      </c>
      <c r="E50" s="108">
        <f>SUM(E15+E32+E43)</f>
        <v>981614227</v>
      </c>
      <c r="F50" s="108">
        <f>SUM(F15+F32+F43)</f>
        <v>1166744234</v>
      </c>
      <c r="G50" s="108">
        <f>SUM(G15+G32+G43)</f>
        <v>1205803568</v>
      </c>
    </row>
    <row r="51" spans="1:7" ht="12.75" customHeight="1">
      <c r="A51" s="107"/>
      <c r="B51" s="107"/>
      <c r="C51" s="107" t="s">
        <v>211</v>
      </c>
      <c r="D51" s="108">
        <f>SUM(D24+D37+D48)</f>
        <v>1281025527.2</v>
      </c>
      <c r="E51" s="108">
        <f>SUM(E24+E37+E48)</f>
        <v>981614227.3</v>
      </c>
      <c r="F51" s="108">
        <f>SUM(F24+F37+F48)</f>
        <v>1166744234.3</v>
      </c>
      <c r="G51" s="108">
        <f>SUM(G24+G37+G48)</f>
        <v>1205803568.3</v>
      </c>
    </row>
  </sheetData>
  <sheetProtection selectLockedCells="1" selectUnlockedCells="1"/>
  <mergeCells count="12">
    <mergeCell ref="A10:B10"/>
    <mergeCell ref="A4:C4"/>
    <mergeCell ref="A8:B9"/>
    <mergeCell ref="C8:C9"/>
    <mergeCell ref="F8:F9"/>
    <mergeCell ref="C2:F2"/>
    <mergeCell ref="G8:G9"/>
    <mergeCell ref="A5:G5"/>
    <mergeCell ref="A3:G3"/>
    <mergeCell ref="A1:F1"/>
    <mergeCell ref="E8:E9"/>
    <mergeCell ref="D8:D9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SheetLayoutView="100" zoomScalePageLayoutView="0" workbookViewId="0" topLeftCell="A1">
      <selection activeCell="G3" sqref="G3"/>
    </sheetView>
  </sheetViews>
  <sheetFormatPr defaultColWidth="11.7109375" defaultRowHeight="12.75"/>
  <cols>
    <col min="1" max="2" width="3.8515625" style="5" customWidth="1"/>
    <col min="3" max="3" width="44.00390625" style="5" customWidth="1"/>
    <col min="4" max="7" width="16.8515625" style="87" customWidth="1"/>
    <col min="8" max="16384" width="11.7109375" style="5" customWidth="1"/>
  </cols>
  <sheetData>
    <row r="1" spans="1:7" s="88" customFormat="1" ht="18" customHeight="1">
      <c r="A1" s="1768" t="s">
        <v>229</v>
      </c>
      <c r="B1" s="1768"/>
      <c r="C1" s="1768"/>
      <c r="D1" s="1768"/>
      <c r="E1" s="1768"/>
      <c r="F1" s="1768"/>
      <c r="G1" s="1768"/>
    </row>
    <row r="2" spans="1:7" ht="19.5" customHeight="1">
      <c r="A2" s="1784" t="s">
        <v>1259</v>
      </c>
      <c r="B2" s="1784"/>
      <c r="C2" s="1784"/>
      <c r="D2" s="1784"/>
      <c r="E2" s="1784"/>
      <c r="F2" s="1784"/>
      <c r="G2" s="1784"/>
    </row>
    <row r="3" spans="1:7" ht="15" customHeight="1">
      <c r="A3" s="1781" t="s">
        <v>1261</v>
      </c>
      <c r="B3" s="1781"/>
      <c r="C3" s="1781"/>
      <c r="D3" s="1781"/>
      <c r="E3" s="1781"/>
      <c r="F3" s="1781"/>
      <c r="G3" s="5"/>
    </row>
    <row r="4" spans="1:7" ht="6.75" customHeight="1">
      <c r="A4" s="1782"/>
      <c r="B4" s="1782"/>
      <c r="C4" s="1782"/>
      <c r="D4" s="5"/>
      <c r="E4" s="5"/>
      <c r="F4" s="5"/>
      <c r="G4" s="5"/>
    </row>
    <row r="5" spans="1:7" ht="12.75" customHeight="1">
      <c r="A5" s="1783" t="s">
        <v>1154</v>
      </c>
      <c r="B5" s="1783"/>
      <c r="C5" s="1783"/>
      <c r="D5" s="1783"/>
      <c r="E5" s="1783"/>
      <c r="F5" s="1783"/>
      <c r="G5" s="1783"/>
    </row>
    <row r="6" spans="1:7" ht="12.75" customHeight="1">
      <c r="A6" s="1783"/>
      <c r="B6" s="1783"/>
      <c r="C6" s="1783"/>
      <c r="D6" s="1783"/>
      <c r="E6" s="1783"/>
      <c r="F6" s="1783"/>
      <c r="G6" s="1783"/>
    </row>
    <row r="7" spans="2:7" ht="12.75" customHeight="1">
      <c r="B7" s="74"/>
      <c r="D7" s="5"/>
      <c r="E7" s="5"/>
      <c r="F7" s="5"/>
      <c r="G7" s="5"/>
    </row>
    <row r="8" spans="2:7" ht="30" customHeight="1" thickBot="1">
      <c r="B8" s="74"/>
      <c r="D8" s="852"/>
      <c r="E8" s="852"/>
      <c r="F8" s="852"/>
      <c r="G8" s="852" t="s">
        <v>214</v>
      </c>
    </row>
    <row r="9" spans="1:7" ht="63.75" customHeight="1">
      <c r="A9" s="1777" t="s">
        <v>156</v>
      </c>
      <c r="B9" s="1778"/>
      <c r="C9" s="307" t="s">
        <v>157</v>
      </c>
      <c r="D9" s="308" t="s">
        <v>1076</v>
      </c>
      <c r="E9" s="308" t="s">
        <v>1077</v>
      </c>
      <c r="F9" s="308" t="s">
        <v>1165</v>
      </c>
      <c r="G9" s="308" t="s">
        <v>1186</v>
      </c>
    </row>
    <row r="10" spans="1:7" ht="12.75" customHeight="1" thickBot="1">
      <c r="A10" s="1779"/>
      <c r="B10" s="1780"/>
      <c r="C10" s="309" t="s">
        <v>158</v>
      </c>
      <c r="D10" s="310" t="s">
        <v>159</v>
      </c>
      <c r="E10" s="310" t="s">
        <v>160</v>
      </c>
      <c r="F10" s="310" t="s">
        <v>161</v>
      </c>
      <c r="G10" s="310" t="s">
        <v>456</v>
      </c>
    </row>
    <row r="11" spans="1:7" ht="27" customHeight="1">
      <c r="A11" s="295" t="s">
        <v>38</v>
      </c>
      <c r="B11" s="621"/>
      <c r="C11" s="303" t="s">
        <v>571</v>
      </c>
      <c r="D11" s="120">
        <f>SUM('19 önkormányzat'!E9)</f>
        <v>64654837</v>
      </c>
      <c r="E11" s="120">
        <f>SUM('19 önkormányzat'!F9)</f>
        <v>61975191</v>
      </c>
      <c r="F11" s="120">
        <f>SUM('19 önkormányzat'!G9)</f>
        <v>75331491</v>
      </c>
      <c r="G11" s="120">
        <f>SUM('19 önkormányzat'!H9)</f>
        <v>75719241</v>
      </c>
    </row>
    <row r="12" spans="1:7" ht="28.5" customHeight="1">
      <c r="A12" s="295" t="s">
        <v>40</v>
      </c>
      <c r="B12" s="622"/>
      <c r="C12" s="297" t="s">
        <v>572</v>
      </c>
      <c r="D12" s="120">
        <f>SUM('19 önkormányzat'!E10)</f>
        <v>71348150</v>
      </c>
      <c r="E12" s="120">
        <f>SUM('19 önkormányzat'!F10)</f>
        <v>71578420</v>
      </c>
      <c r="F12" s="120">
        <f>SUM('19 önkormányzat'!G10)</f>
        <v>71578420</v>
      </c>
      <c r="G12" s="120">
        <f>SUM('19 önkormányzat'!H10)</f>
        <v>76658570</v>
      </c>
    </row>
    <row r="13" spans="1:7" ht="25.5" customHeight="1">
      <c r="A13" s="295" t="s">
        <v>47</v>
      </c>
      <c r="B13" s="622"/>
      <c r="C13" s="297" t="s">
        <v>1216</v>
      </c>
      <c r="D13" s="120">
        <f>SUM('19 önkormányzat'!E12)</f>
        <v>73996115</v>
      </c>
      <c r="E13" s="120">
        <f>SUM('19 önkormányzat'!F12)</f>
        <v>68387414</v>
      </c>
      <c r="F13" s="120">
        <f>SUM('19 önkormányzat'!G12)</f>
        <v>70287414</v>
      </c>
      <c r="G13" s="120">
        <v>41769100</v>
      </c>
    </row>
    <row r="14" spans="1:7" ht="25.5" customHeight="1">
      <c r="A14" s="295" t="s">
        <v>49</v>
      </c>
      <c r="B14" s="622"/>
      <c r="C14" s="297" t="s">
        <v>1234</v>
      </c>
      <c r="D14" s="120"/>
      <c r="E14" s="120"/>
      <c r="F14" s="120"/>
      <c r="G14" s="120">
        <v>32209354</v>
      </c>
    </row>
    <row r="15" spans="1:7" ht="26.25" customHeight="1">
      <c r="A15" s="295" t="s">
        <v>51</v>
      </c>
      <c r="B15" s="622"/>
      <c r="C15" s="297" t="s">
        <v>573</v>
      </c>
      <c r="D15" s="120">
        <f>SUM('19 önkormányzat'!E13)</f>
        <v>5050082</v>
      </c>
      <c r="E15" s="120">
        <f>SUM('19 önkormányzat'!F13)</f>
        <v>4357233</v>
      </c>
      <c r="F15" s="120">
        <f>SUM('19 önkormányzat'!G13)</f>
        <v>4357233</v>
      </c>
      <c r="G15" s="120">
        <f>SUM('19 önkormányzat'!H13)</f>
        <v>5854923</v>
      </c>
    </row>
    <row r="16" spans="1:7" ht="30" customHeight="1">
      <c r="A16" s="295" t="s">
        <v>53</v>
      </c>
      <c r="B16" s="622"/>
      <c r="C16" s="297" t="s">
        <v>574</v>
      </c>
      <c r="D16" s="120">
        <f>SUM('19 önkormányzat'!E14)</f>
        <v>9078450</v>
      </c>
      <c r="E16" s="120">
        <f>SUM('19 önkormányzat'!F14)</f>
        <v>0</v>
      </c>
      <c r="F16" s="120">
        <f>SUM('19 önkormányzat'!G14)</f>
        <v>0</v>
      </c>
      <c r="G16" s="120">
        <f>SUM('19 önkormányzat'!H14)</f>
        <v>0</v>
      </c>
    </row>
    <row r="17" spans="1:7" ht="12.75" customHeight="1">
      <c r="A17" s="295" t="s">
        <v>55</v>
      </c>
      <c r="B17" s="622"/>
      <c r="C17" s="297" t="s">
        <v>575</v>
      </c>
      <c r="D17" s="120">
        <v>0</v>
      </c>
      <c r="E17" s="120">
        <v>0</v>
      </c>
      <c r="F17" s="120">
        <v>0</v>
      </c>
      <c r="G17" s="120">
        <v>0</v>
      </c>
    </row>
    <row r="18" spans="1:7" s="64" customFormat="1" ht="12.75" customHeight="1">
      <c r="A18" s="396" t="s">
        <v>57</v>
      </c>
      <c r="B18" s="623"/>
      <c r="C18" s="112" t="s">
        <v>162</v>
      </c>
      <c r="D18" s="9">
        <f>SUM(D11:D17)</f>
        <v>224127634</v>
      </c>
      <c r="E18" s="9">
        <f>SUM(E11:E17)</f>
        <v>206298258</v>
      </c>
      <c r="F18" s="9">
        <f>SUM(F11:F17)</f>
        <v>221554558</v>
      </c>
      <c r="G18" s="9">
        <f>SUM(G11:G17)</f>
        <v>232211188</v>
      </c>
    </row>
    <row r="19" spans="1:7" s="301" customFormat="1" ht="27" customHeight="1" thickBot="1">
      <c r="A19" s="370" t="s">
        <v>86</v>
      </c>
      <c r="B19" s="624"/>
      <c r="C19" s="299" t="s">
        <v>163</v>
      </c>
      <c r="D19" s="300">
        <f>SUM('1. melléklet'!D11)</f>
        <v>22974278</v>
      </c>
      <c r="E19" s="300">
        <f>SUM('1. melléklet'!E11)</f>
        <v>250000</v>
      </c>
      <c r="F19" s="300">
        <f>SUM('1. melléklet'!F11)</f>
        <v>285340</v>
      </c>
      <c r="G19" s="300">
        <f>SUM('1. melléklet'!G11)</f>
        <v>1547744</v>
      </c>
    </row>
    <row r="20" spans="1:7" ht="25.5" customHeight="1" thickBot="1">
      <c r="A20" s="837" t="s">
        <v>59</v>
      </c>
      <c r="B20" s="625" t="s">
        <v>164</v>
      </c>
      <c r="C20" s="306" t="s">
        <v>165</v>
      </c>
      <c r="D20" s="838">
        <f>SUM(D18+D19)</f>
        <v>247101912</v>
      </c>
      <c r="E20" s="838">
        <f>SUM(E18+E19)</f>
        <v>206548258</v>
      </c>
      <c r="F20" s="838">
        <f>SUM(F18+F19)</f>
        <v>221839898</v>
      </c>
      <c r="G20" s="838">
        <f>SUM(G18:G19)</f>
        <v>233758932</v>
      </c>
    </row>
    <row r="21" spans="1:7" ht="25.5" customHeight="1" thickBot="1">
      <c r="A21" s="839" t="s">
        <v>61</v>
      </c>
      <c r="B21" s="839"/>
      <c r="C21" s="840" t="s">
        <v>809</v>
      </c>
      <c r="D21" s="841"/>
      <c r="E21" s="841"/>
      <c r="F21" s="841"/>
      <c r="G21" s="841">
        <v>225628568</v>
      </c>
    </row>
    <row r="22" spans="1:7" s="64" customFormat="1" ht="29.25" customHeight="1" thickBot="1">
      <c r="A22" s="842" t="s">
        <v>63</v>
      </c>
      <c r="B22" s="626" t="s">
        <v>166</v>
      </c>
      <c r="C22" s="311" t="s">
        <v>167</v>
      </c>
      <c r="D22" s="843">
        <f>SUM('2. melléklet'!D38)</f>
        <v>86558434</v>
      </c>
      <c r="E22" s="843">
        <f>SUM('2. melléklet'!E38)</f>
        <v>0</v>
      </c>
      <c r="F22" s="843">
        <f>SUM('2. melléklet'!F38)</f>
        <v>204583492</v>
      </c>
      <c r="G22" s="843">
        <f>SUM('2. melléklet'!G38)</f>
        <v>225628568</v>
      </c>
    </row>
    <row r="23" spans="1:7" ht="12.75" customHeight="1">
      <c r="A23" s="661" t="s">
        <v>65</v>
      </c>
      <c r="B23" s="621"/>
      <c r="C23" s="294" t="s">
        <v>588</v>
      </c>
      <c r="D23" s="120">
        <f>SUM('1. melléklet'!D14)</f>
        <v>7416968</v>
      </c>
      <c r="E23" s="120">
        <f>SUM('1. melléklet'!E14)</f>
        <v>7000000</v>
      </c>
      <c r="F23" s="120">
        <f>SUM('1. melléklet'!F14)</f>
        <v>7000000</v>
      </c>
      <c r="G23" s="120">
        <f>SUM('1. melléklet'!G14)</f>
        <v>7000000</v>
      </c>
    </row>
    <row r="24" spans="1:7" ht="12.75" customHeight="1">
      <c r="A24" s="295" t="s">
        <v>92</v>
      </c>
      <c r="B24" s="622"/>
      <c r="C24" s="110" t="s">
        <v>589</v>
      </c>
      <c r="D24" s="120">
        <f>SUM('1. melléklet'!D15)</f>
        <v>178695853</v>
      </c>
      <c r="E24" s="120">
        <f>SUM('1. melléklet'!E15)</f>
        <v>170000000</v>
      </c>
      <c r="F24" s="120">
        <f>SUM('1. melléklet'!F15)</f>
        <v>149699463</v>
      </c>
      <c r="G24" s="120">
        <f>SUM('1. melléklet'!G15)</f>
        <v>149699463</v>
      </c>
    </row>
    <row r="25" spans="1:7" ht="12.75" customHeight="1">
      <c r="A25" s="295" t="s">
        <v>66</v>
      </c>
      <c r="B25" s="622"/>
      <c r="C25" s="110" t="s">
        <v>590</v>
      </c>
      <c r="D25" s="120">
        <f>SUM('1. melléklet'!D16)</f>
        <v>10879813</v>
      </c>
      <c r="E25" s="120">
        <f>SUM('1. melléklet'!E16)</f>
        <v>10700000</v>
      </c>
      <c r="F25" s="120">
        <f>SUM('1. melléklet'!F16)</f>
        <v>0</v>
      </c>
      <c r="G25" s="120">
        <f>SUM('1. melléklet'!G16)</f>
        <v>0</v>
      </c>
    </row>
    <row r="26" spans="1:7" ht="12.75" customHeight="1">
      <c r="A26" s="295" t="s">
        <v>67</v>
      </c>
      <c r="B26" s="622"/>
      <c r="C26" s="297" t="s">
        <v>591</v>
      </c>
      <c r="D26" s="120">
        <f>SUM('1. melléklet'!D17)</f>
        <v>0</v>
      </c>
      <c r="E26" s="120">
        <f>SUM('1. melléklet'!E17)</f>
        <v>0</v>
      </c>
      <c r="F26" s="120">
        <f>SUM('1. melléklet'!F17)</f>
        <v>0</v>
      </c>
      <c r="G26" s="120">
        <f>SUM('1. melléklet'!G17)</f>
        <v>0</v>
      </c>
    </row>
    <row r="27" spans="1:7" ht="12.75" customHeight="1" thickBot="1">
      <c r="A27" s="295" t="s">
        <v>68</v>
      </c>
      <c r="B27" s="627"/>
      <c r="C27" s="302" t="s">
        <v>592</v>
      </c>
      <c r="D27" s="120">
        <f>SUM('1. melléklet'!D18)</f>
        <v>275818</v>
      </c>
      <c r="E27" s="120">
        <f>SUM('1. melléklet'!E18)</f>
        <v>250000</v>
      </c>
      <c r="F27" s="120">
        <f>SUM('1. melléklet'!F18)</f>
        <v>250000</v>
      </c>
      <c r="G27" s="120">
        <f>SUM('1. melléklet'!G18)</f>
        <v>350000</v>
      </c>
    </row>
    <row r="28" spans="1:7" ht="24.75" customHeight="1" thickBot="1">
      <c r="A28" s="641" t="s">
        <v>70</v>
      </c>
      <c r="B28" s="628" t="s">
        <v>173</v>
      </c>
      <c r="C28" s="304" t="s">
        <v>174</v>
      </c>
      <c r="D28" s="305">
        <f>SUM(D23:D27)</f>
        <v>197268452</v>
      </c>
      <c r="E28" s="305">
        <f>SUM(E23:E27)</f>
        <v>187950000</v>
      </c>
      <c r="F28" s="305">
        <f>SUM(F23:F27)</f>
        <v>156949463</v>
      </c>
      <c r="G28" s="305">
        <f>SUM(G23:G27)</f>
        <v>157049463</v>
      </c>
    </row>
    <row r="29" spans="1:7" ht="12.75" customHeight="1">
      <c r="A29" s="295" t="s">
        <v>97</v>
      </c>
      <c r="B29" s="629"/>
      <c r="C29" s="296" t="s">
        <v>576</v>
      </c>
      <c r="D29" s="296">
        <f>SUM('1. melléklet'!D20)</f>
        <v>4036017</v>
      </c>
      <c r="E29" s="296">
        <f>SUM('1. melléklet'!E20)</f>
        <v>3981000</v>
      </c>
      <c r="F29" s="296">
        <f>SUM('1. melléklet'!F20)</f>
        <v>2700000</v>
      </c>
      <c r="G29" s="296">
        <f>SUM('1. melléklet'!G20)</f>
        <v>3200000</v>
      </c>
    </row>
    <row r="30" spans="1:7" ht="12.75" customHeight="1">
      <c r="A30" s="295" t="s">
        <v>99</v>
      </c>
      <c r="B30" s="629"/>
      <c r="C30" s="296" t="s">
        <v>176</v>
      </c>
      <c r="D30" s="296">
        <f>SUM('1. melléklet'!D21)</f>
        <v>6708948</v>
      </c>
      <c r="E30" s="296">
        <f>SUM('1. melléklet'!E21)</f>
        <v>6695500</v>
      </c>
      <c r="F30" s="296">
        <f>SUM('1. melléklet'!F21)</f>
        <v>6695500</v>
      </c>
      <c r="G30" s="296">
        <f>SUM('1. melléklet'!G21)</f>
        <v>5516500</v>
      </c>
    </row>
    <row r="31" spans="1:7" ht="12.75" customHeight="1">
      <c r="A31" s="295" t="s">
        <v>101</v>
      </c>
      <c r="B31" s="629"/>
      <c r="C31" s="296" t="s">
        <v>177</v>
      </c>
      <c r="D31" s="296">
        <f>SUM('1. melléklet'!D22)</f>
        <v>1645960</v>
      </c>
      <c r="E31" s="296">
        <f>SUM('1. melléklet'!E22)</f>
        <v>1638000</v>
      </c>
      <c r="F31" s="296">
        <f>SUM('1. melléklet'!F22)</f>
        <v>621000</v>
      </c>
      <c r="G31" s="296">
        <f>SUM('1. melléklet'!G22)</f>
        <v>821000</v>
      </c>
    </row>
    <row r="32" spans="1:7" ht="12.75" customHeight="1">
      <c r="A32" s="295" t="s">
        <v>103</v>
      </c>
      <c r="B32" s="629"/>
      <c r="C32" s="296" t="s">
        <v>676</v>
      </c>
      <c r="D32" s="296">
        <f>SUM('1. melléklet'!D23)</f>
        <v>21064715</v>
      </c>
      <c r="E32" s="296">
        <f>SUM('1. melléklet'!E23)</f>
        <v>21065000</v>
      </c>
      <c r="F32" s="296">
        <f>SUM('1. melléklet'!F23)</f>
        <v>18211501</v>
      </c>
      <c r="G32" s="296">
        <f>SUM('1. melléklet'!G23)</f>
        <v>18211501</v>
      </c>
    </row>
    <row r="33" spans="1:7" ht="12.75" customHeight="1">
      <c r="A33" s="295" t="s">
        <v>105</v>
      </c>
      <c r="B33" s="629"/>
      <c r="C33" s="296" t="s">
        <v>179</v>
      </c>
      <c r="D33" s="296">
        <f>SUM('1. melléklet'!D24)</f>
        <v>16196012</v>
      </c>
      <c r="E33" s="296">
        <f>SUM('1. melléklet'!E24)</f>
        <v>16200000</v>
      </c>
      <c r="F33" s="296">
        <f>SUM('1. melléklet'!F24)</f>
        <v>15548625</v>
      </c>
      <c r="G33" s="296">
        <f>SUM('1. melléklet'!G24)</f>
        <v>15148625</v>
      </c>
    </row>
    <row r="34" spans="1:7" ht="12.75" customHeight="1">
      <c r="A34" s="295" t="s">
        <v>107</v>
      </c>
      <c r="B34" s="295"/>
      <c r="C34" s="296" t="s">
        <v>699</v>
      </c>
      <c r="D34" s="296">
        <f>SUM('1. melléklet'!D25)</f>
        <v>292000</v>
      </c>
      <c r="E34" s="296">
        <f>SUM('1. melléklet'!E25)</f>
        <v>0</v>
      </c>
      <c r="F34" s="296">
        <f>SUM('1. melléklet'!F25)</f>
        <v>0</v>
      </c>
      <c r="G34" s="296">
        <f>SUM('1. melléklet'!G25)</f>
        <v>287000</v>
      </c>
    </row>
    <row r="35" spans="1:7" ht="12.75" customHeight="1">
      <c r="A35" s="661" t="s">
        <v>109</v>
      </c>
      <c r="B35" s="621"/>
      <c r="C35" s="294" t="s">
        <v>587</v>
      </c>
      <c r="D35" s="296">
        <f>SUM('1. melléklet'!D26)</f>
        <v>56</v>
      </c>
      <c r="E35" s="296">
        <f>SUM('1. melléklet'!E26)</f>
        <v>0</v>
      </c>
      <c r="F35" s="296">
        <f>SUM('1. melléklet'!F26)</f>
        <v>27</v>
      </c>
      <c r="G35" s="296">
        <f>SUM('1. melléklet'!G26)</f>
        <v>102</v>
      </c>
    </row>
    <row r="36" spans="1:7" ht="12.75" customHeight="1">
      <c r="A36" s="661" t="s">
        <v>111</v>
      </c>
      <c r="B36" s="844"/>
      <c r="C36" s="845" t="s">
        <v>807</v>
      </c>
      <c r="D36" s="296">
        <f>SUM('1. melléklet'!D27)</f>
        <v>113750</v>
      </c>
      <c r="E36" s="296">
        <f>SUM('1. melléklet'!E27)</f>
        <v>0</v>
      </c>
      <c r="F36" s="296">
        <f>SUM('1. melléklet'!F27)</f>
        <v>0</v>
      </c>
      <c r="G36" s="296">
        <f>SUM('1. melléklet'!G27)</f>
        <v>0</v>
      </c>
    </row>
    <row r="37" spans="1:7" ht="12.75" customHeight="1" thickBot="1">
      <c r="A37" s="295" t="s">
        <v>113</v>
      </c>
      <c r="B37" s="627"/>
      <c r="C37" s="302" t="s">
        <v>181</v>
      </c>
      <c r="D37" s="296">
        <f>SUM('1. melléklet'!D28)</f>
        <v>3407774</v>
      </c>
      <c r="E37" s="296">
        <f>SUM('1. melléklet'!E28)</f>
        <v>2000000</v>
      </c>
      <c r="F37" s="296">
        <f>SUM('1. melléklet'!F28)</f>
        <v>1000061</v>
      </c>
      <c r="G37" s="296">
        <f>SUM('1. melléklet'!G28)</f>
        <v>100190</v>
      </c>
    </row>
    <row r="38" spans="1:7" s="64" customFormat="1" ht="19.5" customHeight="1">
      <c r="A38" s="642" t="s">
        <v>115</v>
      </c>
      <c r="B38" s="630" t="s">
        <v>182</v>
      </c>
      <c r="C38" s="312" t="s">
        <v>216</v>
      </c>
      <c r="D38" s="313">
        <f>SUM(D29:D37)</f>
        <v>53465232</v>
      </c>
      <c r="E38" s="313">
        <f>SUM(E29:E37)</f>
        <v>51579500</v>
      </c>
      <c r="F38" s="313">
        <f>SUM(F29:F37)</f>
        <v>44776714</v>
      </c>
      <c r="G38" s="313">
        <f>SUM(G29:G37)</f>
        <v>43284918</v>
      </c>
    </row>
    <row r="39" spans="1:7" ht="12.75" customHeight="1">
      <c r="A39" s="296" t="s">
        <v>117</v>
      </c>
      <c r="B39" s="631"/>
      <c r="C39" s="296" t="s">
        <v>577</v>
      </c>
      <c r="D39" s="296">
        <f>SUM('1. melléklet'!D30)</f>
        <v>31616633</v>
      </c>
      <c r="E39" s="296">
        <f>SUM('1. melléklet'!E30)</f>
        <v>14000000</v>
      </c>
      <c r="F39" s="296">
        <f>SUM('1. melléklet'!F30)</f>
        <v>16968160</v>
      </c>
      <c r="G39" s="296">
        <f>SUM('1. melléklet'!G30)</f>
        <v>22893160</v>
      </c>
    </row>
    <row r="40" spans="1:7" ht="12.75" customHeight="1" thickBot="1">
      <c r="A40" s="296" t="s">
        <v>118</v>
      </c>
      <c r="B40" s="632"/>
      <c r="C40" s="317" t="s">
        <v>596</v>
      </c>
      <c r="D40" s="318"/>
      <c r="E40" s="318"/>
      <c r="F40" s="318"/>
      <c r="G40" s="318"/>
    </row>
    <row r="41" spans="1:7" s="64" customFormat="1" ht="21.75" customHeight="1" thickBot="1">
      <c r="A41" s="620" t="s">
        <v>120</v>
      </c>
      <c r="B41" s="633" t="s">
        <v>183</v>
      </c>
      <c r="C41" s="320" t="s">
        <v>13</v>
      </c>
      <c r="D41" s="320">
        <f>SUM(D39:D40)</f>
        <v>31616633</v>
      </c>
      <c r="E41" s="320">
        <f>SUM(E39:E40)</f>
        <v>14000000</v>
      </c>
      <c r="F41" s="320">
        <f>SUM(F39:F40)</f>
        <v>16968160</v>
      </c>
      <c r="G41" s="320">
        <f>SUM(G39:G40)</f>
        <v>22893160</v>
      </c>
    </row>
    <row r="42" spans="1:7" ht="12.75" customHeight="1">
      <c r="A42" s="296" t="s">
        <v>122</v>
      </c>
      <c r="B42" s="634"/>
      <c r="C42" s="1114" t="s">
        <v>578</v>
      </c>
      <c r="D42" s="319">
        <v>549855</v>
      </c>
      <c r="E42" s="319">
        <v>78000</v>
      </c>
      <c r="F42" s="319">
        <v>78000</v>
      </c>
      <c r="G42" s="319">
        <v>150000</v>
      </c>
    </row>
    <row r="43" spans="1:7" s="298" customFormat="1" ht="12.75" customHeight="1">
      <c r="A43" s="316" t="s">
        <v>124</v>
      </c>
      <c r="B43" s="635"/>
      <c r="C43" s="316" t="s">
        <v>597</v>
      </c>
      <c r="D43" s="316">
        <v>210000</v>
      </c>
      <c r="E43" s="316"/>
      <c r="F43" s="316"/>
      <c r="G43" s="316"/>
    </row>
    <row r="44" spans="1:7" s="298" customFormat="1" ht="12.75" customHeight="1">
      <c r="A44" s="316" t="s">
        <v>126</v>
      </c>
      <c r="B44" s="635"/>
      <c r="C44" s="316" t="s">
        <v>598</v>
      </c>
      <c r="D44" s="316">
        <v>78000</v>
      </c>
      <c r="E44" s="316">
        <v>78000</v>
      </c>
      <c r="F44" s="316">
        <v>78000</v>
      </c>
      <c r="G44" s="316">
        <v>150000</v>
      </c>
    </row>
    <row r="45" spans="1:7" ht="12.75" customHeight="1">
      <c r="A45" s="296" t="s">
        <v>128</v>
      </c>
      <c r="B45" s="631"/>
      <c r="C45" s="296" t="s">
        <v>579</v>
      </c>
      <c r="D45" s="296">
        <v>1065440</v>
      </c>
      <c r="E45" s="296">
        <v>0</v>
      </c>
      <c r="F45" s="296">
        <v>0</v>
      </c>
      <c r="G45" s="296">
        <v>1490020</v>
      </c>
    </row>
    <row r="46" spans="1:7" s="298" customFormat="1" ht="12.75" customHeight="1" thickBot="1">
      <c r="A46" s="316" t="s">
        <v>130</v>
      </c>
      <c r="B46" s="636"/>
      <c r="C46" s="321" t="s">
        <v>599</v>
      </c>
      <c r="D46" s="321"/>
      <c r="E46" s="321"/>
      <c r="F46" s="321"/>
      <c r="G46" s="321">
        <v>1490020</v>
      </c>
    </row>
    <row r="47" spans="1:7" s="64" customFormat="1" ht="19.5" customHeight="1" thickBot="1">
      <c r="A47" s="620" t="s">
        <v>131</v>
      </c>
      <c r="B47" s="633" t="s">
        <v>184</v>
      </c>
      <c r="C47" s="320" t="s">
        <v>185</v>
      </c>
      <c r="D47" s="320">
        <f>SUM(D42+D45)</f>
        <v>1615295</v>
      </c>
      <c r="E47" s="320">
        <f>SUM(E42+E45)</f>
        <v>78000</v>
      </c>
      <c r="F47" s="320">
        <f>SUM(F42+F45)</f>
        <v>78000</v>
      </c>
      <c r="G47" s="320">
        <f>SUM(G42+G45)</f>
        <v>1640020</v>
      </c>
    </row>
    <row r="48" spans="1:7" ht="12.75" customHeight="1">
      <c r="A48" s="296" t="s">
        <v>133</v>
      </c>
      <c r="B48" s="634"/>
      <c r="C48" s="319" t="s">
        <v>580</v>
      </c>
      <c r="D48" s="319">
        <v>435505</v>
      </c>
      <c r="E48" s="319">
        <v>0</v>
      </c>
      <c r="F48" s="319">
        <v>0</v>
      </c>
      <c r="G48" s="319">
        <v>0</v>
      </c>
    </row>
    <row r="49" spans="1:7" ht="14.25" customHeight="1" thickBot="1">
      <c r="A49" s="296" t="s">
        <v>135</v>
      </c>
      <c r="B49" s="632"/>
      <c r="C49" s="317" t="s">
        <v>600</v>
      </c>
      <c r="D49" s="318"/>
      <c r="E49" s="318"/>
      <c r="F49" s="318"/>
      <c r="G49" s="318"/>
    </row>
    <row r="50" spans="1:7" s="64" customFormat="1" ht="20.25" customHeight="1" thickBot="1">
      <c r="A50" s="620" t="s">
        <v>137</v>
      </c>
      <c r="B50" s="633" t="s">
        <v>184</v>
      </c>
      <c r="C50" s="320" t="s">
        <v>225</v>
      </c>
      <c r="D50" s="320">
        <v>435505</v>
      </c>
      <c r="E50" s="320">
        <v>0</v>
      </c>
      <c r="F50" s="320">
        <v>0</v>
      </c>
      <c r="G50" s="320">
        <v>0</v>
      </c>
    </row>
    <row r="51" spans="1:7" s="60" customFormat="1" ht="25.5">
      <c r="A51" s="314" t="s">
        <v>139</v>
      </c>
      <c r="B51" s="637"/>
      <c r="C51" s="323" t="s">
        <v>603</v>
      </c>
      <c r="D51" s="324"/>
      <c r="E51" s="324"/>
      <c r="F51" s="324"/>
      <c r="G51" s="324"/>
    </row>
    <row r="52" spans="1:7" s="60" customFormat="1" ht="25.5">
      <c r="A52" s="314" t="s">
        <v>141</v>
      </c>
      <c r="B52" s="638"/>
      <c r="C52" s="325" t="s">
        <v>601</v>
      </c>
      <c r="D52" s="315"/>
      <c r="E52" s="315"/>
      <c r="F52" s="315"/>
      <c r="G52" s="315"/>
    </row>
    <row r="53" spans="1:7" ht="17.25" customHeight="1">
      <c r="A53" s="296" t="s">
        <v>143</v>
      </c>
      <c r="B53" s="631"/>
      <c r="C53" s="296" t="s">
        <v>602</v>
      </c>
      <c r="D53" s="296">
        <f>SUM(D51+D52)</f>
        <v>0</v>
      </c>
      <c r="E53" s="296">
        <f>SUM(E51+E52)</f>
        <v>0</v>
      </c>
      <c r="F53" s="296">
        <f>SUM(F51+F52)</f>
        <v>0</v>
      </c>
      <c r="G53" s="296">
        <f>SUM(G51+G52)</f>
        <v>0</v>
      </c>
    </row>
    <row r="54" spans="1:7" ht="12.75">
      <c r="A54" s="296" t="s">
        <v>145</v>
      </c>
      <c r="B54" s="631"/>
      <c r="C54" s="296" t="s">
        <v>220</v>
      </c>
      <c r="D54" s="296">
        <f>SUM('1. melléklet'!D36)</f>
        <v>653538092</v>
      </c>
      <c r="E54" s="296">
        <f>SUM('1. melléklet'!E36)</f>
        <v>513206538</v>
      </c>
      <c r="F54" s="296">
        <f>SUM('1. melléklet'!F36)</f>
        <v>513206538</v>
      </c>
      <c r="G54" s="296">
        <f>SUM('1. melléklet'!G36)</f>
        <v>513206538</v>
      </c>
    </row>
    <row r="55" spans="1:7" ht="12.75">
      <c r="A55" s="296" t="s">
        <v>147</v>
      </c>
      <c r="B55" s="632"/>
      <c r="C55" s="317" t="s">
        <v>223</v>
      </c>
      <c r="D55" s="317">
        <f>SUM('1. melléklet'!D39)</f>
        <v>9425972</v>
      </c>
      <c r="E55" s="317">
        <f>SUM('1. melléklet'!E39)</f>
        <v>8251931</v>
      </c>
      <c r="F55" s="317">
        <f>SUM('1. melléklet'!F39)</f>
        <v>8341969</v>
      </c>
      <c r="G55" s="317">
        <f>SUM('1. melléklet'!G39)</f>
        <v>8341969</v>
      </c>
    </row>
    <row r="56" spans="1:7" s="64" customFormat="1" ht="21" customHeight="1">
      <c r="A56" s="620" t="s">
        <v>149</v>
      </c>
      <c r="B56" s="639" t="s">
        <v>186</v>
      </c>
      <c r="C56" s="620" t="s">
        <v>604</v>
      </c>
      <c r="D56" s="620">
        <f>SUM(D53+D54+D55)</f>
        <v>662964064</v>
      </c>
      <c r="E56" s="620">
        <f>SUM(E53+E54+E55)</f>
        <v>521458469</v>
      </c>
      <c r="F56" s="620">
        <f>SUM(F53+F54+F55)</f>
        <v>521548507</v>
      </c>
      <c r="G56" s="620">
        <f>SUM(G53+G54+G55)</f>
        <v>521548507</v>
      </c>
    </row>
    <row r="57" spans="1:7" s="322" customFormat="1" ht="15.75">
      <c r="A57" s="619" t="s">
        <v>151</v>
      </c>
      <c r="B57" s="640"/>
      <c r="C57" s="619" t="s">
        <v>198</v>
      </c>
      <c r="D57" s="619">
        <f>SUM(D20+D22+D28+D38+D41+D47+D50+D56)</f>
        <v>1281025527</v>
      </c>
      <c r="E57" s="619">
        <f>SUM(E20+E22+E28+E38+E41+E47+E50+E56)</f>
        <v>981614227</v>
      </c>
      <c r="F57" s="619">
        <f>SUM(F20+F22+F28+F38+F41+F47+F50+F56)</f>
        <v>1166744234</v>
      </c>
      <c r="G57" s="619">
        <f>SUM(G20+G22+G28+G38+G41+G47+G50+G56)</f>
        <v>1205803568</v>
      </c>
    </row>
  </sheetData>
  <sheetProtection/>
  <mergeCells count="6">
    <mergeCell ref="A9:B10"/>
    <mergeCell ref="A4:C4"/>
    <mergeCell ref="A5:G6"/>
    <mergeCell ref="A2:G2"/>
    <mergeCell ref="A1:G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K119"/>
  <sheetViews>
    <sheetView view="pageBreakPreview" zoomScaleSheetLayoutView="100" zoomScalePageLayoutView="0" workbookViewId="0" topLeftCell="A1">
      <selection activeCell="C3" sqref="C3:F3"/>
    </sheetView>
  </sheetViews>
  <sheetFormatPr defaultColWidth="11.7109375" defaultRowHeight="12.75" customHeight="1"/>
  <cols>
    <col min="1" max="2" width="3.8515625" style="5" customWidth="1"/>
    <col min="3" max="3" width="44.7109375" style="5" customWidth="1"/>
    <col min="4" max="4" width="20.57421875" style="52" customWidth="1"/>
    <col min="5" max="5" width="17.57421875" style="52" customWidth="1"/>
    <col min="6" max="7" width="21.57421875" style="52" customWidth="1"/>
    <col min="8" max="16384" width="11.7109375" style="5" customWidth="1"/>
  </cols>
  <sheetData>
    <row r="1" spans="1:7" s="88" customFormat="1" ht="18" customHeight="1">
      <c r="A1" s="1768" t="s">
        <v>231</v>
      </c>
      <c r="B1" s="1768"/>
      <c r="C1" s="1768"/>
      <c r="D1" s="1768"/>
      <c r="E1" s="1768"/>
      <c r="F1" s="1768"/>
      <c r="G1" s="1768"/>
    </row>
    <row r="2" spans="1:7" ht="19.5" customHeight="1">
      <c r="A2" s="1795" t="s">
        <v>1259</v>
      </c>
      <c r="B2" s="1795"/>
      <c r="C2" s="1795"/>
      <c r="D2" s="1795"/>
      <c r="E2" s="1795"/>
      <c r="F2" s="1795"/>
      <c r="G2" s="1795"/>
    </row>
    <row r="3" spans="1:7" ht="19.5" customHeight="1">
      <c r="A3" s="1733"/>
      <c r="B3" s="1733"/>
      <c r="C3" s="1795" t="s">
        <v>1261</v>
      </c>
      <c r="D3" s="1795"/>
      <c r="E3" s="1795"/>
      <c r="F3" s="1795"/>
      <c r="G3" s="1733"/>
    </row>
    <row r="4" spans="1:241" ht="45.75" customHeight="1">
      <c r="A4" s="1794" t="s">
        <v>232</v>
      </c>
      <c r="B4" s="1794"/>
      <c r="C4" s="1794"/>
      <c r="D4" s="1794"/>
      <c r="E4" s="1794"/>
      <c r="F4" s="1794"/>
      <c r="G4" s="179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ht="12.75" customHeight="1">
      <c r="A5" s="1796">
        <v>2020</v>
      </c>
      <c r="B5" s="1796"/>
      <c r="C5" s="1796"/>
      <c r="D5" s="1796"/>
      <c r="E5" s="1796"/>
      <c r="F5" s="1796"/>
      <c r="G5" s="179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ht="12.75" customHeight="1">
      <c r="A6" s="846"/>
      <c r="B6" s="846"/>
      <c r="C6" s="846"/>
      <c r="D6" s="846"/>
      <c r="E6" s="846"/>
      <c r="F6" s="846"/>
      <c r="G6" s="84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ht="15.75" customHeight="1" thickBot="1">
      <c r="A7" s="1789" t="s">
        <v>233</v>
      </c>
      <c r="B7" s="1789"/>
      <c r="C7" s="1789"/>
      <c r="D7" s="852"/>
      <c r="E7" s="852"/>
      <c r="F7" s="852"/>
      <c r="G7" s="852" t="s">
        <v>214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27" customHeight="1">
      <c r="A8" s="1785" t="s">
        <v>156</v>
      </c>
      <c r="B8" s="1786"/>
      <c r="C8" s="356" t="s">
        <v>157</v>
      </c>
      <c r="D8" s="357" t="s">
        <v>1076</v>
      </c>
      <c r="E8" s="357" t="s">
        <v>1077</v>
      </c>
      <c r="F8" s="357" t="s">
        <v>1165</v>
      </c>
      <c r="G8" s="357" t="s">
        <v>1186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2.75" customHeight="1" thickBot="1">
      <c r="A9" s="1787"/>
      <c r="B9" s="1788"/>
      <c r="C9" s="358" t="s">
        <v>158</v>
      </c>
      <c r="D9" s="359" t="s">
        <v>159</v>
      </c>
      <c r="E9" s="359" t="s">
        <v>160</v>
      </c>
      <c r="F9" s="359" t="s">
        <v>161</v>
      </c>
      <c r="G9" s="359" t="s">
        <v>456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s="298" customFormat="1" ht="23.25" customHeight="1">
      <c r="A10" s="352" t="s">
        <v>38</v>
      </c>
      <c r="B10" s="353"/>
      <c r="C10" s="354" t="s">
        <v>571</v>
      </c>
      <c r="D10" s="355">
        <f>SUM('19 önkormányzat'!E9)</f>
        <v>64654837</v>
      </c>
      <c r="E10" s="355">
        <f>SUM('19 önkormányzat'!F9)</f>
        <v>61975191</v>
      </c>
      <c r="F10" s="355">
        <f>SUM('19 önkormányzat'!G9)</f>
        <v>75331491</v>
      </c>
      <c r="G10" s="355">
        <f>SUM('19 önkormányzat'!H9)</f>
        <v>75719241</v>
      </c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</row>
    <row r="11" spans="1:241" s="298" customFormat="1" ht="27.75" customHeight="1">
      <c r="A11" s="346" t="s">
        <v>40</v>
      </c>
      <c r="B11" s="347"/>
      <c r="C11" s="348" t="s">
        <v>572</v>
      </c>
      <c r="D11" s="355">
        <f>SUM('19 önkormányzat'!E10)</f>
        <v>71348150</v>
      </c>
      <c r="E11" s="355">
        <f>SUM('19 önkormányzat'!F10)</f>
        <v>71578420</v>
      </c>
      <c r="F11" s="355">
        <f>SUM('19 önkormányzat'!G10)</f>
        <v>71578420</v>
      </c>
      <c r="G11" s="355">
        <f>SUM('19 önkormányzat'!H10)</f>
        <v>76658570</v>
      </c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  <c r="FW11" s="277"/>
      <c r="FX11" s="277"/>
      <c r="FY11" s="277"/>
      <c r="FZ11" s="277"/>
      <c r="GA11" s="277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7"/>
      <c r="HJ11" s="277"/>
      <c r="HK11" s="277"/>
      <c r="HL11" s="277"/>
      <c r="HM11" s="277"/>
      <c r="HN11" s="277"/>
      <c r="HO11" s="277"/>
      <c r="HP11" s="277"/>
      <c r="HQ11" s="277"/>
      <c r="HR11" s="277"/>
      <c r="HS11" s="277"/>
      <c r="HT11" s="277"/>
      <c r="HU11" s="277"/>
      <c r="HV11" s="277"/>
      <c r="HW11" s="277"/>
      <c r="HX11" s="277"/>
      <c r="HY11" s="277"/>
      <c r="HZ11" s="277"/>
      <c r="IA11" s="277"/>
      <c r="IB11" s="277"/>
      <c r="IC11" s="277"/>
      <c r="ID11" s="277"/>
      <c r="IE11" s="277"/>
      <c r="IF11" s="277"/>
      <c r="IG11" s="277"/>
    </row>
    <row r="12" spans="1:241" s="298" customFormat="1" ht="29.25" customHeight="1">
      <c r="A12" s="346" t="s">
        <v>47</v>
      </c>
      <c r="B12" s="347"/>
      <c r="C12" s="348" t="s">
        <v>1216</v>
      </c>
      <c r="D12" s="355">
        <f>SUM('19 önkormányzat'!E12)</f>
        <v>73996115</v>
      </c>
      <c r="E12" s="355">
        <f>SUM('19 önkormányzat'!F12)</f>
        <v>68387414</v>
      </c>
      <c r="F12" s="355">
        <f>SUM('19 önkormányzat'!G12)</f>
        <v>70287414</v>
      </c>
      <c r="G12" s="355">
        <v>41769100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7"/>
      <c r="HQ12" s="277"/>
      <c r="HR12" s="277"/>
      <c r="HS12" s="277"/>
      <c r="HT12" s="277"/>
      <c r="HU12" s="277"/>
      <c r="HV12" s="277"/>
      <c r="HW12" s="277"/>
      <c r="HX12" s="277"/>
      <c r="HY12" s="277"/>
      <c r="HZ12" s="277"/>
      <c r="IA12" s="277"/>
      <c r="IB12" s="277"/>
      <c r="IC12" s="277"/>
      <c r="ID12" s="277"/>
      <c r="IE12" s="277"/>
      <c r="IF12" s="277"/>
      <c r="IG12" s="277"/>
    </row>
    <row r="13" spans="1:241" s="298" customFormat="1" ht="29.25" customHeight="1">
      <c r="A13" s="346" t="s">
        <v>49</v>
      </c>
      <c r="B13" s="347"/>
      <c r="C13" s="348" t="s">
        <v>1217</v>
      </c>
      <c r="D13" s="355"/>
      <c r="E13" s="355"/>
      <c r="F13" s="355"/>
      <c r="G13" s="355">
        <v>32209354</v>
      </c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7"/>
      <c r="FT13" s="277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7"/>
      <c r="GZ13" s="277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7"/>
      <c r="HQ13" s="277"/>
      <c r="HR13" s="277"/>
      <c r="HS13" s="277"/>
      <c r="HT13" s="277"/>
      <c r="HU13" s="277"/>
      <c r="HV13" s="277"/>
      <c r="HW13" s="277"/>
      <c r="HX13" s="277"/>
      <c r="HY13" s="277"/>
      <c r="HZ13" s="277"/>
      <c r="IA13" s="277"/>
      <c r="IB13" s="277"/>
      <c r="IC13" s="277"/>
      <c r="ID13" s="277"/>
      <c r="IE13" s="277"/>
      <c r="IF13" s="277"/>
      <c r="IG13" s="277"/>
    </row>
    <row r="14" spans="1:241" s="298" customFormat="1" ht="24" customHeight="1">
      <c r="A14" s="346" t="s">
        <v>51</v>
      </c>
      <c r="B14" s="347"/>
      <c r="C14" s="348" t="s">
        <v>573</v>
      </c>
      <c r="D14" s="355">
        <f>SUM('19 önkormányzat'!E13)</f>
        <v>5050082</v>
      </c>
      <c r="E14" s="355">
        <f>SUM('19 önkormányzat'!F13)</f>
        <v>4357233</v>
      </c>
      <c r="F14" s="355">
        <f>SUM('19 önkormányzat'!G13)</f>
        <v>4357233</v>
      </c>
      <c r="G14" s="355">
        <f>SUM('19 önkormányzat'!H13)</f>
        <v>5854923</v>
      </c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  <c r="IF14" s="277"/>
      <c r="IG14" s="277"/>
    </row>
    <row r="15" spans="1:241" s="298" customFormat="1" ht="22.5" customHeight="1">
      <c r="A15" s="346" t="s">
        <v>53</v>
      </c>
      <c r="B15" s="347"/>
      <c r="C15" s="348" t="s">
        <v>574</v>
      </c>
      <c r="D15" s="355">
        <f>SUM('19 önkormányzat'!E14)</f>
        <v>9078450</v>
      </c>
      <c r="E15" s="355">
        <f>SUM('19 önkormányzat'!F14)</f>
        <v>0</v>
      </c>
      <c r="F15" s="355">
        <f>SUM('19 önkormányzat'!G14)</f>
        <v>0</v>
      </c>
      <c r="G15" s="355">
        <f>SUM('19 önkormányzat'!H14)</f>
        <v>0</v>
      </c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</row>
    <row r="16" spans="1:241" s="298" customFormat="1" ht="12.75" customHeight="1">
      <c r="A16" s="346" t="s">
        <v>55</v>
      </c>
      <c r="B16" s="347"/>
      <c r="C16" s="348" t="s">
        <v>575</v>
      </c>
      <c r="D16" s="355">
        <f>SUM('19 önkormányzat'!E15)</f>
        <v>0</v>
      </c>
      <c r="E16" s="355">
        <f>SUM('19 önkormányzat'!F15)</f>
        <v>0</v>
      </c>
      <c r="F16" s="355">
        <f>SUM('19 önkormányzat'!G15)</f>
        <v>0</v>
      </c>
      <c r="G16" s="355">
        <f>SUM('19 önkormányzat'!H15)</f>
        <v>0</v>
      </c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</row>
    <row r="17" spans="1:241" ht="12.75" customHeight="1">
      <c r="A17" s="328" t="s">
        <v>57</v>
      </c>
      <c r="B17" s="350"/>
      <c r="C17" s="296" t="s">
        <v>162</v>
      </c>
      <c r="D17" s="333">
        <f>SUM(D10:D16)</f>
        <v>224127634</v>
      </c>
      <c r="E17" s="333">
        <f>SUM(E10:E16)</f>
        <v>206298258</v>
      </c>
      <c r="F17" s="333">
        <f>SUM(F10:F16)</f>
        <v>221554558</v>
      </c>
      <c r="G17" s="333">
        <f>SUM(G10:G16)</f>
        <v>232211188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2.75" customHeight="1">
      <c r="A18" s="328" t="s">
        <v>86</v>
      </c>
      <c r="B18" s="330"/>
      <c r="C18" s="334" t="s">
        <v>163</v>
      </c>
      <c r="D18" s="333">
        <v>18593775</v>
      </c>
      <c r="E18" s="333">
        <f>SUM(E19:E21)</f>
        <v>250000</v>
      </c>
      <c r="F18" s="333">
        <f>SUM(F19:F21)</f>
        <v>250000</v>
      </c>
      <c r="G18" s="333">
        <f>SUM(G19:G21)</f>
        <v>1512404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2.75" customHeight="1">
      <c r="A19" s="327" t="s">
        <v>59</v>
      </c>
      <c r="B19" s="331"/>
      <c r="C19" s="316" t="s">
        <v>1235</v>
      </c>
      <c r="D19" s="121">
        <v>15626686</v>
      </c>
      <c r="E19" s="121">
        <v>0</v>
      </c>
      <c r="F19" s="121">
        <v>0</v>
      </c>
      <c r="G19" s="121">
        <v>1048888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7" s="114" customFormat="1" ht="12.75" customHeight="1">
      <c r="A20" s="113" t="s">
        <v>61</v>
      </c>
      <c r="B20" s="332"/>
      <c r="C20" s="316" t="s">
        <v>595</v>
      </c>
      <c r="D20" s="238"/>
      <c r="E20" s="238"/>
      <c r="F20" s="238"/>
      <c r="G20" s="238"/>
    </row>
    <row r="21" spans="1:241" ht="12.75" customHeight="1">
      <c r="A21" s="113" t="s">
        <v>63</v>
      </c>
      <c r="B21" s="203"/>
      <c r="C21" s="316" t="s">
        <v>594</v>
      </c>
      <c r="D21" s="238">
        <v>2565245</v>
      </c>
      <c r="E21" s="238">
        <v>250000</v>
      </c>
      <c r="F21" s="238">
        <v>250000</v>
      </c>
      <c r="G21" s="238">
        <v>463516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s="64" customFormat="1" ht="12.75" customHeight="1">
      <c r="A22" s="335" t="s">
        <v>65</v>
      </c>
      <c r="B22" s="92" t="s">
        <v>164</v>
      </c>
      <c r="C22" s="336" t="s">
        <v>165</v>
      </c>
      <c r="D22" s="337">
        <f>SUM(D17+D18)</f>
        <v>242721409</v>
      </c>
      <c r="E22" s="337">
        <f>SUM(E17+E18)</f>
        <v>206548258</v>
      </c>
      <c r="F22" s="337">
        <f>SUM(F17+F18)</f>
        <v>221804558</v>
      </c>
      <c r="G22" s="337">
        <f>SUM(G17+G18)</f>
        <v>233723592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64" customFormat="1" ht="12.75" customHeight="1">
      <c r="A23" s="335" t="s">
        <v>92</v>
      </c>
      <c r="B23" s="92" t="s">
        <v>166</v>
      </c>
      <c r="C23" s="338" t="s">
        <v>167</v>
      </c>
      <c r="D23" s="337">
        <v>86558434</v>
      </c>
      <c r="E23" s="337">
        <v>0</v>
      </c>
      <c r="F23" s="337">
        <v>204583492</v>
      </c>
      <c r="G23" s="337">
        <v>225628568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64" customFormat="1" ht="12.75" customHeight="1">
      <c r="A24" s="335" t="s">
        <v>66</v>
      </c>
      <c r="B24" s="61" t="s">
        <v>173</v>
      </c>
      <c r="C24" s="176" t="s">
        <v>174</v>
      </c>
      <c r="D24" s="62">
        <f>SUM('1. melléklet'!D19)</f>
        <v>197268452</v>
      </c>
      <c r="E24" s="62">
        <f>SUM('1. melléklet'!E19)</f>
        <v>187950000</v>
      </c>
      <c r="F24" s="62">
        <f>SUM('1. melléklet'!F19)</f>
        <v>156949463</v>
      </c>
      <c r="G24" s="62">
        <f>SUM('1. melléklet'!G19)</f>
        <v>157049463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ht="12.75" customHeight="1">
      <c r="A25" s="113" t="s">
        <v>67</v>
      </c>
      <c r="B25" s="79"/>
      <c r="C25" s="296" t="s">
        <v>576</v>
      </c>
      <c r="D25" s="78">
        <f>SUM('19 önkormányzat'!E36)</f>
        <v>3655726</v>
      </c>
      <c r="E25" s="78">
        <f>SUM('19 önkormányzat'!F36)</f>
        <v>3600000</v>
      </c>
      <c r="F25" s="78">
        <f>SUM('19 önkormányzat'!G36)</f>
        <v>2500000</v>
      </c>
      <c r="G25" s="78">
        <f>SUM('19 önkormányzat'!H36)</f>
        <v>3000000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.75" customHeight="1">
      <c r="A26" s="113" t="s">
        <v>68</v>
      </c>
      <c r="B26" s="79"/>
      <c r="C26" s="296" t="s">
        <v>176</v>
      </c>
      <c r="D26" s="78">
        <f>SUM('19 önkormányzat'!E37)</f>
        <v>5179339</v>
      </c>
      <c r="E26" s="78">
        <f>SUM('19 önkormányzat'!F37)</f>
        <v>5179000</v>
      </c>
      <c r="F26" s="78">
        <f>SUM('19 önkormányzat'!G37)</f>
        <v>5179000</v>
      </c>
      <c r="G26" s="78">
        <f>SUM('19 önkormányzat'!H37)</f>
        <v>4000000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.75" customHeight="1">
      <c r="A27" s="113" t="s">
        <v>70</v>
      </c>
      <c r="B27" s="79"/>
      <c r="C27" s="296" t="s">
        <v>177</v>
      </c>
      <c r="D27" s="78">
        <f>SUM('19 önkormányzat'!E38)</f>
        <v>247860</v>
      </c>
      <c r="E27" s="78">
        <f>SUM('19 önkormányzat'!F38)</f>
        <v>240000</v>
      </c>
      <c r="F27" s="78">
        <f>SUM('19 önkormányzat'!G38)</f>
        <v>150000</v>
      </c>
      <c r="G27" s="78">
        <f>SUM('19 önkormányzat'!H38)</f>
        <v>300000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3.5" customHeight="1">
      <c r="A28" s="113" t="s">
        <v>97</v>
      </c>
      <c r="B28" s="79"/>
      <c r="C28" s="296" t="s">
        <v>179</v>
      </c>
      <c r="D28" s="78">
        <f>SUM('19 önkormányzat'!E39)</f>
        <v>10002449</v>
      </c>
      <c r="E28" s="78">
        <f>SUM('19 önkormányzat'!F39)</f>
        <v>10000000</v>
      </c>
      <c r="F28" s="78">
        <f>SUM('19 önkormányzat'!G39)</f>
        <v>10000000</v>
      </c>
      <c r="G28" s="78">
        <f>SUM('19 önkormányzat'!H39)</f>
        <v>9600000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3.5" customHeight="1">
      <c r="A29" s="113" t="s">
        <v>99</v>
      </c>
      <c r="B29" s="79"/>
      <c r="C29" s="296" t="s">
        <v>699</v>
      </c>
      <c r="D29" s="78">
        <f>SUM('19 önkormányzat'!E40)</f>
        <v>0</v>
      </c>
      <c r="E29" s="78">
        <f>SUM('19 önkormányzat'!F40)</f>
        <v>0</v>
      </c>
      <c r="F29" s="78">
        <f>SUM('19 önkormányzat'!G40)</f>
        <v>0</v>
      </c>
      <c r="G29" s="78">
        <f>SUM('19 önkormányzat'!H40)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ht="12.75" customHeight="1">
      <c r="A30" s="113" t="s">
        <v>101</v>
      </c>
      <c r="B30" s="79"/>
      <c r="C30" s="294" t="s">
        <v>587</v>
      </c>
      <c r="D30" s="78">
        <f>SUM('19 önkormányzat'!E41)</f>
        <v>55</v>
      </c>
      <c r="E30" s="78">
        <f>SUM('19 önkormányzat'!F41)</f>
        <v>0</v>
      </c>
      <c r="F30" s="78">
        <f>SUM('19 önkormányzat'!G41)</f>
        <v>26</v>
      </c>
      <c r="G30" s="78">
        <f>SUM('19 önkormányzat'!H41)</f>
        <v>100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ht="12.75" customHeight="1">
      <c r="A31" s="113" t="s">
        <v>103</v>
      </c>
      <c r="B31" s="79"/>
      <c r="C31" s="845" t="s">
        <v>807</v>
      </c>
      <c r="D31" s="78">
        <f>SUM('19 önkormányzat'!E42)</f>
        <v>113750</v>
      </c>
      <c r="E31" s="78">
        <f>SUM('19 önkormányzat'!F42)</f>
        <v>0</v>
      </c>
      <c r="F31" s="78">
        <f>SUM('19 önkormányzat'!G42)</f>
        <v>0</v>
      </c>
      <c r="G31" s="78">
        <f>SUM('19 önkormányzat'!H42)</f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2.75" customHeight="1">
      <c r="A32" s="113" t="s">
        <v>105</v>
      </c>
      <c r="B32" s="79"/>
      <c r="C32" s="302" t="s">
        <v>181</v>
      </c>
      <c r="D32" s="78">
        <f>SUM('19 önkormányzat'!E43)</f>
        <v>3407335</v>
      </c>
      <c r="E32" s="78">
        <f>SUM('19 önkormányzat'!F43)</f>
        <v>2000000</v>
      </c>
      <c r="F32" s="78">
        <f>SUM('19 önkormányzat'!G43)</f>
        <v>1000000</v>
      </c>
      <c r="G32" s="78">
        <f>SUM('19 önkormányzat'!H43)</f>
        <v>100000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s="64" customFormat="1" ht="12.75" customHeight="1">
      <c r="A33" s="360" t="s">
        <v>107</v>
      </c>
      <c r="B33" s="281" t="s">
        <v>182</v>
      </c>
      <c r="C33" s="605" t="s">
        <v>216</v>
      </c>
      <c r="D33" s="82">
        <f>SUM(D25:D32)</f>
        <v>22606514</v>
      </c>
      <c r="E33" s="82">
        <f>SUM(E25:E32)</f>
        <v>21019000</v>
      </c>
      <c r="F33" s="82">
        <f>SUM(F25:F32)</f>
        <v>18829026</v>
      </c>
      <c r="G33" s="82">
        <f>SUM(G25:G32)</f>
        <v>17000100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5" s="10" customFormat="1" ht="12.75" customHeight="1">
      <c r="A34" s="396" t="s">
        <v>109</v>
      </c>
      <c r="B34" s="396" t="s">
        <v>183</v>
      </c>
      <c r="C34" s="453" t="s">
        <v>13</v>
      </c>
      <c r="D34" s="414">
        <f>SUM('19 önkormányzat'!E45)</f>
        <v>31616633</v>
      </c>
      <c r="E34" s="414">
        <f>SUM('19 önkormányzat'!F45)</f>
        <v>14000000</v>
      </c>
      <c r="F34" s="414">
        <f>SUM('19 önkormányzat'!G45)</f>
        <v>16968160</v>
      </c>
      <c r="G34" s="414">
        <f>SUM('19 önkormányzat'!H45)</f>
        <v>22893160</v>
      </c>
      <c r="IH34" s="64"/>
      <c r="II34" s="64"/>
      <c r="IJ34" s="64"/>
      <c r="IK34" s="64"/>
    </row>
    <row r="35" spans="1:245" s="10" customFormat="1" ht="12.75" customHeight="1">
      <c r="A35" s="396" t="s">
        <v>111</v>
      </c>
      <c r="B35" s="396" t="s">
        <v>184</v>
      </c>
      <c r="C35" s="453" t="s">
        <v>185</v>
      </c>
      <c r="D35" s="414">
        <f>SUM('19 önkormányzat'!E56)</f>
        <v>1117184</v>
      </c>
      <c r="E35" s="414">
        <f>SUM('19 önkormányzat'!F56)</f>
        <v>78000</v>
      </c>
      <c r="F35" s="414">
        <f>SUM('19 önkormányzat'!G56)</f>
        <v>78000</v>
      </c>
      <c r="G35" s="414">
        <f>SUM('19 önkormányzat'!H56)</f>
        <v>1640020</v>
      </c>
      <c r="IH35" s="64"/>
      <c r="II35" s="64"/>
      <c r="IJ35" s="64"/>
      <c r="IK35" s="64"/>
    </row>
    <row r="36" spans="1:241" s="64" customFormat="1" ht="12.75" customHeight="1">
      <c r="A36" s="606" t="s">
        <v>113</v>
      </c>
      <c r="B36" s="106" t="s">
        <v>186</v>
      </c>
      <c r="C36" s="607" t="s">
        <v>225</v>
      </c>
      <c r="D36" s="414">
        <v>0</v>
      </c>
      <c r="E36" s="414">
        <v>0</v>
      </c>
      <c r="F36" s="414">
        <v>0</v>
      </c>
      <c r="G36" s="414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ht="12.75" customHeight="1">
      <c r="A37" s="113" t="s">
        <v>115</v>
      </c>
      <c r="B37" s="203"/>
      <c r="C37" s="325" t="s">
        <v>603</v>
      </c>
      <c r="D37" s="78"/>
      <c r="E37" s="78"/>
      <c r="F37" s="78"/>
      <c r="G37" s="78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5" s="280" customFormat="1" ht="26.25" customHeight="1">
      <c r="A38" s="343" t="s">
        <v>117</v>
      </c>
      <c r="B38" s="344"/>
      <c r="C38" s="608" t="s">
        <v>601</v>
      </c>
      <c r="D38" s="345"/>
      <c r="E38" s="345"/>
      <c r="F38" s="345"/>
      <c r="G38" s="345"/>
      <c r="IH38" s="341"/>
      <c r="II38" s="341"/>
      <c r="IJ38" s="341"/>
      <c r="IK38" s="341"/>
    </row>
    <row r="39" spans="1:241" ht="12.75" customHeight="1">
      <c r="A39" s="113" t="s">
        <v>118</v>
      </c>
      <c r="B39" s="203"/>
      <c r="C39" s="296" t="s">
        <v>602</v>
      </c>
      <c r="D39" s="238">
        <f>SUM(D37:D38)</f>
        <v>0</v>
      </c>
      <c r="E39" s="238">
        <f>SUM(E37:E38)</f>
        <v>0</v>
      </c>
      <c r="F39" s="238">
        <f>SUM(F37:F38)</f>
        <v>0</v>
      </c>
      <c r="G39" s="238">
        <f>SUM(G37:G38)</f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 customHeight="1">
      <c r="A40" s="113" t="s">
        <v>120</v>
      </c>
      <c r="B40" s="203"/>
      <c r="C40" s="296" t="s">
        <v>220</v>
      </c>
      <c r="D40" s="78">
        <f>SUM('19 önkormányzat'!E62)</f>
        <v>651363270</v>
      </c>
      <c r="E40" s="78">
        <f>SUM('19 önkormányzat'!F62)</f>
        <v>512008806</v>
      </c>
      <c r="F40" s="78">
        <f>SUM('19 önkormányzat'!G62)</f>
        <v>512008806</v>
      </c>
      <c r="G40" s="78">
        <f>SUM('19 önkormányzat'!H62)</f>
        <v>512008806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2.75" customHeight="1">
      <c r="A41" s="113" t="s">
        <v>122</v>
      </c>
      <c r="B41" s="203"/>
      <c r="C41" s="296" t="s">
        <v>223</v>
      </c>
      <c r="D41" s="78">
        <f>SUM('19 önkormányzat'!E65)</f>
        <v>9425972</v>
      </c>
      <c r="E41" s="78">
        <f>SUM('19 önkormányzat'!F65)</f>
        <v>8251931</v>
      </c>
      <c r="F41" s="78">
        <f>SUM('19 önkormányzat'!G65)</f>
        <v>8341969</v>
      </c>
      <c r="G41" s="78">
        <f>SUM('19 önkormányzat'!H65)</f>
        <v>8341969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s="64" customFormat="1" ht="12.75" customHeight="1" thickBot="1">
      <c r="A42" s="360" t="s">
        <v>124</v>
      </c>
      <c r="B42" s="281" t="s">
        <v>189</v>
      </c>
      <c r="C42" s="361" t="s">
        <v>604</v>
      </c>
      <c r="D42" s="362">
        <f>SUM(D40:D41)</f>
        <v>660789242</v>
      </c>
      <c r="E42" s="362">
        <f>SUM(E40:E41)</f>
        <v>520260737</v>
      </c>
      <c r="F42" s="362">
        <f>SUM(F40:F41)</f>
        <v>520350775</v>
      </c>
      <c r="G42" s="362">
        <f>SUM(G40:G41)</f>
        <v>520350775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29" customFormat="1" ht="17.25" customHeight="1" thickBot="1">
      <c r="A43" s="363" t="s">
        <v>126</v>
      </c>
      <c r="B43" s="364"/>
      <c r="C43" s="365" t="s">
        <v>236</v>
      </c>
      <c r="D43" s="366">
        <f>SUM(D22+D23+D24+D33+D34+D36+D42)+D35</f>
        <v>1242677868</v>
      </c>
      <c r="E43" s="366">
        <f>SUM(E22+E23+E24+E33+E34+E36+E42)+E35</f>
        <v>949855995</v>
      </c>
      <c r="F43" s="366">
        <f>SUM(F22+F23+F24+F33+F34+F36+F42)+F35</f>
        <v>1139563474</v>
      </c>
      <c r="G43" s="366">
        <f>SUM(G22+G23+G24+G33+G34+G36+G42)+G35</f>
        <v>1178285678</v>
      </c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/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/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/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42"/>
      <c r="EX43" s="342"/>
      <c r="EY43" s="342"/>
      <c r="EZ43" s="342"/>
      <c r="FA43" s="342"/>
      <c r="FB43" s="342"/>
      <c r="FC43" s="342"/>
      <c r="FD43" s="342"/>
      <c r="FE43" s="342"/>
      <c r="FF43" s="342"/>
      <c r="FG43" s="342"/>
      <c r="FH43" s="342"/>
      <c r="FI43" s="342"/>
      <c r="FJ43" s="342"/>
      <c r="FK43" s="342"/>
      <c r="FL43" s="342"/>
      <c r="FM43" s="342"/>
      <c r="FN43" s="342"/>
      <c r="FO43" s="342"/>
      <c r="FP43" s="342"/>
      <c r="FQ43" s="342"/>
      <c r="FR43" s="342"/>
      <c r="FS43" s="342"/>
      <c r="FT43" s="342"/>
      <c r="FU43" s="342"/>
      <c r="FV43" s="342"/>
      <c r="FW43" s="342"/>
      <c r="FX43" s="342"/>
      <c r="FY43" s="342"/>
      <c r="FZ43" s="342"/>
      <c r="GA43" s="342"/>
      <c r="GB43" s="342"/>
      <c r="GC43" s="342"/>
      <c r="GD43" s="342"/>
      <c r="GE43" s="342"/>
      <c r="GF43" s="342"/>
      <c r="GG43" s="342"/>
      <c r="GH43" s="342"/>
      <c r="GI43" s="342"/>
      <c r="GJ43" s="342"/>
      <c r="GK43" s="342"/>
      <c r="GL43" s="342"/>
      <c r="GM43" s="342"/>
      <c r="GN43" s="342"/>
      <c r="GO43" s="342"/>
      <c r="GP43" s="342"/>
      <c r="GQ43" s="342"/>
      <c r="GR43" s="342"/>
      <c r="GS43" s="342"/>
      <c r="GT43" s="342"/>
      <c r="GU43" s="342"/>
      <c r="GV43" s="342"/>
      <c r="GW43" s="342"/>
      <c r="GX43" s="342"/>
      <c r="GY43" s="342"/>
      <c r="GZ43" s="342"/>
      <c r="HA43" s="342"/>
      <c r="HB43" s="342"/>
      <c r="HC43" s="342"/>
      <c r="HD43" s="342"/>
      <c r="HE43" s="342"/>
      <c r="HF43" s="342"/>
      <c r="HG43" s="342"/>
      <c r="HH43" s="342"/>
      <c r="HI43" s="342"/>
      <c r="HJ43" s="342"/>
      <c r="HK43" s="342"/>
      <c r="HL43" s="342"/>
      <c r="HM43" s="342"/>
      <c r="HN43" s="342"/>
      <c r="HO43" s="342"/>
      <c r="HP43" s="342"/>
      <c r="HQ43" s="342"/>
      <c r="HR43" s="342"/>
      <c r="HS43" s="342"/>
      <c r="HT43" s="342"/>
      <c r="HU43" s="342"/>
      <c r="HV43" s="342"/>
      <c r="HW43" s="342"/>
      <c r="HX43" s="342"/>
      <c r="HY43" s="342"/>
      <c r="HZ43" s="342"/>
      <c r="IA43" s="342"/>
      <c r="IB43" s="342"/>
      <c r="IC43" s="342"/>
      <c r="ID43" s="342"/>
      <c r="IE43" s="342"/>
      <c r="IF43" s="342"/>
      <c r="IG43" s="342"/>
    </row>
    <row r="44" spans="1:241" ht="12.75" customHeight="1" thickBot="1">
      <c r="A44" s="1789" t="s">
        <v>305</v>
      </c>
      <c r="B44" s="1789"/>
      <c r="C44" s="1789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25.5" customHeight="1">
      <c r="A45" s="1785" t="s">
        <v>156</v>
      </c>
      <c r="B45" s="1786"/>
      <c r="C45" s="307" t="s">
        <v>157</v>
      </c>
      <c r="D45" s="357" t="s">
        <v>1076</v>
      </c>
      <c r="E45" s="357" t="s">
        <v>1077</v>
      </c>
      <c r="F45" s="357" t="s">
        <v>1165</v>
      </c>
      <c r="G45" s="357" t="s">
        <v>1186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2.75" customHeight="1" thickBot="1">
      <c r="A46" s="1787"/>
      <c r="B46" s="1788"/>
      <c r="C46" s="309" t="s">
        <v>158</v>
      </c>
      <c r="D46" s="369" t="s">
        <v>159</v>
      </c>
      <c r="E46" s="369" t="s">
        <v>160</v>
      </c>
      <c r="F46" s="369" t="s">
        <v>161</v>
      </c>
      <c r="G46" s="369" t="s">
        <v>456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30" customHeight="1">
      <c r="A47" s="118" t="s">
        <v>38</v>
      </c>
      <c r="B47" s="79"/>
      <c r="C47" s="329" t="s">
        <v>605</v>
      </c>
      <c r="D47" s="78">
        <f>SUM('17. Hivatal'!E17)</f>
        <v>3143412</v>
      </c>
      <c r="E47" s="78">
        <f>SUM('17. Hivatal'!F17)</f>
        <v>0</v>
      </c>
      <c r="F47" s="78">
        <f>SUM('17. Hivatal'!G17)</f>
        <v>0</v>
      </c>
      <c r="G47" s="78">
        <f>SUM('17. Hivatal'!H17)</f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s="64" customFormat="1" ht="12.75" customHeight="1">
      <c r="A48" s="119" t="s">
        <v>40</v>
      </c>
      <c r="B48" s="61" t="s">
        <v>164</v>
      </c>
      <c r="C48" s="336" t="s">
        <v>165</v>
      </c>
      <c r="D48" s="62">
        <f>SUM(D47:D47)</f>
        <v>3143412</v>
      </c>
      <c r="E48" s="62">
        <f>SUM(E47:E47)</f>
        <v>0</v>
      </c>
      <c r="F48" s="62">
        <f>SUM(F47:F47)</f>
        <v>0</v>
      </c>
      <c r="G48" s="62">
        <f>SUM(G47:G47)</f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ht="12.75" customHeight="1">
      <c r="A49" s="118" t="s">
        <v>47</v>
      </c>
      <c r="B49" s="79"/>
      <c r="C49" s="296" t="s">
        <v>576</v>
      </c>
      <c r="D49" s="78">
        <f>SUM('17. Hivatal'!E11)</f>
        <v>171000</v>
      </c>
      <c r="E49" s="78">
        <f>SUM('17. Hivatal'!F11)</f>
        <v>171000</v>
      </c>
      <c r="F49" s="78">
        <f>SUM('17. Hivatal'!G11)</f>
        <v>100000</v>
      </c>
      <c r="G49" s="78">
        <f>SUM('17. Hivatal'!H11)</f>
        <v>100000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241" ht="12.75" customHeight="1">
      <c r="A50" s="118" t="s">
        <v>49</v>
      </c>
      <c r="B50" s="79"/>
      <c r="C50" s="296" t="s">
        <v>176</v>
      </c>
      <c r="D50" s="78">
        <f>SUM('17. Hivatal'!E12)</f>
        <v>1513064</v>
      </c>
      <c r="E50" s="78">
        <f>SUM('17. Hivatal'!F12)</f>
        <v>1500000</v>
      </c>
      <c r="F50" s="78">
        <f>SUM('17. Hivatal'!G12)</f>
        <v>1500000</v>
      </c>
      <c r="G50" s="78">
        <f>SUM('17. Hivatal'!H12)</f>
        <v>1500000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</row>
    <row r="51" spans="1:241" ht="12.75" customHeight="1">
      <c r="A51" s="351" t="s">
        <v>51</v>
      </c>
      <c r="B51" s="79"/>
      <c r="C51" s="296" t="s">
        <v>177</v>
      </c>
      <c r="D51" s="78">
        <f>SUM('17. Hivatal'!E13)</f>
        <v>412847</v>
      </c>
      <c r="E51" s="78">
        <f>SUM('17. Hivatal'!F13)</f>
        <v>400000</v>
      </c>
      <c r="F51" s="78">
        <f>SUM('17. Hivatal'!G13)</f>
        <v>400000</v>
      </c>
      <c r="G51" s="78">
        <f>SUM('17. Hivatal'!H13)</f>
        <v>400000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ht="12.75" customHeight="1">
      <c r="A52" s="328" t="s">
        <v>53</v>
      </c>
      <c r="B52" s="135"/>
      <c r="C52" s="296" t="s">
        <v>179</v>
      </c>
      <c r="D52" s="78">
        <f>SUM('17. Hivatal'!E14)</f>
        <v>0</v>
      </c>
      <c r="E52" s="78">
        <f>SUM('17. Hivatal'!F14)</f>
        <v>0</v>
      </c>
      <c r="F52" s="78">
        <f>SUM('17. Hivatal'!G14)</f>
        <v>0</v>
      </c>
      <c r="G52" s="78">
        <f>SUM('17. Hivatal'!H14)</f>
        <v>1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2.75" customHeight="1">
      <c r="A53" s="328" t="s">
        <v>55</v>
      </c>
      <c r="B53" s="135"/>
      <c r="C53" s="294" t="s">
        <v>587</v>
      </c>
      <c r="D53" s="78">
        <f>SUM('17. Hivatal'!E15)</f>
        <v>22</v>
      </c>
      <c r="E53" s="78">
        <f>SUM('17. Hivatal'!F15)</f>
        <v>0</v>
      </c>
      <c r="F53" s="78">
        <f>SUM('17. Hivatal'!G15)</f>
        <v>8</v>
      </c>
      <c r="G53" s="78">
        <f>SUM('17. Hivatal'!H15)</f>
        <v>30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2.75" customHeight="1">
      <c r="A54" s="328" t="s">
        <v>57</v>
      </c>
      <c r="B54" s="135"/>
      <c r="C54" s="302" t="s">
        <v>181</v>
      </c>
      <c r="D54" s="78">
        <f>SUM('17. Hivatal'!E16)</f>
        <v>0</v>
      </c>
      <c r="E54" s="78">
        <f>SUM('17. Hivatal'!F16)</f>
        <v>0</v>
      </c>
      <c r="F54" s="78">
        <f>SUM('17. Hivatal'!G16)</f>
        <v>0</v>
      </c>
      <c r="G54" s="78">
        <f>SUM('17. Hivatal'!H16)</f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s="64" customFormat="1" ht="12.75" customHeight="1">
      <c r="A55" s="349" t="s">
        <v>86</v>
      </c>
      <c r="B55" s="130" t="s">
        <v>166</v>
      </c>
      <c r="C55" s="339" t="s">
        <v>216</v>
      </c>
      <c r="D55" s="337">
        <f>SUM(D49:D54)</f>
        <v>2096933</v>
      </c>
      <c r="E55" s="337">
        <f>SUM(E49:E54)</f>
        <v>2071000</v>
      </c>
      <c r="F55" s="337">
        <f>SUM(F49:F54)</f>
        <v>2000008</v>
      </c>
      <c r="G55" s="337">
        <f>SUM(G49:G54)</f>
        <v>2000031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ht="12.75" customHeight="1">
      <c r="A56" s="328" t="s">
        <v>59</v>
      </c>
      <c r="B56" s="133"/>
      <c r="C56" s="317" t="s">
        <v>220</v>
      </c>
      <c r="D56" s="78">
        <f>SUM('17. Hivatal'!E21)</f>
        <v>267350</v>
      </c>
      <c r="E56" s="78">
        <f>SUM('17. Hivatal'!F21)</f>
        <v>203352</v>
      </c>
      <c r="F56" s="78">
        <f>SUM('17. Hivatal'!G21)</f>
        <v>203352</v>
      </c>
      <c r="G56" s="78">
        <f>SUM('17. Hivatal'!H21)</f>
        <v>203352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2.75" customHeight="1">
      <c r="A57" s="328" t="s">
        <v>61</v>
      </c>
      <c r="B57" s="133"/>
      <c r="C57" s="317" t="s">
        <v>686</v>
      </c>
      <c r="D57" s="238">
        <f>SUM('17. Hivatal'!E23)</f>
        <v>69013291</v>
      </c>
      <c r="E57" s="238">
        <f>SUM('17. Hivatal'!F23)</f>
        <v>61975191</v>
      </c>
      <c r="F57" s="238">
        <f>SUM('17. Hivatal'!G23)</f>
        <v>75331491</v>
      </c>
      <c r="G57" s="238">
        <f>SUM('17. Hivatal'!H23)</f>
        <v>75719241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ht="12.75" customHeight="1">
      <c r="A58" s="328" t="s">
        <v>63</v>
      </c>
      <c r="B58" s="133"/>
      <c r="C58" s="317" t="s">
        <v>606</v>
      </c>
      <c r="D58" s="238">
        <f>SUM('17. Hivatal'!E24)</f>
        <v>13132385</v>
      </c>
      <c r="E58" s="238">
        <f>SUM('17. Hivatal'!F24)</f>
        <v>34968909</v>
      </c>
      <c r="F58" s="238">
        <f>SUM('17. Hivatal'!G24)</f>
        <v>27953658</v>
      </c>
      <c r="G58" s="238">
        <f>SUM('17. Hivatal'!H24)</f>
        <v>27565908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s="64" customFormat="1" ht="12.75" customHeight="1" thickBot="1">
      <c r="A59" s="379" t="s">
        <v>65</v>
      </c>
      <c r="B59" s="380" t="s">
        <v>173</v>
      </c>
      <c r="C59" s="361" t="s">
        <v>604</v>
      </c>
      <c r="D59" s="362">
        <f>SUM(D56:D58)</f>
        <v>82413026</v>
      </c>
      <c r="E59" s="362">
        <f>SUM(E56:E58)</f>
        <v>97147452</v>
      </c>
      <c r="F59" s="362">
        <f>SUM(F56:F58)</f>
        <v>103488501</v>
      </c>
      <c r="G59" s="362">
        <f>SUM(G56:G58)</f>
        <v>103488501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</row>
    <row r="60" spans="1:241" s="129" customFormat="1" ht="20.25" customHeight="1" thickBot="1">
      <c r="A60" s="363" t="s">
        <v>92</v>
      </c>
      <c r="B60" s="364"/>
      <c r="C60" s="365" t="s">
        <v>893</v>
      </c>
      <c r="D60" s="366">
        <f>SUM(D59,D55,D48)</f>
        <v>87653371</v>
      </c>
      <c r="E60" s="366">
        <f>SUM(E59,E55,E48)</f>
        <v>99218452</v>
      </c>
      <c r="F60" s="366">
        <f>SUM(F59,F55,F48)</f>
        <v>105488509</v>
      </c>
      <c r="G60" s="366">
        <f>SUM(G59,G55,G48)</f>
        <v>105488532</v>
      </c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342"/>
      <c r="EH60" s="342"/>
      <c r="EI60" s="342"/>
      <c r="EJ60" s="342"/>
      <c r="EK60" s="342"/>
      <c r="EL60" s="342"/>
      <c r="EM60" s="342"/>
      <c r="EN60" s="342"/>
      <c r="EO60" s="342"/>
      <c r="EP60" s="342"/>
      <c r="EQ60" s="342"/>
      <c r="ER60" s="342"/>
      <c r="ES60" s="342"/>
      <c r="ET60" s="342"/>
      <c r="EU60" s="342"/>
      <c r="EV60" s="342"/>
      <c r="EW60" s="342"/>
      <c r="EX60" s="342"/>
      <c r="EY60" s="342"/>
      <c r="EZ60" s="342"/>
      <c r="FA60" s="342"/>
      <c r="FB60" s="342"/>
      <c r="FC60" s="342"/>
      <c r="FD60" s="342"/>
      <c r="FE60" s="342"/>
      <c r="FF60" s="342"/>
      <c r="FG60" s="342"/>
      <c r="FH60" s="342"/>
      <c r="FI60" s="342"/>
      <c r="FJ60" s="342"/>
      <c r="FK60" s="342"/>
      <c r="FL60" s="342"/>
      <c r="FM60" s="342"/>
      <c r="FN60" s="342"/>
      <c r="FO60" s="342"/>
      <c r="FP60" s="342"/>
      <c r="FQ60" s="342"/>
      <c r="FR60" s="342"/>
      <c r="FS60" s="342"/>
      <c r="FT60" s="342"/>
      <c r="FU60" s="342"/>
      <c r="FV60" s="342"/>
      <c r="FW60" s="342"/>
      <c r="FX60" s="342"/>
      <c r="FY60" s="342"/>
      <c r="FZ60" s="342"/>
      <c r="GA60" s="342"/>
      <c r="GB60" s="342"/>
      <c r="GC60" s="342"/>
      <c r="GD60" s="342"/>
      <c r="GE60" s="342"/>
      <c r="GF60" s="342"/>
      <c r="GG60" s="342"/>
      <c r="GH60" s="342"/>
      <c r="GI60" s="342"/>
      <c r="GJ60" s="342"/>
      <c r="GK60" s="342"/>
      <c r="GL60" s="342"/>
      <c r="GM60" s="342"/>
      <c r="GN60" s="342"/>
      <c r="GO60" s="342"/>
      <c r="GP60" s="342"/>
      <c r="GQ60" s="342"/>
      <c r="GR60" s="342"/>
      <c r="GS60" s="342"/>
      <c r="GT60" s="342"/>
      <c r="GU60" s="342"/>
      <c r="GV60" s="342"/>
      <c r="GW60" s="342"/>
      <c r="GX60" s="342"/>
      <c r="GY60" s="342"/>
      <c r="GZ60" s="342"/>
      <c r="HA60" s="342"/>
      <c r="HB60" s="342"/>
      <c r="HC60" s="342"/>
      <c r="HD60" s="342"/>
      <c r="HE60" s="342"/>
      <c r="HF60" s="342"/>
      <c r="HG60" s="342"/>
      <c r="HH60" s="342"/>
      <c r="HI60" s="342"/>
      <c r="HJ60" s="342"/>
      <c r="HK60" s="342"/>
      <c r="HL60" s="342"/>
      <c r="HM60" s="342"/>
      <c r="HN60" s="342"/>
      <c r="HO60" s="342"/>
      <c r="HP60" s="342"/>
      <c r="HQ60" s="342"/>
      <c r="HR60" s="342"/>
      <c r="HS60" s="342"/>
      <c r="HT60" s="342"/>
      <c r="HU60" s="342"/>
      <c r="HV60" s="342"/>
      <c r="HW60" s="342"/>
      <c r="HX60" s="342"/>
      <c r="HY60" s="342"/>
      <c r="HZ60" s="342"/>
      <c r="IA60" s="342"/>
      <c r="IB60" s="342"/>
      <c r="IC60" s="342"/>
      <c r="ID60" s="342"/>
      <c r="IE60" s="342"/>
      <c r="IF60" s="342"/>
      <c r="IG60" s="342"/>
    </row>
    <row r="61" spans="1:241" ht="12.75" customHeight="1" thickBot="1">
      <c r="A61" s="1789" t="s">
        <v>239</v>
      </c>
      <c r="B61" s="1789"/>
      <c r="C61" s="1789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30" customHeight="1">
      <c r="A62" s="1785" t="s">
        <v>156</v>
      </c>
      <c r="B62" s="1786"/>
      <c r="C62" s="307" t="s">
        <v>157</v>
      </c>
      <c r="D62" s="357" t="s">
        <v>1076</v>
      </c>
      <c r="E62" s="357" t="s">
        <v>1077</v>
      </c>
      <c r="F62" s="357" t="s">
        <v>1165</v>
      </c>
      <c r="G62" s="357" t="s">
        <v>1186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2.75" customHeight="1" thickBot="1">
      <c r="A63" s="1787"/>
      <c r="B63" s="1788"/>
      <c r="C63" s="309" t="s">
        <v>158</v>
      </c>
      <c r="D63" s="369" t="s">
        <v>159</v>
      </c>
      <c r="E63" s="369" t="s">
        <v>160</v>
      </c>
      <c r="F63" s="369" t="s">
        <v>161</v>
      </c>
      <c r="G63" s="369" t="s">
        <v>456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2.75" customHeight="1">
      <c r="A64" s="118" t="s">
        <v>38</v>
      </c>
      <c r="B64" s="79"/>
      <c r="C64" s="296" t="s">
        <v>576</v>
      </c>
      <c r="D64" s="78"/>
      <c r="E64" s="78"/>
      <c r="F64" s="78"/>
      <c r="G64" s="7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 customHeight="1">
      <c r="A65" s="118" t="s">
        <v>40</v>
      </c>
      <c r="B65" s="79"/>
      <c r="C65" s="296" t="s">
        <v>176</v>
      </c>
      <c r="D65" s="78"/>
      <c r="E65" s="78"/>
      <c r="F65" s="78"/>
      <c r="G65" s="7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 customHeight="1">
      <c r="A66" s="118" t="s">
        <v>47</v>
      </c>
      <c r="B66" s="79"/>
      <c r="C66" s="296" t="s">
        <v>178</v>
      </c>
      <c r="D66" s="78">
        <v>1756744</v>
      </c>
      <c r="E66" s="78">
        <v>1765000</v>
      </c>
      <c r="F66" s="78">
        <f>SUM('15. Óvoda'!G11+'15. Óvoda'!G12)</f>
        <v>1324000</v>
      </c>
      <c r="G66" s="78">
        <f>SUM('15. Óvoda'!H11+'15. Óvoda'!H12)</f>
        <v>1324000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 customHeight="1">
      <c r="A67" s="118" t="s">
        <v>49</v>
      </c>
      <c r="B67" s="79"/>
      <c r="C67" s="296" t="s">
        <v>177</v>
      </c>
      <c r="D67" s="78"/>
      <c r="E67" s="78"/>
      <c r="F67" s="78"/>
      <c r="G67" s="7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 customHeight="1">
      <c r="A68" s="118" t="s">
        <v>51</v>
      </c>
      <c r="B68" s="79"/>
      <c r="C68" s="296" t="s">
        <v>179</v>
      </c>
      <c r="D68" s="78">
        <f>SUM('15. Óvoda'!E13)</f>
        <v>474327</v>
      </c>
      <c r="E68" s="78">
        <f>SUM('15. Óvoda'!F13)</f>
        <v>500000</v>
      </c>
      <c r="F68" s="78">
        <f>SUM('15. Óvoda'!G13)</f>
        <v>500000</v>
      </c>
      <c r="G68" s="78">
        <f>SUM('15. Óvoda'!H13)</f>
        <v>500000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2.75" customHeight="1">
      <c r="A69" s="351" t="s">
        <v>53</v>
      </c>
      <c r="B69" s="142"/>
      <c r="C69" s="845" t="s">
        <v>587</v>
      </c>
      <c r="D69" s="137">
        <v>1</v>
      </c>
      <c r="E69" s="137">
        <v>0</v>
      </c>
      <c r="F69" s="137">
        <v>0</v>
      </c>
      <c r="G69" s="137"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2.75" customHeight="1">
      <c r="A70" s="328" t="s">
        <v>55</v>
      </c>
      <c r="B70" s="295"/>
      <c r="C70" s="296" t="s">
        <v>181</v>
      </c>
      <c r="D70" s="399">
        <f>SUM('15. Óvoda'!E15)</f>
        <v>115</v>
      </c>
      <c r="E70" s="399">
        <f>SUM('15. Óvoda'!F15)</f>
        <v>0</v>
      </c>
      <c r="F70" s="399">
        <f>SUM('15. Óvoda'!G15)</f>
        <v>6</v>
      </c>
      <c r="G70" s="399">
        <f>SUM('15. Óvoda'!H15)</f>
        <v>40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2.75" customHeight="1">
      <c r="A71" s="328" t="s">
        <v>57</v>
      </c>
      <c r="B71" s="295"/>
      <c r="C71" s="296" t="s">
        <v>702</v>
      </c>
      <c r="D71" s="399">
        <f>SUM('15. Óvoda'!E16)</f>
        <v>292000</v>
      </c>
      <c r="E71" s="399">
        <f>SUM('15. Óvoda'!F16)</f>
        <v>0</v>
      </c>
      <c r="F71" s="399">
        <f>SUM('15. Óvoda'!G16)</f>
        <v>0</v>
      </c>
      <c r="G71" s="399">
        <f>SUM('15. Óvoda'!H16)</f>
        <v>287000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2.75" customHeight="1">
      <c r="A72" s="370" t="s">
        <v>86</v>
      </c>
      <c r="B72" s="370" t="s">
        <v>166</v>
      </c>
      <c r="C72" s="339" t="s">
        <v>216</v>
      </c>
      <c r="D72" s="371">
        <f>SUM(D64:D71)</f>
        <v>2523187</v>
      </c>
      <c r="E72" s="371">
        <f>SUM(E64:E71)</f>
        <v>2265000</v>
      </c>
      <c r="F72" s="371">
        <f>SUM(F64:F71)</f>
        <v>1824006</v>
      </c>
      <c r="G72" s="371">
        <f>SUM(G64:G71)</f>
        <v>2111040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2.75" customHeight="1">
      <c r="A73" s="367" t="s">
        <v>59</v>
      </c>
      <c r="B73" s="368"/>
      <c r="C73" s="296" t="s">
        <v>579</v>
      </c>
      <c r="D73" s="121">
        <v>498111</v>
      </c>
      <c r="E73" s="121">
        <v>0</v>
      </c>
      <c r="F73" s="121">
        <v>35340</v>
      </c>
      <c r="G73" s="121">
        <v>35340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2.75" customHeight="1">
      <c r="A74" s="119" t="s">
        <v>61</v>
      </c>
      <c r="B74" s="79"/>
      <c r="C74" s="321" t="s">
        <v>599</v>
      </c>
      <c r="D74" s="78"/>
      <c r="E74" s="78"/>
      <c r="F74" s="78"/>
      <c r="G74" s="7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2.75" customHeight="1">
      <c r="A75" s="119" t="s">
        <v>63</v>
      </c>
      <c r="B75" s="203"/>
      <c r="C75" s="321" t="s">
        <v>687</v>
      </c>
      <c r="D75" s="238">
        <v>90183</v>
      </c>
      <c r="E75" s="238">
        <v>0</v>
      </c>
      <c r="F75" s="238">
        <v>0</v>
      </c>
      <c r="G75" s="238"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2.75" customHeight="1">
      <c r="A76" s="119" t="s">
        <v>65</v>
      </c>
      <c r="B76" s="92" t="s">
        <v>173</v>
      </c>
      <c r="C76" s="340" t="s">
        <v>185</v>
      </c>
      <c r="D76" s="337">
        <f>SUM(D73:D75)</f>
        <v>588294</v>
      </c>
      <c r="E76" s="337">
        <f>SUM(E73:E75)</f>
        <v>0</v>
      </c>
      <c r="F76" s="337">
        <f>SUM(F73:F75)</f>
        <v>35340</v>
      </c>
      <c r="G76" s="337">
        <f>SUM(G73:G75)</f>
        <v>35340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2.75" customHeight="1">
      <c r="A77" s="119" t="s">
        <v>92</v>
      </c>
      <c r="B77" s="92" t="s">
        <v>182</v>
      </c>
      <c r="C77" s="340" t="s">
        <v>700</v>
      </c>
      <c r="D77" s="337">
        <v>435505</v>
      </c>
      <c r="E77" s="337">
        <v>0</v>
      </c>
      <c r="F77" s="337">
        <v>0</v>
      </c>
      <c r="G77" s="337">
        <v>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2.75" customHeight="1">
      <c r="A78" s="118" t="s">
        <v>66</v>
      </c>
      <c r="B78" s="79"/>
      <c r="C78" s="296" t="s">
        <v>220</v>
      </c>
      <c r="D78" s="78">
        <f>SUM('15. Óvoda'!E24)</f>
        <v>238417</v>
      </c>
      <c r="E78" s="78">
        <f>SUM('15. Óvoda'!F24)</f>
        <v>193701</v>
      </c>
      <c r="F78" s="78">
        <f>SUM('15. Óvoda'!G24)</f>
        <v>193701</v>
      </c>
      <c r="G78" s="78">
        <f>SUM('15. Óvoda'!H24)</f>
        <v>193701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2.75" customHeight="1">
      <c r="A79" s="118" t="s">
        <v>67</v>
      </c>
      <c r="B79" s="95"/>
      <c r="C79" s="17" t="s">
        <v>606</v>
      </c>
      <c r="D79" s="78">
        <f>SUM('15. Óvoda'!E23)</f>
        <v>25960814</v>
      </c>
      <c r="E79" s="78">
        <f>SUM('15. Óvoda'!F23)</f>
        <v>30822193</v>
      </c>
      <c r="F79" s="78">
        <f>SUM('15. Óvoda'!G23)</f>
        <v>25629704</v>
      </c>
      <c r="G79" s="78">
        <f>SUM('15. Óvoda'!H23)</f>
        <v>19917554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2.75" customHeight="1">
      <c r="A80" s="351" t="s">
        <v>68</v>
      </c>
      <c r="B80" s="224"/>
      <c r="C80" s="5" t="s">
        <v>686</v>
      </c>
      <c r="D80" s="137">
        <f>SUM('15. Óvoda'!E22)</f>
        <v>97031847</v>
      </c>
      <c r="E80" s="137">
        <f>SUM('15. Óvoda'!F22)</f>
        <v>97345934</v>
      </c>
      <c r="F80" s="137">
        <f>SUM('15. Óvoda'!G22)</f>
        <v>97364734</v>
      </c>
      <c r="G80" s="137">
        <f>SUM('15. Óvoda'!H22)</f>
        <v>103076884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2.75" customHeight="1" thickBot="1">
      <c r="A81" s="381" t="s">
        <v>70</v>
      </c>
      <c r="B81" s="382" t="s">
        <v>183</v>
      </c>
      <c r="C81" s="361" t="s">
        <v>604</v>
      </c>
      <c r="D81" s="82">
        <f>SUM(D78:D80)</f>
        <v>123231078</v>
      </c>
      <c r="E81" s="82">
        <f>SUM(E78:E80)</f>
        <v>128361828</v>
      </c>
      <c r="F81" s="82">
        <f>SUM(F78:F80)</f>
        <v>123188139</v>
      </c>
      <c r="G81" s="82">
        <f>SUM(G78:G80)</f>
        <v>123188139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9.5" customHeight="1" thickBot="1">
      <c r="A82" s="383" t="s">
        <v>97</v>
      </c>
      <c r="B82" s="384"/>
      <c r="C82" s="609" t="s">
        <v>240</v>
      </c>
      <c r="D82" s="610">
        <f>SUM(D72+D76+D81)+D77</f>
        <v>126778064</v>
      </c>
      <c r="E82" s="610">
        <f>SUM(E72+E76+E81)+E77</f>
        <v>130626828</v>
      </c>
      <c r="F82" s="610">
        <f>SUM(F72+F76+F81)+F77</f>
        <v>125047485</v>
      </c>
      <c r="G82" s="610">
        <f>SUM(G72+G76+G81)+G77</f>
        <v>125334519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2.75" customHeight="1" thickBot="1">
      <c r="A83" s="1789" t="s">
        <v>1015</v>
      </c>
      <c r="B83" s="1789"/>
      <c r="C83" s="1789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28.5" customHeight="1">
      <c r="A84" s="1790" t="s">
        <v>156</v>
      </c>
      <c r="B84" s="1791"/>
      <c r="C84" s="377" t="s">
        <v>157</v>
      </c>
      <c r="D84" s="357" t="s">
        <v>1076</v>
      </c>
      <c r="E84" s="357" t="s">
        <v>1077</v>
      </c>
      <c r="F84" s="357" t="s">
        <v>1165</v>
      </c>
      <c r="G84" s="357" t="s">
        <v>1186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4.25" customHeight="1" thickBot="1">
      <c r="A85" s="1792"/>
      <c r="B85" s="1793"/>
      <c r="C85" s="378" t="s">
        <v>158</v>
      </c>
      <c r="D85" s="369" t="s">
        <v>159</v>
      </c>
      <c r="E85" s="369" t="s">
        <v>160</v>
      </c>
      <c r="F85" s="369" t="s">
        <v>161</v>
      </c>
      <c r="G85" s="369" t="s">
        <v>456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4.25" customHeight="1">
      <c r="A86" s="1385" t="s">
        <v>38</v>
      </c>
      <c r="B86" s="1385" t="s">
        <v>164</v>
      </c>
      <c r="C86" s="1386" t="s">
        <v>1058</v>
      </c>
      <c r="D86" s="1387">
        <v>56273</v>
      </c>
      <c r="E86" s="1387">
        <v>0</v>
      </c>
      <c r="F86" s="1387">
        <v>0</v>
      </c>
      <c r="G86" s="1387">
        <v>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4.25" customHeight="1">
      <c r="A87" s="1384" t="s">
        <v>40</v>
      </c>
      <c r="B87" s="1385"/>
      <c r="C87" s="319" t="s">
        <v>576</v>
      </c>
      <c r="D87" s="372"/>
      <c r="E87" s="372"/>
      <c r="F87" s="372"/>
      <c r="G87" s="37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4.25" customHeight="1">
      <c r="A88" s="374" t="s">
        <v>47</v>
      </c>
      <c r="B88" s="373"/>
      <c r="C88" s="296" t="s">
        <v>176</v>
      </c>
      <c r="D88" s="372"/>
      <c r="E88" s="372"/>
      <c r="F88" s="372"/>
      <c r="G88" s="37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4.25" customHeight="1">
      <c r="A89" s="374" t="s">
        <v>49</v>
      </c>
      <c r="B89" s="373"/>
      <c r="C89" s="296" t="s">
        <v>907</v>
      </c>
      <c r="D89" s="847">
        <f>SUM('16. Műv. ház'!E11)</f>
        <v>1277000</v>
      </c>
      <c r="E89" s="847">
        <f>SUM('16. Műv. ház'!F11)</f>
        <v>1277000</v>
      </c>
      <c r="F89" s="847">
        <f>SUM('16. Műv. ház'!G11)</f>
        <v>350000</v>
      </c>
      <c r="G89" s="847">
        <f>SUM('16. Műv. ház'!H11)</f>
        <v>400000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4.25" customHeight="1">
      <c r="A90" s="374" t="s">
        <v>51</v>
      </c>
      <c r="B90" s="373"/>
      <c r="C90" s="296" t="s">
        <v>179</v>
      </c>
      <c r="D90" s="847"/>
      <c r="E90" s="847"/>
      <c r="F90" s="847"/>
      <c r="G90" s="847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4.25" customHeight="1">
      <c r="A91" s="374" t="s">
        <v>53</v>
      </c>
      <c r="B91" s="373"/>
      <c r="C91" s="294" t="s">
        <v>587</v>
      </c>
      <c r="D91" s="847"/>
      <c r="E91" s="847"/>
      <c r="F91" s="847"/>
      <c r="G91" s="847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4.25" customHeight="1">
      <c r="A92" s="374" t="s">
        <v>55</v>
      </c>
      <c r="B92" s="373"/>
      <c r="C92" s="302" t="s">
        <v>181</v>
      </c>
      <c r="D92" s="847">
        <v>49</v>
      </c>
      <c r="E92" s="847">
        <v>0</v>
      </c>
      <c r="F92" s="847">
        <v>0</v>
      </c>
      <c r="G92" s="847">
        <v>20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s="64" customFormat="1" ht="12.75" customHeight="1">
      <c r="A93" s="128" t="s">
        <v>57</v>
      </c>
      <c r="B93" s="375" t="s">
        <v>166</v>
      </c>
      <c r="C93" s="339" t="s">
        <v>216</v>
      </c>
      <c r="D93" s="376">
        <f>SUM(D87:D92)</f>
        <v>1277049</v>
      </c>
      <c r="E93" s="376">
        <f>SUM(E87:E92)</f>
        <v>1277000</v>
      </c>
      <c r="F93" s="376">
        <f>SUM(F87:F92)</f>
        <v>350000</v>
      </c>
      <c r="G93" s="376">
        <f>SUM(G87:G92)</f>
        <v>400020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</row>
    <row r="94" spans="1:241" ht="12.75" customHeight="1">
      <c r="A94" s="118" t="s">
        <v>86</v>
      </c>
      <c r="B94" s="95"/>
      <c r="C94" s="296" t="s">
        <v>220</v>
      </c>
      <c r="D94" s="78">
        <f>SUM('16. Műv. ház'!E18)</f>
        <v>321658</v>
      </c>
      <c r="E94" s="78">
        <f>SUM('16. Műv. ház'!F18)</f>
        <v>269743</v>
      </c>
      <c r="F94" s="78">
        <f>SUM('16. Műv. ház'!G18)</f>
        <v>269743</v>
      </c>
      <c r="G94" s="78">
        <f>SUM('16. Műv. ház'!H18)</f>
        <v>269743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ht="12.75" customHeight="1">
      <c r="A95" s="118" t="s">
        <v>59</v>
      </c>
      <c r="B95" s="95"/>
      <c r="C95" s="17" t="s">
        <v>606</v>
      </c>
      <c r="D95" s="78">
        <f>SUM('16. Műv. ház'!E17)</f>
        <v>19888148</v>
      </c>
      <c r="E95" s="78">
        <f>SUM('16. Műv. ház'!F17)</f>
        <v>22273430</v>
      </c>
      <c r="F95" s="78">
        <f>SUM('16. Műv. ház'!G17)</f>
        <v>19200430</v>
      </c>
      <c r="G95" s="78">
        <f>SUM('16. Műv. ház'!H17)</f>
        <v>17702740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</row>
    <row r="96" spans="1:241" ht="12.75" customHeight="1">
      <c r="A96" s="351" t="s">
        <v>61</v>
      </c>
      <c r="B96" s="224"/>
      <c r="C96" s="5" t="s">
        <v>686</v>
      </c>
      <c r="D96" s="137">
        <f>SUM('16. Műv. ház'!E16)</f>
        <v>5050082</v>
      </c>
      <c r="E96" s="137">
        <f>SUM('16. Műv. ház'!F16)</f>
        <v>4357233</v>
      </c>
      <c r="F96" s="137">
        <f>SUM('16. Műv. ház'!G16)</f>
        <v>4472619</v>
      </c>
      <c r="G96" s="137">
        <f>SUM('16. Műv. ház'!H16)</f>
        <v>6201079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2.75" customHeight="1" thickBot="1">
      <c r="A97" s="386" t="s">
        <v>63</v>
      </c>
      <c r="B97" s="382" t="s">
        <v>173</v>
      </c>
      <c r="C97" s="361" t="s">
        <v>604</v>
      </c>
      <c r="D97" s="82">
        <f>SUM(D94:D96)</f>
        <v>25259888</v>
      </c>
      <c r="E97" s="82">
        <f>SUM(E94:E96)</f>
        <v>26900406</v>
      </c>
      <c r="F97" s="82">
        <f>SUM(F94:F96)</f>
        <v>23942792</v>
      </c>
      <c r="G97" s="82">
        <f>SUM(G94:G96)</f>
        <v>24173562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7.25" customHeight="1" thickBot="1">
      <c r="A98" s="387" t="s">
        <v>65</v>
      </c>
      <c r="B98" s="384"/>
      <c r="C98" s="388" t="s">
        <v>1018</v>
      </c>
      <c r="D98" s="385">
        <f>SUM(D97,D93)+D86</f>
        <v>26593210</v>
      </c>
      <c r="E98" s="385">
        <f>SUM(E97,E93)+E86</f>
        <v>28177406</v>
      </c>
      <c r="F98" s="385">
        <f>SUM(F97,F93)+F86</f>
        <v>24292792</v>
      </c>
      <c r="G98" s="385">
        <f>SUM(G97,G93)+G86</f>
        <v>24573582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3" ht="12.75" customHeight="1">
      <c r="A99" s="90"/>
      <c r="C99" s="64"/>
    </row>
    <row r="100" spans="1:3" ht="12.75" customHeight="1" thickBot="1">
      <c r="A100" s="90"/>
      <c r="C100" s="64" t="s">
        <v>242</v>
      </c>
    </row>
    <row r="101" spans="1:7" ht="25.5" customHeight="1">
      <c r="A101" s="1785" t="s">
        <v>156</v>
      </c>
      <c r="B101" s="1786"/>
      <c r="C101" s="356" t="s">
        <v>157</v>
      </c>
      <c r="D101" s="357" t="s">
        <v>1076</v>
      </c>
      <c r="E101" s="357" t="s">
        <v>1077</v>
      </c>
      <c r="F101" s="357" t="s">
        <v>1165</v>
      </c>
      <c r="G101" s="357" t="s">
        <v>1186</v>
      </c>
    </row>
    <row r="102" spans="1:7" ht="12.75" customHeight="1" thickBot="1">
      <c r="A102" s="1787"/>
      <c r="B102" s="1788"/>
      <c r="C102" s="358" t="s">
        <v>158</v>
      </c>
      <c r="D102" s="369" t="s">
        <v>159</v>
      </c>
      <c r="E102" s="369" t="s">
        <v>160</v>
      </c>
      <c r="F102" s="369" t="s">
        <v>161</v>
      </c>
      <c r="G102" s="369" t="s">
        <v>456</v>
      </c>
    </row>
    <row r="103" spans="1:7" ht="12.75" customHeight="1">
      <c r="A103" s="118" t="s">
        <v>38</v>
      </c>
      <c r="B103" s="95"/>
      <c r="C103" s="296" t="s">
        <v>576</v>
      </c>
      <c r="D103" s="122">
        <f>SUM('18. VÜKI'!E12)</f>
        <v>209291</v>
      </c>
      <c r="E103" s="122">
        <f>SUM('18. VÜKI'!F12)</f>
        <v>210000</v>
      </c>
      <c r="F103" s="122">
        <f>SUM('18. VÜKI'!G12)</f>
        <v>100000</v>
      </c>
      <c r="G103" s="122">
        <f>SUM('18. VÜKI'!H12)</f>
        <v>100000</v>
      </c>
    </row>
    <row r="104" spans="1:7" ht="12.75" customHeight="1">
      <c r="A104" s="118" t="s">
        <v>40</v>
      </c>
      <c r="B104" s="95"/>
      <c r="C104" s="296" t="s">
        <v>176</v>
      </c>
      <c r="D104" s="122">
        <v>16545</v>
      </c>
      <c r="E104" s="122">
        <v>16500</v>
      </c>
      <c r="F104" s="122">
        <v>16500</v>
      </c>
      <c r="G104" s="122">
        <v>16500</v>
      </c>
    </row>
    <row r="105" spans="1:7" ht="12.75" customHeight="1">
      <c r="A105" s="118" t="s">
        <v>47</v>
      </c>
      <c r="B105" s="95"/>
      <c r="C105" s="296" t="s">
        <v>177</v>
      </c>
      <c r="D105" s="122">
        <f>SUM('18. VÜKI'!E14)</f>
        <v>121100</v>
      </c>
      <c r="E105" s="122">
        <f>SUM('18. VÜKI'!F14)</f>
        <v>121000</v>
      </c>
      <c r="F105" s="122">
        <f>SUM('18. VÜKI'!G14)</f>
        <v>121000</v>
      </c>
      <c r="G105" s="122">
        <f>SUM('18. VÜKI'!H14)</f>
        <v>121000</v>
      </c>
    </row>
    <row r="106" spans="1:7" ht="12.75" customHeight="1">
      <c r="A106" s="118" t="s">
        <v>49</v>
      </c>
      <c r="B106" s="95"/>
      <c r="C106" s="296" t="s">
        <v>676</v>
      </c>
      <c r="D106" s="122">
        <f>SUM('18. VÜKI'!E15)</f>
        <v>19307971</v>
      </c>
      <c r="E106" s="122">
        <f>SUM('18. VÜKI'!F15)</f>
        <v>19300000</v>
      </c>
      <c r="F106" s="122">
        <f>SUM('18. VÜKI'!G15)</f>
        <v>16887501</v>
      </c>
      <c r="G106" s="122">
        <f>SUM('18. VÜKI'!H15)</f>
        <v>16887501</v>
      </c>
    </row>
    <row r="107" spans="1:7" ht="12.75" customHeight="1">
      <c r="A107" s="118" t="s">
        <v>51</v>
      </c>
      <c r="B107" s="95"/>
      <c r="C107" s="296" t="s">
        <v>179</v>
      </c>
      <c r="D107" s="122">
        <f>SUM('18. VÜKI'!E16)</f>
        <v>5306389</v>
      </c>
      <c r="E107" s="122">
        <f>SUM('18. VÜKI'!F16)</f>
        <v>5300000</v>
      </c>
      <c r="F107" s="122">
        <f>SUM('18. VÜKI'!G16)</f>
        <v>4648625</v>
      </c>
      <c r="G107" s="122">
        <f>SUM('18. VÜKI'!H16)</f>
        <v>4648625</v>
      </c>
    </row>
    <row r="108" spans="1:7" ht="12.75" customHeight="1">
      <c r="A108" s="118" t="s">
        <v>53</v>
      </c>
      <c r="B108" s="95"/>
      <c r="C108" s="294" t="s">
        <v>587</v>
      </c>
      <c r="D108" s="122">
        <f>SUM('18. VÜKI'!E18)</f>
        <v>0</v>
      </c>
      <c r="E108" s="122">
        <f>SUM('18. VÜKI'!F18)</f>
        <v>0</v>
      </c>
      <c r="F108" s="122">
        <f>SUM('18. VÜKI'!G18)</f>
        <v>1</v>
      </c>
      <c r="G108" s="122">
        <f>SUM('18. VÜKI'!H18)</f>
        <v>1</v>
      </c>
    </row>
    <row r="109" spans="1:7" ht="12.75" customHeight="1">
      <c r="A109" s="118" t="s">
        <v>55</v>
      </c>
      <c r="B109" s="95"/>
      <c r="C109" s="302" t="s">
        <v>181</v>
      </c>
      <c r="D109" s="122">
        <f>SUM('18. VÜKI'!E17)</f>
        <v>253</v>
      </c>
      <c r="E109" s="122">
        <f>SUM('18. VÜKI'!F17)</f>
        <v>0</v>
      </c>
      <c r="F109" s="122">
        <f>SUM('18. VÜKI'!G17)</f>
        <v>47</v>
      </c>
      <c r="G109" s="122">
        <f>SUM('18. VÜKI'!H17)</f>
        <v>100</v>
      </c>
    </row>
    <row r="110" spans="1:7" s="10" customFormat="1" ht="12.75" customHeight="1">
      <c r="A110" s="111" t="s">
        <v>57</v>
      </c>
      <c r="B110" s="389" t="s">
        <v>166</v>
      </c>
      <c r="C110" s="339" t="s">
        <v>216</v>
      </c>
      <c r="D110" s="376">
        <f>SUM(D103:D109)</f>
        <v>24961549</v>
      </c>
      <c r="E110" s="376">
        <f>SUM(E103:E109)</f>
        <v>24947500</v>
      </c>
      <c r="F110" s="376">
        <f>SUM(F103:F109)</f>
        <v>21773674</v>
      </c>
      <c r="G110" s="376">
        <f>SUM(G103:G109)</f>
        <v>21773727</v>
      </c>
    </row>
    <row r="111" spans="1:7" s="10" customFormat="1" ht="27" customHeight="1">
      <c r="A111" s="111" t="s">
        <v>86</v>
      </c>
      <c r="B111" s="389" t="s">
        <v>173</v>
      </c>
      <c r="C111" s="848" t="s">
        <v>165</v>
      </c>
      <c r="D111" s="376">
        <f>SUM('18. VÜKI'!E9)</f>
        <v>1090635</v>
      </c>
      <c r="E111" s="376">
        <f>SUM('18. VÜKI'!F9)</f>
        <v>0</v>
      </c>
      <c r="F111" s="376">
        <f>SUM('18. VÜKI'!G9)</f>
        <v>0</v>
      </c>
      <c r="G111" s="376">
        <f>SUM('18. VÜKI'!H9)</f>
        <v>0</v>
      </c>
    </row>
    <row r="112" spans="1:7" s="10" customFormat="1" ht="12.75" customHeight="1">
      <c r="A112" s="109">
        <v>10</v>
      </c>
      <c r="B112" s="389"/>
      <c r="C112" s="296" t="s">
        <v>220</v>
      </c>
      <c r="D112" s="122">
        <f>SUM('18. VÜKI'!E20)</f>
        <v>1347397</v>
      </c>
      <c r="E112" s="122">
        <f>SUM('18. VÜKI'!F20)</f>
        <v>530936</v>
      </c>
      <c r="F112" s="122">
        <f>SUM('18. VÜKI'!G20)</f>
        <v>530936</v>
      </c>
      <c r="G112" s="122">
        <f>SUM('18. VÜKI'!H20)</f>
        <v>530936</v>
      </c>
    </row>
    <row r="113" spans="1:7" s="10" customFormat="1" ht="12.75" customHeight="1">
      <c r="A113" s="109" t="s">
        <v>61</v>
      </c>
      <c r="B113" s="389"/>
      <c r="C113" s="136" t="s">
        <v>606</v>
      </c>
      <c r="D113" s="611">
        <f>SUM('18. VÜKI'!E23)</f>
        <v>42979456</v>
      </c>
      <c r="E113" s="611">
        <f>SUM('18. VÜKI'!F23)</f>
        <v>55277390</v>
      </c>
      <c r="F113" s="611">
        <f>SUM('18. VÜKI'!G23)</f>
        <v>55277390</v>
      </c>
      <c r="G113" s="611">
        <f>SUM('18. VÜKI'!H23)</f>
        <v>53818350</v>
      </c>
    </row>
    <row r="114" spans="1:7" s="10" customFormat="1" ht="12.75" customHeight="1">
      <c r="A114" s="295" t="s">
        <v>63</v>
      </c>
      <c r="B114" s="613"/>
      <c r="C114" s="317" t="s">
        <v>686</v>
      </c>
      <c r="D114" s="612">
        <f>SUM('18. VÜKI'!E22)</f>
        <v>27049315</v>
      </c>
      <c r="E114" s="612">
        <f>SUM('18. VÜKI'!F22)</f>
        <v>22416899</v>
      </c>
      <c r="F114" s="612">
        <f>SUM('18. VÜKI'!G22)</f>
        <v>22450622</v>
      </c>
      <c r="G114" s="612">
        <f>SUM('18. VÜKI'!H22)</f>
        <v>23972641</v>
      </c>
    </row>
    <row r="115" spans="1:7" s="10" customFormat="1" ht="12.75" customHeight="1" thickBot="1">
      <c r="A115" s="390" t="s">
        <v>65</v>
      </c>
      <c r="B115" s="391" t="s">
        <v>173</v>
      </c>
      <c r="C115" s="361" t="s">
        <v>604</v>
      </c>
      <c r="D115" s="392">
        <f>SUM(D112:D113)+D114</f>
        <v>71376168</v>
      </c>
      <c r="E115" s="392">
        <f>SUM(E112:E113)+E114</f>
        <v>78225225</v>
      </c>
      <c r="F115" s="392">
        <f>SUM(F112:F113)+F114</f>
        <v>78258948</v>
      </c>
      <c r="G115" s="392">
        <f>SUM(G112:G113)+G114</f>
        <v>78321927</v>
      </c>
    </row>
    <row r="116" spans="1:7" ht="36.75" customHeight="1" thickBot="1">
      <c r="A116" s="387" t="s">
        <v>92</v>
      </c>
      <c r="B116" s="384"/>
      <c r="C116" s="393" t="s">
        <v>243</v>
      </c>
      <c r="D116" s="385">
        <f>SUM(D110+D115)+D111</f>
        <v>97428352</v>
      </c>
      <c r="E116" s="385">
        <f>SUM(E110+E115)+E111</f>
        <v>103172725</v>
      </c>
      <c r="F116" s="385">
        <f>SUM(F110+F115)+F111</f>
        <v>100032622</v>
      </c>
      <c r="G116" s="385">
        <f>SUM(G110+G115)+G111</f>
        <v>100095654</v>
      </c>
    </row>
    <row r="117" spans="1:3" ht="12.75" customHeight="1">
      <c r="A117" s="90"/>
      <c r="C117" s="64"/>
    </row>
    <row r="118" spans="1:7" ht="12.75" customHeight="1">
      <c r="A118" s="90"/>
      <c r="C118" s="10" t="s">
        <v>244</v>
      </c>
      <c r="D118" s="52">
        <f>D116+D98+D82+D60+D43</f>
        <v>1581130865</v>
      </c>
      <c r="E118" s="52">
        <f>E116+E98+E82+E60+E43</f>
        <v>1311051406</v>
      </c>
      <c r="F118" s="52">
        <f>F116+F98+F82+F60+F43</f>
        <v>1494424882</v>
      </c>
      <c r="G118" s="52">
        <f>G116+G98+G82+G60+G43</f>
        <v>1533777965</v>
      </c>
    </row>
    <row r="119" spans="1:7" s="6" customFormat="1" ht="12.75" customHeight="1">
      <c r="A119" s="123"/>
      <c r="C119" s="124"/>
      <c r="D119" s="125"/>
      <c r="E119" s="125"/>
      <c r="F119" s="125"/>
      <c r="G119" s="125"/>
    </row>
  </sheetData>
  <sheetProtection selectLockedCells="1" selectUnlockedCells="1"/>
  <mergeCells count="14">
    <mergeCell ref="A1:G1"/>
    <mergeCell ref="A5:G5"/>
    <mergeCell ref="A101:B102"/>
    <mergeCell ref="A8:B9"/>
    <mergeCell ref="A44:C44"/>
    <mergeCell ref="A45:B46"/>
    <mergeCell ref="A61:C61"/>
    <mergeCell ref="C3:F3"/>
    <mergeCell ref="A62:B63"/>
    <mergeCell ref="A83:C83"/>
    <mergeCell ref="A84:B85"/>
    <mergeCell ref="A7:C7"/>
    <mergeCell ref="A4:G4"/>
    <mergeCell ref="A2:G2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60" r:id="rId1"/>
  <rowBreaks count="1" manualBreakCount="1">
    <brk id="8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F283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C9" sqref="C9"/>
    </sheetView>
  </sheetViews>
  <sheetFormatPr defaultColWidth="11.7109375" defaultRowHeight="12.75" customHeight="1"/>
  <cols>
    <col min="1" max="1" width="6.7109375" style="1211" customWidth="1"/>
    <col min="2" max="2" width="3.8515625" style="5" customWidth="1"/>
    <col min="3" max="3" width="56.28125" style="5" customWidth="1"/>
    <col min="4" max="4" width="9.7109375" style="5" customWidth="1"/>
    <col min="5" max="5" width="16.57421875" style="52" customWidth="1"/>
    <col min="6" max="6" width="16.7109375" style="52" customWidth="1"/>
    <col min="7" max="8" width="17.8515625" style="52" customWidth="1"/>
    <col min="9" max="16384" width="11.7109375" style="5" customWidth="1"/>
  </cols>
  <sheetData>
    <row r="1" spans="1:7" s="88" customFormat="1" ht="18" customHeight="1">
      <c r="A1" s="1768" t="s">
        <v>245</v>
      </c>
      <c r="B1" s="1768"/>
      <c r="C1" s="1768"/>
      <c r="D1" s="1768"/>
      <c r="E1" s="1768"/>
      <c r="F1" s="1768"/>
      <c r="G1" s="1768"/>
    </row>
    <row r="2" spans="1:8" ht="12.75" customHeight="1">
      <c r="A2" s="1797" t="s">
        <v>1259</v>
      </c>
      <c r="B2" s="1797"/>
      <c r="C2" s="1797"/>
      <c r="D2" s="1797"/>
      <c r="E2" s="1797"/>
      <c r="F2" s="1797"/>
      <c r="G2" s="1797"/>
      <c r="H2" s="1797"/>
    </row>
    <row r="3" spans="1:8" ht="12.75" customHeight="1">
      <c r="A3" s="1797"/>
      <c r="B3" s="1797"/>
      <c r="C3" s="1797"/>
      <c r="D3" s="1797"/>
      <c r="E3" s="1797"/>
      <c r="F3" s="1797"/>
      <c r="G3" s="1797"/>
      <c r="H3" s="1797"/>
    </row>
    <row r="4" spans="1:8" ht="12.75" customHeight="1">
      <c r="A4" s="1734"/>
      <c r="B4" s="1734"/>
      <c r="C4" s="1797" t="s">
        <v>1261</v>
      </c>
      <c r="D4" s="1797"/>
      <c r="E4" s="1797"/>
      <c r="F4" s="1797"/>
      <c r="G4" s="1797"/>
      <c r="H4" s="1734"/>
    </row>
    <row r="5" spans="1:8" ht="12.75" customHeight="1">
      <c r="A5" s="1783" t="s">
        <v>1156</v>
      </c>
      <c r="B5" s="1783"/>
      <c r="C5" s="1783"/>
      <c r="D5" s="1783"/>
      <c r="E5" s="1783"/>
      <c r="F5" s="1783"/>
      <c r="G5" s="1783"/>
      <c r="H5" s="1783"/>
    </row>
    <row r="6" spans="1:8" ht="12.75" customHeight="1">
      <c r="A6" s="1783"/>
      <c r="B6" s="1783"/>
      <c r="C6" s="1783"/>
      <c r="D6" s="1783"/>
      <c r="E6" s="1783"/>
      <c r="F6" s="1783"/>
      <c r="G6" s="1783"/>
      <c r="H6" s="1783"/>
    </row>
    <row r="7" spans="1:8" ht="12.75" customHeight="1">
      <c r="A7" s="1783"/>
      <c r="B7" s="1783"/>
      <c r="C7" s="1783"/>
      <c r="D7" s="1783"/>
      <c r="E7" s="1783"/>
      <c r="F7" s="1783"/>
      <c r="G7" s="1783"/>
      <c r="H7" s="1783"/>
    </row>
    <row r="8" spans="1:8" ht="12.75" customHeight="1">
      <c r="A8" s="1221"/>
      <c r="B8" s="126"/>
      <c r="C8" s="126"/>
      <c r="D8" s="126"/>
      <c r="E8" s="117"/>
      <c r="F8" s="117"/>
      <c r="G8" s="117"/>
      <c r="H8" s="117"/>
    </row>
    <row r="9" spans="2:8" ht="12" customHeight="1" thickBot="1">
      <c r="B9" s="126"/>
      <c r="C9" s="126"/>
      <c r="D9" s="126"/>
      <c r="E9" s="853"/>
      <c r="F9" s="853"/>
      <c r="G9" s="853"/>
      <c r="H9" s="853" t="s">
        <v>214</v>
      </c>
    </row>
    <row r="10" spans="1:8" ht="48" customHeight="1">
      <c r="A10" s="1757" t="s">
        <v>156</v>
      </c>
      <c r="B10" s="1806"/>
      <c r="C10" s="394" t="s">
        <v>246</v>
      </c>
      <c r="D10" s="394" t="s">
        <v>1157</v>
      </c>
      <c r="E10" s="357" t="s">
        <v>1076</v>
      </c>
      <c r="F10" s="357" t="s">
        <v>1077</v>
      </c>
      <c r="G10" s="357" t="s">
        <v>1165</v>
      </c>
      <c r="H10" s="357" t="s">
        <v>1186</v>
      </c>
    </row>
    <row r="11" spans="1:8" ht="12.75" customHeight="1" thickBot="1">
      <c r="A11" s="1807"/>
      <c r="B11" s="1808"/>
      <c r="C11" s="395" t="s">
        <v>158</v>
      </c>
      <c r="D11" s="395" t="s">
        <v>159</v>
      </c>
      <c r="E11" s="359" t="s">
        <v>160</v>
      </c>
      <c r="F11" s="359" t="s">
        <v>161</v>
      </c>
      <c r="G11" s="359" t="s">
        <v>456</v>
      </c>
      <c r="H11" s="359" t="s">
        <v>476</v>
      </c>
    </row>
    <row r="12" spans="1:8" s="129" customFormat="1" ht="19.5" customHeight="1">
      <c r="A12" s="1222" t="s">
        <v>38</v>
      </c>
      <c r="B12" s="1055" t="s">
        <v>164</v>
      </c>
      <c r="C12" s="1056" t="s">
        <v>512</v>
      </c>
      <c r="D12" s="1056"/>
      <c r="E12" s="1056">
        <f>SUM(E13)</f>
        <v>0</v>
      </c>
      <c r="F12" s="1056">
        <f>SUM(F13)</f>
        <v>0</v>
      </c>
      <c r="G12" s="1056">
        <f>SUM(G13)</f>
        <v>0</v>
      </c>
      <c r="H12" s="1056">
        <f>SUM(H13)</f>
        <v>0</v>
      </c>
    </row>
    <row r="13" spans="1:8" s="64" customFormat="1" ht="12.75" customHeight="1">
      <c r="A13" s="1223" t="s">
        <v>40</v>
      </c>
      <c r="B13" s="1057"/>
      <c r="C13" s="1058" t="s">
        <v>247</v>
      </c>
      <c r="D13" s="1058"/>
      <c r="E13" s="1058"/>
      <c r="F13" s="1058"/>
      <c r="G13" s="1058"/>
      <c r="H13" s="1058"/>
    </row>
    <row r="14" spans="1:8" ht="12.75" customHeight="1">
      <c r="A14" s="1224" t="s">
        <v>47</v>
      </c>
      <c r="B14" s="1059" t="s">
        <v>166</v>
      </c>
      <c r="C14" s="1060" t="s">
        <v>248</v>
      </c>
      <c r="D14" s="1060"/>
      <c r="E14" s="1060">
        <f>SUM(E15)</f>
        <v>200000</v>
      </c>
      <c r="F14" s="1060">
        <f>SUM(F15)</f>
        <v>200000</v>
      </c>
      <c r="G14" s="1060">
        <f>SUM(G15)</f>
        <v>200000</v>
      </c>
      <c r="H14" s="1060">
        <f>SUM(H15)</f>
        <v>200000</v>
      </c>
    </row>
    <row r="15" spans="1:8" ht="12.75" customHeight="1">
      <c r="A15" s="1223" t="s">
        <v>49</v>
      </c>
      <c r="B15" s="1057"/>
      <c r="C15" s="1058" t="s">
        <v>247</v>
      </c>
      <c r="D15" s="1058"/>
      <c r="E15" s="1058">
        <v>200000</v>
      </c>
      <c r="F15" s="1058">
        <v>200000</v>
      </c>
      <c r="G15" s="1058">
        <v>200000</v>
      </c>
      <c r="H15" s="1058">
        <v>200000</v>
      </c>
    </row>
    <row r="16" spans="1:8" ht="12.75" customHeight="1">
      <c r="A16" s="1223" t="s">
        <v>51</v>
      </c>
      <c r="B16" s="1057"/>
      <c r="C16" s="1058" t="s">
        <v>249</v>
      </c>
      <c r="D16" s="1058"/>
      <c r="E16" s="1058">
        <v>0</v>
      </c>
      <c r="F16" s="1058">
        <v>0</v>
      </c>
      <c r="G16" s="1058">
        <v>0</v>
      </c>
      <c r="H16" s="1058">
        <v>0</v>
      </c>
    </row>
    <row r="17" spans="1:8" ht="12.75" customHeight="1">
      <c r="A17" s="1224" t="s">
        <v>53</v>
      </c>
      <c r="B17" s="1059" t="s">
        <v>173</v>
      </c>
      <c r="C17" s="1060" t="s">
        <v>513</v>
      </c>
      <c r="D17" s="1060"/>
      <c r="E17" s="1060">
        <f>SUM(E18)</f>
        <v>7000000</v>
      </c>
      <c r="F17" s="1060">
        <f>SUM(F18)</f>
        <v>7000000</v>
      </c>
      <c r="G17" s="1060">
        <f>SUM(G18)</f>
        <v>7000000</v>
      </c>
      <c r="H17" s="1060">
        <f>SUM(H18)</f>
        <v>7000000</v>
      </c>
    </row>
    <row r="18" spans="1:8" ht="12.75" customHeight="1">
      <c r="A18" s="1223" t="s">
        <v>55</v>
      </c>
      <c r="B18" s="1057"/>
      <c r="C18" s="1058" t="s">
        <v>247</v>
      </c>
      <c r="D18" s="1058"/>
      <c r="E18" s="1058">
        <v>7000000</v>
      </c>
      <c r="F18" s="1058">
        <v>7000000</v>
      </c>
      <c r="G18" s="1058">
        <v>7000000</v>
      </c>
      <c r="H18" s="1058">
        <v>7000000</v>
      </c>
    </row>
    <row r="19" spans="1:8" ht="12.75" customHeight="1">
      <c r="A19" s="1224" t="s">
        <v>57</v>
      </c>
      <c r="B19" s="1059" t="s">
        <v>182</v>
      </c>
      <c r="C19" s="1060" t="s">
        <v>254</v>
      </c>
      <c r="D19" s="1060"/>
      <c r="E19" s="1060">
        <f>SUM(E20)</f>
        <v>100000</v>
      </c>
      <c r="F19" s="1060">
        <f>SUM(F20)</f>
        <v>100000</v>
      </c>
      <c r="G19" s="1060">
        <f>SUM(G20)</f>
        <v>100000</v>
      </c>
      <c r="H19" s="1060">
        <f>SUM(H20)</f>
        <v>100000</v>
      </c>
    </row>
    <row r="20" spans="1:8" ht="12.75" customHeight="1">
      <c r="A20" s="1223" t="s">
        <v>86</v>
      </c>
      <c r="B20" s="1057"/>
      <c r="C20" s="1058" t="s">
        <v>247</v>
      </c>
      <c r="D20" s="1058"/>
      <c r="E20" s="1058">
        <v>100000</v>
      </c>
      <c r="F20" s="1058">
        <v>100000</v>
      </c>
      <c r="G20" s="1058">
        <v>100000</v>
      </c>
      <c r="H20" s="1058">
        <v>100000</v>
      </c>
    </row>
    <row r="21" spans="1:8" ht="12.75" customHeight="1">
      <c r="A21" s="1224" t="s">
        <v>59</v>
      </c>
      <c r="B21" s="1059" t="s">
        <v>183</v>
      </c>
      <c r="C21" s="1060" t="s">
        <v>940</v>
      </c>
      <c r="D21" s="1060"/>
      <c r="E21" s="1060">
        <v>0</v>
      </c>
      <c r="F21" s="1060">
        <v>0</v>
      </c>
      <c r="G21" s="1060">
        <v>0</v>
      </c>
      <c r="H21" s="1060">
        <v>0</v>
      </c>
    </row>
    <row r="22" spans="1:8" ht="12.75" customHeight="1">
      <c r="A22" s="1223" t="s">
        <v>61</v>
      </c>
      <c r="B22" s="1057"/>
      <c r="C22" s="1058" t="s">
        <v>125</v>
      </c>
      <c r="D22" s="1058"/>
      <c r="E22" s="1058"/>
      <c r="F22" s="1058"/>
      <c r="G22" s="1058"/>
      <c r="H22" s="1058"/>
    </row>
    <row r="23" spans="1:8" ht="12.75" customHeight="1">
      <c r="A23" s="1224" t="s">
        <v>63</v>
      </c>
      <c r="B23" s="1059" t="s">
        <v>184</v>
      </c>
      <c r="C23" s="1060" t="s">
        <v>255</v>
      </c>
      <c r="D23" s="1060">
        <v>0</v>
      </c>
      <c r="E23" s="1060">
        <f>SUM(E24:E28)</f>
        <v>1898214</v>
      </c>
      <c r="F23" s="1060">
        <f>SUM(F24:F28)</f>
        <v>1898214</v>
      </c>
      <c r="G23" s="1060">
        <f>SUM(G24:G28)</f>
        <v>0</v>
      </c>
      <c r="H23" s="1060">
        <f>SUM(H24:H28)</f>
        <v>4112979</v>
      </c>
    </row>
    <row r="24" spans="1:8" ht="12.75" customHeight="1">
      <c r="A24" s="1223" t="s">
        <v>65</v>
      </c>
      <c r="B24" s="1057"/>
      <c r="C24" s="1058" t="s">
        <v>250</v>
      </c>
      <c r="D24" s="1058"/>
      <c r="E24" s="560">
        <v>1452525</v>
      </c>
      <c r="F24" s="560">
        <v>1452525</v>
      </c>
      <c r="G24" s="560">
        <v>0</v>
      </c>
      <c r="H24" s="560">
        <v>966000</v>
      </c>
    </row>
    <row r="25" spans="1:8" ht="12.75" customHeight="1">
      <c r="A25" s="1223" t="s">
        <v>92</v>
      </c>
      <c r="B25" s="1057"/>
      <c r="C25" s="1058" t="s">
        <v>251</v>
      </c>
      <c r="D25" s="1058"/>
      <c r="E25" s="211">
        <v>299970</v>
      </c>
      <c r="F25" s="211">
        <v>299970</v>
      </c>
      <c r="G25" s="211">
        <v>0</v>
      </c>
      <c r="H25" s="211">
        <v>169056</v>
      </c>
    </row>
    <row r="26" spans="1:8" ht="12.75" customHeight="1">
      <c r="A26" s="1223" t="s">
        <v>66</v>
      </c>
      <c r="B26" s="1061"/>
      <c r="C26" s="1062" t="s">
        <v>252</v>
      </c>
      <c r="D26" s="1062"/>
      <c r="E26" s="1058"/>
      <c r="F26" s="1058"/>
      <c r="G26" s="1058"/>
      <c r="H26" s="1058"/>
    </row>
    <row r="27" spans="1:8" ht="12.75" customHeight="1">
      <c r="A27" s="1223" t="s">
        <v>67</v>
      </c>
      <c r="B27" s="1061"/>
      <c r="C27" s="1062" t="s">
        <v>642</v>
      </c>
      <c r="D27" s="1062"/>
      <c r="E27" s="1058"/>
      <c r="F27" s="1058"/>
      <c r="G27" s="1058"/>
      <c r="H27" s="1058"/>
    </row>
    <row r="28" spans="1:8" ht="12.75" customHeight="1">
      <c r="A28" s="1223" t="s">
        <v>68</v>
      </c>
      <c r="B28" s="1061"/>
      <c r="C28" s="1062" t="s">
        <v>615</v>
      </c>
      <c r="D28" s="1062"/>
      <c r="E28" s="1058">
        <v>145719</v>
      </c>
      <c r="F28" s="1058">
        <v>145719</v>
      </c>
      <c r="G28" s="1058">
        <v>0</v>
      </c>
      <c r="H28" s="1058">
        <v>2977923</v>
      </c>
    </row>
    <row r="29" spans="1:8" ht="12.75" customHeight="1">
      <c r="A29" s="1224" t="s">
        <v>70</v>
      </c>
      <c r="B29" s="1063" t="s">
        <v>186</v>
      </c>
      <c r="C29" s="1060" t="s">
        <v>257</v>
      </c>
      <c r="D29" s="1060"/>
      <c r="E29" s="1060">
        <f>SUM(E31:E32)</f>
        <v>200000</v>
      </c>
      <c r="F29" s="1060">
        <f>SUM(F31:F32)</f>
        <v>200000</v>
      </c>
      <c r="G29" s="1060">
        <f>SUM(G31:G32)</f>
        <v>200000</v>
      </c>
      <c r="H29" s="1060">
        <f>SUM(H31:H32)</f>
        <v>200000</v>
      </c>
    </row>
    <row r="30" spans="1:8" ht="12.75" customHeight="1">
      <c r="A30" s="1223" t="s">
        <v>97</v>
      </c>
      <c r="B30" s="1061"/>
      <c r="C30" s="1058" t="s">
        <v>258</v>
      </c>
      <c r="D30" s="1058"/>
      <c r="E30" s="1058"/>
      <c r="F30" s="1058"/>
      <c r="G30" s="1058"/>
      <c r="H30" s="1058"/>
    </row>
    <row r="31" spans="1:8" ht="12.75" customHeight="1">
      <c r="A31" s="1223" t="s">
        <v>99</v>
      </c>
      <c r="B31" s="1061"/>
      <c r="C31" s="1058" t="s">
        <v>249</v>
      </c>
      <c r="D31" s="1058"/>
      <c r="E31" s="1058">
        <v>0</v>
      </c>
      <c r="F31" s="1058">
        <v>0</v>
      </c>
      <c r="G31" s="1058">
        <v>0</v>
      </c>
      <c r="H31" s="1058">
        <v>0</v>
      </c>
    </row>
    <row r="32" spans="1:8" ht="12.75" customHeight="1">
      <c r="A32" s="1223" t="s">
        <v>101</v>
      </c>
      <c r="B32" s="1061"/>
      <c r="C32" s="1058" t="s">
        <v>252</v>
      </c>
      <c r="D32" s="1058"/>
      <c r="E32" s="1058">
        <v>200000</v>
      </c>
      <c r="F32" s="1058">
        <v>200000</v>
      </c>
      <c r="G32" s="1058">
        <v>200000</v>
      </c>
      <c r="H32" s="1058">
        <v>200000</v>
      </c>
    </row>
    <row r="33" spans="1:8" ht="12.75" customHeight="1">
      <c r="A33" s="1224" t="s">
        <v>103</v>
      </c>
      <c r="B33" s="1063" t="s">
        <v>189</v>
      </c>
      <c r="C33" s="1060" t="s">
        <v>941</v>
      </c>
      <c r="D33" s="1060"/>
      <c r="E33" s="1060">
        <v>0</v>
      </c>
      <c r="F33" s="1060">
        <v>0</v>
      </c>
      <c r="G33" s="1060">
        <v>0</v>
      </c>
      <c r="H33" s="1060">
        <v>0</v>
      </c>
    </row>
    <row r="34" spans="1:8" ht="12.75" customHeight="1">
      <c r="A34" s="1223" t="s">
        <v>105</v>
      </c>
      <c r="B34" s="1061"/>
      <c r="C34" s="1058" t="s">
        <v>250</v>
      </c>
      <c r="D34" s="1058"/>
      <c r="E34" s="1058"/>
      <c r="F34" s="1058"/>
      <c r="G34" s="1058"/>
      <c r="H34" s="1058"/>
    </row>
    <row r="35" spans="1:8" ht="12.75" customHeight="1">
      <c r="A35" s="1223" t="s">
        <v>107</v>
      </c>
      <c r="B35" s="1061"/>
      <c r="C35" s="1058" t="s">
        <v>251</v>
      </c>
      <c r="D35" s="1058"/>
      <c r="E35" s="1058"/>
      <c r="F35" s="1058"/>
      <c r="G35" s="1058"/>
      <c r="H35" s="1058"/>
    </row>
    <row r="36" spans="1:8" ht="12.75" customHeight="1">
      <c r="A36" s="1223" t="s">
        <v>109</v>
      </c>
      <c r="B36" s="1061"/>
      <c r="C36" s="1058" t="s">
        <v>256</v>
      </c>
      <c r="D36" s="1058"/>
      <c r="E36" s="1058"/>
      <c r="F36" s="1058"/>
      <c r="G36" s="1058"/>
      <c r="H36" s="1058"/>
    </row>
    <row r="37" spans="1:8" ht="12.75" customHeight="1">
      <c r="A37" s="1224" t="s">
        <v>111</v>
      </c>
      <c r="B37" s="1063" t="s">
        <v>191</v>
      </c>
      <c r="C37" s="1060" t="s">
        <v>942</v>
      </c>
      <c r="D37" s="1060"/>
      <c r="E37" s="1060">
        <f>SUM(E38)</f>
        <v>42686648</v>
      </c>
      <c r="F37" s="1060">
        <f>SUM(F38)</f>
        <v>38291741</v>
      </c>
      <c r="G37" s="1060">
        <f>SUM(G38)</f>
        <v>35778999</v>
      </c>
      <c r="H37" s="1060">
        <f>SUM(H38)</f>
        <v>0</v>
      </c>
    </row>
    <row r="38" spans="1:8" ht="12.75" customHeight="1">
      <c r="A38" s="1223" t="s">
        <v>113</v>
      </c>
      <c r="B38" s="1061"/>
      <c r="C38" s="1064" t="s">
        <v>646</v>
      </c>
      <c r="D38" s="1058"/>
      <c r="E38" s="1058">
        <f>SUM(E39:E44)</f>
        <v>42686648</v>
      </c>
      <c r="F38" s="1058">
        <f>SUM(F39:F44)</f>
        <v>38291741</v>
      </c>
      <c r="G38" s="1058">
        <f>SUM(G39:G44)</f>
        <v>35778999</v>
      </c>
      <c r="H38" s="1058">
        <f>SUM(H39:H44)</f>
        <v>0</v>
      </c>
    </row>
    <row r="39" spans="1:8" ht="12.75" customHeight="1">
      <c r="A39" s="1225" t="s">
        <v>115</v>
      </c>
      <c r="B39" s="1065"/>
      <c r="C39" s="1066" t="s">
        <v>645</v>
      </c>
      <c r="D39" s="1067"/>
      <c r="E39" s="558">
        <v>11826840</v>
      </c>
      <c r="F39" s="558">
        <v>11826840</v>
      </c>
      <c r="G39" s="558">
        <v>6634000</v>
      </c>
      <c r="H39" s="558">
        <v>0</v>
      </c>
    </row>
    <row r="40" spans="1:8" ht="12.75" customHeight="1">
      <c r="A40" s="1225" t="s">
        <v>117</v>
      </c>
      <c r="B40" s="1065"/>
      <c r="C40" s="1066" t="s">
        <v>647</v>
      </c>
      <c r="D40" s="1067"/>
      <c r="E40" s="558">
        <v>24880933</v>
      </c>
      <c r="F40" s="558">
        <v>19249254</v>
      </c>
      <c r="G40" s="558">
        <v>23569352</v>
      </c>
      <c r="H40" s="558">
        <v>0</v>
      </c>
    </row>
    <row r="41" spans="1:8" ht="12.75" customHeight="1">
      <c r="A41" s="1225" t="s">
        <v>118</v>
      </c>
      <c r="B41" s="1065"/>
      <c r="C41" s="1068" t="s">
        <v>648</v>
      </c>
      <c r="D41" s="1067"/>
      <c r="E41" s="558">
        <v>2300000</v>
      </c>
      <c r="F41" s="558">
        <v>3500000</v>
      </c>
      <c r="G41" s="558">
        <v>1860000</v>
      </c>
      <c r="H41" s="558">
        <v>0</v>
      </c>
    </row>
    <row r="42" spans="1:8" ht="12" customHeight="1">
      <c r="A42" s="1225" t="s">
        <v>120</v>
      </c>
      <c r="B42" s="1065"/>
      <c r="C42" s="1068" t="s">
        <v>260</v>
      </c>
      <c r="D42" s="1067"/>
      <c r="E42" s="558">
        <v>3228</v>
      </c>
      <c r="F42" s="558">
        <v>40000</v>
      </c>
      <c r="G42" s="558">
        <v>40000</v>
      </c>
      <c r="H42" s="558">
        <v>0</v>
      </c>
    </row>
    <row r="43" spans="1:8" ht="12" customHeight="1">
      <c r="A43" s="1225" t="s">
        <v>122</v>
      </c>
      <c r="B43" s="1069"/>
      <c r="C43" s="1068" t="s">
        <v>943</v>
      </c>
      <c r="D43" s="1068"/>
      <c r="E43" s="1070">
        <v>3175647</v>
      </c>
      <c r="F43" s="1070">
        <v>3175647</v>
      </c>
      <c r="G43" s="1070">
        <v>3175647</v>
      </c>
      <c r="H43" s="1070">
        <v>0</v>
      </c>
    </row>
    <row r="44" spans="1:8" ht="12" customHeight="1">
      <c r="A44" s="1225" t="s">
        <v>124</v>
      </c>
      <c r="B44" s="1069"/>
      <c r="C44" s="1068" t="s">
        <v>1019</v>
      </c>
      <c r="D44" s="1068"/>
      <c r="E44" s="1070">
        <v>500000</v>
      </c>
      <c r="F44" s="1070">
        <v>500000</v>
      </c>
      <c r="G44" s="1070">
        <v>500000</v>
      </c>
      <c r="H44" s="1070">
        <v>0</v>
      </c>
    </row>
    <row r="45" spans="1:8" ht="12" customHeight="1">
      <c r="A45" s="1225" t="s">
        <v>126</v>
      </c>
      <c r="B45" s="1732" t="s">
        <v>195</v>
      </c>
      <c r="C45" s="1723" t="s">
        <v>1236</v>
      </c>
      <c r="D45" s="1068"/>
      <c r="E45" s="1070"/>
      <c r="F45" s="1070"/>
      <c r="G45" s="1070"/>
      <c r="H45" s="1724">
        <f>SUM(H46:H48)</f>
        <v>1181118</v>
      </c>
    </row>
    <row r="46" spans="1:8" ht="12" customHeight="1">
      <c r="A46" s="1225" t="s">
        <v>128</v>
      </c>
      <c r="B46" s="1069"/>
      <c r="C46" s="1068" t="s">
        <v>1206</v>
      </c>
      <c r="D46" s="1068"/>
      <c r="E46" s="1070"/>
      <c r="F46" s="1070"/>
      <c r="G46" s="1070"/>
      <c r="H46" s="1070">
        <v>651105</v>
      </c>
    </row>
    <row r="47" spans="1:8" ht="12" customHeight="1">
      <c r="A47" s="1225" t="s">
        <v>130</v>
      </c>
      <c r="B47" s="1069"/>
      <c r="C47" s="1068" t="s">
        <v>260</v>
      </c>
      <c r="D47" s="1068"/>
      <c r="E47" s="1070"/>
      <c r="F47" s="1070"/>
      <c r="G47" s="1070"/>
      <c r="H47" s="1070">
        <v>30013</v>
      </c>
    </row>
    <row r="48" spans="1:8" ht="12" customHeight="1">
      <c r="A48" s="1225" t="s">
        <v>131</v>
      </c>
      <c r="B48" s="1069"/>
      <c r="C48" s="1068" t="s">
        <v>510</v>
      </c>
      <c r="D48" s="1068"/>
      <c r="E48" s="1070"/>
      <c r="F48" s="1070"/>
      <c r="G48" s="1070"/>
      <c r="H48" s="1070">
        <v>500000</v>
      </c>
    </row>
    <row r="49" spans="1:8" ht="12.75" customHeight="1">
      <c r="A49" s="1224" t="s">
        <v>133</v>
      </c>
      <c r="B49" s="1063" t="s">
        <v>230</v>
      </c>
      <c r="C49" s="139" t="s">
        <v>944</v>
      </c>
      <c r="D49" s="1060"/>
      <c r="E49" s="1071">
        <f>SUM(E51+E57)</f>
        <v>4209730</v>
      </c>
      <c r="F49" s="1071">
        <f>SUM(F51+F57)</f>
        <v>3453000</v>
      </c>
      <c r="G49" s="1071">
        <f>SUM(G51+G57)</f>
        <v>3803000</v>
      </c>
      <c r="H49" s="1071">
        <f>SUM(H51+H57)</f>
        <v>3453000</v>
      </c>
    </row>
    <row r="50" spans="1:8" ht="12.75" customHeight="1">
      <c r="A50" s="1223" t="s">
        <v>135</v>
      </c>
      <c r="B50" s="1061"/>
      <c r="C50" s="115" t="s">
        <v>125</v>
      </c>
      <c r="D50" s="1058"/>
      <c r="E50" s="510"/>
      <c r="F50" s="510"/>
      <c r="G50" s="510"/>
      <c r="H50" s="510"/>
    </row>
    <row r="51" spans="1:8" s="60" customFormat="1" ht="12.75" customHeight="1">
      <c r="A51" s="1223" t="s">
        <v>137</v>
      </c>
      <c r="B51" s="1061"/>
      <c r="C51" s="115" t="s">
        <v>607</v>
      </c>
      <c r="D51" s="1058"/>
      <c r="E51" s="510">
        <v>3859730</v>
      </c>
      <c r="F51" s="510">
        <v>3453000</v>
      </c>
      <c r="G51" s="510">
        <v>3453000</v>
      </c>
      <c r="H51" s="510">
        <v>3453000</v>
      </c>
    </row>
    <row r="52" spans="1:8" s="60" customFormat="1" ht="12.75" customHeight="1">
      <c r="A52" s="1226" t="s">
        <v>139</v>
      </c>
      <c r="B52" s="1072"/>
      <c r="C52" s="508" t="s">
        <v>608</v>
      </c>
      <c r="D52" s="1073"/>
      <c r="E52" s="1074">
        <v>1050000</v>
      </c>
      <c r="F52" s="1074">
        <v>1080000</v>
      </c>
      <c r="G52" s="1074">
        <v>1080000</v>
      </c>
      <c r="H52" s="1074">
        <v>1080000</v>
      </c>
    </row>
    <row r="53" spans="1:8" s="60" customFormat="1" ht="12.75" customHeight="1">
      <c r="A53" s="1226" t="s">
        <v>141</v>
      </c>
      <c r="B53" s="1072"/>
      <c r="C53" s="508" t="s">
        <v>664</v>
      </c>
      <c r="D53" s="1073"/>
      <c r="E53" s="1074">
        <v>75000</v>
      </c>
      <c r="F53" s="1074">
        <v>50000</v>
      </c>
      <c r="G53" s="1074">
        <v>50000</v>
      </c>
      <c r="H53" s="1074">
        <v>50000</v>
      </c>
    </row>
    <row r="54" spans="1:8" ht="12.75" customHeight="1">
      <c r="A54" s="1226" t="s">
        <v>143</v>
      </c>
      <c r="B54" s="1072"/>
      <c r="C54" s="508" t="s">
        <v>609</v>
      </c>
      <c r="D54" s="1073"/>
      <c r="E54" s="1074">
        <v>0</v>
      </c>
      <c r="F54" s="1074">
        <v>0</v>
      </c>
      <c r="G54" s="1074">
        <v>0</v>
      </c>
      <c r="H54" s="1074">
        <v>0</v>
      </c>
    </row>
    <row r="55" spans="1:8" ht="12.75" customHeight="1">
      <c r="A55" s="1226" t="s">
        <v>145</v>
      </c>
      <c r="B55" s="1072"/>
      <c r="C55" s="508" t="s">
        <v>610</v>
      </c>
      <c r="D55" s="1073"/>
      <c r="E55" s="1074">
        <v>2734730</v>
      </c>
      <c r="F55" s="1074">
        <v>2323000</v>
      </c>
      <c r="G55" s="1074">
        <v>2323000</v>
      </c>
      <c r="H55" s="1074">
        <v>2323000</v>
      </c>
    </row>
    <row r="56" spans="1:8" s="60" customFormat="1" ht="12.75" customHeight="1">
      <c r="A56" s="1226" t="s">
        <v>147</v>
      </c>
      <c r="B56" s="1072"/>
      <c r="C56" s="508" t="s">
        <v>611</v>
      </c>
      <c r="D56" s="1073"/>
      <c r="E56" s="1073"/>
      <c r="F56" s="1073"/>
      <c r="G56" s="1073"/>
      <c r="H56" s="1073"/>
    </row>
    <row r="57" spans="1:8" s="60" customFormat="1" ht="12.75" customHeight="1">
      <c r="A57" s="1223" t="s">
        <v>149</v>
      </c>
      <c r="B57" s="1061"/>
      <c r="C57" s="1076" t="s">
        <v>945</v>
      </c>
      <c r="D57" s="1077"/>
      <c r="E57" s="1058">
        <v>350000</v>
      </c>
      <c r="F57" s="1058"/>
      <c r="G57" s="1058">
        <v>350000</v>
      </c>
      <c r="H57" s="1058">
        <v>0</v>
      </c>
    </row>
    <row r="58" spans="1:8" s="60" customFormat="1" ht="12.75" customHeight="1">
      <c r="A58" s="1224" t="s">
        <v>151</v>
      </c>
      <c r="B58" s="1063" t="s">
        <v>514</v>
      </c>
      <c r="C58" s="1078" t="s">
        <v>262</v>
      </c>
      <c r="D58" s="1079">
        <v>12</v>
      </c>
      <c r="E58" s="1060">
        <f>SUM(E59+E60+E61+E64+E65+E66)+E68</f>
        <v>854145362</v>
      </c>
      <c r="F58" s="1060">
        <f>SUM(F59+F60+F61+F64+F65+F66)+F68</f>
        <v>539868521</v>
      </c>
      <c r="G58" s="1060">
        <f>SUM(G59+G60+G61+G64+G65+G66)+G68</f>
        <v>731315197</v>
      </c>
      <c r="H58" s="1060">
        <f>SUM(H59+H60+H61+H64+H65+H66)+H68+H69</f>
        <v>762054649</v>
      </c>
    </row>
    <row r="59" spans="1:8" s="60" customFormat="1" ht="12.75" customHeight="1">
      <c r="A59" s="1223" t="s">
        <v>205</v>
      </c>
      <c r="B59" s="1061"/>
      <c r="C59" s="1058" t="s">
        <v>250</v>
      </c>
      <c r="D59" s="1058"/>
      <c r="E59" s="1058">
        <v>16221899</v>
      </c>
      <c r="F59" s="1058">
        <v>19050043</v>
      </c>
      <c r="G59" s="1058">
        <v>19050043</v>
      </c>
      <c r="H59" s="1058">
        <v>20010043</v>
      </c>
    </row>
    <row r="60" spans="1:8" ht="12.75" customHeight="1">
      <c r="A60" s="1223" t="s">
        <v>207</v>
      </c>
      <c r="B60" s="1061"/>
      <c r="C60" s="1058" t="s">
        <v>251</v>
      </c>
      <c r="D60" s="1058"/>
      <c r="E60" s="1058">
        <v>2852678</v>
      </c>
      <c r="F60" s="1058">
        <v>3356400</v>
      </c>
      <c r="G60" s="1058">
        <v>3356400</v>
      </c>
      <c r="H60" s="1058">
        <v>3505200</v>
      </c>
    </row>
    <row r="61" spans="1:8" ht="12.75" customHeight="1">
      <c r="A61" s="1223" t="s">
        <v>261</v>
      </c>
      <c r="B61" s="1061"/>
      <c r="C61" s="1058" t="s">
        <v>252</v>
      </c>
      <c r="D61" s="1058"/>
      <c r="E61" s="1058">
        <v>152900803</v>
      </c>
      <c r="F61" s="1058">
        <v>53234071</v>
      </c>
      <c r="G61" s="1058">
        <v>44308311</v>
      </c>
      <c r="H61" s="1058">
        <v>47815268</v>
      </c>
    </row>
    <row r="62" spans="1:8" ht="12.75" customHeight="1">
      <c r="A62" s="1225" t="s">
        <v>208</v>
      </c>
      <c r="B62" s="1065"/>
      <c r="C62" s="1068" t="s">
        <v>653</v>
      </c>
      <c r="D62" s="1067"/>
      <c r="E62" s="1067">
        <v>300000</v>
      </c>
      <c r="F62" s="1067">
        <v>0</v>
      </c>
      <c r="G62" s="1067">
        <v>0</v>
      </c>
      <c r="H62" s="1067">
        <v>0</v>
      </c>
    </row>
    <row r="63" spans="1:8" ht="12.75" customHeight="1">
      <c r="A63" s="1225" t="s">
        <v>210</v>
      </c>
      <c r="B63" s="1065"/>
      <c r="C63" s="1068"/>
      <c r="D63" s="1067"/>
      <c r="E63" s="1067"/>
      <c r="F63" s="1067"/>
      <c r="G63" s="1067"/>
      <c r="H63" s="1067"/>
    </row>
    <row r="64" spans="1:8" ht="15" customHeight="1">
      <c r="A64" s="1223" t="s">
        <v>263</v>
      </c>
      <c r="B64" s="1061"/>
      <c r="C64" s="1058" t="s">
        <v>15</v>
      </c>
      <c r="D64" s="1058"/>
      <c r="E64" s="1058">
        <f>SUM('19 önkormányzat'!E123)</f>
        <v>200922038</v>
      </c>
      <c r="F64" s="1058">
        <f>SUM('19 önkormányzat'!F123)</f>
        <v>2100000</v>
      </c>
      <c r="G64" s="1058">
        <f>SUM('19 önkormányzat'!G123)</f>
        <v>93863808</v>
      </c>
      <c r="H64" s="1058">
        <f>SUM('19 önkormányzat'!H123)</f>
        <v>269306727</v>
      </c>
    </row>
    <row r="65" spans="1:8" ht="15" customHeight="1">
      <c r="A65" s="1223" t="s">
        <v>264</v>
      </c>
      <c r="B65" s="1061"/>
      <c r="C65" s="1058" t="s">
        <v>515</v>
      </c>
      <c r="D65" s="1080"/>
      <c r="E65" s="1058">
        <f>SUM('19 önkormányzat'!E124)</f>
        <v>478765907</v>
      </c>
      <c r="F65" s="1058">
        <f>SUM('19 önkormányzat'!F124)</f>
        <v>462128007</v>
      </c>
      <c r="G65" s="1058">
        <f>SUM('19 önkormányzat'!G124)</f>
        <v>570382608</v>
      </c>
      <c r="H65" s="1058">
        <f>SUM('19 önkormányzat'!H124)</f>
        <v>419046334</v>
      </c>
    </row>
    <row r="66" spans="1:8" ht="15" customHeight="1">
      <c r="A66" s="1223" t="s">
        <v>265</v>
      </c>
      <c r="B66" s="1061"/>
      <c r="C66" s="1081" t="s">
        <v>643</v>
      </c>
      <c r="D66" s="1082"/>
      <c r="E66" s="1058">
        <v>0</v>
      </c>
      <c r="F66" s="1058">
        <v>0</v>
      </c>
      <c r="G66" s="1058">
        <v>0</v>
      </c>
      <c r="H66" s="1058">
        <v>0</v>
      </c>
    </row>
    <row r="67" spans="1:60" s="21" customFormat="1" ht="15.75" customHeight="1">
      <c r="A67" s="1227" t="s">
        <v>266</v>
      </c>
      <c r="B67" s="1083"/>
      <c r="C67" s="1084" t="s">
        <v>958</v>
      </c>
      <c r="D67" s="1085"/>
      <c r="E67" s="1058"/>
      <c r="F67" s="1058"/>
      <c r="G67" s="1058"/>
      <c r="H67" s="105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8" ht="15" customHeight="1">
      <c r="A68" s="1228" t="s">
        <v>268</v>
      </c>
      <c r="B68" s="1047"/>
      <c r="C68" s="1082" t="s">
        <v>472</v>
      </c>
      <c r="D68" s="1082"/>
      <c r="E68" s="1058">
        <v>2482037</v>
      </c>
      <c r="F68" s="1058"/>
      <c r="G68" s="1058">
        <v>354027</v>
      </c>
      <c r="H68" s="1058">
        <v>354027</v>
      </c>
    </row>
    <row r="69" spans="1:8" ht="15" customHeight="1">
      <c r="A69" s="1228" t="s">
        <v>270</v>
      </c>
      <c r="B69" s="1047"/>
      <c r="C69" s="1087" t="s">
        <v>1237</v>
      </c>
      <c r="D69" s="1087"/>
      <c r="E69" s="1058"/>
      <c r="F69" s="1058"/>
      <c r="G69" s="1058"/>
      <c r="H69" s="1058">
        <v>2017050</v>
      </c>
    </row>
    <row r="70" spans="1:8" ht="15" customHeight="1">
      <c r="A70" s="1229" t="s">
        <v>272</v>
      </c>
      <c r="B70" s="1055" t="s">
        <v>517</v>
      </c>
      <c r="C70" s="607" t="s">
        <v>632</v>
      </c>
      <c r="D70" s="1087"/>
      <c r="E70" s="1060">
        <f>SUM(E71:E73)</f>
        <v>505008</v>
      </c>
      <c r="F70" s="1060">
        <f>SUM(F71:F73)</f>
        <v>435723</v>
      </c>
      <c r="G70" s="1060">
        <f>SUM(G71:G73)</f>
        <v>435723</v>
      </c>
      <c r="H70" s="1060">
        <f>SUM(H71:H73)</f>
        <v>585492</v>
      </c>
    </row>
    <row r="71" spans="1:8" s="64" customFormat="1" ht="15" customHeight="1">
      <c r="A71" s="1223" t="s">
        <v>273</v>
      </c>
      <c r="B71" s="1057"/>
      <c r="C71" s="1088" t="s">
        <v>250</v>
      </c>
      <c r="D71" s="1082"/>
      <c r="E71" s="1058">
        <v>0</v>
      </c>
      <c r="F71" s="1058">
        <v>0</v>
      </c>
      <c r="G71" s="1058">
        <v>0</v>
      </c>
      <c r="H71" s="1058">
        <v>0</v>
      </c>
    </row>
    <row r="72" spans="1:60" s="21" customFormat="1" ht="15.75" customHeight="1">
      <c r="A72" s="1223" t="s">
        <v>274</v>
      </c>
      <c r="B72" s="1083"/>
      <c r="C72" s="1088" t="s">
        <v>251</v>
      </c>
      <c r="D72" s="1082"/>
      <c r="E72" s="1058">
        <v>0</v>
      </c>
      <c r="F72" s="1058">
        <v>0</v>
      </c>
      <c r="G72" s="1058">
        <v>0</v>
      </c>
      <c r="H72" s="1058"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8" ht="12.75" customHeight="1">
      <c r="A73" s="1388" t="s">
        <v>276</v>
      </c>
      <c r="B73" s="1047"/>
      <c r="C73" s="650" t="s">
        <v>252</v>
      </c>
      <c r="D73" s="1082"/>
      <c r="E73" s="1058">
        <v>505008</v>
      </c>
      <c r="F73" s="1058">
        <v>435723</v>
      </c>
      <c r="G73" s="1058">
        <v>435723</v>
      </c>
      <c r="H73" s="1058">
        <v>585492</v>
      </c>
    </row>
    <row r="74" spans="1:8" ht="12.75" customHeight="1">
      <c r="A74" s="1223" t="s">
        <v>277</v>
      </c>
      <c r="B74" s="1055" t="s">
        <v>1241</v>
      </c>
      <c r="C74" s="1089" t="s">
        <v>644</v>
      </c>
      <c r="D74" s="509"/>
      <c r="E74" s="1060">
        <f>SUM(E75:E76)</f>
        <v>8209104</v>
      </c>
      <c r="F74" s="1060">
        <f>SUM(F75:F76)</f>
        <v>8251931</v>
      </c>
      <c r="G74" s="1060">
        <f>SUM(G75:G76)</f>
        <v>8432007</v>
      </c>
      <c r="H74" s="1060">
        <f>SUM(H75:H76)</f>
        <v>8432007</v>
      </c>
    </row>
    <row r="75" spans="1:8" ht="12.75" customHeight="1">
      <c r="A75" s="1223" t="s">
        <v>278</v>
      </c>
      <c r="B75" s="1061"/>
      <c r="C75" s="1058" t="s">
        <v>516</v>
      </c>
      <c r="D75" s="1080"/>
      <c r="E75" s="1058">
        <v>8209104</v>
      </c>
      <c r="F75" s="1058">
        <v>8251931</v>
      </c>
      <c r="G75" s="1058">
        <v>8432007</v>
      </c>
      <c r="H75" s="1058">
        <v>8432007</v>
      </c>
    </row>
    <row r="76" spans="1:8" ht="12.75" customHeight="1">
      <c r="A76" s="1223" t="s">
        <v>279</v>
      </c>
      <c r="B76" s="1057"/>
      <c r="C76" s="1081" t="s">
        <v>472</v>
      </c>
      <c r="D76" s="1082"/>
      <c r="E76" s="1058"/>
      <c r="F76" s="1058"/>
      <c r="G76" s="1058"/>
      <c r="H76" s="1058"/>
    </row>
    <row r="77" spans="1:8" ht="12.75" customHeight="1">
      <c r="A77" s="1224" t="s">
        <v>280</v>
      </c>
      <c r="B77" s="1059" t="s">
        <v>518</v>
      </c>
      <c r="C77" s="1089" t="s">
        <v>957</v>
      </c>
      <c r="D77" s="509"/>
      <c r="E77" s="1060">
        <f>SUM(E78:E81)</f>
        <v>20818564</v>
      </c>
      <c r="F77" s="1060">
        <f>SUM(F78:F81)</f>
        <v>16137900</v>
      </c>
      <c r="G77" s="1060">
        <f>SUM(G78:G81)</f>
        <v>16137900</v>
      </c>
      <c r="H77" s="1060">
        <f>SUM(H78:H81)</f>
        <v>16137900</v>
      </c>
    </row>
    <row r="78" spans="1:8" ht="12.75" customHeight="1">
      <c r="A78" s="1223" t="s">
        <v>281</v>
      </c>
      <c r="B78" s="977"/>
      <c r="C78" s="1088" t="s">
        <v>250</v>
      </c>
      <c r="D78" s="1082"/>
      <c r="E78" s="1058">
        <v>12991088</v>
      </c>
      <c r="F78" s="1058">
        <v>8628000</v>
      </c>
      <c r="G78" s="1058">
        <v>8628000</v>
      </c>
      <c r="H78" s="1058">
        <v>8628000</v>
      </c>
    </row>
    <row r="79" spans="1:8" ht="12.75" customHeight="1">
      <c r="A79" s="1223" t="s">
        <v>282</v>
      </c>
      <c r="B79" s="1083"/>
      <c r="C79" s="1382" t="s">
        <v>251</v>
      </c>
      <c r="D79" s="1082"/>
      <c r="E79" s="1058">
        <v>2522516</v>
      </c>
      <c r="F79" s="1058">
        <v>1509900</v>
      </c>
      <c r="G79" s="1058">
        <v>1509900</v>
      </c>
      <c r="H79" s="1058">
        <v>1509900</v>
      </c>
    </row>
    <row r="80" spans="1:8" ht="12.75" customHeight="1">
      <c r="A80" s="1388" t="s">
        <v>283</v>
      </c>
      <c r="B80" s="1047"/>
      <c r="C80" s="1088" t="s">
        <v>624</v>
      </c>
      <c r="D80" s="1082"/>
      <c r="E80" s="1058">
        <v>3861000</v>
      </c>
      <c r="F80" s="1058">
        <v>6000000</v>
      </c>
      <c r="G80" s="1058">
        <v>6000000</v>
      </c>
      <c r="H80" s="1058">
        <v>6000000</v>
      </c>
    </row>
    <row r="81" spans="1:8" ht="12.75" customHeight="1">
      <c r="A81" s="1388" t="s">
        <v>284</v>
      </c>
      <c r="B81" s="1047"/>
      <c r="C81" s="1088" t="s">
        <v>1059</v>
      </c>
      <c r="D81" s="1082"/>
      <c r="E81" s="1058">
        <v>1443960</v>
      </c>
      <c r="F81" s="1058">
        <v>0</v>
      </c>
      <c r="G81" s="1058">
        <v>0</v>
      </c>
      <c r="H81" s="1058">
        <v>0</v>
      </c>
    </row>
    <row r="82" spans="1:8" ht="12.75" customHeight="1">
      <c r="A82" s="1224" t="s">
        <v>285</v>
      </c>
      <c r="B82" s="1055" t="s">
        <v>946</v>
      </c>
      <c r="C82" s="1383" t="s">
        <v>947</v>
      </c>
      <c r="D82" s="509"/>
      <c r="E82" s="1060"/>
      <c r="F82" s="1060"/>
      <c r="G82" s="1060"/>
      <c r="H82" s="1060"/>
    </row>
    <row r="83" spans="1:8" ht="12.75" customHeight="1">
      <c r="A83" s="1223" t="s">
        <v>286</v>
      </c>
      <c r="B83" s="1057"/>
      <c r="C83" s="1081" t="s">
        <v>948</v>
      </c>
      <c r="D83" s="1082"/>
      <c r="E83" s="1058"/>
      <c r="F83" s="1058"/>
      <c r="G83" s="1058"/>
      <c r="H83" s="1058"/>
    </row>
    <row r="84" spans="1:8" ht="14.25" customHeight="1">
      <c r="A84" s="1224" t="s">
        <v>287</v>
      </c>
      <c r="B84" s="1059" t="s">
        <v>954</v>
      </c>
      <c r="C84" s="1089" t="s">
        <v>950</v>
      </c>
      <c r="D84" s="509"/>
      <c r="E84" s="1060"/>
      <c r="F84" s="1060"/>
      <c r="G84" s="1060"/>
      <c r="H84" s="1060"/>
    </row>
    <row r="85" spans="1:8" ht="14.25" customHeight="1">
      <c r="A85" s="1223" t="s">
        <v>289</v>
      </c>
      <c r="B85" s="1057"/>
      <c r="C85" s="1081" t="s">
        <v>948</v>
      </c>
      <c r="D85" s="1082"/>
      <c r="E85" s="1058"/>
      <c r="F85" s="1058"/>
      <c r="G85" s="1058"/>
      <c r="H85" s="1058"/>
    </row>
    <row r="86" spans="1:8" s="88" customFormat="1" ht="18" customHeight="1">
      <c r="A86" s="1223" t="s">
        <v>290</v>
      </c>
      <c r="B86" s="1057"/>
      <c r="C86" s="1081" t="s">
        <v>951</v>
      </c>
      <c r="D86" s="1082"/>
      <c r="E86" s="1058"/>
      <c r="F86" s="1058"/>
      <c r="G86" s="1058"/>
      <c r="H86" s="1058"/>
    </row>
    <row r="87" spans="1:8" ht="12.75" customHeight="1">
      <c r="A87" s="1224" t="s">
        <v>291</v>
      </c>
      <c r="B87" s="1059" t="s">
        <v>949</v>
      </c>
      <c r="C87" s="1089" t="s">
        <v>914</v>
      </c>
      <c r="D87" s="509"/>
      <c r="E87" s="1060">
        <f>SUM(E89)</f>
        <v>1500000</v>
      </c>
      <c r="F87" s="1060">
        <f>SUM(F89)</f>
        <v>6480000</v>
      </c>
      <c r="G87" s="1060">
        <f>SUM(G89)</f>
        <v>6480000</v>
      </c>
      <c r="H87" s="1060">
        <f>SUM(H89)</f>
        <v>7810000</v>
      </c>
    </row>
    <row r="88" spans="1:8" ht="12.75" customHeight="1">
      <c r="A88" s="1223" t="s">
        <v>292</v>
      </c>
      <c r="B88" s="1057"/>
      <c r="C88" s="1081" t="s">
        <v>953</v>
      </c>
      <c r="D88" s="1082"/>
      <c r="E88" s="1058"/>
      <c r="F88" s="1058"/>
      <c r="G88" s="1058"/>
      <c r="H88" s="1058"/>
    </row>
    <row r="89" spans="1:8" ht="12.75" customHeight="1">
      <c r="A89" s="1223" t="s">
        <v>293</v>
      </c>
      <c r="B89" s="1057"/>
      <c r="C89" s="1081" t="s">
        <v>951</v>
      </c>
      <c r="D89" s="1082"/>
      <c r="E89" s="1058">
        <v>1500000</v>
      </c>
      <c r="F89" s="1058">
        <v>6480000</v>
      </c>
      <c r="G89" s="1058">
        <v>6480000</v>
      </c>
      <c r="H89" s="1058">
        <v>7810000</v>
      </c>
    </row>
    <row r="90" spans="1:8" s="64" customFormat="1" ht="12.75" customHeight="1">
      <c r="A90" s="1224" t="s">
        <v>294</v>
      </c>
      <c r="B90" s="1059" t="s">
        <v>1242</v>
      </c>
      <c r="C90" s="1089" t="s">
        <v>1068</v>
      </c>
      <c r="D90" s="509"/>
      <c r="E90" s="1060">
        <v>1099900</v>
      </c>
      <c r="F90" s="1060">
        <v>0</v>
      </c>
      <c r="G90" s="1060">
        <v>0</v>
      </c>
      <c r="H90" s="1060">
        <v>0</v>
      </c>
    </row>
    <row r="91" spans="1:8" ht="12.75" customHeight="1">
      <c r="A91" s="1223" t="s">
        <v>296</v>
      </c>
      <c r="B91" s="1057"/>
      <c r="C91" s="1081" t="s">
        <v>1069</v>
      </c>
      <c r="D91" s="1082"/>
      <c r="E91" s="1058">
        <v>1099900</v>
      </c>
      <c r="F91" s="1058">
        <v>0</v>
      </c>
      <c r="G91" s="1058">
        <v>0</v>
      </c>
      <c r="H91" s="1058">
        <v>0</v>
      </c>
    </row>
    <row r="92" spans="1:8" s="64" customFormat="1" ht="12.75" customHeight="1">
      <c r="A92" s="1224" t="s">
        <v>298</v>
      </c>
      <c r="B92" s="1059" t="s">
        <v>1055</v>
      </c>
      <c r="C92" s="1089" t="s">
        <v>1182</v>
      </c>
      <c r="D92" s="509"/>
      <c r="E92" s="1060"/>
      <c r="F92" s="1060"/>
      <c r="G92" s="1060">
        <v>2000000</v>
      </c>
      <c r="H92" s="1060">
        <v>2000000</v>
      </c>
    </row>
    <row r="93" spans="1:8" ht="12.75" customHeight="1">
      <c r="A93" s="1223" t="s">
        <v>300</v>
      </c>
      <c r="B93" s="1057"/>
      <c r="C93" s="1081" t="s">
        <v>1183</v>
      </c>
      <c r="D93" s="1082"/>
      <c r="E93" s="1058"/>
      <c r="F93" s="1058"/>
      <c r="G93" s="1058">
        <v>2000000</v>
      </c>
      <c r="H93" s="1058">
        <v>2000000</v>
      </c>
    </row>
    <row r="94" spans="1:8" ht="12.75" customHeight="1">
      <c r="A94" s="1223" t="s">
        <v>301</v>
      </c>
      <c r="B94" s="1090" t="s">
        <v>1056</v>
      </c>
      <c r="C94" s="1091" t="s">
        <v>612</v>
      </c>
      <c r="D94" s="509"/>
      <c r="E94" s="1060">
        <f>SUM(E95)</f>
        <v>300105338</v>
      </c>
      <c r="F94" s="1060">
        <f>SUM(F95)</f>
        <v>329437179</v>
      </c>
      <c r="G94" s="1060">
        <f>SUM(G95)</f>
        <v>327680648</v>
      </c>
      <c r="H94" s="1060">
        <f>SUM(H95:H99)</f>
        <v>363018533</v>
      </c>
    </row>
    <row r="95" spans="1:8" ht="12.75" customHeight="1">
      <c r="A95" s="1223" t="s">
        <v>302</v>
      </c>
      <c r="B95" s="1092"/>
      <c r="C95" s="1093" t="s">
        <v>288</v>
      </c>
      <c r="D95" s="1085"/>
      <c r="E95" s="1080">
        <f>SUM('19 önkormányzat'!E155)</f>
        <v>300105338</v>
      </c>
      <c r="F95" s="1080">
        <f>SUM('19 önkormányzat'!F155)</f>
        <v>329437179</v>
      </c>
      <c r="G95" s="1080">
        <f>SUM('19 önkormányzat'!G155)</f>
        <v>327680648</v>
      </c>
      <c r="H95" s="1080">
        <f>SUM('19 önkormányzat'!H155)</f>
        <v>327974397</v>
      </c>
    </row>
    <row r="96" spans="1:8" ht="12.75" customHeight="1">
      <c r="A96" s="1388" t="s">
        <v>303</v>
      </c>
      <c r="B96" s="1047"/>
      <c r="C96" s="1082" t="s">
        <v>1238</v>
      </c>
      <c r="D96" s="1082"/>
      <c r="E96" s="1082"/>
      <c r="F96" s="1082"/>
      <c r="G96" s="1082"/>
      <c r="H96" s="1082">
        <v>3251899</v>
      </c>
    </row>
    <row r="97" spans="1:8" ht="12.75" customHeight="1">
      <c r="A97" s="1388" t="s">
        <v>304</v>
      </c>
      <c r="B97" s="1047"/>
      <c r="C97" s="1082" t="s">
        <v>1239</v>
      </c>
      <c r="D97" s="1082"/>
      <c r="E97" s="1082"/>
      <c r="F97" s="1082"/>
      <c r="G97" s="1082"/>
      <c r="H97" s="1082">
        <v>6981000</v>
      </c>
    </row>
    <row r="98" spans="1:8" ht="12.75" customHeight="1">
      <c r="A98" s="1388" t="s">
        <v>613</v>
      </c>
      <c r="B98" s="1047"/>
      <c r="C98" s="1082" t="s">
        <v>1240</v>
      </c>
      <c r="D98" s="1082"/>
      <c r="E98" s="1082"/>
      <c r="F98" s="1082"/>
      <c r="G98" s="1082"/>
      <c r="H98" s="1082">
        <v>24461237</v>
      </c>
    </row>
    <row r="99" spans="1:8" ht="12.75" customHeight="1" thickBot="1">
      <c r="A99" s="1725" t="s">
        <v>614</v>
      </c>
      <c r="B99" s="1726"/>
      <c r="C99" s="1085" t="s">
        <v>945</v>
      </c>
      <c r="D99" s="1085"/>
      <c r="E99" s="1085"/>
      <c r="F99" s="1085"/>
      <c r="G99" s="1085"/>
      <c r="H99" s="1085">
        <v>350000</v>
      </c>
    </row>
    <row r="100" spans="1:8" s="64" customFormat="1" ht="12.75" customHeight="1" thickBot="1">
      <c r="A100" s="1727" t="s">
        <v>306</v>
      </c>
      <c r="B100" s="1728"/>
      <c r="C100" s="1729" t="s">
        <v>236</v>
      </c>
      <c r="D100" s="1729">
        <v>12</v>
      </c>
      <c r="E100" s="1730">
        <f>SUM(E12+E14+E17+E19+E23+E29+E33+E37+E58+E74+E94)+E70+E49+E87+E77+E90</f>
        <v>1242677868</v>
      </c>
      <c r="F100" s="1730">
        <v>949855995</v>
      </c>
      <c r="G100" s="1730">
        <f>SUM(G12+G14+G17+G19+G23+G29+G33+G37+G58+G74+G94)+G70+G49+G87+G77+G90+G92</f>
        <v>1139563474</v>
      </c>
      <c r="H100" s="1731">
        <f>SUM(H12+H14+H17+H19+H23+H29+H33+H37+H58+H74+H94)+H70+H49+H87+H77+H90+H92+H45</f>
        <v>1176285678</v>
      </c>
    </row>
    <row r="101" spans="1:8" ht="12.75" customHeight="1">
      <c r="A101" s="1229" t="s">
        <v>307</v>
      </c>
      <c r="B101" s="213"/>
      <c r="C101" s="214" t="s">
        <v>250</v>
      </c>
      <c r="D101" s="214"/>
      <c r="E101" s="214">
        <f>SUM(E24+E30+E34+E59)+E71+E78</f>
        <v>30665512</v>
      </c>
      <c r="F101" s="214">
        <f>SUM(F24+F30+F34+F59)+F71+F78</f>
        <v>29130568</v>
      </c>
      <c r="G101" s="214">
        <f>SUM(G24+G30+G34+G59)+G71+G78</f>
        <v>27678043</v>
      </c>
      <c r="H101" s="214">
        <f>SUM(H24+H30+H34+H59)+H71+H78</f>
        <v>29604043</v>
      </c>
    </row>
    <row r="102" spans="1:8" ht="12.75" customHeight="1">
      <c r="A102" s="1223" t="s">
        <v>308</v>
      </c>
      <c r="B102" s="215"/>
      <c r="C102" s="216" t="s">
        <v>251</v>
      </c>
      <c r="D102" s="216"/>
      <c r="E102" s="216">
        <f>SUM(E25+E35+E60)+E72+E79</f>
        <v>5675164</v>
      </c>
      <c r="F102" s="216">
        <f>SUM(F25+F35+F60)+F72+F79</f>
        <v>5166270</v>
      </c>
      <c r="G102" s="216">
        <f>SUM(G25+G35+G60)+G72+G79</f>
        <v>4866300</v>
      </c>
      <c r="H102" s="216">
        <f>SUM(H25+H35+H60)+H72+H79</f>
        <v>5184156</v>
      </c>
    </row>
    <row r="103" spans="1:8" ht="12.75" customHeight="1">
      <c r="A103" s="1223" t="s">
        <v>309</v>
      </c>
      <c r="B103" s="215"/>
      <c r="C103" s="216" t="s">
        <v>252</v>
      </c>
      <c r="D103" s="216"/>
      <c r="E103" s="216">
        <v>128183873</v>
      </c>
      <c r="F103" s="216">
        <v>67169794</v>
      </c>
      <c r="G103" s="216">
        <v>60244034</v>
      </c>
      <c r="H103" s="216">
        <v>63900760</v>
      </c>
    </row>
    <row r="104" spans="1:8" ht="12.75" customHeight="1">
      <c r="A104" s="1223" t="s">
        <v>310</v>
      </c>
      <c r="B104" s="215"/>
      <c r="C104" s="216" t="s">
        <v>649</v>
      </c>
      <c r="D104" s="216"/>
      <c r="E104" s="216">
        <f>SUM(E51)+E57</f>
        <v>4209730</v>
      </c>
      <c r="F104" s="216">
        <v>3453000</v>
      </c>
      <c r="G104" s="216">
        <v>3803000</v>
      </c>
      <c r="H104" s="216">
        <v>3453000</v>
      </c>
    </row>
    <row r="105" spans="1:8" ht="12.75" customHeight="1">
      <c r="A105" s="1223" t="s">
        <v>311</v>
      </c>
      <c r="B105" s="215"/>
      <c r="C105" s="216" t="s">
        <v>650</v>
      </c>
      <c r="D105" s="216"/>
      <c r="E105" s="216">
        <f>SUM(E65)</f>
        <v>478765907</v>
      </c>
      <c r="F105" s="216">
        <f>SUM(F65)</f>
        <v>462128007</v>
      </c>
      <c r="G105" s="216">
        <f>SUM(G65)</f>
        <v>570382608</v>
      </c>
      <c r="H105" s="216">
        <f>SUM(H65)</f>
        <v>419046334</v>
      </c>
    </row>
    <row r="106" spans="1:8" ht="12.75" customHeight="1">
      <c r="A106" s="1223" t="s">
        <v>312</v>
      </c>
      <c r="B106" s="215"/>
      <c r="C106" s="216" t="s">
        <v>651</v>
      </c>
      <c r="D106" s="216"/>
      <c r="E106" s="216">
        <f>SUM(E38)+E89</f>
        <v>44186648</v>
      </c>
      <c r="F106" s="216">
        <v>44771741</v>
      </c>
      <c r="G106" s="216">
        <v>42258999</v>
      </c>
      <c r="H106" s="216">
        <v>46035254</v>
      </c>
    </row>
    <row r="107" spans="1:8" ht="12.75" customHeight="1">
      <c r="A107" s="1223" t="s">
        <v>313</v>
      </c>
      <c r="B107" s="215"/>
      <c r="C107" s="216" t="s">
        <v>615</v>
      </c>
      <c r="D107" s="216"/>
      <c r="E107" s="216">
        <v>202339945</v>
      </c>
      <c r="F107" s="216">
        <v>2100000</v>
      </c>
      <c r="G107" s="216">
        <v>93863808</v>
      </c>
      <c r="H107" s="216">
        <v>272284650</v>
      </c>
    </row>
    <row r="108" spans="1:8" ht="12.75" customHeight="1">
      <c r="A108" s="1226" t="s">
        <v>314</v>
      </c>
      <c r="B108" s="816"/>
      <c r="C108" s="817" t="s">
        <v>781</v>
      </c>
      <c r="D108" s="817"/>
      <c r="E108" s="817">
        <v>191564788</v>
      </c>
      <c r="F108" s="817">
        <v>17000000</v>
      </c>
      <c r="G108" s="817">
        <v>93463808</v>
      </c>
      <c r="H108" s="817">
        <v>248842095</v>
      </c>
    </row>
    <row r="109" spans="1:8" s="88" customFormat="1" ht="36.75" customHeight="1">
      <c r="A109" s="1226" t="s">
        <v>315</v>
      </c>
      <c r="B109" s="816"/>
      <c r="C109" s="817" t="s">
        <v>782</v>
      </c>
      <c r="D109" s="817"/>
      <c r="E109" s="1096">
        <v>10775157</v>
      </c>
      <c r="F109" s="1096">
        <v>400000</v>
      </c>
      <c r="G109" s="1096">
        <v>400000</v>
      </c>
      <c r="H109" s="1096">
        <v>23442555</v>
      </c>
    </row>
    <row r="110" spans="1:8" ht="12.75" customHeight="1">
      <c r="A110" s="1223" t="s">
        <v>316</v>
      </c>
      <c r="B110" s="215"/>
      <c r="C110" s="217" t="s">
        <v>652</v>
      </c>
      <c r="D110" s="216"/>
      <c r="E110" s="216"/>
      <c r="F110" s="216"/>
      <c r="G110" s="216"/>
      <c r="H110" s="216"/>
    </row>
    <row r="111" spans="1:8" ht="12.75" customHeight="1">
      <c r="A111" s="1223" t="s">
        <v>317</v>
      </c>
      <c r="B111" s="218"/>
      <c r="C111" s="534" t="s">
        <v>1243</v>
      </c>
      <c r="D111" s="219"/>
      <c r="E111" s="219">
        <f>SUM(E66)</f>
        <v>0</v>
      </c>
      <c r="F111" s="219">
        <f>SUM(F66)</f>
        <v>0</v>
      </c>
      <c r="G111" s="219">
        <f>SUM(G66)</f>
        <v>0</v>
      </c>
      <c r="H111" s="219">
        <v>2017050</v>
      </c>
    </row>
    <row r="112" spans="1:8" ht="12.75" customHeight="1">
      <c r="A112" s="1223" t="s">
        <v>318</v>
      </c>
      <c r="B112" s="535"/>
      <c r="C112" s="536" t="s">
        <v>697</v>
      </c>
      <c r="D112" s="537"/>
      <c r="E112" s="537">
        <f>SUM(E75)</f>
        <v>8209104</v>
      </c>
      <c r="F112" s="537">
        <v>8251931</v>
      </c>
      <c r="G112" s="537">
        <v>8432007</v>
      </c>
      <c r="H112" s="537">
        <v>8432007</v>
      </c>
    </row>
    <row r="113" spans="1:8" ht="12.75" customHeight="1">
      <c r="A113" s="1223" t="s">
        <v>320</v>
      </c>
      <c r="B113" s="535"/>
      <c r="C113" s="536" t="s">
        <v>677</v>
      </c>
      <c r="D113" s="537"/>
      <c r="E113" s="537">
        <v>2482037</v>
      </c>
      <c r="F113" s="537"/>
      <c r="G113" s="537">
        <v>354027</v>
      </c>
      <c r="H113" s="537">
        <v>354027</v>
      </c>
    </row>
    <row r="114" spans="1:8" ht="12.75" customHeight="1">
      <c r="A114" s="1223" t="s">
        <v>321</v>
      </c>
      <c r="B114" s="535"/>
      <c r="C114" s="536" t="s">
        <v>678</v>
      </c>
      <c r="D114" s="537"/>
      <c r="E114" s="537"/>
      <c r="F114" s="537"/>
      <c r="G114" s="537"/>
      <c r="H114" s="537"/>
    </row>
    <row r="115" spans="1:8" ht="12.75" customHeight="1">
      <c r="A115" s="1223" t="s">
        <v>322</v>
      </c>
      <c r="B115" s="535"/>
      <c r="C115" s="536" t="s">
        <v>679</v>
      </c>
      <c r="D115" s="537"/>
      <c r="E115" s="537"/>
      <c r="F115" s="537"/>
      <c r="G115" s="537"/>
      <c r="H115" s="537"/>
    </row>
    <row r="116" spans="1:8" ht="12.75" customHeight="1" thickBot="1">
      <c r="A116" s="1227" t="s">
        <v>323</v>
      </c>
      <c r="B116" s="1115"/>
      <c r="C116" s="1116" t="s">
        <v>675</v>
      </c>
      <c r="D116" s="1117"/>
      <c r="E116" s="1117">
        <f>SUM(E95)</f>
        <v>300105338</v>
      </c>
      <c r="F116" s="1117">
        <f>SUM(F95)</f>
        <v>329437179</v>
      </c>
      <c r="G116" s="1117">
        <f>SUM(G95)</f>
        <v>327680648</v>
      </c>
      <c r="H116" s="1117">
        <f>SUM(H95)</f>
        <v>327974397</v>
      </c>
    </row>
    <row r="117" spans="1:8" ht="12.75" customHeight="1">
      <c r="A117" s="1799" t="s">
        <v>305</v>
      </c>
      <c r="B117" s="1800"/>
      <c r="C117" s="1800"/>
      <c r="D117" s="1800"/>
      <c r="E117" s="1217"/>
      <c r="F117" s="1217"/>
      <c r="G117" s="1217"/>
      <c r="H117" s="1217"/>
    </row>
    <row r="118" spans="1:8" ht="12.75" customHeight="1">
      <c r="A118" s="1218" t="s">
        <v>324</v>
      </c>
      <c r="B118" s="397"/>
      <c r="C118" s="397" t="s">
        <v>262</v>
      </c>
      <c r="D118" s="424">
        <v>13</v>
      </c>
      <c r="E118" s="615">
        <f>SUM(E119:E122)</f>
        <v>79448699</v>
      </c>
      <c r="F118" s="615">
        <f>SUM(F119:F122)</f>
        <v>90169179</v>
      </c>
      <c r="G118" s="615">
        <f>SUM(G119:G122)</f>
        <v>96002136</v>
      </c>
      <c r="H118" s="615">
        <f>SUM(H119:H122)</f>
        <v>96002159</v>
      </c>
    </row>
    <row r="119" spans="1:8" s="64" customFormat="1" ht="12.75" customHeight="1">
      <c r="A119" s="1214" t="s">
        <v>325</v>
      </c>
      <c r="B119" s="1123"/>
      <c r="C119" s="296" t="s">
        <v>250</v>
      </c>
      <c r="D119" s="454"/>
      <c r="E119" s="614">
        <v>55599520</v>
      </c>
      <c r="F119" s="614">
        <f>SUM('17. Hivatal'!F32)</f>
        <v>65521837</v>
      </c>
      <c r="G119" s="614">
        <f>SUM('17. Hivatal'!G32)</f>
        <v>70724296</v>
      </c>
      <c r="H119" s="614">
        <f>SUM('17. Hivatal'!H32)</f>
        <v>70724296</v>
      </c>
    </row>
    <row r="120" spans="1:8" ht="12.75" customHeight="1">
      <c r="A120" s="1214" t="s">
        <v>326</v>
      </c>
      <c r="B120" s="1123"/>
      <c r="C120" s="296" t="s">
        <v>251</v>
      </c>
      <c r="D120" s="454"/>
      <c r="E120" s="614">
        <v>10842346</v>
      </c>
      <c r="F120" s="614">
        <f>SUM('17. Hivatal'!F33)</f>
        <v>11697342</v>
      </c>
      <c r="G120" s="614">
        <f>SUM('17. Hivatal'!G33)</f>
        <v>12327832</v>
      </c>
      <c r="H120" s="614">
        <f>SUM('17. Hivatal'!H33)</f>
        <v>12327832</v>
      </c>
    </row>
    <row r="121" spans="1:8" ht="12.75" customHeight="1">
      <c r="A121" s="1214" t="s">
        <v>327</v>
      </c>
      <c r="B121" s="1123"/>
      <c r="C121" s="296" t="s">
        <v>252</v>
      </c>
      <c r="D121" s="454"/>
      <c r="E121" s="614">
        <v>12341153</v>
      </c>
      <c r="F121" s="614">
        <f>SUM('17. Hivatal'!F34)</f>
        <v>12350000</v>
      </c>
      <c r="G121" s="614">
        <f>SUM('17. Hivatal'!G34)</f>
        <v>12350008</v>
      </c>
      <c r="H121" s="614">
        <f>SUM('17. Hivatal'!H34)</f>
        <v>12350031</v>
      </c>
    </row>
    <row r="122" spans="1:8" ht="12.75" customHeight="1">
      <c r="A122" s="1214" t="s">
        <v>329</v>
      </c>
      <c r="B122" s="1123"/>
      <c r="C122" s="296" t="s">
        <v>249</v>
      </c>
      <c r="D122" s="454"/>
      <c r="E122" s="614">
        <v>665680</v>
      </c>
      <c r="F122" s="614">
        <f>SUM('17. Hivatal'!F35)</f>
        <v>600000</v>
      </c>
      <c r="G122" s="614">
        <f>SUM('17. Hivatal'!G35)</f>
        <v>600000</v>
      </c>
      <c r="H122" s="614">
        <f>SUM('17. Hivatal'!H35)</f>
        <v>600000</v>
      </c>
    </row>
    <row r="123" spans="1:8" ht="12.75" customHeight="1">
      <c r="A123" s="1218" t="s">
        <v>330</v>
      </c>
      <c r="B123" s="1124"/>
      <c r="C123" s="397" t="s">
        <v>501</v>
      </c>
      <c r="D123" s="424">
        <v>1</v>
      </c>
      <c r="E123" s="615">
        <f>SUM(E124:E126)</f>
        <v>5061260</v>
      </c>
      <c r="F123" s="615">
        <f>SUM(F124:F126)</f>
        <v>9049273</v>
      </c>
      <c r="G123" s="615">
        <f>SUM(G124:G126)</f>
        <v>9486373</v>
      </c>
      <c r="H123" s="615">
        <f>SUM(H124:H126)</f>
        <v>9486373</v>
      </c>
    </row>
    <row r="124" spans="1:8" ht="12.75" customHeight="1">
      <c r="A124" s="1214" t="s">
        <v>331</v>
      </c>
      <c r="B124" s="1123"/>
      <c r="C124" s="296" t="s">
        <v>250</v>
      </c>
      <c r="D124" s="454"/>
      <c r="E124" s="614">
        <f>SUM(4216699)</f>
        <v>4216699</v>
      </c>
      <c r="F124" s="614">
        <f>SUM('17. Hivatal'!F37)</f>
        <v>7702507</v>
      </c>
      <c r="G124" s="614">
        <f>SUM('17. Hivatal'!G37)</f>
        <v>8074507</v>
      </c>
      <c r="H124" s="614">
        <f>SUM('17. Hivatal'!H37)</f>
        <v>8074507</v>
      </c>
    </row>
    <row r="125" spans="1:8" ht="12.75" customHeight="1">
      <c r="A125" s="1214" t="s">
        <v>332</v>
      </c>
      <c r="B125" s="1123"/>
      <c r="C125" s="296" t="s">
        <v>251</v>
      </c>
      <c r="D125" s="454"/>
      <c r="E125" s="614">
        <f>SUM(844561)</f>
        <v>844561</v>
      </c>
      <c r="F125" s="614">
        <f>SUM('17. Hivatal'!F38)</f>
        <v>1346766</v>
      </c>
      <c r="G125" s="614">
        <f>SUM('17. Hivatal'!G38)</f>
        <v>1411866</v>
      </c>
      <c r="H125" s="614">
        <f>SUM('17. Hivatal'!H38)</f>
        <v>1411866</v>
      </c>
    </row>
    <row r="126" spans="1:8" ht="12.75" customHeight="1">
      <c r="A126" s="1214" t="s">
        <v>333</v>
      </c>
      <c r="B126" s="1123"/>
      <c r="C126" s="296" t="s">
        <v>252</v>
      </c>
      <c r="D126" s="454"/>
      <c r="E126" s="614">
        <v>0</v>
      </c>
      <c r="F126" s="614">
        <v>0</v>
      </c>
      <c r="G126" s="614">
        <v>0</v>
      </c>
      <c r="H126" s="614">
        <v>0</v>
      </c>
    </row>
    <row r="127" spans="1:8" ht="12.75" customHeight="1">
      <c r="A127" s="1218" t="s">
        <v>335</v>
      </c>
      <c r="B127" s="1124"/>
      <c r="C127" s="397" t="s">
        <v>502</v>
      </c>
      <c r="D127" s="424"/>
      <c r="E127" s="615">
        <f>SUM(E128:E130)</f>
        <v>0</v>
      </c>
      <c r="F127" s="615">
        <f>SUM(F128:F130)</f>
        <v>0</v>
      </c>
      <c r="G127" s="615">
        <f>SUM(G128:G130)</f>
        <v>0</v>
      </c>
      <c r="H127" s="615">
        <f>SUM(H128:H130)</f>
        <v>0</v>
      </c>
    </row>
    <row r="128" spans="1:8" s="64" customFormat="1" ht="12.75" customHeight="1">
      <c r="A128" s="1214" t="s">
        <v>336</v>
      </c>
      <c r="B128" s="1123"/>
      <c r="C128" s="296" t="s">
        <v>250</v>
      </c>
      <c r="D128" s="454"/>
      <c r="E128" s="614"/>
      <c r="F128" s="614"/>
      <c r="G128" s="614"/>
      <c r="H128" s="614"/>
    </row>
    <row r="129" spans="1:8" ht="12.75" customHeight="1">
      <c r="A129" s="1214" t="s">
        <v>337</v>
      </c>
      <c r="B129" s="1123"/>
      <c r="C129" s="296" t="s">
        <v>251</v>
      </c>
      <c r="D129" s="454"/>
      <c r="E129" s="614"/>
      <c r="F129" s="614"/>
      <c r="G129" s="614"/>
      <c r="H129" s="614"/>
    </row>
    <row r="130" spans="1:8" ht="12.75" customHeight="1">
      <c r="A130" s="1219" t="s">
        <v>338</v>
      </c>
      <c r="B130" s="1125"/>
      <c r="C130" s="317" t="s">
        <v>252</v>
      </c>
      <c r="D130" s="471"/>
      <c r="E130" s="741"/>
      <c r="F130" s="741"/>
      <c r="G130" s="741"/>
      <c r="H130" s="741"/>
    </row>
    <row r="131" spans="1:8" s="64" customFormat="1" ht="12.75" customHeight="1">
      <c r="A131" s="1218" t="s">
        <v>340</v>
      </c>
      <c r="B131" s="1124"/>
      <c r="C131" s="397" t="s">
        <v>1025</v>
      </c>
      <c r="D131" s="424"/>
      <c r="E131" s="615">
        <v>1368484</v>
      </c>
      <c r="F131" s="615">
        <v>0</v>
      </c>
      <c r="G131" s="615">
        <v>0</v>
      </c>
      <c r="H131" s="615">
        <v>0</v>
      </c>
    </row>
    <row r="132" spans="1:8" ht="12.75" customHeight="1">
      <c r="A132" s="1214" t="s">
        <v>341</v>
      </c>
      <c r="B132" s="1123"/>
      <c r="C132" s="296" t="s">
        <v>250</v>
      </c>
      <c r="D132" s="454"/>
      <c r="E132" s="614">
        <v>1043973</v>
      </c>
      <c r="F132" s="614">
        <v>0</v>
      </c>
      <c r="G132" s="614">
        <v>0</v>
      </c>
      <c r="H132" s="614">
        <v>0</v>
      </c>
    </row>
    <row r="133" spans="1:8" ht="12.75" customHeight="1">
      <c r="A133" s="1214" t="s">
        <v>342</v>
      </c>
      <c r="B133" s="1123"/>
      <c r="C133" s="296" t="s">
        <v>251</v>
      </c>
      <c r="D133" s="454"/>
      <c r="E133" s="614">
        <v>209229</v>
      </c>
      <c r="F133" s="614">
        <v>0</v>
      </c>
      <c r="G133" s="614">
        <v>0</v>
      </c>
      <c r="H133" s="614">
        <v>0</v>
      </c>
    </row>
    <row r="134" spans="1:8" ht="12.75" customHeight="1">
      <c r="A134" s="1214" t="s">
        <v>343</v>
      </c>
      <c r="B134" s="1123"/>
      <c r="C134" s="296" t="s">
        <v>252</v>
      </c>
      <c r="D134" s="454"/>
      <c r="E134" s="614">
        <v>115282</v>
      </c>
      <c r="F134" s="614">
        <v>0</v>
      </c>
      <c r="G134" s="614">
        <v>0</v>
      </c>
      <c r="H134" s="614">
        <v>0</v>
      </c>
    </row>
    <row r="135" spans="1:8" ht="12.75" customHeight="1">
      <c r="A135" s="1214" t="s">
        <v>344</v>
      </c>
      <c r="B135" s="1123"/>
      <c r="C135" s="397" t="s">
        <v>1060</v>
      </c>
      <c r="D135" s="454"/>
      <c r="E135" s="615">
        <f>SUM(E136:E138)</f>
        <v>1774928</v>
      </c>
      <c r="F135" s="615">
        <f>SUM(F136:F138)</f>
        <v>0</v>
      </c>
      <c r="G135" s="615">
        <f>SUM(G136:G138)</f>
        <v>0</v>
      </c>
      <c r="H135" s="615">
        <f>SUM(H136:H138)</f>
        <v>0</v>
      </c>
    </row>
    <row r="136" spans="1:8" ht="12.75" customHeight="1">
      <c r="A136" s="1214" t="s">
        <v>346</v>
      </c>
      <c r="B136" s="1123"/>
      <c r="C136" s="296" t="s">
        <v>250</v>
      </c>
      <c r="D136" s="454"/>
      <c r="E136" s="614">
        <v>1357453</v>
      </c>
      <c r="F136" s="614">
        <v>0</v>
      </c>
      <c r="G136" s="614">
        <v>0</v>
      </c>
      <c r="H136" s="614">
        <v>0</v>
      </c>
    </row>
    <row r="137" spans="1:8" ht="12.75" customHeight="1">
      <c r="A137" s="1214" t="s">
        <v>347</v>
      </c>
      <c r="B137" s="1123"/>
      <c r="C137" s="296" t="s">
        <v>251</v>
      </c>
      <c r="D137" s="454"/>
      <c r="E137" s="614">
        <v>255484</v>
      </c>
      <c r="F137" s="614">
        <v>0</v>
      </c>
      <c r="G137" s="614">
        <v>0</v>
      </c>
      <c r="H137" s="614">
        <v>0</v>
      </c>
    </row>
    <row r="138" spans="1:8" ht="12.75" customHeight="1">
      <c r="A138" s="1214" t="s">
        <v>348</v>
      </c>
      <c r="B138" s="1123"/>
      <c r="C138" s="296" t="s">
        <v>252</v>
      </c>
      <c r="D138" s="454"/>
      <c r="E138" s="614">
        <v>161991</v>
      </c>
      <c r="F138" s="614">
        <v>0</v>
      </c>
      <c r="G138" s="614">
        <v>0</v>
      </c>
      <c r="H138" s="614">
        <v>0</v>
      </c>
    </row>
    <row r="139" spans="1:8" ht="18" customHeight="1" thickBot="1">
      <c r="A139" s="1801"/>
      <c r="B139" s="1802"/>
      <c r="C139" s="1354" t="s">
        <v>238</v>
      </c>
      <c r="D139" s="1355">
        <f>SUM(D118:D123)</f>
        <v>14</v>
      </c>
      <c r="E139" s="1356">
        <f>SUM(E140:E143)</f>
        <v>87653371</v>
      </c>
      <c r="F139" s="1356">
        <f>SUM(F140:F143)</f>
        <v>99218452</v>
      </c>
      <c r="G139" s="1356">
        <f>SUM(G140:G143)</f>
        <v>105488509</v>
      </c>
      <c r="H139" s="1356">
        <f>SUM(H140:H143)</f>
        <v>105488532</v>
      </c>
    </row>
    <row r="140" spans="1:8" ht="12.75" customHeight="1">
      <c r="A140" s="1220" t="s">
        <v>350</v>
      </c>
      <c r="B140" s="1159"/>
      <c r="C140" s="1160" t="s">
        <v>250</v>
      </c>
      <c r="D140" s="181"/>
      <c r="E140" s="1161">
        <f aca="true" t="shared" si="0" ref="E140:G141">SUM(E119+E124)+E128+E132+E136</f>
        <v>62217645</v>
      </c>
      <c r="F140" s="1161">
        <f t="shared" si="0"/>
        <v>73224344</v>
      </c>
      <c r="G140" s="1161">
        <f t="shared" si="0"/>
        <v>78798803</v>
      </c>
      <c r="H140" s="1161">
        <f>SUM(H119+H124)+H128+H132+H136</f>
        <v>78798803</v>
      </c>
    </row>
    <row r="141" spans="1:8" ht="12.75" customHeight="1">
      <c r="A141" s="1213" t="s">
        <v>351</v>
      </c>
      <c r="B141" s="1123"/>
      <c r="C141" s="1126" t="s">
        <v>251</v>
      </c>
      <c r="D141" s="778"/>
      <c r="E141" s="803">
        <f t="shared" si="0"/>
        <v>12151620</v>
      </c>
      <c r="F141" s="803">
        <f t="shared" si="0"/>
        <v>13044108</v>
      </c>
      <c r="G141" s="803">
        <f t="shared" si="0"/>
        <v>13739698</v>
      </c>
      <c r="H141" s="803">
        <f>SUM(H120+H125)+H129+H133+H137</f>
        <v>13739698</v>
      </c>
    </row>
    <row r="142" spans="1:8" ht="12.75" customHeight="1">
      <c r="A142" s="1213" t="s">
        <v>352</v>
      </c>
      <c r="B142" s="1123"/>
      <c r="C142" s="1127" t="s">
        <v>252</v>
      </c>
      <c r="D142" s="780"/>
      <c r="E142" s="801">
        <v>12618426</v>
      </c>
      <c r="F142" s="801">
        <v>12350000</v>
      </c>
      <c r="G142" s="801">
        <v>12350008</v>
      </c>
      <c r="H142" s="801">
        <v>12350031</v>
      </c>
    </row>
    <row r="143" spans="1:8" ht="12.75" customHeight="1">
      <c r="A143" s="1213" t="s">
        <v>353</v>
      </c>
      <c r="B143" s="1123"/>
      <c r="C143" s="1127" t="s">
        <v>259</v>
      </c>
      <c r="D143" s="780"/>
      <c r="E143" s="801">
        <f>SUM(E122)</f>
        <v>665680</v>
      </c>
      <c r="F143" s="801">
        <f>SUM(F122)</f>
        <v>600000</v>
      </c>
      <c r="G143" s="801">
        <f>SUM(G122)</f>
        <v>600000</v>
      </c>
      <c r="H143" s="801">
        <f>SUM(H122)</f>
        <v>600000</v>
      </c>
    </row>
    <row r="144" spans="1:8" ht="12.75" customHeight="1">
      <c r="A144" s="1230" t="s">
        <v>354</v>
      </c>
      <c r="B144" s="1128"/>
      <c r="C144" s="1101" t="s">
        <v>781</v>
      </c>
      <c r="D144" s="782"/>
      <c r="E144" s="804">
        <v>665680</v>
      </c>
      <c r="F144" s="804">
        <v>600000</v>
      </c>
      <c r="G144" s="804">
        <v>600000</v>
      </c>
      <c r="H144" s="804">
        <v>600000</v>
      </c>
    </row>
    <row r="145" spans="1:8" ht="12.75" customHeight="1" thickBot="1">
      <c r="A145" s="1231" t="s">
        <v>355</v>
      </c>
      <c r="B145" s="1158"/>
      <c r="C145" s="1102" t="s">
        <v>782</v>
      </c>
      <c r="D145" s="799"/>
      <c r="E145" s="805"/>
      <c r="F145" s="805"/>
      <c r="G145" s="805"/>
      <c r="H145" s="805"/>
    </row>
    <row r="146" spans="1:8" ht="19.5" customHeight="1" thickBot="1">
      <c r="A146" s="1803" t="s">
        <v>967</v>
      </c>
      <c r="B146" s="1789"/>
      <c r="C146" s="1789"/>
      <c r="D146" s="1789"/>
      <c r="E146" s="5"/>
      <c r="F146" s="5"/>
      <c r="G146" s="5"/>
      <c r="H146" s="5"/>
    </row>
    <row r="147" spans="1:8" ht="12.75" customHeight="1">
      <c r="A147" s="1232" t="s">
        <v>356</v>
      </c>
      <c r="B147" s="1162" t="s">
        <v>164</v>
      </c>
      <c r="C147" s="1163" t="s">
        <v>319</v>
      </c>
      <c r="D147" s="1164">
        <v>1</v>
      </c>
      <c r="E147" s="1165">
        <f>SUM(E148:E150)</f>
        <v>18885094</v>
      </c>
      <c r="F147" s="1165">
        <f>SUM(F148:F150)</f>
        <v>19116299</v>
      </c>
      <c r="G147" s="1165">
        <f>SUM(G148:G150)</f>
        <v>14423910</v>
      </c>
      <c r="H147" s="1165">
        <f>SUM(H148:H150)</f>
        <v>14710910</v>
      </c>
    </row>
    <row r="148" spans="1:8" ht="12.75" customHeight="1">
      <c r="A148" s="1233" t="s">
        <v>357</v>
      </c>
      <c r="B148" s="133"/>
      <c r="C148" s="17" t="s">
        <v>250</v>
      </c>
      <c r="D148" s="134"/>
      <c r="E148" s="431">
        <v>2397618</v>
      </c>
      <c r="F148" s="431">
        <v>2634846</v>
      </c>
      <c r="G148" s="431">
        <v>2634846</v>
      </c>
      <c r="H148" s="431">
        <v>2634846</v>
      </c>
    </row>
    <row r="149" spans="1:8" ht="12.75" customHeight="1">
      <c r="A149" s="1233" t="s">
        <v>358</v>
      </c>
      <c r="B149" s="133"/>
      <c r="C149" s="17" t="s">
        <v>251</v>
      </c>
      <c r="D149" s="134"/>
      <c r="E149" s="431">
        <v>487476</v>
      </c>
      <c r="F149" s="431">
        <v>481453</v>
      </c>
      <c r="G149" s="431">
        <v>481453</v>
      </c>
      <c r="H149" s="431">
        <v>481453</v>
      </c>
    </row>
    <row r="150" spans="1:8" ht="12.75" customHeight="1">
      <c r="A150" s="1233" t="s">
        <v>360</v>
      </c>
      <c r="B150" s="133"/>
      <c r="C150" s="17" t="s">
        <v>252</v>
      </c>
      <c r="D150" s="134"/>
      <c r="E150" s="432">
        <v>16000000</v>
      </c>
      <c r="F150" s="432">
        <v>16000000</v>
      </c>
      <c r="G150" s="432">
        <v>11307611</v>
      </c>
      <c r="H150" s="432">
        <v>11594611</v>
      </c>
    </row>
    <row r="151" spans="1:8" ht="12.75" customHeight="1">
      <c r="A151" s="1234" t="s">
        <v>361</v>
      </c>
      <c r="B151" s="130" t="s">
        <v>166</v>
      </c>
      <c r="C151" s="9" t="s">
        <v>485</v>
      </c>
      <c r="D151" s="131"/>
      <c r="E151" s="429">
        <f>SUM(E152:E154)</f>
        <v>4842080</v>
      </c>
      <c r="F151" s="429">
        <f>SUM(F152:F154)</f>
        <v>4850107</v>
      </c>
      <c r="G151" s="429">
        <f>SUM(G152:G154)</f>
        <v>4350107</v>
      </c>
      <c r="H151" s="429">
        <f>SUM(H152:H154)</f>
        <v>4350107</v>
      </c>
    </row>
    <row r="152" spans="1:8" ht="12.75" customHeight="1">
      <c r="A152" s="1233" t="s">
        <v>362</v>
      </c>
      <c r="B152" s="133"/>
      <c r="C152" s="17" t="s">
        <v>250</v>
      </c>
      <c r="D152" s="134"/>
      <c r="E152" s="431">
        <v>284281</v>
      </c>
      <c r="F152" s="431">
        <v>296017</v>
      </c>
      <c r="G152" s="431">
        <v>296017</v>
      </c>
      <c r="H152" s="431">
        <v>296017</v>
      </c>
    </row>
    <row r="153" spans="1:8" ht="12.75" customHeight="1">
      <c r="A153" s="1233" t="s">
        <v>363</v>
      </c>
      <c r="B153" s="133"/>
      <c r="C153" s="136" t="s">
        <v>251</v>
      </c>
      <c r="D153" s="193"/>
      <c r="E153" s="433">
        <v>57799</v>
      </c>
      <c r="F153" s="433">
        <v>54090</v>
      </c>
      <c r="G153" s="433">
        <v>54090</v>
      </c>
      <c r="H153" s="433">
        <v>54090</v>
      </c>
    </row>
    <row r="154" spans="1:8" ht="12.75" customHeight="1">
      <c r="A154" s="1233" t="s">
        <v>364</v>
      </c>
      <c r="B154" s="133"/>
      <c r="C154" s="296" t="s">
        <v>252</v>
      </c>
      <c r="D154" s="424"/>
      <c r="E154" s="434">
        <v>4500000</v>
      </c>
      <c r="F154" s="434">
        <v>4500000</v>
      </c>
      <c r="G154" s="434">
        <v>4000000</v>
      </c>
      <c r="H154" s="434">
        <v>4000000</v>
      </c>
    </row>
    <row r="155" spans="1:8" ht="12.75" customHeight="1">
      <c r="A155" s="1234" t="s">
        <v>365</v>
      </c>
      <c r="B155" s="130" t="s">
        <v>173</v>
      </c>
      <c r="C155" s="397" t="s">
        <v>486</v>
      </c>
      <c r="D155" s="424"/>
      <c r="E155" s="420">
        <f>SUM(E156:E158)</f>
        <v>0</v>
      </c>
      <c r="F155" s="420">
        <f>SUM(F156:F158)</f>
        <v>0</v>
      </c>
      <c r="G155" s="420">
        <f>SUM(G156:G158)</f>
        <v>0</v>
      </c>
      <c r="H155" s="420">
        <f>SUM(H156:H158)</f>
        <v>0</v>
      </c>
    </row>
    <row r="156" spans="1:8" ht="12.75" customHeight="1">
      <c r="A156" s="1233" t="s">
        <v>366</v>
      </c>
      <c r="B156" s="133"/>
      <c r="C156" s="296" t="s">
        <v>250</v>
      </c>
      <c r="D156" s="424"/>
      <c r="E156" s="434">
        <v>0</v>
      </c>
      <c r="F156" s="434">
        <v>0</v>
      </c>
      <c r="G156" s="434">
        <v>0</v>
      </c>
      <c r="H156" s="434">
        <v>0</v>
      </c>
    </row>
    <row r="157" spans="1:8" ht="12.75" customHeight="1">
      <c r="A157" s="1233" t="s">
        <v>367</v>
      </c>
      <c r="B157" s="133"/>
      <c r="C157" s="120" t="s">
        <v>251</v>
      </c>
      <c r="D157" s="177"/>
      <c r="E157" s="435">
        <v>0</v>
      </c>
      <c r="F157" s="435">
        <v>0</v>
      </c>
      <c r="G157" s="435">
        <v>0</v>
      </c>
      <c r="H157" s="435">
        <v>0</v>
      </c>
    </row>
    <row r="158" spans="1:8" ht="12.75" customHeight="1">
      <c r="A158" s="1233" t="s">
        <v>368</v>
      </c>
      <c r="B158" s="133"/>
      <c r="C158" s="17" t="s">
        <v>252</v>
      </c>
      <c r="D158" s="131"/>
      <c r="E158" s="431">
        <v>0</v>
      </c>
      <c r="F158" s="431">
        <v>0</v>
      </c>
      <c r="G158" s="431">
        <v>0</v>
      </c>
      <c r="H158" s="431">
        <v>0</v>
      </c>
    </row>
    <row r="159" spans="1:8" ht="12.75" customHeight="1">
      <c r="A159" s="1234" t="s">
        <v>369</v>
      </c>
      <c r="B159" s="130" t="s">
        <v>182</v>
      </c>
      <c r="C159" s="9" t="s">
        <v>328</v>
      </c>
      <c r="D159" s="131">
        <v>16</v>
      </c>
      <c r="E159" s="429">
        <f>SUM(E160:E162)</f>
        <v>64660655</v>
      </c>
      <c r="F159" s="429">
        <f>SUM(F160:F162)</f>
        <v>62675906</v>
      </c>
      <c r="G159" s="429">
        <f>SUM(G160:G162)</f>
        <v>62675906</v>
      </c>
      <c r="H159" s="429">
        <f>SUM(H160:H162)</f>
        <v>62675906</v>
      </c>
    </row>
    <row r="160" spans="1:8" s="138" customFormat="1" ht="19.5" customHeight="1">
      <c r="A160" s="1233" t="s">
        <v>370</v>
      </c>
      <c r="B160" s="133"/>
      <c r="C160" s="17" t="s">
        <v>250</v>
      </c>
      <c r="D160" s="131"/>
      <c r="E160" s="431">
        <v>53356156</v>
      </c>
      <c r="F160" s="431">
        <v>51801670</v>
      </c>
      <c r="G160" s="431">
        <v>51801670</v>
      </c>
      <c r="H160" s="431">
        <v>51801670</v>
      </c>
    </row>
    <row r="161" spans="1:8" ht="12.75" customHeight="1">
      <c r="A161" s="1233" t="s">
        <v>371</v>
      </c>
      <c r="B161" s="133"/>
      <c r="C161" s="17" t="s">
        <v>251</v>
      </c>
      <c r="D161" s="131"/>
      <c r="E161" s="431">
        <v>9863094</v>
      </c>
      <c r="F161" s="431">
        <v>9432831</v>
      </c>
      <c r="G161" s="431">
        <v>9432831</v>
      </c>
      <c r="H161" s="431">
        <v>9432831</v>
      </c>
    </row>
    <row r="162" spans="1:8" ht="12.75" customHeight="1">
      <c r="A162" s="1233" t="s">
        <v>968</v>
      </c>
      <c r="B162" s="133"/>
      <c r="C162" s="17" t="s">
        <v>252</v>
      </c>
      <c r="D162" s="131"/>
      <c r="E162" s="431">
        <v>1441405</v>
      </c>
      <c r="F162" s="431">
        <v>1441405</v>
      </c>
      <c r="G162" s="431">
        <v>1441405</v>
      </c>
      <c r="H162" s="431">
        <v>1441405</v>
      </c>
    </row>
    <row r="163" spans="1:8" ht="12.75" customHeight="1">
      <c r="A163" s="1235" t="s">
        <v>969</v>
      </c>
      <c r="B163" s="1098"/>
      <c r="C163" s="57" t="s">
        <v>956</v>
      </c>
      <c r="D163" s="1100"/>
      <c r="E163" s="702">
        <v>300000</v>
      </c>
      <c r="F163" s="702">
        <v>60000</v>
      </c>
      <c r="G163" s="702">
        <v>60000</v>
      </c>
      <c r="H163" s="702">
        <v>60000</v>
      </c>
    </row>
    <row r="164" spans="1:8" ht="12.75" customHeight="1">
      <c r="A164" s="1233" t="s">
        <v>372</v>
      </c>
      <c r="B164" s="133"/>
      <c r="C164" s="17" t="s">
        <v>15</v>
      </c>
      <c r="D164" s="131"/>
      <c r="E164" s="431">
        <v>0</v>
      </c>
      <c r="F164" s="431">
        <v>0</v>
      </c>
      <c r="G164" s="431">
        <v>0</v>
      </c>
      <c r="H164" s="431">
        <v>0</v>
      </c>
    </row>
    <row r="165" spans="1:8" ht="12.75" customHeight="1">
      <c r="A165" s="1234" t="s">
        <v>374</v>
      </c>
      <c r="B165" s="130" t="s">
        <v>183</v>
      </c>
      <c r="C165" s="9" t="s">
        <v>487</v>
      </c>
      <c r="D165" s="131"/>
      <c r="E165" s="429">
        <f>SUM(E166:E168)</f>
        <v>394000</v>
      </c>
      <c r="F165" s="429">
        <f>SUM(F166:F168)</f>
        <v>0</v>
      </c>
      <c r="G165" s="429">
        <f>SUM(G166:G168)</f>
        <v>0</v>
      </c>
      <c r="H165" s="429">
        <f>SUM(H166:H168)</f>
        <v>0</v>
      </c>
    </row>
    <row r="166" spans="1:8" ht="12.75" customHeight="1">
      <c r="A166" s="1233" t="s">
        <v>375</v>
      </c>
      <c r="B166" s="133"/>
      <c r="C166" s="17" t="s">
        <v>250</v>
      </c>
      <c r="D166" s="131"/>
      <c r="E166" s="431">
        <v>330000</v>
      </c>
      <c r="F166" s="431">
        <v>0</v>
      </c>
      <c r="G166" s="431">
        <v>0</v>
      </c>
      <c r="H166" s="431">
        <v>0</v>
      </c>
    </row>
    <row r="167" spans="1:8" ht="12.75" customHeight="1">
      <c r="A167" s="1233" t="s">
        <v>376</v>
      </c>
      <c r="B167" s="133"/>
      <c r="C167" s="17" t="s">
        <v>251</v>
      </c>
      <c r="D167" s="131"/>
      <c r="E167" s="431">
        <v>64000</v>
      </c>
      <c r="F167" s="431">
        <v>0</v>
      </c>
      <c r="G167" s="431">
        <v>0</v>
      </c>
      <c r="H167" s="431">
        <v>0</v>
      </c>
    </row>
    <row r="168" spans="1:8" ht="12.75" customHeight="1">
      <c r="A168" s="1233" t="s">
        <v>377</v>
      </c>
      <c r="B168" s="133"/>
      <c r="C168" s="17" t="s">
        <v>252</v>
      </c>
      <c r="D168" s="131"/>
      <c r="E168" s="431">
        <v>0</v>
      </c>
      <c r="F168" s="431">
        <v>0</v>
      </c>
      <c r="G168" s="431">
        <v>0</v>
      </c>
      <c r="H168" s="431">
        <v>0</v>
      </c>
    </row>
    <row r="169" spans="1:8" ht="12.75" customHeight="1">
      <c r="A169" s="1234" t="s">
        <v>379</v>
      </c>
      <c r="B169" s="130" t="s">
        <v>184</v>
      </c>
      <c r="C169" s="9" t="s">
        <v>334</v>
      </c>
      <c r="D169" s="131"/>
      <c r="E169" s="429">
        <f>SUM(E170:E172)</f>
        <v>13206641</v>
      </c>
      <c r="F169" s="429">
        <f>SUM(F170:F172)</f>
        <v>15594465</v>
      </c>
      <c r="G169" s="429">
        <f>SUM(G170:G172)</f>
        <v>15629711</v>
      </c>
      <c r="H169" s="429">
        <f>SUM(H170:H172)</f>
        <v>15629711</v>
      </c>
    </row>
    <row r="170" spans="1:8" s="64" customFormat="1" ht="12.75" customHeight="1">
      <c r="A170" s="1233" t="s">
        <v>380</v>
      </c>
      <c r="B170" s="133"/>
      <c r="C170" s="17" t="s">
        <v>250</v>
      </c>
      <c r="D170" s="131">
        <v>3</v>
      </c>
      <c r="E170" s="431">
        <v>10350140</v>
      </c>
      <c r="F170" s="431">
        <v>12647110</v>
      </c>
      <c r="G170" s="431">
        <v>12647110</v>
      </c>
      <c r="H170" s="431">
        <v>12647110</v>
      </c>
    </row>
    <row r="171" spans="1:8" ht="12.75" customHeight="1">
      <c r="A171" s="1233" t="s">
        <v>381</v>
      </c>
      <c r="B171" s="133"/>
      <c r="C171" s="17" t="s">
        <v>251</v>
      </c>
      <c r="D171" s="131"/>
      <c r="E171" s="431">
        <v>2170318</v>
      </c>
      <c r="F171" s="431">
        <v>2257355</v>
      </c>
      <c r="G171" s="431">
        <v>2257355</v>
      </c>
      <c r="H171" s="431">
        <v>2257355</v>
      </c>
    </row>
    <row r="172" spans="1:8" ht="12.75" customHeight="1">
      <c r="A172" s="1233" t="s">
        <v>382</v>
      </c>
      <c r="B172" s="133"/>
      <c r="C172" s="17" t="s">
        <v>252</v>
      </c>
      <c r="D172" s="131"/>
      <c r="E172" s="431">
        <v>686183</v>
      </c>
      <c r="F172" s="431">
        <v>690000</v>
      </c>
      <c r="G172" s="431">
        <v>725246</v>
      </c>
      <c r="H172" s="431">
        <v>725246</v>
      </c>
    </row>
    <row r="173" spans="1:8" ht="12.75" customHeight="1">
      <c r="A173" s="1234" t="s">
        <v>384</v>
      </c>
      <c r="B173" s="130" t="s">
        <v>186</v>
      </c>
      <c r="C173" s="9" t="s">
        <v>339</v>
      </c>
      <c r="D173" s="131">
        <v>7</v>
      </c>
      <c r="E173" s="429">
        <f>SUM(E174:E176)</f>
        <v>20133362</v>
      </c>
      <c r="F173" s="429">
        <f>SUM(F174:F176)</f>
        <v>23890051</v>
      </c>
      <c r="G173" s="429">
        <f>SUM(G174:G176)</f>
        <v>23908851</v>
      </c>
      <c r="H173" s="429">
        <f>SUM(H174:H176)</f>
        <v>23908851</v>
      </c>
    </row>
    <row r="174" spans="1:8" s="64" customFormat="1" ht="12.75" customHeight="1">
      <c r="A174" s="1233" t="s">
        <v>385</v>
      </c>
      <c r="B174" s="133"/>
      <c r="C174" s="17" t="s">
        <v>250</v>
      </c>
      <c r="D174" s="131"/>
      <c r="E174" s="431">
        <v>15644463</v>
      </c>
      <c r="F174" s="431">
        <v>19090690</v>
      </c>
      <c r="G174" s="431">
        <v>19106690</v>
      </c>
      <c r="H174" s="431">
        <v>19106690</v>
      </c>
    </row>
    <row r="175" spans="1:8" ht="12.75" customHeight="1">
      <c r="A175" s="1233" t="s">
        <v>386</v>
      </c>
      <c r="B175" s="133"/>
      <c r="C175" s="17" t="s">
        <v>251</v>
      </c>
      <c r="D175" s="134"/>
      <c r="E175" s="431">
        <v>3188899</v>
      </c>
      <c r="F175" s="431">
        <v>3499361</v>
      </c>
      <c r="G175" s="431">
        <v>3502161</v>
      </c>
      <c r="H175" s="431">
        <v>3502161</v>
      </c>
    </row>
    <row r="176" spans="1:8" ht="12.75" customHeight="1">
      <c r="A176" s="1233" t="s">
        <v>387</v>
      </c>
      <c r="B176" s="133"/>
      <c r="C176" s="17" t="s">
        <v>624</v>
      </c>
      <c r="D176" s="134"/>
      <c r="E176" s="431">
        <v>1300000</v>
      </c>
      <c r="F176" s="431">
        <v>1300000</v>
      </c>
      <c r="G176" s="431">
        <v>1300000</v>
      </c>
      <c r="H176" s="431">
        <v>1300000</v>
      </c>
    </row>
    <row r="177" spans="1:8" ht="12.75" customHeight="1">
      <c r="A177" s="1235" t="s">
        <v>388</v>
      </c>
      <c r="B177" s="1098"/>
      <c r="C177" s="57" t="s">
        <v>955</v>
      </c>
      <c r="D177" s="1099"/>
      <c r="E177" s="702">
        <v>240000</v>
      </c>
      <c r="F177" s="702">
        <v>0</v>
      </c>
      <c r="G177" s="702">
        <v>0</v>
      </c>
      <c r="H177" s="702">
        <v>0</v>
      </c>
    </row>
    <row r="178" spans="1:8" ht="12.75" customHeight="1">
      <c r="A178" s="1233" t="s">
        <v>389</v>
      </c>
      <c r="B178" s="133"/>
      <c r="C178" s="17" t="s">
        <v>15</v>
      </c>
      <c r="D178" s="134"/>
      <c r="E178" s="431">
        <v>0</v>
      </c>
      <c r="F178" s="431">
        <v>0</v>
      </c>
      <c r="G178" s="431">
        <v>0</v>
      </c>
      <c r="H178" s="431">
        <v>0</v>
      </c>
    </row>
    <row r="179" spans="1:8" ht="26.25" customHeight="1">
      <c r="A179" s="1234" t="s">
        <v>390</v>
      </c>
      <c r="B179" s="130" t="s">
        <v>189</v>
      </c>
      <c r="C179" s="9" t="s">
        <v>345</v>
      </c>
      <c r="D179" s="131">
        <v>0</v>
      </c>
      <c r="E179" s="429">
        <f>SUM(E180:E183)</f>
        <v>4656232</v>
      </c>
      <c r="F179" s="429">
        <f>SUM(F180:F183)</f>
        <v>4500000</v>
      </c>
      <c r="G179" s="429">
        <f>SUM(G180:G183)</f>
        <v>4059000</v>
      </c>
      <c r="H179" s="429">
        <f>SUM(H180:H183)</f>
        <v>4059034</v>
      </c>
    </row>
    <row r="180" spans="1:8" ht="12.75" customHeight="1">
      <c r="A180" s="1233" t="s">
        <v>391</v>
      </c>
      <c r="B180" s="133"/>
      <c r="C180" s="17" t="s">
        <v>488</v>
      </c>
      <c r="D180" s="134"/>
      <c r="E180" s="431">
        <v>500000</v>
      </c>
      <c r="F180" s="431">
        <v>0</v>
      </c>
      <c r="G180" s="431">
        <v>0</v>
      </c>
      <c r="H180" s="431">
        <v>0</v>
      </c>
    </row>
    <row r="181" spans="1:8" ht="12.75" customHeight="1">
      <c r="A181" s="1233" t="s">
        <v>392</v>
      </c>
      <c r="B181" s="133"/>
      <c r="C181" s="17" t="s">
        <v>489</v>
      </c>
      <c r="D181" s="134"/>
      <c r="E181" s="431">
        <v>97500</v>
      </c>
      <c r="F181" s="431">
        <v>0</v>
      </c>
      <c r="G181" s="431">
        <v>0</v>
      </c>
      <c r="H181" s="431">
        <v>0</v>
      </c>
    </row>
    <row r="182" spans="1:8" ht="12.75" customHeight="1">
      <c r="A182" s="1233" t="s">
        <v>393</v>
      </c>
      <c r="B182" s="133"/>
      <c r="C182" s="17" t="s">
        <v>447</v>
      </c>
      <c r="D182" s="134"/>
      <c r="E182" s="431">
        <v>3251110</v>
      </c>
      <c r="F182" s="431">
        <v>4000000</v>
      </c>
      <c r="G182" s="431">
        <v>3559000</v>
      </c>
      <c r="H182" s="431">
        <v>3559034</v>
      </c>
    </row>
    <row r="183" spans="1:8" ht="12.75" customHeight="1" thickBot="1">
      <c r="A183" s="1236" t="s">
        <v>394</v>
      </c>
      <c r="B183" s="1166"/>
      <c r="C183" s="1167" t="s">
        <v>15</v>
      </c>
      <c r="D183" s="1168"/>
      <c r="E183" s="1169">
        <v>807622</v>
      </c>
      <c r="F183" s="1169">
        <v>500000</v>
      </c>
      <c r="G183" s="1169">
        <v>500000</v>
      </c>
      <c r="H183" s="1169">
        <v>500000</v>
      </c>
    </row>
    <row r="184" spans="1:8" ht="19.5" customHeight="1" thickBot="1">
      <c r="A184" s="1170" t="s">
        <v>395</v>
      </c>
      <c r="B184" s="1171" t="s">
        <v>191</v>
      </c>
      <c r="C184" s="1172" t="s">
        <v>490</v>
      </c>
      <c r="D184" s="1173">
        <v>27</v>
      </c>
      <c r="E184" s="1174">
        <f>SUM(E147+E151+E159+E169+E173+E179)+E165+E155</f>
        <v>126778064</v>
      </c>
      <c r="F184" s="1174">
        <f>SUM(F147+F151+F159+F169+F173+F179)+F165+F155</f>
        <v>130626828</v>
      </c>
      <c r="G184" s="1174">
        <f>SUM(G147+G151+G159+G169+G173+G179)+G165+G155</f>
        <v>125047485</v>
      </c>
      <c r="H184" s="1174">
        <f>SUM(H147+H151+H159+H169+H173+H179)+H165+H155</f>
        <v>125334519</v>
      </c>
    </row>
    <row r="185" spans="1:8" s="64" customFormat="1" ht="24" customHeight="1">
      <c r="A185" s="1237">
        <v>171</v>
      </c>
      <c r="B185" s="1175"/>
      <c r="C185" s="802" t="s">
        <v>250</v>
      </c>
      <c r="D185" s="1183"/>
      <c r="E185" s="1486">
        <f>SUM(E148+E152+E160+E170+E174)+E166+E180</f>
        <v>82862658</v>
      </c>
      <c r="F185" s="1176">
        <f>SUM(F148+F152+F160+F170+F174)+F166+F180</f>
        <v>86470333</v>
      </c>
      <c r="G185" s="1176">
        <f>SUM(G148+G152+G160+G170+G174)+G166+G180</f>
        <v>86486333</v>
      </c>
      <c r="H185" s="1176">
        <f>SUM(H148+H152+H160+H170+H174)+H166+H180</f>
        <v>86486333</v>
      </c>
    </row>
    <row r="186" spans="1:8" ht="12.75" customHeight="1">
      <c r="A186" s="1233" t="s">
        <v>396</v>
      </c>
      <c r="B186" s="145"/>
      <c r="C186" s="147" t="s">
        <v>251</v>
      </c>
      <c r="D186" s="1184"/>
      <c r="E186" s="1205">
        <f>SUM(E149+E161+E171+E175)+E153+E167+E181</f>
        <v>15929086</v>
      </c>
      <c r="F186" s="918">
        <f>SUM(F149+F161+F171+F175)+F153+F167+F181</f>
        <v>15725090</v>
      </c>
      <c r="G186" s="918">
        <f>SUM(G149+G161+G171+G175)+G153+G167+G181</f>
        <v>15727890</v>
      </c>
      <c r="H186" s="918">
        <f>SUM(H149+H161+H171+H175)+H153+H167+H181</f>
        <v>15727890</v>
      </c>
    </row>
    <row r="187" spans="1:8" ht="12.75" customHeight="1">
      <c r="A187" s="1233" t="s">
        <v>689</v>
      </c>
      <c r="B187" s="145"/>
      <c r="C187" s="147" t="s">
        <v>252</v>
      </c>
      <c r="D187" s="1184"/>
      <c r="E187" s="1205">
        <f>SUM(E150+E154+E162+E172+E176+E182)</f>
        <v>27178698</v>
      </c>
      <c r="F187" s="918">
        <f>SUM(F150+F154+F162+F172+F176+F182)</f>
        <v>27931405</v>
      </c>
      <c r="G187" s="918">
        <f>SUM(G150+G154+G162+G172+G176+G182)</f>
        <v>22333262</v>
      </c>
      <c r="H187" s="918">
        <f>SUM(H150+H154+H162+H172+H176+H182)</f>
        <v>22620296</v>
      </c>
    </row>
    <row r="188" spans="1:8" ht="12.75" customHeight="1">
      <c r="A188" s="1238" t="s">
        <v>690</v>
      </c>
      <c r="B188" s="776"/>
      <c r="C188" s="777" t="s">
        <v>15</v>
      </c>
      <c r="D188" s="1185"/>
      <c r="E188" s="1205">
        <f>SUM(E178+E183)+E164</f>
        <v>807622</v>
      </c>
      <c r="F188" s="1177">
        <f>SUM(F178+F183)+F164</f>
        <v>500000</v>
      </c>
      <c r="G188" s="1177">
        <f>SUM(G178+G183)+G164</f>
        <v>500000</v>
      </c>
      <c r="H188" s="1177">
        <f>SUM(H178+H183)+H164</f>
        <v>500000</v>
      </c>
    </row>
    <row r="189" spans="1:8" ht="12.75" customHeight="1">
      <c r="A189" s="1239" t="s">
        <v>691</v>
      </c>
      <c r="B189" s="781"/>
      <c r="C189" s="782" t="s">
        <v>781</v>
      </c>
      <c r="D189" s="1186"/>
      <c r="E189" s="1485">
        <v>807622</v>
      </c>
      <c r="F189" s="1178">
        <v>500000</v>
      </c>
      <c r="G189" s="1178">
        <v>500000</v>
      </c>
      <c r="H189" s="1178">
        <v>500000</v>
      </c>
    </row>
    <row r="190" spans="1:8" ht="13.5" thickBot="1">
      <c r="A190" s="1231" t="s">
        <v>692</v>
      </c>
      <c r="B190" s="799"/>
      <c r="C190" s="799" t="s">
        <v>782</v>
      </c>
      <c r="D190" s="1187"/>
      <c r="E190" s="1487"/>
      <c r="F190" s="1179"/>
      <c r="G190" s="1179"/>
      <c r="H190" s="1179"/>
    </row>
    <row r="191" spans="1:8" ht="13.5" thickBot="1">
      <c r="A191" s="1803" t="s">
        <v>1020</v>
      </c>
      <c r="B191" s="1789"/>
      <c r="C191" s="1789"/>
      <c r="D191" s="1789"/>
      <c r="E191" s="5"/>
      <c r="F191" s="5"/>
      <c r="G191" s="5"/>
      <c r="H191" s="5"/>
    </row>
    <row r="192" spans="1:8" ht="12.75" customHeight="1">
      <c r="A192" s="1240" t="s">
        <v>397</v>
      </c>
      <c r="B192" s="593" t="s">
        <v>164</v>
      </c>
      <c r="C192" s="594" t="s">
        <v>359</v>
      </c>
      <c r="D192" s="1190">
        <v>5</v>
      </c>
      <c r="E192" s="1195">
        <f>SUM(E193+E194+E195+E198)</f>
        <v>25234175</v>
      </c>
      <c r="F192" s="1195">
        <f>SUM(F193+F194+F195+F198)</f>
        <v>26857406</v>
      </c>
      <c r="G192" s="1195">
        <f>SUM(G193+G194+G195+G198)</f>
        <v>22972792</v>
      </c>
      <c r="H192" s="1195">
        <f>SUM(H193+H194+H195+H198)</f>
        <v>23253582</v>
      </c>
    </row>
    <row r="193" spans="1:8" ht="12.75" customHeight="1">
      <c r="A193" s="1213" t="s">
        <v>399</v>
      </c>
      <c r="B193" s="295"/>
      <c r="C193" s="296" t="s">
        <v>250</v>
      </c>
      <c r="D193" s="1191"/>
      <c r="E193" s="1196">
        <v>11818516</v>
      </c>
      <c r="F193" s="1196">
        <v>11927834</v>
      </c>
      <c r="G193" s="1196">
        <v>12026035</v>
      </c>
      <c r="H193" s="1196">
        <v>12222435</v>
      </c>
    </row>
    <row r="194" spans="1:8" ht="12.75" customHeight="1">
      <c r="A194" s="1213" t="s">
        <v>400</v>
      </c>
      <c r="B194" s="295"/>
      <c r="C194" s="296" t="s">
        <v>251</v>
      </c>
      <c r="D194" s="1191"/>
      <c r="E194" s="1196">
        <v>2031672</v>
      </c>
      <c r="F194" s="1196">
        <v>2129572</v>
      </c>
      <c r="G194" s="1196">
        <v>2146757</v>
      </c>
      <c r="H194" s="1196">
        <v>2181127</v>
      </c>
    </row>
    <row r="195" spans="1:8" ht="29.25" customHeight="1">
      <c r="A195" s="1213" t="s">
        <v>401</v>
      </c>
      <c r="B195" s="295"/>
      <c r="C195" s="296" t="s">
        <v>252</v>
      </c>
      <c r="D195" s="1191"/>
      <c r="E195" s="1196">
        <v>11297156</v>
      </c>
      <c r="F195" s="1196">
        <v>12300000</v>
      </c>
      <c r="G195" s="1196">
        <v>8300000</v>
      </c>
      <c r="H195" s="1196">
        <v>8350020</v>
      </c>
    </row>
    <row r="196" spans="1:8" ht="12.75" customHeight="1">
      <c r="A196" s="1241" t="s">
        <v>402</v>
      </c>
      <c r="B196" s="455"/>
      <c r="C196" s="315" t="s">
        <v>633</v>
      </c>
      <c r="D196" s="1192"/>
      <c r="E196" s="1197">
        <v>4929886</v>
      </c>
      <c r="F196" s="1197">
        <v>6000000</v>
      </c>
      <c r="G196" s="1197">
        <v>3320000</v>
      </c>
      <c r="H196" s="1197">
        <v>3320000</v>
      </c>
    </row>
    <row r="197" spans="1:8" ht="12.75" customHeight="1">
      <c r="A197" s="1241" t="s">
        <v>403</v>
      </c>
      <c r="B197" s="455"/>
      <c r="C197" s="315" t="s">
        <v>916</v>
      </c>
      <c r="D197" s="1192"/>
      <c r="E197" s="1197">
        <v>300000</v>
      </c>
      <c r="F197" s="1197">
        <v>100000</v>
      </c>
      <c r="G197" s="1197">
        <v>100000</v>
      </c>
      <c r="H197" s="1197">
        <v>100000</v>
      </c>
    </row>
    <row r="198" spans="1:8" ht="12.75" customHeight="1">
      <c r="A198" s="1213" t="s">
        <v>404</v>
      </c>
      <c r="B198" s="295"/>
      <c r="C198" s="296" t="s">
        <v>249</v>
      </c>
      <c r="D198" s="1191"/>
      <c r="E198" s="1196">
        <v>86831</v>
      </c>
      <c r="F198" s="1196">
        <v>500000</v>
      </c>
      <c r="G198" s="1196">
        <v>500000</v>
      </c>
      <c r="H198" s="1196">
        <v>500000</v>
      </c>
    </row>
    <row r="199" spans="1:8" ht="12.75" customHeight="1">
      <c r="A199" s="1242" t="s">
        <v>405</v>
      </c>
      <c r="B199" s="396" t="s">
        <v>166</v>
      </c>
      <c r="C199" s="397" t="s">
        <v>495</v>
      </c>
      <c r="D199" s="1193"/>
      <c r="E199" s="1198">
        <f>SUM(E200:E202)</f>
        <v>210210</v>
      </c>
      <c r="F199" s="1198">
        <f>SUM(F200:F202)</f>
        <v>220000</v>
      </c>
      <c r="G199" s="1198">
        <f>SUM(G200:G202)</f>
        <v>220000</v>
      </c>
      <c r="H199" s="1198">
        <f>SUM(H200:H202)</f>
        <v>220000</v>
      </c>
    </row>
    <row r="200" spans="1:8" s="64" customFormat="1" ht="12.75" customHeight="1">
      <c r="A200" s="1213" t="s">
        <v>407</v>
      </c>
      <c r="B200" s="295"/>
      <c r="C200" s="296" t="s">
        <v>250</v>
      </c>
      <c r="D200" s="1191"/>
      <c r="E200" s="1196">
        <v>0</v>
      </c>
      <c r="F200" s="1196">
        <v>0</v>
      </c>
      <c r="G200" s="1196">
        <v>0</v>
      </c>
      <c r="H200" s="1196">
        <v>0</v>
      </c>
    </row>
    <row r="201" spans="1:8" ht="12.75" customHeight="1">
      <c r="A201" s="1213" t="s">
        <v>408</v>
      </c>
      <c r="B201" s="295"/>
      <c r="C201" s="296" t="s">
        <v>251</v>
      </c>
      <c r="D201" s="1191"/>
      <c r="E201" s="1196">
        <v>0</v>
      </c>
      <c r="F201" s="1196">
        <v>0</v>
      </c>
      <c r="G201" s="1196">
        <v>0</v>
      </c>
      <c r="H201" s="1196">
        <v>0</v>
      </c>
    </row>
    <row r="202" spans="1:8" ht="12.75" customHeight="1">
      <c r="A202" s="1213" t="s">
        <v>409</v>
      </c>
      <c r="B202" s="295"/>
      <c r="C202" s="296" t="s">
        <v>252</v>
      </c>
      <c r="D202" s="1191"/>
      <c r="E202" s="1196">
        <v>210210</v>
      </c>
      <c r="F202" s="1196">
        <v>220000</v>
      </c>
      <c r="G202" s="1196">
        <v>220000</v>
      </c>
      <c r="H202" s="1196">
        <v>220000</v>
      </c>
    </row>
    <row r="203" spans="1:8" s="64" customFormat="1" ht="12.75" customHeight="1">
      <c r="A203" s="1243" t="s">
        <v>410</v>
      </c>
      <c r="B203" s="396" t="s">
        <v>173</v>
      </c>
      <c r="C203" s="453" t="s">
        <v>496</v>
      </c>
      <c r="D203" s="1193"/>
      <c r="E203" s="1198">
        <f>SUM(E204:E206)</f>
        <v>1148825</v>
      </c>
      <c r="F203" s="1198">
        <f>SUM(F204:F206)</f>
        <v>1100000</v>
      </c>
      <c r="G203" s="1198">
        <f>SUM(G204:G206)</f>
        <v>1100000</v>
      </c>
      <c r="H203" s="1198">
        <f>SUM(H204:H206)</f>
        <v>1100000</v>
      </c>
    </row>
    <row r="204" spans="1:8" ht="12.75" customHeight="1">
      <c r="A204" s="1213" t="s">
        <v>411</v>
      </c>
      <c r="B204" s="295"/>
      <c r="C204" s="296" t="s">
        <v>250</v>
      </c>
      <c r="D204" s="1191"/>
      <c r="E204" s="1196">
        <v>0</v>
      </c>
      <c r="F204" s="1196">
        <v>0</v>
      </c>
      <c r="G204" s="1196">
        <v>0</v>
      </c>
      <c r="H204" s="1196">
        <v>0</v>
      </c>
    </row>
    <row r="205" spans="1:8" s="64" customFormat="1" ht="12.75" customHeight="1">
      <c r="A205" s="1213" t="s">
        <v>412</v>
      </c>
      <c r="B205" s="295"/>
      <c r="C205" s="296" t="s">
        <v>251</v>
      </c>
      <c r="D205" s="1191"/>
      <c r="E205" s="1196">
        <v>0</v>
      </c>
      <c r="F205" s="1196">
        <v>0</v>
      </c>
      <c r="G205" s="1196">
        <v>0</v>
      </c>
      <c r="H205" s="1196">
        <v>0</v>
      </c>
    </row>
    <row r="206" spans="1:8" ht="12.75" customHeight="1" thickBot="1">
      <c r="A206" s="1244" t="s">
        <v>413</v>
      </c>
      <c r="B206" s="1188"/>
      <c r="C206" s="1189" t="s">
        <v>252</v>
      </c>
      <c r="D206" s="1194"/>
      <c r="E206" s="1199">
        <v>1148825</v>
      </c>
      <c r="F206" s="1199">
        <v>1100000</v>
      </c>
      <c r="G206" s="1199">
        <v>1100000</v>
      </c>
      <c r="H206" s="1199">
        <v>1100000</v>
      </c>
    </row>
    <row r="207" spans="1:8" ht="41.25" customHeight="1" thickBot="1">
      <c r="A207" s="1245" t="s">
        <v>414</v>
      </c>
      <c r="B207" s="1120" t="s">
        <v>183</v>
      </c>
      <c r="C207" s="1121" t="s">
        <v>1013</v>
      </c>
      <c r="D207" s="1118">
        <f>SUM(D190:D198)</f>
        <v>5</v>
      </c>
      <c r="E207" s="1122">
        <f>SUM(E208:E211)</f>
        <v>26593210</v>
      </c>
      <c r="F207" s="1122">
        <f>SUM(F208:F211)</f>
        <v>28177406</v>
      </c>
      <c r="G207" s="1122">
        <f>SUM(G208:G211)</f>
        <v>24292792</v>
      </c>
      <c r="H207" s="1122">
        <f>SUM(H208:H211)</f>
        <v>24573582</v>
      </c>
    </row>
    <row r="208" spans="1:8" ht="12.75" customHeight="1">
      <c r="A208" s="1246" t="s">
        <v>415</v>
      </c>
      <c r="B208" s="790"/>
      <c r="C208" s="791" t="s">
        <v>250</v>
      </c>
      <c r="D208" s="792"/>
      <c r="E208" s="793">
        <f aca="true" t="shared" si="1" ref="E208:F210">E193+E200+E204</f>
        <v>11818516</v>
      </c>
      <c r="F208" s="793">
        <f t="shared" si="1"/>
        <v>11927834</v>
      </c>
      <c r="G208" s="793">
        <f aca="true" t="shared" si="2" ref="G208:H210">G193+G200+G204</f>
        <v>12026035</v>
      </c>
      <c r="H208" s="793">
        <f t="shared" si="2"/>
        <v>12222435</v>
      </c>
    </row>
    <row r="209" spans="1:8" ht="12.75" customHeight="1">
      <c r="A209" s="1213" t="s">
        <v>416</v>
      </c>
      <c r="B209" s="779"/>
      <c r="C209" s="400" t="s">
        <v>251</v>
      </c>
      <c r="D209" s="780"/>
      <c r="E209" s="794">
        <f t="shared" si="1"/>
        <v>2031672</v>
      </c>
      <c r="F209" s="794">
        <f t="shared" si="1"/>
        <v>2129572</v>
      </c>
      <c r="G209" s="794">
        <f t="shared" si="2"/>
        <v>2146757</v>
      </c>
      <c r="H209" s="794">
        <f t="shared" si="2"/>
        <v>2181127</v>
      </c>
    </row>
    <row r="210" spans="1:8" s="64" customFormat="1" ht="12.75" customHeight="1">
      <c r="A210" s="1213" t="s">
        <v>417</v>
      </c>
      <c r="B210" s="779"/>
      <c r="C210" s="400" t="s">
        <v>252</v>
      </c>
      <c r="D210" s="780"/>
      <c r="E210" s="794">
        <f t="shared" si="1"/>
        <v>12656191</v>
      </c>
      <c r="F210" s="794">
        <f t="shared" si="1"/>
        <v>13620000</v>
      </c>
      <c r="G210" s="794">
        <f t="shared" si="2"/>
        <v>9620000</v>
      </c>
      <c r="H210" s="794">
        <f t="shared" si="2"/>
        <v>9670020</v>
      </c>
    </row>
    <row r="211" spans="1:8" ht="12.75" customHeight="1">
      <c r="A211" s="1213" t="s">
        <v>418</v>
      </c>
      <c r="B211" s="779"/>
      <c r="C211" s="400" t="s">
        <v>249</v>
      </c>
      <c r="D211" s="780"/>
      <c r="E211" s="795">
        <f>SUM(E198)</f>
        <v>86831</v>
      </c>
      <c r="F211" s="795">
        <f>SUM(F198)</f>
        <v>500000</v>
      </c>
      <c r="G211" s="795">
        <f>SUM(G198)</f>
        <v>500000</v>
      </c>
      <c r="H211" s="795">
        <f>SUM(H198)</f>
        <v>500000</v>
      </c>
    </row>
    <row r="212" spans="1:8" s="10" customFormat="1" ht="14.25" customHeight="1">
      <c r="A212" s="1230" t="s">
        <v>419</v>
      </c>
      <c r="B212" s="782"/>
      <c r="C212" s="782" t="s">
        <v>781</v>
      </c>
      <c r="D212" s="782"/>
      <c r="E212" s="797">
        <v>86831</v>
      </c>
      <c r="F212" s="797">
        <v>500000</v>
      </c>
      <c r="G212" s="797">
        <v>500000</v>
      </c>
      <c r="H212" s="797">
        <v>500000</v>
      </c>
    </row>
    <row r="213" spans="1:240" ht="12.75" customHeight="1" thickBot="1">
      <c r="A213" s="1231" t="s">
        <v>420</v>
      </c>
      <c r="B213" s="799"/>
      <c r="C213" s="799" t="s">
        <v>782</v>
      </c>
      <c r="D213" s="799"/>
      <c r="E213" s="800"/>
      <c r="F213" s="800"/>
      <c r="G213" s="800"/>
      <c r="H213" s="800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</row>
    <row r="214" spans="1:240" ht="12.75" customHeight="1" thickBot="1">
      <c r="A214" s="1804" t="s">
        <v>242</v>
      </c>
      <c r="B214" s="1805"/>
      <c r="C214" s="1805"/>
      <c r="D214" s="1805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</row>
    <row r="215" spans="1:240" ht="12.75" customHeight="1">
      <c r="A215" s="1247" t="s">
        <v>421</v>
      </c>
      <c r="B215" s="1200" t="s">
        <v>164</v>
      </c>
      <c r="C215" s="1201" t="s">
        <v>373</v>
      </c>
      <c r="D215" s="1202">
        <v>5</v>
      </c>
      <c r="E215" s="541">
        <f>SUM(E216:E218)</f>
        <v>36066279</v>
      </c>
      <c r="F215" s="541">
        <f>SUM(F216:F218)</f>
        <v>37122932</v>
      </c>
      <c r="G215" s="541">
        <f>SUM(G216:G218)</f>
        <v>33949106</v>
      </c>
      <c r="H215" s="541">
        <f>SUM(H216:H218)</f>
        <v>33949106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</row>
    <row r="216" spans="1:240" ht="12.75" customHeight="1">
      <c r="A216" s="1248" t="s">
        <v>422</v>
      </c>
      <c r="B216" s="79"/>
      <c r="C216" s="17" t="s">
        <v>250</v>
      </c>
      <c r="D216" s="141"/>
      <c r="E216" s="542">
        <v>11685043</v>
      </c>
      <c r="F216" s="542">
        <v>13005271</v>
      </c>
      <c r="G216" s="542">
        <v>13005271</v>
      </c>
      <c r="H216" s="542">
        <v>13005271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</row>
    <row r="217" spans="1:240" ht="12.75" customHeight="1">
      <c r="A217" s="1248" t="s">
        <v>423</v>
      </c>
      <c r="B217" s="79"/>
      <c r="C217" s="17" t="s">
        <v>251</v>
      </c>
      <c r="D217" s="141"/>
      <c r="E217" s="542">
        <v>2381236</v>
      </c>
      <c r="F217" s="542">
        <v>2117661</v>
      </c>
      <c r="G217" s="542">
        <v>2117661</v>
      </c>
      <c r="H217" s="542">
        <v>2117661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</row>
    <row r="218" spans="1:240" ht="12.75" customHeight="1">
      <c r="A218" s="1248" t="s">
        <v>424</v>
      </c>
      <c r="B218" s="79"/>
      <c r="C218" s="17" t="s">
        <v>252</v>
      </c>
      <c r="D218" s="141"/>
      <c r="E218" s="542">
        <v>22000000</v>
      </c>
      <c r="F218" s="542">
        <v>22000000</v>
      </c>
      <c r="G218" s="542">
        <v>18826174</v>
      </c>
      <c r="H218" s="542">
        <v>18826174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</row>
    <row r="219" spans="1:240" ht="12.75" customHeight="1">
      <c r="A219" s="1248" t="s">
        <v>688</v>
      </c>
      <c r="B219" s="79"/>
      <c r="C219" s="17" t="s">
        <v>615</v>
      </c>
      <c r="D219" s="141"/>
      <c r="E219" s="542">
        <v>0</v>
      </c>
      <c r="F219" s="542">
        <v>0</v>
      </c>
      <c r="G219" s="542">
        <v>0</v>
      </c>
      <c r="H219" s="542">
        <v>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</row>
    <row r="220" spans="1:240" s="64" customFormat="1" ht="12.75" customHeight="1">
      <c r="A220" s="1248" t="s">
        <v>970</v>
      </c>
      <c r="B220" s="61" t="s">
        <v>166</v>
      </c>
      <c r="C220" s="139" t="s">
        <v>505</v>
      </c>
      <c r="D220" s="140">
        <v>1</v>
      </c>
      <c r="E220" s="543">
        <f>SUM(E221:E224)</f>
        <v>9729409</v>
      </c>
      <c r="F220" s="543">
        <f>SUM(F221:F224)</f>
        <v>10619798</v>
      </c>
      <c r="G220" s="543">
        <f>SUM(G221:G224)</f>
        <v>10619798</v>
      </c>
      <c r="H220" s="543">
        <f>SUM(H221:H224)</f>
        <v>10619798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</row>
    <row r="221" spans="1:240" ht="12.75" customHeight="1">
      <c r="A221" s="1248" t="s">
        <v>971</v>
      </c>
      <c r="B221" s="79"/>
      <c r="C221" s="17" t="s">
        <v>250</v>
      </c>
      <c r="D221" s="141"/>
      <c r="E221" s="542">
        <v>3094751</v>
      </c>
      <c r="F221" s="542">
        <v>3972889</v>
      </c>
      <c r="G221" s="542">
        <v>3972889</v>
      </c>
      <c r="H221" s="542">
        <v>3972889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</row>
    <row r="222" spans="1:240" ht="12.75" customHeight="1">
      <c r="A222" s="1248" t="s">
        <v>972</v>
      </c>
      <c r="B222" s="79"/>
      <c r="C222" s="17" t="s">
        <v>251</v>
      </c>
      <c r="D222" s="141"/>
      <c r="E222" s="542">
        <v>634658</v>
      </c>
      <c r="F222" s="542">
        <v>646909</v>
      </c>
      <c r="G222" s="542">
        <v>646909</v>
      </c>
      <c r="H222" s="542">
        <v>646909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</row>
    <row r="223" spans="1:240" ht="12.75" customHeight="1">
      <c r="A223" s="1248" t="s">
        <v>973</v>
      </c>
      <c r="B223" s="79"/>
      <c r="C223" s="17" t="s">
        <v>252</v>
      </c>
      <c r="D223" s="141"/>
      <c r="E223" s="542">
        <v>6000000</v>
      </c>
      <c r="F223" s="542">
        <v>6000000</v>
      </c>
      <c r="G223" s="542">
        <v>6000000</v>
      </c>
      <c r="H223" s="542">
        <v>6000000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</row>
    <row r="224" spans="1:8" ht="30" customHeight="1">
      <c r="A224" s="1248" t="s">
        <v>974</v>
      </c>
      <c r="B224" s="79"/>
      <c r="C224" s="17" t="s">
        <v>615</v>
      </c>
      <c r="D224" s="141"/>
      <c r="E224" s="542"/>
      <c r="F224" s="542"/>
      <c r="G224" s="542"/>
      <c r="H224" s="542"/>
    </row>
    <row r="225" spans="1:8" ht="12.75" customHeight="1">
      <c r="A225" s="1248" t="s">
        <v>975</v>
      </c>
      <c r="B225" s="61" t="s">
        <v>173</v>
      </c>
      <c r="C225" s="139" t="s">
        <v>383</v>
      </c>
      <c r="D225" s="140">
        <v>0</v>
      </c>
      <c r="E225" s="543">
        <f>SUM(E226:E229)</f>
        <v>0</v>
      </c>
      <c r="F225" s="543">
        <f>SUM(F226:F229)</f>
        <v>0</v>
      </c>
      <c r="G225" s="543">
        <f>SUM(G226:G229)</f>
        <v>0</v>
      </c>
      <c r="H225" s="543">
        <f>SUM(H226:H229)</f>
        <v>0</v>
      </c>
    </row>
    <row r="226" spans="1:8" ht="12.75" customHeight="1">
      <c r="A226" s="1248" t="s">
        <v>976</v>
      </c>
      <c r="B226" s="79"/>
      <c r="C226" s="17" t="s">
        <v>250</v>
      </c>
      <c r="D226" s="141"/>
      <c r="E226" s="542">
        <v>0</v>
      </c>
      <c r="F226" s="542">
        <v>0</v>
      </c>
      <c r="G226" s="542">
        <v>0</v>
      </c>
      <c r="H226" s="542">
        <v>0</v>
      </c>
    </row>
    <row r="227" spans="1:8" ht="12.75" customHeight="1">
      <c r="A227" s="1248" t="s">
        <v>1029</v>
      </c>
      <c r="B227" s="79"/>
      <c r="C227" s="17" t="s">
        <v>251</v>
      </c>
      <c r="D227" s="141"/>
      <c r="E227" s="542">
        <v>0</v>
      </c>
      <c r="F227" s="542">
        <v>0</v>
      </c>
      <c r="G227" s="542">
        <v>0</v>
      </c>
      <c r="H227" s="542">
        <v>0</v>
      </c>
    </row>
    <row r="228" spans="1:8" ht="12.75" customHeight="1">
      <c r="A228" s="1248" t="s">
        <v>977</v>
      </c>
      <c r="B228" s="79"/>
      <c r="C228" s="17" t="s">
        <v>252</v>
      </c>
      <c r="D228" s="141"/>
      <c r="E228" s="542">
        <v>0</v>
      </c>
      <c r="F228" s="542">
        <v>0</v>
      </c>
      <c r="G228" s="542">
        <v>0</v>
      </c>
      <c r="H228" s="542">
        <v>0</v>
      </c>
    </row>
    <row r="229" spans="1:8" ht="37.5" customHeight="1">
      <c r="A229" s="1248" t="s">
        <v>978</v>
      </c>
      <c r="B229" s="79"/>
      <c r="C229" s="17" t="s">
        <v>615</v>
      </c>
      <c r="D229" s="141"/>
      <c r="E229" s="542">
        <v>0</v>
      </c>
      <c r="F229" s="542">
        <v>0</v>
      </c>
      <c r="G229" s="542">
        <v>0</v>
      </c>
      <c r="H229" s="542">
        <v>0</v>
      </c>
    </row>
    <row r="230" spans="1:8" ht="12.75" customHeight="1">
      <c r="A230" s="1248" t="s">
        <v>979</v>
      </c>
      <c r="B230" s="61" t="s">
        <v>182</v>
      </c>
      <c r="C230" s="139" t="s">
        <v>506</v>
      </c>
      <c r="D230" s="140">
        <v>0</v>
      </c>
      <c r="E230" s="543">
        <f>SUM(E233:E234)</f>
        <v>500000</v>
      </c>
      <c r="F230" s="543">
        <f>SUM(F233:F234)</f>
        <v>500000</v>
      </c>
      <c r="G230" s="543">
        <f>SUM(G233:G234)</f>
        <v>500000</v>
      </c>
      <c r="H230" s="543">
        <f>SUM(H233:H234)</f>
        <v>500000</v>
      </c>
    </row>
    <row r="231" spans="1:8" ht="12.75" customHeight="1">
      <c r="A231" s="1248" t="s">
        <v>980</v>
      </c>
      <c r="B231" s="61"/>
      <c r="C231" s="17" t="s">
        <v>445</v>
      </c>
      <c r="D231" s="140"/>
      <c r="E231" s="542">
        <v>0</v>
      </c>
      <c r="F231" s="542">
        <v>0</v>
      </c>
      <c r="G231" s="542">
        <v>0</v>
      </c>
      <c r="H231" s="542">
        <v>0</v>
      </c>
    </row>
    <row r="232" spans="1:8" ht="12.75" customHeight="1">
      <c r="A232" s="1248" t="s">
        <v>981</v>
      </c>
      <c r="B232" s="79"/>
      <c r="C232" s="17" t="s">
        <v>251</v>
      </c>
      <c r="D232" s="141"/>
      <c r="E232" s="542">
        <v>0</v>
      </c>
      <c r="F232" s="542">
        <v>0</v>
      </c>
      <c r="G232" s="542">
        <v>0</v>
      </c>
      <c r="H232" s="542">
        <v>0</v>
      </c>
    </row>
    <row r="233" spans="1:8" ht="24.75" customHeight="1">
      <c r="A233" s="1248" t="s">
        <v>982</v>
      </c>
      <c r="B233" s="79"/>
      <c r="C233" s="17" t="s">
        <v>252</v>
      </c>
      <c r="D233" s="141"/>
      <c r="E233" s="542">
        <v>500000</v>
      </c>
      <c r="F233" s="542">
        <v>500000</v>
      </c>
      <c r="G233" s="542">
        <v>500000</v>
      </c>
      <c r="H233" s="542">
        <v>500000</v>
      </c>
    </row>
    <row r="234" spans="1:8" ht="12.75" customHeight="1">
      <c r="A234" s="1248" t="s">
        <v>983</v>
      </c>
      <c r="B234" s="79"/>
      <c r="C234" s="17" t="s">
        <v>615</v>
      </c>
      <c r="D234" s="141"/>
      <c r="E234" s="542">
        <v>0</v>
      </c>
      <c r="F234" s="542">
        <v>0</v>
      </c>
      <c r="G234" s="542">
        <v>0</v>
      </c>
      <c r="H234" s="542">
        <v>0</v>
      </c>
    </row>
    <row r="235" spans="1:8" ht="12.75" customHeight="1">
      <c r="A235" s="1248" t="s">
        <v>984</v>
      </c>
      <c r="B235" s="61" t="s">
        <v>183</v>
      </c>
      <c r="C235" s="139" t="s">
        <v>507</v>
      </c>
      <c r="D235" s="140">
        <v>0</v>
      </c>
      <c r="E235" s="543">
        <f>SUM(E236:E239)</f>
        <v>430000</v>
      </c>
      <c r="F235" s="543">
        <f>SUM(F236:F239)</f>
        <v>430000</v>
      </c>
      <c r="G235" s="543">
        <f>SUM(G236:G239)</f>
        <v>430000</v>
      </c>
      <c r="H235" s="543">
        <f>SUM(H236:H239)</f>
        <v>430000</v>
      </c>
    </row>
    <row r="236" spans="1:8" ht="12.75" customHeight="1">
      <c r="A236" s="1248" t="s">
        <v>985</v>
      </c>
      <c r="B236" s="61"/>
      <c r="C236" s="17" t="s">
        <v>250</v>
      </c>
      <c r="D236" s="140"/>
      <c r="E236" s="542">
        <v>0</v>
      </c>
      <c r="F236" s="542">
        <v>0</v>
      </c>
      <c r="G236" s="542">
        <v>0</v>
      </c>
      <c r="H236" s="542">
        <v>0</v>
      </c>
    </row>
    <row r="237" spans="1:8" ht="12.75" customHeight="1">
      <c r="A237" s="1248" t="s">
        <v>986</v>
      </c>
      <c r="B237" s="79"/>
      <c r="C237" s="17" t="s">
        <v>251</v>
      </c>
      <c r="D237" s="203"/>
      <c r="E237" s="542">
        <v>0</v>
      </c>
      <c r="F237" s="542">
        <v>0</v>
      </c>
      <c r="G237" s="542">
        <v>0</v>
      </c>
      <c r="H237" s="542">
        <v>0</v>
      </c>
    </row>
    <row r="238" spans="1:8" ht="25.5" customHeight="1">
      <c r="A238" s="1248" t="s">
        <v>988</v>
      </c>
      <c r="B238" s="79"/>
      <c r="C238" s="17" t="s">
        <v>252</v>
      </c>
      <c r="D238" s="203"/>
      <c r="E238" s="542">
        <v>430000</v>
      </c>
      <c r="F238" s="542">
        <v>430000</v>
      </c>
      <c r="G238" s="542">
        <v>430000</v>
      </c>
      <c r="H238" s="542">
        <v>430000</v>
      </c>
    </row>
    <row r="239" spans="1:8" ht="12.75" customHeight="1">
      <c r="A239" s="1248" t="s">
        <v>987</v>
      </c>
      <c r="B239" s="79"/>
      <c r="C239" s="17" t="s">
        <v>615</v>
      </c>
      <c r="D239" s="203"/>
      <c r="E239" s="542">
        <v>0</v>
      </c>
      <c r="F239" s="542">
        <v>0</v>
      </c>
      <c r="G239" s="542">
        <v>0</v>
      </c>
      <c r="H239" s="542">
        <v>0</v>
      </c>
    </row>
    <row r="240" spans="1:8" ht="12.75" customHeight="1">
      <c r="A240" s="1248" t="s">
        <v>1008</v>
      </c>
      <c r="B240" s="61" t="s">
        <v>184</v>
      </c>
      <c r="C240" s="139" t="s">
        <v>508</v>
      </c>
      <c r="D240" s="204">
        <v>12</v>
      </c>
      <c r="E240" s="543">
        <f>SUM(E241:E244)</f>
        <v>45132676</v>
      </c>
      <c r="F240" s="543">
        <f>SUM(F241:F244)</f>
        <v>52889995</v>
      </c>
      <c r="G240" s="543">
        <f>SUM(G241:G244)</f>
        <v>52923718</v>
      </c>
      <c r="H240" s="543">
        <f>SUM(H241:H244)</f>
        <v>52986750</v>
      </c>
    </row>
    <row r="241" spans="1:8" ht="12.75" customHeight="1">
      <c r="A241" s="1248" t="s">
        <v>1009</v>
      </c>
      <c r="B241" s="79"/>
      <c r="C241" s="17" t="s">
        <v>250</v>
      </c>
      <c r="D241" s="203"/>
      <c r="E241" s="542">
        <v>24177213</v>
      </c>
      <c r="F241" s="542">
        <v>33961377</v>
      </c>
      <c r="G241" s="542">
        <v>33990077</v>
      </c>
      <c r="H241" s="542">
        <v>34043677</v>
      </c>
    </row>
    <row r="242" spans="1:8" ht="12.75" customHeight="1">
      <c r="A242" s="1248" t="s">
        <v>989</v>
      </c>
      <c r="B242" s="79"/>
      <c r="C242" s="17" t="s">
        <v>251</v>
      </c>
      <c r="D242" s="203"/>
      <c r="E242" s="542">
        <v>4894374</v>
      </c>
      <c r="F242" s="542">
        <v>5728618</v>
      </c>
      <c r="G242" s="542">
        <v>5733641</v>
      </c>
      <c r="H242" s="542">
        <v>5743020</v>
      </c>
    </row>
    <row r="243" spans="1:8" ht="12.75" customHeight="1">
      <c r="A243" s="1248" t="s">
        <v>990</v>
      </c>
      <c r="B243" s="79"/>
      <c r="C243" s="17" t="s">
        <v>252</v>
      </c>
      <c r="D243" s="203"/>
      <c r="E243" s="542">
        <v>15557501</v>
      </c>
      <c r="F243" s="542">
        <v>12200000</v>
      </c>
      <c r="G243" s="542">
        <v>12200000</v>
      </c>
      <c r="H243" s="542">
        <v>12200053</v>
      </c>
    </row>
    <row r="244" spans="1:8" ht="12.75" customHeight="1">
      <c r="A244" s="1248" t="s">
        <v>991</v>
      </c>
      <c r="B244" s="79"/>
      <c r="C244" s="17" t="s">
        <v>249</v>
      </c>
      <c r="D244" s="203"/>
      <c r="E244" s="542">
        <v>503588</v>
      </c>
      <c r="F244" s="542">
        <v>1000000</v>
      </c>
      <c r="G244" s="542">
        <v>1000000</v>
      </c>
      <c r="H244" s="542">
        <v>1000000</v>
      </c>
    </row>
    <row r="245" spans="1:8" ht="12.75" customHeight="1">
      <c r="A245" s="1248" t="s">
        <v>992</v>
      </c>
      <c r="B245" s="206" t="s">
        <v>186</v>
      </c>
      <c r="C245" s="207" t="s">
        <v>398</v>
      </c>
      <c r="D245" s="208">
        <v>0</v>
      </c>
      <c r="E245" s="543">
        <f>SUM(E246:E248)</f>
        <v>640000</v>
      </c>
      <c r="F245" s="543">
        <f>SUM(F246:F248)</f>
        <v>640000</v>
      </c>
      <c r="G245" s="543">
        <f>SUM(G246:G248)</f>
        <v>640000</v>
      </c>
      <c r="H245" s="543">
        <f>SUM(H246:H248)</f>
        <v>640000</v>
      </c>
    </row>
    <row r="246" spans="1:8" ht="12.75" customHeight="1">
      <c r="A246" s="1248" t="s">
        <v>993</v>
      </c>
      <c r="B246" s="145"/>
      <c r="C246" s="147" t="s">
        <v>250</v>
      </c>
      <c r="D246" s="209"/>
      <c r="E246" s="542">
        <v>0</v>
      </c>
      <c r="F246" s="542">
        <v>0</v>
      </c>
      <c r="G246" s="542">
        <v>0</v>
      </c>
      <c r="H246" s="542">
        <v>0</v>
      </c>
    </row>
    <row r="247" spans="1:8" ht="12.75" customHeight="1">
      <c r="A247" s="1248" t="s">
        <v>994</v>
      </c>
      <c r="B247" s="145"/>
      <c r="C247" s="147" t="s">
        <v>251</v>
      </c>
      <c r="D247" s="209"/>
      <c r="E247" s="542">
        <v>0</v>
      </c>
      <c r="F247" s="542">
        <v>0</v>
      </c>
      <c r="G247" s="542">
        <v>0</v>
      </c>
      <c r="H247" s="542">
        <v>0</v>
      </c>
    </row>
    <row r="248" spans="1:8" ht="12.75" customHeight="1">
      <c r="A248" s="1248" t="s">
        <v>995</v>
      </c>
      <c r="B248" s="145"/>
      <c r="C248" s="147" t="s">
        <v>252</v>
      </c>
      <c r="D248" s="209"/>
      <c r="E248" s="542">
        <v>640000</v>
      </c>
      <c r="F248" s="542">
        <v>640000</v>
      </c>
      <c r="G248" s="542">
        <v>640000</v>
      </c>
      <c r="H248" s="542">
        <v>640000</v>
      </c>
    </row>
    <row r="249" spans="1:8" ht="12.75" customHeight="1">
      <c r="A249" s="1248" t="s">
        <v>996</v>
      </c>
      <c r="B249" s="210" t="s">
        <v>189</v>
      </c>
      <c r="C249" s="9" t="s">
        <v>634</v>
      </c>
      <c r="D249" s="140">
        <v>0</v>
      </c>
      <c r="E249" s="543">
        <f>SUM(E250:E253)</f>
        <v>0</v>
      </c>
      <c r="F249" s="543">
        <f>SUM(F250:F253)</f>
        <v>0</v>
      </c>
      <c r="G249" s="543">
        <f>SUM(G250:G253)</f>
        <v>0</v>
      </c>
      <c r="H249" s="543">
        <f>SUM(H250:H253)</f>
        <v>0</v>
      </c>
    </row>
    <row r="250" spans="1:8" ht="12.75" customHeight="1">
      <c r="A250" s="1248" t="s">
        <v>997</v>
      </c>
      <c r="B250" s="79"/>
      <c r="C250" s="17" t="s">
        <v>250</v>
      </c>
      <c r="D250" s="141"/>
      <c r="E250" s="542"/>
      <c r="F250" s="542"/>
      <c r="G250" s="542"/>
      <c r="H250" s="542"/>
    </row>
    <row r="251" spans="1:8" ht="12.75" customHeight="1">
      <c r="A251" s="1248" t="s">
        <v>998</v>
      </c>
      <c r="B251" s="79"/>
      <c r="C251" s="17" t="s">
        <v>251</v>
      </c>
      <c r="D251" s="141"/>
      <c r="E251" s="542"/>
      <c r="F251" s="542"/>
      <c r="G251" s="542"/>
      <c r="H251" s="542"/>
    </row>
    <row r="252" spans="1:8" ht="12.75" customHeight="1">
      <c r="A252" s="1248" t="s">
        <v>999</v>
      </c>
      <c r="B252" s="79"/>
      <c r="C252" s="17" t="s">
        <v>252</v>
      </c>
      <c r="D252" s="141"/>
      <c r="E252" s="542"/>
      <c r="F252" s="542"/>
      <c r="G252" s="542"/>
      <c r="H252" s="542"/>
    </row>
    <row r="253" spans="1:8" ht="12.75" customHeight="1">
      <c r="A253" s="1248" t="s">
        <v>1000</v>
      </c>
      <c r="B253" s="79"/>
      <c r="C253" s="17" t="s">
        <v>615</v>
      </c>
      <c r="D253" s="141"/>
      <c r="E253" s="544"/>
      <c r="F253" s="544"/>
      <c r="G253" s="544"/>
      <c r="H253" s="544"/>
    </row>
    <row r="254" spans="1:8" ht="12.75" customHeight="1">
      <c r="A254" s="1248" t="s">
        <v>1001</v>
      </c>
      <c r="B254" s="61" t="s">
        <v>191</v>
      </c>
      <c r="C254" s="9" t="s">
        <v>406</v>
      </c>
      <c r="D254" s="205">
        <v>0</v>
      </c>
      <c r="E254" s="545">
        <f>SUM(E255:E255)</f>
        <v>720000</v>
      </c>
      <c r="F254" s="545">
        <f>SUM(F255:F255)</f>
        <v>720000</v>
      </c>
      <c r="G254" s="545">
        <f>SUM(G255:G255)</f>
        <v>720000</v>
      </c>
      <c r="H254" s="545">
        <f>SUM(H255:H255)</f>
        <v>720000</v>
      </c>
    </row>
    <row r="255" spans="1:8" ht="12.75" customHeight="1">
      <c r="A255" s="1248" t="s">
        <v>1002</v>
      </c>
      <c r="B255" s="79"/>
      <c r="C255" s="17" t="s">
        <v>509</v>
      </c>
      <c r="D255" s="141"/>
      <c r="E255" s="544">
        <v>720000</v>
      </c>
      <c r="F255" s="544">
        <v>720000</v>
      </c>
      <c r="G255" s="544">
        <v>720000</v>
      </c>
      <c r="H255" s="544">
        <v>720000</v>
      </c>
    </row>
    <row r="256" spans="1:8" ht="12.75" customHeight="1">
      <c r="A256" s="1248" t="s">
        <v>1003</v>
      </c>
      <c r="B256" s="61" t="s">
        <v>195</v>
      </c>
      <c r="C256" s="84" t="s">
        <v>275</v>
      </c>
      <c r="D256" s="140">
        <v>1</v>
      </c>
      <c r="E256" s="545">
        <f>SUM(E257:E259)</f>
        <v>4209988</v>
      </c>
      <c r="F256" s="545">
        <f>SUM(F257:F259)</f>
        <v>250000</v>
      </c>
      <c r="G256" s="545">
        <f>SUM(G257:G259)</f>
        <v>250000</v>
      </c>
      <c r="H256" s="545">
        <f>SUM(H257:H259)</f>
        <v>250000</v>
      </c>
    </row>
    <row r="257" spans="1:8" ht="12.75" customHeight="1">
      <c r="A257" s="1248" t="s">
        <v>1004</v>
      </c>
      <c r="B257" s="79"/>
      <c r="C257" s="17" t="s">
        <v>250</v>
      </c>
      <c r="D257" s="141"/>
      <c r="E257" s="544">
        <v>3835980</v>
      </c>
      <c r="F257" s="544">
        <v>212766</v>
      </c>
      <c r="G257" s="544">
        <v>212766</v>
      </c>
      <c r="H257" s="544">
        <v>212766</v>
      </c>
    </row>
    <row r="258" spans="1:8" ht="12.75" customHeight="1">
      <c r="A258" s="1249" t="s">
        <v>1005</v>
      </c>
      <c r="B258" s="142"/>
      <c r="C258" s="136" t="s">
        <v>251</v>
      </c>
      <c r="D258" s="494"/>
      <c r="E258" s="546">
        <v>374008</v>
      </c>
      <c r="F258" s="546">
        <v>37234</v>
      </c>
      <c r="G258" s="546">
        <v>37234</v>
      </c>
      <c r="H258" s="546">
        <v>37234</v>
      </c>
    </row>
    <row r="259" spans="1:8" ht="12.75" customHeight="1">
      <c r="A259" s="1213" t="s">
        <v>1006</v>
      </c>
      <c r="B259" s="295"/>
      <c r="C259" s="296" t="s">
        <v>252</v>
      </c>
      <c r="D259" s="538"/>
      <c r="E259" s="547">
        <v>0</v>
      </c>
      <c r="F259" s="547">
        <v>0</v>
      </c>
      <c r="G259" s="547">
        <v>0</v>
      </c>
      <c r="H259" s="547">
        <v>0</v>
      </c>
    </row>
    <row r="260" spans="1:8" ht="12.75" customHeight="1" thickBot="1">
      <c r="A260" s="1244" t="s">
        <v>1007</v>
      </c>
      <c r="B260" s="1188"/>
      <c r="C260" s="1167" t="s">
        <v>615</v>
      </c>
      <c r="D260" s="1203"/>
      <c r="E260" s="1204">
        <v>0</v>
      </c>
      <c r="F260" s="1204">
        <v>0</v>
      </c>
      <c r="G260" s="1204">
        <v>0</v>
      </c>
      <c r="H260" s="1204">
        <v>0</v>
      </c>
    </row>
    <row r="261" spans="1:8" ht="12.75" customHeight="1" thickBot="1">
      <c r="A261" s="557" t="s">
        <v>1021</v>
      </c>
      <c r="B261" s="498"/>
      <c r="C261" s="1798" t="s">
        <v>510</v>
      </c>
      <c r="D261" s="1798"/>
      <c r="E261" s="556">
        <f>SUM(E215+E220+E225+E230+E235+E240+E245+E249+E254+E256)</f>
        <v>97428352</v>
      </c>
      <c r="F261" s="556">
        <f>SUM(F215+F220+F225+F230+F235+F240+F245+F249+F254+F256)</f>
        <v>103172725</v>
      </c>
      <c r="G261" s="556">
        <f>SUM(G215+G220+G225+G230+G235+G240+G245+G249+G254+G256)</f>
        <v>100032622</v>
      </c>
      <c r="H261" s="556">
        <f>SUM(H215+H220+H225+H230+H235+H240+H245+H249+H254+H256)</f>
        <v>100095654</v>
      </c>
    </row>
    <row r="262" spans="1:8" ht="12.75" customHeight="1">
      <c r="A262" s="1212" t="s">
        <v>1030</v>
      </c>
      <c r="B262" s="810"/>
      <c r="C262" s="802" t="s">
        <v>488</v>
      </c>
      <c r="D262" s="811">
        <v>19</v>
      </c>
      <c r="E262" s="812">
        <f aca="true" t="shared" si="3" ref="E262:G263">SUM(E216+E221+E226+E231+E236+E241+E246+E250+E257)</f>
        <v>42792987</v>
      </c>
      <c r="F262" s="812">
        <f t="shared" si="3"/>
        <v>51152303</v>
      </c>
      <c r="G262" s="812">
        <f t="shared" si="3"/>
        <v>51181003</v>
      </c>
      <c r="H262" s="812">
        <f>SUM(H216+H221+H226+H231+H236+H241+H246+H250+H257)</f>
        <v>51234603</v>
      </c>
    </row>
    <row r="263" spans="1:8" ht="12.75" customHeight="1">
      <c r="A263" s="1249" t="s">
        <v>1031</v>
      </c>
      <c r="B263" s="776"/>
      <c r="C263" s="806" t="s">
        <v>251</v>
      </c>
      <c r="D263" s="778"/>
      <c r="E263" s="807">
        <f t="shared" si="3"/>
        <v>8284276</v>
      </c>
      <c r="F263" s="807">
        <f t="shared" si="3"/>
        <v>8530422</v>
      </c>
      <c r="G263" s="807">
        <f t="shared" si="3"/>
        <v>8535445</v>
      </c>
      <c r="H263" s="807">
        <f>SUM(H217+H222+H227+H232+H237+H242+H247+H251+H258)</f>
        <v>8544824</v>
      </c>
    </row>
    <row r="264" spans="1:8" ht="12.75" customHeight="1">
      <c r="A264" s="1213" t="s">
        <v>1032</v>
      </c>
      <c r="B264" s="779"/>
      <c r="C264" s="808" t="s">
        <v>624</v>
      </c>
      <c r="D264" s="780"/>
      <c r="E264" s="813">
        <f>SUM(E218+E223+E228+E233+E238+E243+E248+E252+E259)+E255</f>
        <v>45847501</v>
      </c>
      <c r="F264" s="813">
        <f>SUM(F218+F223+F228+F233+F238+F243+F248+F252+F259)+F255</f>
        <v>42490000</v>
      </c>
      <c r="G264" s="813">
        <f>SUM(G218+G223+G228+G233+G238+G243+G248+G252+G259)+G255</f>
        <v>39316174</v>
      </c>
      <c r="H264" s="813">
        <f>SUM(H218+H223+H228+H233+H238+H243+H248+H252+H259)+H255</f>
        <v>39316227</v>
      </c>
    </row>
    <row r="265" spans="1:8" ht="12.75" customHeight="1">
      <c r="A265" s="1213" t="s">
        <v>1033</v>
      </c>
      <c r="B265" s="779"/>
      <c r="C265" s="400" t="s">
        <v>249</v>
      </c>
      <c r="D265" s="780"/>
      <c r="E265" s="813">
        <f>SUM(E219+E224+E229+E234+E239+E244+E253)</f>
        <v>503588</v>
      </c>
      <c r="F265" s="813">
        <f>SUM(F219+F224+F229+F234+F239+F244+F253)</f>
        <v>1000000</v>
      </c>
      <c r="G265" s="813">
        <f>SUM(G219+G224+G229+G234+G239+G244+G253)</f>
        <v>1000000</v>
      </c>
      <c r="H265" s="813">
        <f>SUM(H219+H224+H229+H234+H239+H244+H253)</f>
        <v>1000000</v>
      </c>
    </row>
    <row r="266" spans="1:8" ht="12.75" customHeight="1">
      <c r="A266" s="1250" t="s">
        <v>1061</v>
      </c>
      <c r="B266" s="746"/>
      <c r="C266" s="746" t="s">
        <v>781</v>
      </c>
      <c r="D266" s="746"/>
      <c r="E266" s="815">
        <v>1000000</v>
      </c>
      <c r="F266" s="815">
        <v>1000000</v>
      </c>
      <c r="G266" s="815">
        <v>1000000</v>
      </c>
      <c r="H266" s="815">
        <v>1000000</v>
      </c>
    </row>
    <row r="267" spans="1:8" ht="12.75" customHeight="1" thickBot="1">
      <c r="A267" s="1231" t="s">
        <v>1062</v>
      </c>
      <c r="B267" s="799"/>
      <c r="C267" s="799" t="s">
        <v>782</v>
      </c>
      <c r="D267" s="799"/>
      <c r="E267" s="805"/>
      <c r="F267" s="805"/>
      <c r="G267" s="805"/>
      <c r="H267" s="805"/>
    </row>
    <row r="268" spans="1:8" ht="12.75" customHeight="1">
      <c r="A268" s="1251" t="s">
        <v>1063</v>
      </c>
      <c r="B268" s="95"/>
      <c r="C268" s="271" t="s">
        <v>567</v>
      </c>
      <c r="D268" s="95"/>
      <c r="E268" s="78"/>
      <c r="F268" s="78"/>
      <c r="G268" s="78"/>
      <c r="H268" s="78"/>
    </row>
    <row r="269" spans="1:8" ht="12.75" customHeight="1">
      <c r="A269" s="1251" t="s">
        <v>1064</v>
      </c>
      <c r="B269" s="95"/>
      <c r="C269" s="169" t="s">
        <v>568</v>
      </c>
      <c r="D269" s="95"/>
      <c r="E269" s="78">
        <f>SUM('ÖNK ÖSSZESITŐ'!E89)</f>
        <v>230357318</v>
      </c>
      <c r="F269" s="78">
        <f>SUM('ÖNK ÖSSZESITŐ'!F89)</f>
        <v>250452857</v>
      </c>
      <c r="G269" s="78">
        <f>SUM('ÖNK ÖSSZESITŐ'!G89)</f>
        <v>256170217</v>
      </c>
      <c r="H269" s="78">
        <f>SUM('ÖNK ÖSSZESITŐ'!H89)</f>
        <v>258346217</v>
      </c>
    </row>
    <row r="270" spans="1:8" ht="12.75" customHeight="1">
      <c r="A270" s="1251" t="s">
        <v>1065</v>
      </c>
      <c r="B270" s="95"/>
      <c r="C270" s="169" t="s">
        <v>569</v>
      </c>
      <c r="D270" s="95"/>
      <c r="E270" s="78">
        <f>SUM('ÖNK ÖSSZESITŐ'!E90)</f>
        <v>44071818</v>
      </c>
      <c r="F270" s="78">
        <f>SUM('ÖNK ÖSSZESITŐ'!F90)</f>
        <v>44295492</v>
      </c>
      <c r="G270" s="78">
        <f>SUM('ÖNK ÖSSZESITŐ'!G90)</f>
        <v>45016090</v>
      </c>
      <c r="H270" s="78">
        <f>SUM('ÖNK ÖSSZESITŐ'!H90)</f>
        <v>45377695</v>
      </c>
    </row>
    <row r="271" spans="1:8" ht="12.75" customHeight="1">
      <c r="A271" s="1251" t="s">
        <v>1070</v>
      </c>
      <c r="B271" s="95"/>
      <c r="C271" s="169" t="s">
        <v>570</v>
      </c>
      <c r="D271" s="95"/>
      <c r="E271" s="78">
        <f>SUM('ÖNK ÖSSZESITŐ'!E91)</f>
        <v>263067627.2</v>
      </c>
      <c r="F271" s="78">
        <f>SUM('ÖNK ÖSSZESITŐ'!F91)</f>
        <v>163561199.3</v>
      </c>
      <c r="G271" s="78">
        <f>SUM('ÖNK ÖSSZESITŐ'!G91)</f>
        <v>143863478.3</v>
      </c>
      <c r="H271" s="78">
        <f>SUM('ÖNK ÖSSZESITŐ'!H91)</f>
        <v>147857334.3</v>
      </c>
    </row>
    <row r="272" spans="1:8" ht="12.75" customHeight="1">
      <c r="A272" s="1252" t="s">
        <v>1071</v>
      </c>
      <c r="B272" s="94"/>
      <c r="C272" s="272" t="s">
        <v>25</v>
      </c>
      <c r="D272" s="82"/>
      <c r="E272" s="78">
        <f>SUM('ÖNK ÖSSZESITŐ'!E92)</f>
        <v>537496763.2</v>
      </c>
      <c r="F272" s="78">
        <f>SUM('ÖNK ÖSSZESITŐ'!F92)</f>
        <v>458309548.3</v>
      </c>
      <c r="G272" s="78">
        <f>SUM('ÖNK ÖSSZESITŐ'!G92)</f>
        <v>445049785.3</v>
      </c>
      <c r="H272" s="78">
        <f>SUM('ÖNK ÖSSZESITŐ'!H92)</f>
        <v>451581246.3</v>
      </c>
    </row>
    <row r="273" spans="1:8" ht="12.75" customHeight="1">
      <c r="A273" s="1251" t="s">
        <v>1244</v>
      </c>
      <c r="B273" s="94"/>
      <c r="C273" s="169" t="s">
        <v>256</v>
      </c>
      <c r="D273" s="94"/>
      <c r="E273" s="78">
        <f>SUM('ÖNK ÖSSZESITŐ'!E93)</f>
        <v>44186648</v>
      </c>
      <c r="F273" s="78">
        <f>SUM('ÖNK ÖSSZESITŐ'!F93)</f>
        <v>44771741</v>
      </c>
      <c r="G273" s="78">
        <f>SUM('ÖNK ÖSSZESITŐ'!G93)</f>
        <v>42258999</v>
      </c>
      <c r="H273" s="78">
        <f>SUM('ÖNK ÖSSZESITŐ'!H93)</f>
        <v>46035254</v>
      </c>
    </row>
    <row r="274" spans="1:8" ht="12.75" customHeight="1">
      <c r="A274" s="1251" t="s">
        <v>1245</v>
      </c>
      <c r="B274" s="94"/>
      <c r="C274" s="169" t="s">
        <v>295</v>
      </c>
      <c r="D274" s="94"/>
      <c r="E274" s="78">
        <f>SUM('ÖNK ÖSSZESITŐ'!E94)</f>
        <v>4209730</v>
      </c>
      <c r="F274" s="78">
        <f>SUM('ÖNK ÖSSZESITŐ'!F94)</f>
        <v>3453000</v>
      </c>
      <c r="G274" s="78">
        <f>SUM('ÖNK ÖSSZESITŐ'!G94)</f>
        <v>3803000</v>
      </c>
      <c r="H274" s="78">
        <f>SUM('ÖNK ÖSSZESITŐ'!H94)</f>
        <v>3453000</v>
      </c>
    </row>
    <row r="275" spans="1:8" ht="12.75" customHeight="1">
      <c r="A275" s="1251" t="s">
        <v>1246</v>
      </c>
      <c r="B275" s="94"/>
      <c r="C275" s="169" t="s">
        <v>297</v>
      </c>
      <c r="D275" s="94"/>
      <c r="E275" s="78">
        <v>205675338</v>
      </c>
      <c r="F275" s="78">
        <f>SUM('ÖNK ÖSSZESITŐ'!F95)</f>
        <v>4700000</v>
      </c>
      <c r="G275" s="78">
        <f>SUM('ÖNK ÖSSZESITŐ'!G95)</f>
        <v>96463808</v>
      </c>
      <c r="H275" s="78">
        <f>SUM('ÖNK ÖSSZESITŐ'!H95)</f>
        <v>274884650</v>
      </c>
    </row>
    <row r="276" spans="1:8" ht="12.75" customHeight="1">
      <c r="A276" s="1251" t="s">
        <v>1247</v>
      </c>
      <c r="B276" s="94"/>
      <c r="C276" s="169" t="s">
        <v>299</v>
      </c>
      <c r="D276" s="94"/>
      <c r="E276" s="78">
        <f>SUM('ÖNK ÖSSZESITŐ'!E96)</f>
        <v>300105338</v>
      </c>
      <c r="F276" s="78">
        <f>SUM('ÖNK ÖSSZESITŐ'!F96)</f>
        <v>329437179</v>
      </c>
      <c r="G276" s="78">
        <f>SUM('ÖNK ÖSSZESITŐ'!G96)</f>
        <v>327680648</v>
      </c>
      <c r="H276" s="78">
        <f>SUM('ÖNK ÖSSZESITŐ'!H96)</f>
        <v>327974397</v>
      </c>
    </row>
    <row r="277" spans="1:8" ht="12.75" customHeight="1">
      <c r="A277" s="1251" t="s">
        <v>1248</v>
      </c>
      <c r="B277" s="94"/>
      <c r="C277" s="169" t="s">
        <v>515</v>
      </c>
      <c r="D277" s="94"/>
      <c r="E277" s="78">
        <f>SUM('ÖNK ÖSSZESITŐ'!E97)</f>
        <v>478765907</v>
      </c>
      <c r="F277" s="78">
        <f>SUM('ÖNK ÖSSZESITŐ'!F97)</f>
        <v>462128007</v>
      </c>
      <c r="G277" s="78">
        <f>SUM('ÖNK ÖSSZESITŐ'!G97)</f>
        <v>570382608</v>
      </c>
      <c r="H277" s="78">
        <f>SUM('ÖNK ÖSSZESITŐ'!H97)</f>
        <v>419046334</v>
      </c>
    </row>
    <row r="278" spans="1:8" ht="12.75" customHeight="1">
      <c r="A278" s="1251" t="s">
        <v>1249</v>
      </c>
      <c r="B278" s="94"/>
      <c r="C278" s="17" t="s">
        <v>681</v>
      </c>
      <c r="D278" s="94"/>
      <c r="E278" s="78">
        <f>SUM('ÖNK ÖSSZESITŐ'!E98)</f>
        <v>2482037</v>
      </c>
      <c r="F278" s="78">
        <f>SUM('ÖNK ÖSSZESITŐ'!F98)</f>
        <v>0</v>
      </c>
      <c r="G278" s="78">
        <f>SUM('ÖNK ÖSSZESITŐ'!G98)</f>
        <v>354027</v>
      </c>
      <c r="H278" s="78">
        <f>SUM('ÖNK ÖSSZESITŐ'!H98)</f>
        <v>354027</v>
      </c>
    </row>
    <row r="279" spans="1:8" ht="12.75" customHeight="1">
      <c r="A279" s="1251" t="s">
        <v>1250</v>
      </c>
      <c r="B279" s="94"/>
      <c r="C279" s="115" t="s">
        <v>683</v>
      </c>
      <c r="D279" s="94"/>
      <c r="E279" s="78">
        <f>SUM('ÖNK ÖSSZESITŐ'!E100)</f>
        <v>0</v>
      </c>
      <c r="F279" s="78">
        <f>SUM('ÖNK ÖSSZESITŐ'!F100)</f>
        <v>0</v>
      </c>
      <c r="G279" s="78">
        <f>SUM('ÖNK ÖSSZESITŐ'!G100)</f>
        <v>0</v>
      </c>
      <c r="H279" s="78">
        <f>SUM('ÖNK ÖSSZESITŐ'!H100)</f>
        <v>0</v>
      </c>
    </row>
    <row r="280" spans="1:8" ht="12.75" customHeight="1">
      <c r="A280" s="1251" t="s">
        <v>1251</v>
      </c>
      <c r="B280" s="94"/>
      <c r="C280" s="115" t="s">
        <v>682</v>
      </c>
      <c r="D280" s="94"/>
      <c r="E280" s="78">
        <f>SUM('ÖNK ÖSSZESITŐ'!E101)</f>
        <v>0</v>
      </c>
      <c r="F280" s="78">
        <f>SUM('ÖNK ÖSSZESITŐ'!F101)</f>
        <v>0</v>
      </c>
      <c r="G280" s="78">
        <f>SUM('ÖNK ÖSSZESITŐ'!G101)</f>
        <v>0</v>
      </c>
      <c r="H280" s="78">
        <f>SUM('ÖNK ÖSSZESITŐ'!H101)</f>
        <v>0</v>
      </c>
    </row>
    <row r="281" spans="1:8" ht="12.75" customHeight="1">
      <c r="A281" s="1251" t="s">
        <v>1252</v>
      </c>
      <c r="B281" s="94"/>
      <c r="C281" s="169" t="s">
        <v>269</v>
      </c>
      <c r="D281" s="94"/>
      <c r="E281" s="78">
        <v>8209104</v>
      </c>
      <c r="F281" s="78">
        <f>SUM('ÖNK ÖSSZESITŐ'!F102)</f>
        <v>8251931</v>
      </c>
      <c r="G281" s="78">
        <f>SUM('ÖNK ÖSSZESITŐ'!G102)</f>
        <v>8432007</v>
      </c>
      <c r="H281" s="78">
        <f>SUM('ÖNK ÖSSZESITŐ'!H102)</f>
        <v>8432007</v>
      </c>
    </row>
    <row r="282" spans="1:8" ht="12.75" customHeight="1">
      <c r="A282" s="1251" t="s">
        <v>1253</v>
      </c>
      <c r="B282" s="94"/>
      <c r="C282" s="169" t="s">
        <v>1232</v>
      </c>
      <c r="D282" s="94"/>
      <c r="E282" s="78"/>
      <c r="F282" s="78"/>
      <c r="G282" s="78"/>
      <c r="H282" s="78">
        <v>2017050</v>
      </c>
    </row>
    <row r="283" spans="1:8" ht="12.75" customHeight="1">
      <c r="A283" s="1251" t="s">
        <v>1254</v>
      </c>
      <c r="B283" s="269"/>
      <c r="C283" s="273" t="s">
        <v>541</v>
      </c>
      <c r="D283" s="269"/>
      <c r="E283" s="270">
        <f>SUM(E272:E282)</f>
        <v>1581130865.2</v>
      </c>
      <c r="F283" s="270">
        <f>SUM(F272:F282)</f>
        <v>1311051406.3</v>
      </c>
      <c r="G283" s="270">
        <f>SUM(G272:G282)</f>
        <v>1494424882.3</v>
      </c>
      <c r="H283" s="270">
        <f>SUM(H272:H282)</f>
        <v>1533777965.3</v>
      </c>
    </row>
  </sheetData>
  <sheetProtection selectLockedCells="1" selectUnlockedCells="1"/>
  <mergeCells count="11">
    <mergeCell ref="C4:G4"/>
    <mergeCell ref="A5:H7"/>
    <mergeCell ref="A2:H3"/>
    <mergeCell ref="A1:G1"/>
    <mergeCell ref="C261:D261"/>
    <mergeCell ref="A117:D117"/>
    <mergeCell ref="A139:B139"/>
    <mergeCell ref="A146:D146"/>
    <mergeCell ref="A191:D191"/>
    <mergeCell ref="A214:D214"/>
    <mergeCell ref="A10:B11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64" r:id="rId1"/>
  <headerFooter alignWithMargins="0">
    <oddFooter>&amp;C&amp;P. oldal</oddFooter>
  </headerFooter>
  <rowBreaks count="3" manualBreakCount="3">
    <brk id="83" max="7" man="1"/>
    <brk id="164" max="7" man="1"/>
    <brk id="2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2020-09-08T12:18:06Z</cp:lastPrinted>
  <dcterms:created xsi:type="dcterms:W3CDTF">2017-01-11T11:20:02Z</dcterms:created>
  <dcterms:modified xsi:type="dcterms:W3CDTF">2020-09-22T13:12:37Z</dcterms:modified>
  <cp:category/>
  <cp:version/>
  <cp:contentType/>
  <cp:contentStatus/>
</cp:coreProperties>
</file>