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<sst xmlns="http://schemas.openxmlformats.org/spreadsheetml/2006/main" count="127" uniqueCount="104">
  <si>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</si>
  <si>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</si>
  <si>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</si>
  <si>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</si>
  <si>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</si>
  <si>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</si>
  <si>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</si>
  <si>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</si>
  <si>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</si>
  <si>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</si>
  <si>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</si>
  <si>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</si>
  <si>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</si>
  <si>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</si>
  <si>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</si>
  <si>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</si>
  <si>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</si>
  <si>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</si>
  <si>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</si>
  <si>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</si>
  <si>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</si>
  <si>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</si>
  <si>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</si>
  <si>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</si>
  <si>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</si>
  <si>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</si>
  <si>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</si>
  <si>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</si>
  <si>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</si>
  <si>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</si>
  <si>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</si>
  <si>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</si>
  <si>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</si>
  <si>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</si>
  <si>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</si>
  <si>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</si>
  <si>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</si>
  <si>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</si>
  <si>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</si>
  <si>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</si>
  <si>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</si>
  <si>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</si>
  <si>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</si>
  <si>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</si>
  <si>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</si>
  <si>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</si>
  <si>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</si>
  <si>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</si>
  <si>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</si>
  <si>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</si>
  <si>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</si>
  <si>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</si>
  <si>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</si>
  <si>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</si>
  <si>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</si>
  <si>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</si>
  <si>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</si>
  <si>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</si>
  <si>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</si>
  <si>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</si>
  <si>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</si>
  <si>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</si>
  <si>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</si>
  <si>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</si>
  <si>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</si>
  <si>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</si>
  <si>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</si>
  <si>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</si>
  <si>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</si>
  <si>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</si>
  <si>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</si>
  <si>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</si>
  <si>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</si>
  <si>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</si>
  <si>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</si>
  <si>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</si>
  <si>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</si>
  <si>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</si>
  <si>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</si>
  <si>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</si>
  <si>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</si>
  <si>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</si>
  <si>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</si>
  <si>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</si>
  <si>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</si>
  <si>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</si>
  <si>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</si>
  <si>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</si>
  <si>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</si>
  <si>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</si>
  <si>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</si>
  <si>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</si>
  <si>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</si>
  <si>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</si>
  <si>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</si>
  <si>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</si>
  <si>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</si>
  <si>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</si>
  <si>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</si>
  <si>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2019.évi kiadásainak előirányzat-felhasználási ütemterve</t>
  </si>
  <si>
    <t>2019. évi ei</t>
  </si>
  <si>
    <r>
      <t xml:space="preserve"> </t>
    </r>
    <r>
      <rPr>
        <b/>
        <sz val="12"/>
        <rFont val="Arial CE"/>
        <family val="2"/>
      </rPr>
      <t>Belváros-Lipótváros Önkormányzata 2019.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</si>
  <si>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2019.évi</t>
  </si>
  <si>
    <t xml:space="preserve">   a.) Belföldi értékpapírok kiadásai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</si>
</sst>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3" fontId="5" fillId="0" borderId="88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R7" sqref="R1:W16384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5" width="10.00390625" style="21" customWidth="1"/>
    <col min="16" max="16" width="11.125" style="21" customWidth="1"/>
    <col min="17" max="17" width="11.375" style="132" customWidth="1"/>
    <col min="18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3" t="s">
        <v>40</v>
      </c>
      <c r="P2" s="193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4" t="s">
        <v>92</v>
      </c>
      <c r="P7" s="194"/>
    </row>
    <row r="8" spans="1:16" ht="21" customHeight="1">
      <c r="A8" s="195" t="s">
        <v>99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4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86" t="s">
        <v>1</v>
      </c>
      <c r="B14" s="186"/>
      <c r="C14" s="189" t="s">
        <v>100</v>
      </c>
      <c r="D14" s="184" t="s">
        <v>2</v>
      </c>
      <c r="E14" s="184" t="s">
        <v>3</v>
      </c>
      <c r="F14" s="184" t="s">
        <v>4</v>
      </c>
      <c r="G14" s="184" t="s">
        <v>5</v>
      </c>
      <c r="H14" s="184" t="s">
        <v>6</v>
      </c>
      <c r="I14" s="184" t="s">
        <v>7</v>
      </c>
      <c r="J14" s="184" t="s">
        <v>8</v>
      </c>
      <c r="K14" s="184" t="s">
        <v>9</v>
      </c>
      <c r="L14" s="184" t="s">
        <v>10</v>
      </c>
      <c r="M14" s="184" t="s">
        <v>11</v>
      </c>
      <c r="N14" s="184" t="s">
        <v>12</v>
      </c>
      <c r="O14" s="184" t="s">
        <v>13</v>
      </c>
      <c r="P14" s="184" t="s">
        <v>14</v>
      </c>
    </row>
    <row r="15" spans="1:16" ht="13.5" thickBot="1">
      <c r="A15" s="186"/>
      <c r="B15" s="186"/>
      <c r="C15" s="190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6" ht="15" customHeight="1" thickBot="1">
      <c r="A16" s="187">
        <v>1</v>
      </c>
      <c r="B16" s="188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6" ht="15" customHeight="1">
      <c r="A17" s="24" t="s">
        <v>15</v>
      </c>
      <c r="B17" s="25" t="s">
        <v>78</v>
      </c>
      <c r="C17" s="26">
        <f>SUM(C18:C22)</f>
        <v>20204666</v>
      </c>
      <c r="D17" s="26">
        <f aca="true" t="shared" si="0" ref="D17:N17">SUM(D18:D22)</f>
        <v>1578441</v>
      </c>
      <c r="E17" s="26">
        <f t="shared" si="0"/>
        <v>1628991</v>
      </c>
      <c r="F17" s="26">
        <f t="shared" si="0"/>
        <v>1629007</v>
      </c>
      <c r="G17" s="26">
        <f t="shared" si="0"/>
        <v>1846017</v>
      </c>
      <c r="H17" s="26">
        <f t="shared" si="0"/>
        <v>1685833</v>
      </c>
      <c r="I17" s="26">
        <f t="shared" si="0"/>
        <v>1714884</v>
      </c>
      <c r="J17" s="26">
        <f t="shared" si="0"/>
        <v>1622571</v>
      </c>
      <c r="K17" s="26">
        <f t="shared" si="0"/>
        <v>1629591</v>
      </c>
      <c r="L17" s="26">
        <f t="shared" si="0"/>
        <v>1622591</v>
      </c>
      <c r="M17" s="26">
        <f t="shared" si="0"/>
        <v>1627409</v>
      </c>
      <c r="N17" s="26">
        <f t="shared" si="0"/>
        <v>1674880</v>
      </c>
      <c r="O17" s="26">
        <f>SUM(O18:O22)+1</f>
        <v>1944452</v>
      </c>
      <c r="P17" s="108">
        <f>SUM(D17:O17)-1</f>
        <v>20204666</v>
      </c>
    </row>
    <row r="18" spans="1:16" ht="15" customHeight="1">
      <c r="A18" s="28"/>
      <c r="B18" s="44" t="s">
        <v>16</v>
      </c>
      <c r="C18" s="130">
        <v>4063958</v>
      </c>
      <c r="D18" s="29">
        <v>300784</v>
      </c>
      <c r="E18" s="29">
        <v>300784</v>
      </c>
      <c r="F18" s="29">
        <v>300784</v>
      </c>
      <c r="G18" s="29">
        <f>300784+198204</f>
        <v>498988</v>
      </c>
      <c r="H18" s="29">
        <f aca="true" t="shared" si="1" ref="H18:M18">300784+7140</f>
        <v>307924</v>
      </c>
      <c r="I18" s="29">
        <f t="shared" si="1"/>
        <v>307924</v>
      </c>
      <c r="J18" s="29">
        <f t="shared" si="1"/>
        <v>307924</v>
      </c>
      <c r="K18" s="29">
        <f t="shared" si="1"/>
        <v>307924</v>
      </c>
      <c r="L18" s="29">
        <f t="shared" si="1"/>
        <v>307924</v>
      </c>
      <c r="M18" s="29">
        <f t="shared" si="1"/>
        <v>307924</v>
      </c>
      <c r="N18" s="29">
        <f>300784+7140+728</f>
        <v>308652</v>
      </c>
      <c r="O18" s="29">
        <f>300784-3+198500+7141</f>
        <v>506422</v>
      </c>
      <c r="P18" s="18">
        <f aca="true" t="shared" si="2" ref="P18:P49">SUM(D18:O18)</f>
        <v>4063958</v>
      </c>
    </row>
    <row r="19" spans="1:16" ht="15" customHeight="1">
      <c r="A19" s="28"/>
      <c r="B19" s="44" t="s">
        <v>68</v>
      </c>
      <c r="C19" s="130">
        <v>906601</v>
      </c>
      <c r="D19" s="29">
        <v>68326</v>
      </c>
      <c r="E19" s="29">
        <v>68326</v>
      </c>
      <c r="F19" s="29">
        <v>68326</v>
      </c>
      <c r="G19" s="29">
        <v>68326</v>
      </c>
      <c r="H19" s="29">
        <f>68326+31070+3016</f>
        <v>102412</v>
      </c>
      <c r="I19" s="29">
        <f>68326+3016</f>
        <v>71342</v>
      </c>
      <c r="J19" s="29">
        <f>68326+3016</f>
        <v>71342</v>
      </c>
      <c r="K19" s="29">
        <f>68326+3016</f>
        <v>71342</v>
      </c>
      <c r="L19" s="29">
        <f>68326+3016</f>
        <v>71342</v>
      </c>
      <c r="M19" s="29">
        <f>68326+3016</f>
        <v>71342</v>
      </c>
      <c r="N19" s="29">
        <f>68326+3016+425</f>
        <v>71767</v>
      </c>
      <c r="O19" s="29">
        <f>68326-3+31069+3016</f>
        <v>102408</v>
      </c>
      <c r="P19" s="18">
        <f t="shared" si="2"/>
        <v>906601</v>
      </c>
    </row>
    <row r="20" spans="1:16" ht="15" customHeight="1">
      <c r="A20" s="28"/>
      <c r="B20" s="44" t="s">
        <v>38</v>
      </c>
      <c r="C20" s="130">
        <v>12598302</v>
      </c>
      <c r="D20" s="29">
        <f>1036027+1</f>
        <v>1036028</v>
      </c>
      <c r="E20" s="29">
        <f>1036027+1</f>
        <v>1036028</v>
      </c>
      <c r="F20" s="29">
        <f>1036027+1</f>
        <v>1036028</v>
      </c>
      <c r="G20" s="29">
        <f>1036027+65023</f>
        <v>1101050</v>
      </c>
      <c r="H20" s="29">
        <f>1036027+50213</f>
        <v>1086240</v>
      </c>
      <c r="I20" s="29">
        <f>1036027+50045</f>
        <v>1086072</v>
      </c>
      <c r="J20" s="29">
        <v>1036027</v>
      </c>
      <c r="K20" s="29">
        <v>1036027</v>
      </c>
      <c r="L20" s="29">
        <v>1036027</v>
      </c>
      <c r="M20" s="29">
        <v>1036027</v>
      </c>
      <c r="N20" s="29">
        <f>1036027+694</f>
        <v>1036721</v>
      </c>
      <c r="O20" s="29">
        <v>1036027</v>
      </c>
      <c r="P20" s="18">
        <f t="shared" si="2"/>
        <v>12598302</v>
      </c>
    </row>
    <row r="21" spans="1:16" ht="15" customHeight="1">
      <c r="A21" s="28"/>
      <c r="B21" s="44" t="s">
        <v>39</v>
      </c>
      <c r="C21" s="130">
        <v>681879</v>
      </c>
      <c r="D21" s="29">
        <f>50000+30515+3000</f>
        <v>83515</v>
      </c>
      <c r="E21" s="29">
        <f>50000+30515+3500</f>
        <v>84015</v>
      </c>
      <c r="F21" s="29">
        <f>50000+30515+3516</f>
        <v>84031</v>
      </c>
      <c r="G21" s="29">
        <f>30515+2300+5000</f>
        <v>37815</v>
      </c>
      <c r="H21" s="29">
        <f>30515+2300+5000</f>
        <v>37815</v>
      </c>
      <c r="I21" s="29">
        <f>30515+2217+5000+362</f>
        <v>38094</v>
      </c>
      <c r="J21" s="29">
        <f>30515</f>
        <v>30515</v>
      </c>
      <c r="K21" s="29">
        <f>30515+7000</f>
        <v>37515</v>
      </c>
      <c r="L21" s="29">
        <f>30515</f>
        <v>30515</v>
      </c>
      <c r="M21" s="29">
        <f>30515+4476</f>
        <v>34991</v>
      </c>
      <c r="N21" s="29">
        <f>50000+30515+1166+124-40000+34080+8280</f>
        <v>84165</v>
      </c>
      <c r="O21" s="29">
        <f>50000+30515+24205-15920-23996+34089</f>
        <v>98893</v>
      </c>
      <c r="P21" s="18">
        <f t="shared" si="2"/>
        <v>681879</v>
      </c>
    </row>
    <row r="22" spans="1:16" ht="15" customHeight="1">
      <c r="A22" s="28"/>
      <c r="B22" s="44" t="s">
        <v>52</v>
      </c>
      <c r="C22" s="130">
        <f>SUM(C25:C29)</f>
        <v>1953926</v>
      </c>
      <c r="D22" s="130">
        <f aca="true" t="shared" si="3" ref="D22:O22">SUM(D25:D29)</f>
        <v>89788</v>
      </c>
      <c r="E22" s="130">
        <f t="shared" si="3"/>
        <v>139838</v>
      </c>
      <c r="F22" s="130">
        <f t="shared" si="3"/>
        <v>139838</v>
      </c>
      <c r="G22" s="130">
        <f>SUM(G24:G29)</f>
        <v>139838</v>
      </c>
      <c r="H22" s="130">
        <f t="shared" si="3"/>
        <v>151442</v>
      </c>
      <c r="I22" s="130">
        <f t="shared" si="3"/>
        <v>211452</v>
      </c>
      <c r="J22" s="130">
        <f t="shared" si="3"/>
        <v>176763</v>
      </c>
      <c r="K22" s="130">
        <f t="shared" si="3"/>
        <v>176783</v>
      </c>
      <c r="L22" s="130">
        <f t="shared" si="3"/>
        <v>176783</v>
      </c>
      <c r="M22" s="130">
        <f t="shared" si="3"/>
        <v>177125</v>
      </c>
      <c r="N22" s="130">
        <f t="shared" si="3"/>
        <v>173575</v>
      </c>
      <c r="O22" s="130">
        <f t="shared" si="3"/>
        <v>200701</v>
      </c>
      <c r="P22" s="18">
        <f>SUM(D22:O22)</f>
        <v>1953926</v>
      </c>
    </row>
    <row r="23" spans="1:16" ht="12.75" customHeight="1" hidden="1">
      <c r="A23" s="120"/>
      <c r="B23" s="121"/>
      <c r="C23" s="16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2"/>
        <v>0</v>
      </c>
    </row>
    <row r="24" spans="1:17" ht="12.75" customHeight="1">
      <c r="A24" s="105"/>
      <c r="B24" s="121" t="s">
        <v>85</v>
      </c>
      <c r="C24" s="163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18">
        <f t="shared" si="2"/>
        <v>0</v>
      </c>
      <c r="Q24" s="136"/>
    </row>
    <row r="25" spans="1:17" ht="12.75" customHeight="1">
      <c r="A25" s="105"/>
      <c r="B25" s="121" t="s">
        <v>71</v>
      </c>
      <c r="C25" s="163">
        <v>579419</v>
      </c>
      <c r="D25" s="31">
        <v>35375</v>
      </c>
      <c r="E25" s="31">
        <v>35375</v>
      </c>
      <c r="F25" s="31">
        <v>35375</v>
      </c>
      <c r="G25" s="31">
        <v>35375</v>
      </c>
      <c r="H25" s="31">
        <v>35375</v>
      </c>
      <c r="I25" s="31">
        <f>35375+25321</f>
        <v>60696</v>
      </c>
      <c r="J25" s="31">
        <f>35375+25321</f>
        <v>60696</v>
      </c>
      <c r="K25" s="31">
        <f>35375+25341</f>
        <v>60716</v>
      </c>
      <c r="L25" s="31">
        <f>35375+25341</f>
        <v>60716</v>
      </c>
      <c r="M25" s="31">
        <f>35375+25683</f>
        <v>61058</v>
      </c>
      <c r="N25" s="31">
        <f>35375+22132</f>
        <v>57507</v>
      </c>
      <c r="O25" s="31">
        <f>35375+5780</f>
        <v>41155</v>
      </c>
      <c r="P25" s="18">
        <f t="shared" si="2"/>
        <v>579419</v>
      </c>
      <c r="Q25" s="136"/>
    </row>
    <row r="26" spans="1:17" ht="12.75" customHeight="1">
      <c r="A26" s="105"/>
      <c r="B26" s="121" t="s">
        <v>86</v>
      </c>
      <c r="C26" s="163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2"/>
        <v>0</v>
      </c>
      <c r="Q26" s="136"/>
    </row>
    <row r="27" spans="1:17" ht="12.75" customHeight="1">
      <c r="A27" s="105"/>
      <c r="B27" s="121" t="s">
        <v>72</v>
      </c>
      <c r="C27" s="163">
        <v>745790</v>
      </c>
      <c r="D27" s="31">
        <v>54413</v>
      </c>
      <c r="E27" s="31">
        <v>54413</v>
      </c>
      <c r="F27" s="31">
        <v>54413</v>
      </c>
      <c r="G27" s="31">
        <v>54413</v>
      </c>
      <c r="H27" s="31">
        <f aca="true" t="shared" si="4" ref="H27:M27">54414+11603</f>
        <v>66017</v>
      </c>
      <c r="I27" s="31">
        <f t="shared" si="4"/>
        <v>66017</v>
      </c>
      <c r="J27" s="31">
        <f t="shared" si="4"/>
        <v>66017</v>
      </c>
      <c r="K27" s="31">
        <f t="shared" si="4"/>
        <v>66017</v>
      </c>
      <c r="L27" s="31">
        <f t="shared" si="4"/>
        <v>66017</v>
      </c>
      <c r="M27" s="31">
        <f t="shared" si="4"/>
        <v>66017</v>
      </c>
      <c r="N27" s="31">
        <f>54414+11603+1</f>
        <v>66018</v>
      </c>
      <c r="O27" s="31">
        <f>54414+11603+1</f>
        <v>66018</v>
      </c>
      <c r="P27" s="18">
        <f t="shared" si="2"/>
        <v>745790</v>
      </c>
      <c r="Q27" s="136"/>
    </row>
    <row r="28" spans="1:17" ht="12.75" customHeight="1">
      <c r="A28" s="105"/>
      <c r="B28" s="121" t="s">
        <v>73</v>
      </c>
      <c r="C28" s="163">
        <v>43479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43479</v>
      </c>
      <c r="P28" s="18">
        <f t="shared" si="2"/>
        <v>43479</v>
      </c>
      <c r="Q28" s="136"/>
    </row>
    <row r="29" spans="1:17" ht="12.75" customHeight="1">
      <c r="A29" s="105"/>
      <c r="B29" s="121" t="s">
        <v>74</v>
      </c>
      <c r="C29" s="163">
        <v>585238</v>
      </c>
      <c r="D29" s="31"/>
      <c r="E29" s="31">
        <v>50050</v>
      </c>
      <c r="F29" s="31">
        <v>50050</v>
      </c>
      <c r="G29" s="31">
        <v>50050</v>
      </c>
      <c r="H29" s="31">
        <v>50050</v>
      </c>
      <c r="I29" s="31">
        <f>50050+34689</f>
        <v>84739</v>
      </c>
      <c r="J29" s="31">
        <v>50050</v>
      </c>
      <c r="K29" s="31">
        <v>50050</v>
      </c>
      <c r="L29" s="31">
        <v>50050</v>
      </c>
      <c r="M29" s="31">
        <v>50050</v>
      </c>
      <c r="N29" s="31">
        <v>50050</v>
      </c>
      <c r="O29" s="31">
        <f>50050-1</f>
        <v>50049</v>
      </c>
      <c r="P29" s="18">
        <f t="shared" si="2"/>
        <v>585238</v>
      </c>
      <c r="Q29" s="136"/>
    </row>
    <row r="30" spans="1:16" ht="15" customHeight="1">
      <c r="A30" s="32" t="s">
        <v>17</v>
      </c>
      <c r="B30" s="33" t="s">
        <v>79</v>
      </c>
      <c r="C30" s="18">
        <f aca="true" t="shared" si="5" ref="C30:O30">SUM(C31:C33)</f>
        <v>20077407</v>
      </c>
      <c r="D30" s="18">
        <f>SUM(D31:D33)</f>
        <v>1030557</v>
      </c>
      <c r="E30" s="18">
        <f t="shared" si="5"/>
        <v>2282396.25</v>
      </c>
      <c r="F30" s="18">
        <f t="shared" si="5"/>
        <v>2628580.25</v>
      </c>
      <c r="G30" s="18">
        <f t="shared" si="5"/>
        <v>1535743.25</v>
      </c>
      <c r="H30" s="18">
        <f t="shared" si="5"/>
        <v>1232962</v>
      </c>
      <c r="I30" s="18">
        <f t="shared" si="5"/>
        <v>1432148</v>
      </c>
      <c r="J30" s="18">
        <f t="shared" si="5"/>
        <v>1525282</v>
      </c>
      <c r="K30" s="18">
        <f t="shared" si="5"/>
        <v>1970382</v>
      </c>
      <c r="L30" s="18">
        <f t="shared" si="5"/>
        <v>1363509</v>
      </c>
      <c r="M30" s="18">
        <f t="shared" si="5"/>
        <v>622110</v>
      </c>
      <c r="N30" s="18">
        <f t="shared" si="5"/>
        <v>365395</v>
      </c>
      <c r="O30" s="18">
        <f t="shared" si="5"/>
        <v>4088342</v>
      </c>
      <c r="P30" s="18">
        <f>SUM(D30:O30)</f>
        <v>20077406.75</v>
      </c>
    </row>
    <row r="31" spans="1:16" ht="15" customHeight="1">
      <c r="A31" s="28"/>
      <c r="B31" s="44" t="s">
        <v>69</v>
      </c>
      <c r="C31" s="130">
        <v>14484047</v>
      </c>
      <c r="D31" s="130">
        <f>612753+412355</f>
        <v>1025108</v>
      </c>
      <c r="E31" s="130">
        <f>314961/4+1092+11276+1000-10000+875123+1235212</f>
        <v>2192443.25</v>
      </c>
      <c r="F31" s="130">
        <f>314961/4+1092+11000+1000-10000+300000+875322+1253223</f>
        <v>2510377.25</v>
      </c>
      <c r="G31" s="130">
        <f>314961/4+1092+12000+1000-10000+521325+800323</f>
        <v>1404480.25</v>
      </c>
      <c r="H31" s="130">
        <f>1092+12000+1000+503665+623123</f>
        <v>1140880</v>
      </c>
      <c r="I31" s="130">
        <f>1092+1000+3000+75121+300000+1123253-187112</f>
        <v>1316354</v>
      </c>
      <c r="J31" s="130">
        <f>1092+1000+2000+25256+300000-80000-6641-123623+900000+400521</f>
        <v>1419605</v>
      </c>
      <c r="K31" s="130">
        <f>1092+1000+5000+15032+200000-112351+1200333+470108</f>
        <v>1780214</v>
      </c>
      <c r="L31" s="130">
        <f>1092+1000+3000+124+214300+150000-80000-132421+1000000</f>
        <v>1157095</v>
      </c>
      <c r="M31" s="130">
        <f>1092+1000+7000+147+50000+136500+125322</f>
        <v>321061</v>
      </c>
      <c r="N31" s="130">
        <f>1092+1000+1000+1896+37650+3520+120000-60000</f>
        <v>106158</v>
      </c>
      <c r="O31" s="130">
        <f>1092+1000+15092+50000+10015+103072-70000</f>
        <v>110271</v>
      </c>
      <c r="P31" s="18">
        <f t="shared" si="2"/>
        <v>14484046.75</v>
      </c>
    </row>
    <row r="32" spans="1:16" ht="15" customHeight="1">
      <c r="A32" s="28"/>
      <c r="B32" s="44" t="s">
        <v>70</v>
      </c>
      <c r="C32" s="130">
        <v>525893</v>
      </c>
      <c r="D32" s="130">
        <f>3782+1667</f>
        <v>5449</v>
      </c>
      <c r="E32" s="130">
        <f>3497+8000+1667</f>
        <v>13164</v>
      </c>
      <c r="F32" s="130">
        <f>3495+1667</f>
        <v>5162</v>
      </c>
      <c r="G32" s="130">
        <f>3473+1667</f>
        <v>5140</v>
      </c>
      <c r="H32" s="130">
        <f>3459+1667+40000-35641</f>
        <v>9485</v>
      </c>
      <c r="I32" s="130">
        <f>3438+1667+40000-23561</f>
        <v>21544</v>
      </c>
      <c r="J32" s="130">
        <f>3423+1667+40000-24915</f>
        <v>20175</v>
      </c>
      <c r="K32" s="130">
        <f>3405+1667+40000-13702+55231</f>
        <v>86601</v>
      </c>
      <c r="L32" s="130">
        <f>3387+1667-1+40000+86000+90000-150000-23541-12345+54512</f>
        <v>89679</v>
      </c>
      <c r="M32" s="130">
        <f>3086+1667-1+43644+91235+23005-100000-26412+54213</f>
        <v>90437</v>
      </c>
      <c r="N32" s="130">
        <f>1666+62142+70090+23542-100000-21432+64523</f>
        <v>100531</v>
      </c>
      <c r="O32" s="130">
        <f>1666+56836+86000+22560-162000+73464</f>
        <v>78526</v>
      </c>
      <c r="P32" s="18">
        <f t="shared" si="2"/>
        <v>525893</v>
      </c>
    </row>
    <row r="33" spans="1:16" ht="15" customHeight="1">
      <c r="A33" s="28"/>
      <c r="B33" s="44" t="s">
        <v>53</v>
      </c>
      <c r="C33" s="130">
        <f>SUM(C34:C37)</f>
        <v>5067467</v>
      </c>
      <c r="D33" s="130">
        <f aca="true" t="shared" si="6" ref="D33:N33">SUM(D34:D37)</f>
        <v>0</v>
      </c>
      <c r="E33" s="130">
        <f t="shared" si="6"/>
        <v>76789</v>
      </c>
      <c r="F33" s="130">
        <f t="shared" si="6"/>
        <v>113041</v>
      </c>
      <c r="G33" s="130">
        <f t="shared" si="6"/>
        <v>126123</v>
      </c>
      <c r="H33" s="130">
        <f t="shared" si="6"/>
        <v>82597</v>
      </c>
      <c r="I33" s="130">
        <f t="shared" si="6"/>
        <v>94250</v>
      </c>
      <c r="J33" s="130">
        <f t="shared" si="6"/>
        <v>85502</v>
      </c>
      <c r="K33" s="130">
        <f t="shared" si="6"/>
        <v>103567</v>
      </c>
      <c r="L33" s="130">
        <f t="shared" si="6"/>
        <v>116735</v>
      </c>
      <c r="M33" s="130">
        <f t="shared" si="6"/>
        <v>210612</v>
      </c>
      <c r="N33" s="130">
        <f t="shared" si="6"/>
        <v>158706</v>
      </c>
      <c r="O33" s="130">
        <f>SUM(O34:O37)</f>
        <v>3899545</v>
      </c>
      <c r="P33" s="18">
        <f t="shared" si="2"/>
        <v>5067467</v>
      </c>
    </row>
    <row r="34" spans="1:17" ht="15" customHeight="1">
      <c r="A34" s="32"/>
      <c r="B34" s="129" t="s">
        <v>75</v>
      </c>
      <c r="C34" s="130">
        <v>10000</v>
      </c>
      <c r="D34" s="130"/>
      <c r="E34" s="130">
        <v>1250</v>
      </c>
      <c r="F34" s="130">
        <v>4500</v>
      </c>
      <c r="G34" s="130"/>
      <c r="H34" s="130"/>
      <c r="I34" s="130">
        <v>4250</v>
      </c>
      <c r="J34" s="130"/>
      <c r="K34" s="130"/>
      <c r="L34" s="130"/>
      <c r="M34" s="130"/>
      <c r="N34" s="130"/>
      <c r="O34" s="130"/>
      <c r="P34" s="18">
        <f t="shared" si="2"/>
        <v>10000</v>
      </c>
      <c r="Q34" s="136"/>
    </row>
    <row r="35" spans="1:17" ht="15" customHeight="1">
      <c r="A35" s="28"/>
      <c r="B35" s="44" t="s">
        <v>76</v>
      </c>
      <c r="C35" s="130">
        <v>1320975</v>
      </c>
      <c r="D35" s="130"/>
      <c r="E35" s="130">
        <f>15000+36975+23564</f>
        <v>75539</v>
      </c>
      <c r="F35" s="130">
        <f>20000+29750-4750+40000+23541</f>
        <v>108541</v>
      </c>
      <c r="G35" s="130">
        <f>30000+40000+56123</f>
        <v>126123</v>
      </c>
      <c r="H35" s="130">
        <f>40000+40000+2597</f>
        <v>82597</v>
      </c>
      <c r="I35" s="130">
        <f>40000+40000+10000</f>
        <v>90000</v>
      </c>
      <c r="J35" s="130">
        <f>40000+40000+5502</f>
        <v>85502</v>
      </c>
      <c r="K35" s="130">
        <f>30000+40000+21234+12333</f>
        <v>103567</v>
      </c>
      <c r="L35" s="130">
        <f>30000+40000+25312+21423</f>
        <v>116735</v>
      </c>
      <c r="M35" s="130">
        <f>30000+40000+21325+16966+102321</f>
        <v>210612</v>
      </c>
      <c r="N35" s="130">
        <f>20000+40000+12356-10000+769-7682+103263</f>
        <v>158706</v>
      </c>
      <c r="O35" s="130">
        <f>24750-3000+40000+20181-10000-356+9652-23333+105159</f>
        <v>163053</v>
      </c>
      <c r="P35" s="18">
        <f t="shared" si="2"/>
        <v>1320975</v>
      </c>
      <c r="Q35" s="136"/>
    </row>
    <row r="36" spans="1:17" ht="15" customHeight="1">
      <c r="A36" s="28"/>
      <c r="B36" s="44" t="s">
        <v>87</v>
      </c>
      <c r="C36" s="130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8">
        <f t="shared" si="2"/>
        <v>0</v>
      </c>
      <c r="Q36" s="136"/>
    </row>
    <row r="37" spans="1:17" ht="15" customHeight="1">
      <c r="A37" s="28"/>
      <c r="B37" s="44" t="s">
        <v>77</v>
      </c>
      <c r="C37" s="130">
        <v>3736492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>
        <v>3736492</v>
      </c>
      <c r="P37" s="18">
        <f>SUM(D37:O37)</f>
        <v>3736492</v>
      </c>
      <c r="Q37" s="136"/>
    </row>
    <row r="38" spans="1:16" ht="15" customHeight="1">
      <c r="A38" s="105"/>
      <c r="B38" s="106" t="s">
        <v>80</v>
      </c>
      <c r="C38" s="30">
        <f>SUM(C17,C30)</f>
        <v>40282073</v>
      </c>
      <c r="D38" s="30">
        <f>SUM(D17,D30)</f>
        <v>2608998</v>
      </c>
      <c r="E38" s="30">
        <f aca="true" t="shared" si="7" ref="E38:N38">SUM(E17,E30)</f>
        <v>3911387.25</v>
      </c>
      <c r="F38" s="30">
        <f t="shared" si="7"/>
        <v>4257587.25</v>
      </c>
      <c r="G38" s="30">
        <f t="shared" si="7"/>
        <v>3381760.25</v>
      </c>
      <c r="H38" s="30">
        <f t="shared" si="7"/>
        <v>2918795</v>
      </c>
      <c r="I38" s="30">
        <f t="shared" si="7"/>
        <v>3147032</v>
      </c>
      <c r="J38" s="30">
        <f t="shared" si="7"/>
        <v>3147853</v>
      </c>
      <c r="K38" s="30">
        <f t="shared" si="7"/>
        <v>3599973</v>
      </c>
      <c r="L38" s="30">
        <f t="shared" si="7"/>
        <v>2986100</v>
      </c>
      <c r="M38" s="30">
        <f t="shared" si="7"/>
        <v>2249519</v>
      </c>
      <c r="N38" s="30">
        <f t="shared" si="7"/>
        <v>2040275</v>
      </c>
      <c r="O38" s="30">
        <f>SUM(O17,O30)-1</f>
        <v>6032793</v>
      </c>
      <c r="P38" s="18">
        <f>SUM(D38:O38)</f>
        <v>40282072.75</v>
      </c>
    </row>
    <row r="39" spans="1:16" ht="15" customHeight="1">
      <c r="A39" s="32"/>
      <c r="B39" s="129" t="s">
        <v>81</v>
      </c>
      <c r="C39" s="130">
        <v>5924941</v>
      </c>
      <c r="D39" s="95">
        <v>485292</v>
      </c>
      <c r="E39" s="95">
        <f>485292-1</f>
        <v>485291</v>
      </c>
      <c r="F39" s="95">
        <f>485292-1</f>
        <v>485291</v>
      </c>
      <c r="G39" s="95">
        <f>485292-1</f>
        <v>485291</v>
      </c>
      <c r="H39" s="95">
        <f>485292-1</f>
        <v>485291</v>
      </c>
      <c r="I39" s="95">
        <f>485292-1+14500</f>
        <v>499791</v>
      </c>
      <c r="J39" s="95">
        <f>485292+14500</f>
        <v>499792</v>
      </c>
      <c r="K39" s="95">
        <f>485292+14500</f>
        <v>499792</v>
      </c>
      <c r="L39" s="95">
        <f>485292+14500</f>
        <v>499792</v>
      </c>
      <c r="M39" s="95">
        <f>485292+14500</f>
        <v>499792</v>
      </c>
      <c r="N39" s="95">
        <f>485292+14500</f>
        <v>499792</v>
      </c>
      <c r="O39" s="95">
        <f>485292+14442</f>
        <v>499734</v>
      </c>
      <c r="P39" s="18">
        <f t="shared" si="2"/>
        <v>5924941</v>
      </c>
    </row>
    <row r="40" spans="1:16" ht="15" customHeight="1">
      <c r="A40" s="32"/>
      <c r="B40" s="129" t="s">
        <v>94</v>
      </c>
      <c r="C40" s="130">
        <v>96642</v>
      </c>
      <c r="D40" s="101">
        <v>96642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2"/>
        <v>96642</v>
      </c>
    </row>
    <row r="41" spans="1:16" ht="15" customHeight="1">
      <c r="A41" s="32" t="s">
        <v>18</v>
      </c>
      <c r="B41" s="33" t="s">
        <v>82</v>
      </c>
      <c r="C41" s="18">
        <f>SUM(C39)+C40</f>
        <v>6021583</v>
      </c>
      <c r="D41" s="18">
        <f>SUM(D39)+D40</f>
        <v>581934</v>
      </c>
      <c r="E41" s="18">
        <f aca="true" t="shared" si="8" ref="E41:N41">SUM(E39)+E40</f>
        <v>485291</v>
      </c>
      <c r="F41" s="18">
        <f t="shared" si="8"/>
        <v>485291</v>
      </c>
      <c r="G41" s="18">
        <f t="shared" si="8"/>
        <v>485291</v>
      </c>
      <c r="H41" s="18">
        <f t="shared" si="8"/>
        <v>485291</v>
      </c>
      <c r="I41" s="18">
        <f t="shared" si="8"/>
        <v>499791</v>
      </c>
      <c r="J41" s="18">
        <f t="shared" si="8"/>
        <v>499792</v>
      </c>
      <c r="K41" s="18">
        <f t="shared" si="8"/>
        <v>499792</v>
      </c>
      <c r="L41" s="18">
        <f t="shared" si="8"/>
        <v>499792</v>
      </c>
      <c r="M41" s="18">
        <f t="shared" si="8"/>
        <v>499792</v>
      </c>
      <c r="N41" s="18">
        <f t="shared" si="8"/>
        <v>499792</v>
      </c>
      <c r="O41" s="18">
        <f>SUM(O39)+O40</f>
        <v>499734</v>
      </c>
      <c r="P41" s="18">
        <f>SUM(P39)+P40</f>
        <v>6021583</v>
      </c>
    </row>
    <row r="42" spans="1:16" ht="15" customHeight="1">
      <c r="A42" s="32"/>
      <c r="B42" s="129" t="s">
        <v>103</v>
      </c>
      <c r="C42" s="130">
        <v>6000000</v>
      </c>
      <c r="D42" s="130"/>
      <c r="E42" s="130"/>
      <c r="F42" s="130"/>
      <c r="G42" s="130"/>
      <c r="H42" s="130"/>
      <c r="I42" s="130">
        <v>4000000</v>
      </c>
      <c r="J42" s="130"/>
      <c r="K42" s="130"/>
      <c r="L42" s="130">
        <v>2000000</v>
      </c>
      <c r="M42" s="130"/>
      <c r="N42" s="130"/>
      <c r="O42" s="130"/>
      <c r="P42" s="18">
        <f t="shared" si="2"/>
        <v>6000000</v>
      </c>
    </row>
    <row r="43" spans="1:16" ht="15" customHeight="1">
      <c r="A43" s="35"/>
      <c r="B43" s="135" t="s">
        <v>83</v>
      </c>
      <c r="C43" s="163">
        <v>189366</v>
      </c>
      <c r="D43" s="102">
        <v>15609</v>
      </c>
      <c r="E43" s="102">
        <f>15609+1</f>
        <v>15610</v>
      </c>
      <c r="F43" s="102">
        <f>15609+1</f>
        <v>15610</v>
      </c>
      <c r="G43" s="102">
        <f>15609+1</f>
        <v>15610</v>
      </c>
      <c r="H43" s="102">
        <f>15609+1</f>
        <v>15610</v>
      </c>
      <c r="I43" s="102">
        <f>15609+1+500</f>
        <v>16110</v>
      </c>
      <c r="J43" s="102">
        <f>15609+1+500</f>
        <v>16110</v>
      </c>
      <c r="K43" s="102">
        <f>15609+1+500</f>
        <v>16110</v>
      </c>
      <c r="L43" s="102">
        <f>15609+551</f>
        <v>16160</v>
      </c>
      <c r="M43" s="102">
        <v>15609</v>
      </c>
      <c r="N43" s="102">
        <v>15609</v>
      </c>
      <c r="O43" s="102">
        <v>15609</v>
      </c>
      <c r="P43" s="18">
        <f t="shared" si="2"/>
        <v>189366</v>
      </c>
    </row>
    <row r="44" spans="1:16" ht="15" customHeight="1">
      <c r="A44" s="35" t="s">
        <v>19</v>
      </c>
      <c r="B44" s="40" t="s">
        <v>84</v>
      </c>
      <c r="C44" s="30">
        <f>SUM(C42:C43)</f>
        <v>6189366</v>
      </c>
      <c r="D44" s="30">
        <f>SUM(D42:D43)</f>
        <v>15609</v>
      </c>
      <c r="E44" s="30">
        <f aca="true" t="shared" si="9" ref="E44:O44">SUM(E42:E43)</f>
        <v>15610</v>
      </c>
      <c r="F44" s="30">
        <f t="shared" si="9"/>
        <v>15610</v>
      </c>
      <c r="G44" s="30">
        <f t="shared" si="9"/>
        <v>15610</v>
      </c>
      <c r="H44" s="30">
        <f t="shared" si="9"/>
        <v>15610</v>
      </c>
      <c r="I44" s="30">
        <f>SUM(I42:I43)</f>
        <v>4016110</v>
      </c>
      <c r="J44" s="30">
        <f t="shared" si="9"/>
        <v>16110</v>
      </c>
      <c r="K44" s="30">
        <f t="shared" si="9"/>
        <v>16110</v>
      </c>
      <c r="L44" s="30">
        <f t="shared" si="9"/>
        <v>2016160</v>
      </c>
      <c r="M44" s="30">
        <f t="shared" si="9"/>
        <v>15609</v>
      </c>
      <c r="N44" s="30">
        <f t="shared" si="9"/>
        <v>15609</v>
      </c>
      <c r="O44" s="30">
        <f t="shared" si="9"/>
        <v>15609</v>
      </c>
      <c r="P44" s="18">
        <f>SUM(D44:O44)</f>
        <v>6189366</v>
      </c>
    </row>
    <row r="45" spans="1:17" s="131" customFormat="1" ht="15" customHeight="1">
      <c r="A45" s="128"/>
      <c r="B45" s="129" t="s">
        <v>90</v>
      </c>
      <c r="C45" s="134">
        <v>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8">
        <f>SUM(D45:O45)</f>
        <v>0</v>
      </c>
      <c r="Q45" s="133"/>
    </row>
    <row r="46" spans="1:16" ht="15" customHeight="1" thickBot="1">
      <c r="A46" s="45" t="s">
        <v>88</v>
      </c>
      <c r="B46" s="52" t="s">
        <v>89</v>
      </c>
      <c r="C46" s="46">
        <f>+C41+C44+C45</f>
        <v>12210949</v>
      </c>
      <c r="D46" s="46">
        <f aca="true" t="shared" si="10" ref="D46:O46">+D41+D42+D43+D45</f>
        <v>597543</v>
      </c>
      <c r="E46" s="46">
        <f t="shared" si="10"/>
        <v>500901</v>
      </c>
      <c r="F46" s="46">
        <f t="shared" si="10"/>
        <v>500901</v>
      </c>
      <c r="G46" s="46">
        <f t="shared" si="10"/>
        <v>500901</v>
      </c>
      <c r="H46" s="46">
        <f t="shared" si="10"/>
        <v>500901</v>
      </c>
      <c r="I46" s="46">
        <f t="shared" si="10"/>
        <v>4515901</v>
      </c>
      <c r="J46" s="46">
        <f t="shared" si="10"/>
        <v>515902</v>
      </c>
      <c r="K46" s="46">
        <f t="shared" si="10"/>
        <v>515902</v>
      </c>
      <c r="L46" s="46">
        <f t="shared" si="10"/>
        <v>2515952</v>
      </c>
      <c r="M46" s="46">
        <f t="shared" si="10"/>
        <v>515401</v>
      </c>
      <c r="N46" s="46">
        <f t="shared" si="10"/>
        <v>515401</v>
      </c>
      <c r="O46" s="46">
        <f t="shared" si="10"/>
        <v>515343</v>
      </c>
      <c r="P46" s="46">
        <f>SUM(D46:O46)</f>
        <v>12210949</v>
      </c>
    </row>
    <row r="47" spans="1:16" ht="15" customHeight="1" thickBot="1">
      <c r="A47" s="191" t="s">
        <v>20</v>
      </c>
      <c r="B47" s="192"/>
      <c r="C47" s="34">
        <f>SUM(C38,C41,C44)+C45</f>
        <v>52493022</v>
      </c>
      <c r="D47" s="34">
        <f>SUM(D38,D41,D44)+1+D45</f>
        <v>3206542</v>
      </c>
      <c r="E47" s="34">
        <f aca="true" t="shared" si="11" ref="E47:N47">SUM(E38,E41,E44)+1+E45</f>
        <v>4412289.25</v>
      </c>
      <c r="F47" s="34">
        <f t="shared" si="11"/>
        <v>4758489.25</v>
      </c>
      <c r="G47" s="34">
        <f t="shared" si="11"/>
        <v>3882662.25</v>
      </c>
      <c r="H47" s="34">
        <f t="shared" si="11"/>
        <v>3419697</v>
      </c>
      <c r="I47" s="34">
        <f t="shared" si="11"/>
        <v>7662934</v>
      </c>
      <c r="J47" s="34">
        <f t="shared" si="11"/>
        <v>3663756</v>
      </c>
      <c r="K47" s="34">
        <f t="shared" si="11"/>
        <v>4115876</v>
      </c>
      <c r="L47" s="34">
        <f t="shared" si="11"/>
        <v>5502053</v>
      </c>
      <c r="M47" s="34">
        <f t="shared" si="11"/>
        <v>2764921</v>
      </c>
      <c r="N47" s="34">
        <f t="shared" si="11"/>
        <v>2555677</v>
      </c>
      <c r="O47" s="34">
        <f>SUM(O38,O41,O44)+O45</f>
        <v>6548136</v>
      </c>
      <c r="P47" s="34">
        <f>SUM(P38,P41,P44)+P45</f>
        <v>52493021.75</v>
      </c>
    </row>
    <row r="48" spans="1:17" s="16" customFormat="1" ht="15" customHeight="1">
      <c r="A48" s="75"/>
      <c r="B48" s="122" t="s">
        <v>50</v>
      </c>
      <c r="C48" s="54">
        <v>-5924941</v>
      </c>
      <c r="D48" s="18">
        <f>-D39</f>
        <v>-485292</v>
      </c>
      <c r="E48" s="18">
        <f aca="true" t="shared" si="12" ref="E48:O48">-E39</f>
        <v>-485291</v>
      </c>
      <c r="F48" s="18">
        <f t="shared" si="12"/>
        <v>-485291</v>
      </c>
      <c r="G48" s="18">
        <f t="shared" si="12"/>
        <v>-485291</v>
      </c>
      <c r="H48" s="18">
        <f t="shared" si="12"/>
        <v>-485291</v>
      </c>
      <c r="I48" s="18">
        <f t="shared" si="12"/>
        <v>-499791</v>
      </c>
      <c r="J48" s="18">
        <f t="shared" si="12"/>
        <v>-499792</v>
      </c>
      <c r="K48" s="18">
        <f t="shared" si="12"/>
        <v>-499792</v>
      </c>
      <c r="L48" s="18">
        <f t="shared" si="12"/>
        <v>-499792</v>
      </c>
      <c r="M48" s="18">
        <f t="shared" si="12"/>
        <v>-499792</v>
      </c>
      <c r="N48" s="18">
        <f t="shared" si="12"/>
        <v>-499792</v>
      </c>
      <c r="O48" s="18">
        <f t="shared" si="12"/>
        <v>-499734</v>
      </c>
      <c r="P48" s="109">
        <f t="shared" si="2"/>
        <v>-5924941</v>
      </c>
      <c r="Q48" s="126"/>
    </row>
    <row r="49" spans="1:17" s="16" customFormat="1" ht="15" customHeight="1">
      <c r="A49" s="76"/>
      <c r="B49" s="123" t="s">
        <v>51</v>
      </c>
      <c r="C49" s="55">
        <f>-C43</f>
        <v>-189366</v>
      </c>
      <c r="D49" s="55">
        <f aca="true" t="shared" si="13" ref="D49:M49">-SUM(D43)</f>
        <v>-15609</v>
      </c>
      <c r="E49" s="55">
        <f t="shared" si="13"/>
        <v>-15610</v>
      </c>
      <c r="F49" s="55">
        <f t="shared" si="13"/>
        <v>-15610</v>
      </c>
      <c r="G49" s="55">
        <f t="shared" si="13"/>
        <v>-15610</v>
      </c>
      <c r="H49" s="55">
        <f t="shared" si="13"/>
        <v>-15610</v>
      </c>
      <c r="I49" s="55">
        <f t="shared" si="13"/>
        <v>-16110</v>
      </c>
      <c r="J49" s="55">
        <f t="shared" si="13"/>
        <v>-16110</v>
      </c>
      <c r="K49" s="55">
        <f t="shared" si="13"/>
        <v>-16110</v>
      </c>
      <c r="L49" s="55">
        <f t="shared" si="13"/>
        <v>-16160</v>
      </c>
      <c r="M49" s="55">
        <f t="shared" si="13"/>
        <v>-15609</v>
      </c>
      <c r="N49" s="55">
        <f>-SUM(N43)</f>
        <v>-15609</v>
      </c>
      <c r="O49" s="55">
        <f>-SUM(O43)</f>
        <v>-15609</v>
      </c>
      <c r="P49" s="111">
        <f t="shared" si="2"/>
        <v>-189366</v>
      </c>
      <c r="Q49" s="126"/>
    </row>
    <row r="50" spans="1:17" s="16" customFormat="1" ht="15" customHeight="1" thickBot="1">
      <c r="A50" s="53"/>
      <c r="B50" s="124" t="s">
        <v>54</v>
      </c>
      <c r="C50" s="56">
        <v>-670000</v>
      </c>
      <c r="D50" s="142">
        <f>$C$50/12</f>
        <v>-55833.333333333336</v>
      </c>
      <c r="E50" s="142">
        <f aca="true" t="shared" si="14" ref="E50:O50">$C$50/12</f>
        <v>-55833.333333333336</v>
      </c>
      <c r="F50" s="142">
        <f t="shared" si="14"/>
        <v>-55833.333333333336</v>
      </c>
      <c r="G50" s="142">
        <f t="shared" si="14"/>
        <v>-55833.333333333336</v>
      </c>
      <c r="H50" s="142">
        <f t="shared" si="14"/>
        <v>-55833.333333333336</v>
      </c>
      <c r="I50" s="142">
        <f t="shared" si="14"/>
        <v>-55833.333333333336</v>
      </c>
      <c r="J50" s="142">
        <f t="shared" si="14"/>
        <v>-55833.333333333336</v>
      </c>
      <c r="K50" s="142">
        <f t="shared" si="14"/>
        <v>-55833.333333333336</v>
      </c>
      <c r="L50" s="142">
        <f t="shared" si="14"/>
        <v>-55833.333333333336</v>
      </c>
      <c r="M50" s="142">
        <f t="shared" si="14"/>
        <v>-55833.333333333336</v>
      </c>
      <c r="N50" s="142">
        <f t="shared" si="14"/>
        <v>-55833.333333333336</v>
      </c>
      <c r="O50" s="142">
        <f t="shared" si="14"/>
        <v>-55833.333333333336</v>
      </c>
      <c r="P50" s="110">
        <f>SUM(D50:O50)</f>
        <v>-670000</v>
      </c>
      <c r="Q50" s="126"/>
    </row>
    <row r="51" spans="1:16" ht="15" customHeight="1" thickBot="1">
      <c r="A51" s="182" t="s">
        <v>21</v>
      </c>
      <c r="B51" s="183"/>
      <c r="C51" s="34">
        <f>SUM(C47:C50)</f>
        <v>45708715</v>
      </c>
      <c r="D51" s="34">
        <f aca="true" t="shared" si="15" ref="D51:N51">SUM(D47:D50)-1</f>
        <v>2649806.6666666665</v>
      </c>
      <c r="E51" s="34">
        <f t="shared" si="15"/>
        <v>3855553.9166666665</v>
      </c>
      <c r="F51" s="34">
        <f t="shared" si="15"/>
        <v>4201753.916666667</v>
      </c>
      <c r="G51" s="34">
        <f t="shared" si="15"/>
        <v>3325926.9166666665</v>
      </c>
      <c r="H51" s="34">
        <f t="shared" si="15"/>
        <v>2862961.6666666665</v>
      </c>
      <c r="I51" s="34">
        <f t="shared" si="15"/>
        <v>7091198.666666667</v>
      </c>
      <c r="J51" s="34">
        <f t="shared" si="15"/>
        <v>3092019.6666666665</v>
      </c>
      <c r="K51" s="34">
        <f t="shared" si="15"/>
        <v>3544139.6666666665</v>
      </c>
      <c r="L51" s="34">
        <f t="shared" si="15"/>
        <v>4930266.666666667</v>
      </c>
      <c r="M51" s="34">
        <f t="shared" si="15"/>
        <v>2193685.6666666665</v>
      </c>
      <c r="N51" s="34">
        <f t="shared" si="15"/>
        <v>1984441.6666666667</v>
      </c>
      <c r="O51" s="34">
        <f>SUM(O47:O50)</f>
        <v>5976959.666666667</v>
      </c>
      <c r="P51" s="34">
        <f>SUM(D51:O51)</f>
        <v>45708714.74999999</v>
      </c>
    </row>
    <row r="52" spans="3:12" ht="15">
      <c r="C52" s="167"/>
      <c r="L52" s="27"/>
    </row>
    <row r="54" spans="3:15" ht="12.75">
      <c r="C54" s="2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ht="12.75">
      <c r="C55" s="127"/>
    </row>
    <row r="56" ht="12.75">
      <c r="C56" s="125"/>
    </row>
    <row r="57" spans="3:5" ht="12.75">
      <c r="C57" s="127"/>
      <c r="E57" s="145"/>
    </row>
    <row r="58" ht="12.75">
      <c r="C58" s="125"/>
    </row>
    <row r="59" ht="12.75">
      <c r="C59" s="127"/>
    </row>
  </sheetData>
  <sheetProtection/>
  <mergeCells count="21">
    <mergeCell ref="J14:J15"/>
    <mergeCell ref="F14:F15"/>
    <mergeCell ref="O2:P2"/>
    <mergeCell ref="H14:H15"/>
    <mergeCell ref="M14:M15"/>
    <mergeCell ref="O14:O15"/>
    <mergeCell ref="P14:P15"/>
    <mergeCell ref="O7:P7"/>
    <mergeCell ref="A8:P8"/>
    <mergeCell ref="G14:G15"/>
    <mergeCell ref="K14:K15"/>
    <mergeCell ref="A51:B51"/>
    <mergeCell ref="L14:L15"/>
    <mergeCell ref="N14:N15"/>
    <mergeCell ref="A14:B15"/>
    <mergeCell ref="I14:I15"/>
    <mergeCell ref="A16:B16"/>
    <mergeCell ref="C14:C15"/>
    <mergeCell ref="A47:B47"/>
    <mergeCell ref="D14:D15"/>
    <mergeCell ref="E14:E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R1" sqref="R1:V1638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6384" width="9.125" style="2" customWidth="1"/>
  </cols>
  <sheetData>
    <row r="1" spans="1:16" ht="14.25" customHeight="1">
      <c r="A1" s="206" t="s">
        <v>101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7" t="s">
        <v>93</v>
      </c>
      <c r="O2" s="207"/>
      <c r="P2" s="207"/>
    </row>
    <row r="3" spans="14:16" ht="12.75" customHeight="1" thickBot="1">
      <c r="N3" s="208" t="s">
        <v>22</v>
      </c>
      <c r="O3" s="208"/>
      <c r="P3" s="208"/>
    </row>
    <row r="4" spans="2:16" ht="10.5" customHeight="1" thickBot="1">
      <c r="B4" s="2"/>
      <c r="D4" s="209" t="s">
        <v>23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7"/>
    </row>
    <row r="5" spans="1:16" s="8" customFormat="1" ht="8.25" customHeight="1" thickBot="1">
      <c r="A5" s="210" t="s">
        <v>1</v>
      </c>
      <c r="B5" s="211"/>
      <c r="C5" s="91" t="s">
        <v>102</v>
      </c>
      <c r="D5" s="214" t="s">
        <v>24</v>
      </c>
      <c r="E5" s="202" t="s">
        <v>25</v>
      </c>
      <c r="F5" s="202" t="s">
        <v>26</v>
      </c>
      <c r="G5" s="202" t="s">
        <v>27</v>
      </c>
      <c r="H5" s="202" t="s">
        <v>28</v>
      </c>
      <c r="I5" s="202" t="s">
        <v>29</v>
      </c>
      <c r="J5" s="202" t="s">
        <v>30</v>
      </c>
      <c r="K5" s="202" t="s">
        <v>67</v>
      </c>
      <c r="L5" s="202" t="s">
        <v>31</v>
      </c>
      <c r="M5" s="202" t="s">
        <v>32</v>
      </c>
      <c r="N5" s="202" t="s">
        <v>33</v>
      </c>
      <c r="O5" s="196" t="s">
        <v>34</v>
      </c>
      <c r="P5" s="198" t="s">
        <v>35</v>
      </c>
    </row>
    <row r="6" spans="1:16" s="8" customFormat="1" ht="8.25" customHeight="1">
      <c r="A6" s="212"/>
      <c r="B6" s="213"/>
      <c r="C6" s="92" t="s">
        <v>96</v>
      </c>
      <c r="D6" s="215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197"/>
      <c r="P6" s="199"/>
    </row>
    <row r="7" spans="1:16" s="12" customFormat="1" ht="12" thickBot="1">
      <c r="A7" s="200">
        <v>1</v>
      </c>
      <c r="B7" s="201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9">
        <v>15</v>
      </c>
    </row>
    <row r="8" spans="1:16" s="14" customFormat="1" ht="12.75" customHeight="1">
      <c r="A8" s="62" t="s">
        <v>15</v>
      </c>
      <c r="B8" s="77" t="s">
        <v>43</v>
      </c>
      <c r="C8" s="95">
        <v>2555393</v>
      </c>
      <c r="D8" s="37">
        <v>210751</v>
      </c>
      <c r="E8" s="37">
        <v>210751</v>
      </c>
      <c r="F8" s="37">
        <v>210751</v>
      </c>
      <c r="G8" s="37">
        <v>210751</v>
      </c>
      <c r="H8" s="37">
        <f>210751+3297</f>
        <v>214048</v>
      </c>
      <c r="I8" s="37">
        <f>210751+3297</f>
        <v>214048</v>
      </c>
      <c r="J8" s="37">
        <f>210751+3297+1</f>
        <v>214049</v>
      </c>
      <c r="K8" s="37">
        <f>210751+3297+1</f>
        <v>214049</v>
      </c>
      <c r="L8" s="37">
        <f>210751+3297+1</f>
        <v>214049</v>
      </c>
      <c r="M8" s="37">
        <f>210751+3297+1</f>
        <v>214049</v>
      </c>
      <c r="N8" s="37">
        <f>210751+3297+1</f>
        <v>214049</v>
      </c>
      <c r="O8" s="37">
        <f>210751+3297</f>
        <v>214048</v>
      </c>
      <c r="P8" s="94">
        <f>SUM(D8:O8)</f>
        <v>2555393</v>
      </c>
    </row>
    <row r="9" spans="1:16" s="38" customFormat="1" ht="12.75" customHeight="1">
      <c r="A9" s="63" t="s">
        <v>17</v>
      </c>
      <c r="B9" s="78" t="s">
        <v>44</v>
      </c>
      <c r="C9" s="95">
        <v>1566352</v>
      </c>
      <c r="D9" s="37">
        <v>420790</v>
      </c>
      <c r="E9" s="37">
        <f>116578-6000-2000</f>
        <v>108578</v>
      </c>
      <c r="F9" s="37">
        <f>116578-6000-2000</f>
        <v>108578</v>
      </c>
      <c r="G9" s="37">
        <f>116578-6000-2000</f>
        <v>108578</v>
      </c>
      <c r="H9" s="37">
        <f>116578-6000-2000+23451</f>
        <v>132029</v>
      </c>
      <c r="I9" s="37">
        <f>116578+2172-6000-2000-2000+5639</f>
        <v>114389</v>
      </c>
      <c r="J9" s="37">
        <f>116578+1500-6000-2000-2000</f>
        <v>108078</v>
      </c>
      <c r="K9" s="37">
        <f>116578+1500-6000-2000-2000</f>
        <v>108078</v>
      </c>
      <c r="L9" s="37">
        <f>116578+10-6000-2000</f>
        <v>108588</v>
      </c>
      <c r="M9" s="37">
        <f>116578+10-6000-2000</f>
        <v>108588</v>
      </c>
      <c r="N9" s="37">
        <f>116578+11+18730-20000-2000-3000-753-40053</f>
        <v>69513</v>
      </c>
      <c r="O9" s="37">
        <f>116581+32007-20000-10000-5000-3000-40023</f>
        <v>70565</v>
      </c>
      <c r="P9" s="95">
        <f>SUM(D9:O9)</f>
        <v>1566352</v>
      </c>
    </row>
    <row r="10" spans="1:16" s="38" customFormat="1" ht="12.75" customHeight="1">
      <c r="A10" s="64" t="s">
        <v>24</v>
      </c>
      <c r="B10" s="79" t="s">
        <v>55</v>
      </c>
      <c r="C10" s="96">
        <f>SUM(C8:C9)</f>
        <v>4121745</v>
      </c>
      <c r="D10" s="59">
        <f aca="true" t="shared" si="0" ref="D10:P10">SUM(D8:D9)</f>
        <v>631541</v>
      </c>
      <c r="E10" s="59">
        <f t="shared" si="0"/>
        <v>319329</v>
      </c>
      <c r="F10" s="59">
        <f t="shared" si="0"/>
        <v>319329</v>
      </c>
      <c r="G10" s="59">
        <f t="shared" si="0"/>
        <v>319329</v>
      </c>
      <c r="H10" s="59">
        <f t="shared" si="0"/>
        <v>346077</v>
      </c>
      <c r="I10" s="59">
        <f t="shared" si="0"/>
        <v>328437</v>
      </c>
      <c r="J10" s="59">
        <f t="shared" si="0"/>
        <v>322127</v>
      </c>
      <c r="K10" s="59">
        <f t="shared" si="0"/>
        <v>322127</v>
      </c>
      <c r="L10" s="59">
        <f t="shared" si="0"/>
        <v>322637</v>
      </c>
      <c r="M10" s="59">
        <f t="shared" si="0"/>
        <v>322637</v>
      </c>
      <c r="N10" s="59">
        <f t="shared" si="0"/>
        <v>283562</v>
      </c>
      <c r="O10" s="114">
        <f t="shared" si="0"/>
        <v>284613</v>
      </c>
      <c r="P10" s="96">
        <f t="shared" si="0"/>
        <v>4121745</v>
      </c>
    </row>
    <row r="11" spans="1:16" s="16" customFormat="1" ht="12.75" customHeight="1">
      <c r="A11" s="63" t="s">
        <v>15</v>
      </c>
      <c r="B11" s="78" t="s">
        <v>36</v>
      </c>
      <c r="C11" s="95">
        <v>6137997</v>
      </c>
      <c r="D11" s="90">
        <f>18676+150253</f>
        <v>168929</v>
      </c>
      <c r="E11" s="15">
        <f>192134+70254</f>
        <v>262388</v>
      </c>
      <c r="F11" s="15">
        <f>990100+70000+102333</f>
        <v>1162433</v>
      </c>
      <c r="G11" s="15">
        <v>673500</v>
      </c>
      <c r="H11" s="15">
        <f>222485+90823</f>
        <v>313308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f>788654+210332</f>
        <v>998986</v>
      </c>
      <c r="N11" s="15">
        <f>229399+221498</f>
        <v>450897</v>
      </c>
      <c r="O11" s="115">
        <v>288602</v>
      </c>
      <c r="P11" s="97">
        <f>SUM(D11:O11)</f>
        <v>6137997</v>
      </c>
    </row>
    <row r="12" spans="1:16" s="16" customFormat="1" ht="12.75" customHeight="1">
      <c r="A12" s="63" t="s">
        <v>17</v>
      </c>
      <c r="B12" s="78" t="s">
        <v>56</v>
      </c>
      <c r="C12" s="95">
        <v>189334</v>
      </c>
      <c r="D12" s="90">
        <f>10300+4745</f>
        <v>15045</v>
      </c>
      <c r="E12" s="15">
        <f>12917+125-2354+4745</f>
        <v>15433</v>
      </c>
      <c r="F12" s="15">
        <f>12917+1250-2354+4745</f>
        <v>16558</v>
      </c>
      <c r="G12" s="15">
        <f>11922+4745</f>
        <v>16667</v>
      </c>
      <c r="H12" s="15">
        <f>12917+1250+300-2541+4745</f>
        <v>16671</v>
      </c>
      <c r="I12" s="15">
        <f>12917+23+4745</f>
        <v>17685</v>
      </c>
      <c r="J12" s="15">
        <f>10531+4745</f>
        <v>15276</v>
      </c>
      <c r="K12" s="15">
        <f>10326+4745</f>
        <v>15071</v>
      </c>
      <c r="L12" s="15">
        <f>10512+4745</f>
        <v>15257</v>
      </c>
      <c r="M12" s="15">
        <f>12917+1250-3211+4745</f>
        <v>15701</v>
      </c>
      <c r="N12" s="15">
        <f>12917+1250-3321+4745</f>
        <v>15591</v>
      </c>
      <c r="O12" s="115">
        <f>12917+36-3322+4748</f>
        <v>14379</v>
      </c>
      <c r="P12" s="97">
        <f>SUM(D12:O12)</f>
        <v>189334</v>
      </c>
    </row>
    <row r="13" spans="1:16" s="16" customFormat="1" ht="12.75" customHeight="1">
      <c r="A13" s="65" t="s">
        <v>25</v>
      </c>
      <c r="B13" s="79" t="s">
        <v>42</v>
      </c>
      <c r="C13" s="97">
        <f>SUM(C11:C12)</f>
        <v>6327331</v>
      </c>
      <c r="D13" s="13">
        <f>SUM(D11:D12)</f>
        <v>183974</v>
      </c>
      <c r="E13" s="13">
        <f aca="true" t="shared" si="1" ref="E13:P13">SUM(E11:E12)</f>
        <v>277821</v>
      </c>
      <c r="F13" s="13">
        <f t="shared" si="1"/>
        <v>1178991</v>
      </c>
      <c r="G13" s="13">
        <f t="shared" si="1"/>
        <v>690167</v>
      </c>
      <c r="H13" s="13">
        <f t="shared" si="1"/>
        <v>329979</v>
      </c>
      <c r="I13" s="13">
        <f t="shared" si="1"/>
        <v>238925</v>
      </c>
      <c r="J13" s="13">
        <f t="shared" si="1"/>
        <v>192160</v>
      </c>
      <c r="K13" s="13">
        <f t="shared" si="1"/>
        <v>225446</v>
      </c>
      <c r="L13" s="13">
        <f t="shared" si="1"/>
        <v>1225712</v>
      </c>
      <c r="M13" s="13">
        <f t="shared" si="1"/>
        <v>1014687</v>
      </c>
      <c r="N13" s="13">
        <f t="shared" si="1"/>
        <v>466488</v>
      </c>
      <c r="O13" s="116">
        <f t="shared" si="1"/>
        <v>302981</v>
      </c>
      <c r="P13" s="97">
        <f t="shared" si="1"/>
        <v>6327331</v>
      </c>
    </row>
    <row r="14" spans="1:16" s="14" customFormat="1" ht="12.75" customHeight="1">
      <c r="A14" s="66" t="s">
        <v>26</v>
      </c>
      <c r="B14" s="80" t="s">
        <v>57</v>
      </c>
      <c r="C14" s="97">
        <v>8986216</v>
      </c>
      <c r="D14" s="37">
        <f>481987+232345</f>
        <v>714332</v>
      </c>
      <c r="E14" s="37">
        <f>481987+125632+232345</f>
        <v>839964</v>
      </c>
      <c r="F14" s="37">
        <f>481987+123411+232345</f>
        <v>837743</v>
      </c>
      <c r="G14" s="37">
        <f>481987+232345</f>
        <v>714332</v>
      </c>
      <c r="H14" s="37">
        <f>481987+1000+54213+232345</f>
        <v>769545</v>
      </c>
      <c r="I14" s="37">
        <f>481987+3000+37539+232345+72025</f>
        <v>826896</v>
      </c>
      <c r="J14" s="37">
        <f>481987+3000+55563+232345+42129</f>
        <v>815024</v>
      </c>
      <c r="K14" s="37">
        <f>481987+3000+44437+232345</f>
        <v>761769</v>
      </c>
      <c r="L14" s="37">
        <f>481987+3000+232345</f>
        <v>717332</v>
      </c>
      <c r="M14" s="37">
        <f>481987+10000+3000+232345</f>
        <v>727332</v>
      </c>
      <c r="N14" s="37">
        <f>481987+10000+3000+130209-150000+232345</f>
        <v>707541</v>
      </c>
      <c r="O14" s="37">
        <f>481986+12026+3000+21126-139546-56541+232355</f>
        <v>554406</v>
      </c>
      <c r="P14" s="97">
        <f>SUM(D14:O14)</f>
        <v>8986216</v>
      </c>
    </row>
    <row r="15" spans="1:16" s="16" customFormat="1" ht="12.75" customHeight="1" thickBot="1">
      <c r="A15" s="65" t="s">
        <v>27</v>
      </c>
      <c r="B15" s="79" t="s">
        <v>45</v>
      </c>
      <c r="C15" s="97">
        <v>482</v>
      </c>
      <c r="D15" s="90"/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5"/>
      <c r="P15" s="97">
        <f>SUM(D15:O15)</f>
        <v>482</v>
      </c>
    </row>
    <row r="16" spans="1:16" s="16" customFormat="1" ht="12.75" customHeight="1" thickBot="1">
      <c r="A16" s="67"/>
      <c r="B16" s="81" t="s">
        <v>48</v>
      </c>
      <c r="C16" s="98">
        <f>SUM(C10+C13+C14+C15)</f>
        <v>19435774</v>
      </c>
      <c r="D16" s="98">
        <f aca="true" t="shared" si="2" ref="D16:P16">SUM(D10+D13+D14+D15)</f>
        <v>1529847</v>
      </c>
      <c r="E16" s="98">
        <f t="shared" si="2"/>
        <v>1437114</v>
      </c>
      <c r="F16" s="98">
        <f t="shared" si="2"/>
        <v>2336063</v>
      </c>
      <c r="G16" s="98">
        <f t="shared" si="2"/>
        <v>1723828</v>
      </c>
      <c r="H16" s="98">
        <f t="shared" si="2"/>
        <v>1445601</v>
      </c>
      <c r="I16" s="98">
        <f t="shared" si="2"/>
        <v>1394740</v>
      </c>
      <c r="J16" s="98">
        <f t="shared" si="2"/>
        <v>1329311</v>
      </c>
      <c r="K16" s="98">
        <f t="shared" si="2"/>
        <v>1309342</v>
      </c>
      <c r="L16" s="98">
        <f t="shared" si="2"/>
        <v>2265681</v>
      </c>
      <c r="M16" s="98">
        <f t="shared" si="2"/>
        <v>2064656</v>
      </c>
      <c r="N16" s="98">
        <f t="shared" si="2"/>
        <v>1457591</v>
      </c>
      <c r="O16" s="98">
        <f t="shared" si="2"/>
        <v>1142000</v>
      </c>
      <c r="P16" s="98">
        <f t="shared" si="2"/>
        <v>19435774</v>
      </c>
    </row>
    <row r="17" spans="1:16" s="16" customFormat="1" ht="12.75" customHeight="1">
      <c r="A17" s="68" t="s">
        <v>28</v>
      </c>
      <c r="B17" s="82" t="s">
        <v>58</v>
      </c>
      <c r="C17" s="99">
        <v>4034830</v>
      </c>
      <c r="D17" s="37"/>
      <c r="E17" s="41"/>
      <c r="F17" s="41">
        <v>1500000</v>
      </c>
      <c r="G17" s="41"/>
      <c r="H17" s="41"/>
      <c r="I17" s="41">
        <f>1558480+676350</f>
        <v>2234830</v>
      </c>
      <c r="J17" s="41"/>
      <c r="K17" s="41"/>
      <c r="L17" s="41">
        <v>300000</v>
      </c>
      <c r="M17" s="41"/>
      <c r="N17" s="161"/>
      <c r="O17" s="162"/>
      <c r="P17" s="97">
        <f>SUM(D17:O17)</f>
        <v>4034830</v>
      </c>
    </row>
    <row r="18" spans="1:16" s="16" customFormat="1" ht="12.75" customHeight="1">
      <c r="A18" s="65" t="s">
        <v>29</v>
      </c>
      <c r="B18" s="79" t="s">
        <v>41</v>
      </c>
      <c r="C18" s="97">
        <v>1368105</v>
      </c>
      <c r="D18" s="59">
        <f>12500+275103</f>
        <v>287603</v>
      </c>
      <c r="E18" s="61">
        <f>123444+125412</f>
        <v>248856</v>
      </c>
      <c r="F18" s="61">
        <f>132222+124321</f>
        <v>256543</v>
      </c>
      <c r="G18" s="61">
        <f>12500+400000-177222+164916</f>
        <v>400194</v>
      </c>
      <c r="H18" s="61">
        <v>174909</v>
      </c>
      <c r="I18" s="61"/>
      <c r="J18" s="61"/>
      <c r="K18" s="61"/>
      <c r="L18" s="61"/>
      <c r="M18" s="61"/>
      <c r="N18" s="61"/>
      <c r="O18" s="118"/>
      <c r="P18" s="97">
        <f>SUM(D18:O18)</f>
        <v>1368105</v>
      </c>
    </row>
    <row r="19" spans="1:16" s="16" customFormat="1" ht="12.75" customHeight="1">
      <c r="A19" s="63" t="s">
        <v>15</v>
      </c>
      <c r="B19" s="78" t="s">
        <v>46</v>
      </c>
      <c r="C19" s="95">
        <v>30369</v>
      </c>
      <c r="D19" s="90">
        <v>2530</v>
      </c>
      <c r="E19" s="90">
        <v>2531</v>
      </c>
      <c r="F19" s="90">
        <v>2531</v>
      </c>
      <c r="G19" s="90">
        <v>2531</v>
      </c>
      <c r="H19" s="90">
        <v>2531</v>
      </c>
      <c r="I19" s="90">
        <v>2531</v>
      </c>
      <c r="J19" s="90">
        <v>2531</v>
      </c>
      <c r="K19" s="90">
        <v>2531</v>
      </c>
      <c r="L19" s="90">
        <v>2531</v>
      </c>
      <c r="M19" s="90">
        <v>2531</v>
      </c>
      <c r="N19" s="90">
        <v>2530</v>
      </c>
      <c r="O19" s="90">
        <v>2530</v>
      </c>
      <c r="P19" s="97">
        <f>SUM(D19:O19)</f>
        <v>30369</v>
      </c>
    </row>
    <row r="20" spans="1:16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80"/>
      <c r="P20" s="97">
        <f>SUM(D20:O20)</f>
        <v>0</v>
      </c>
    </row>
    <row r="21" spans="1:16" s="16" customFormat="1" ht="12.75" customHeight="1" thickBot="1">
      <c r="A21" s="64" t="s">
        <v>30</v>
      </c>
      <c r="B21" s="79" t="s">
        <v>59</v>
      </c>
      <c r="C21" s="97">
        <f>SUM(C19:C20)</f>
        <v>30369</v>
      </c>
      <c r="D21" s="13">
        <f>SUM(D19:D20)</f>
        <v>2530</v>
      </c>
      <c r="E21" s="13">
        <f aca="true" t="shared" si="3" ref="E21:O21">SUM(E19:E20)</f>
        <v>2531</v>
      </c>
      <c r="F21" s="13">
        <f t="shared" si="3"/>
        <v>2531</v>
      </c>
      <c r="G21" s="13">
        <f t="shared" si="3"/>
        <v>2531</v>
      </c>
      <c r="H21" s="13">
        <f t="shared" si="3"/>
        <v>2531</v>
      </c>
      <c r="I21" s="13">
        <f t="shared" si="3"/>
        <v>2531</v>
      </c>
      <c r="J21" s="13">
        <f t="shared" si="3"/>
        <v>2531</v>
      </c>
      <c r="K21" s="13">
        <f t="shared" si="3"/>
        <v>2531</v>
      </c>
      <c r="L21" s="13">
        <f t="shared" si="3"/>
        <v>2531</v>
      </c>
      <c r="M21" s="13">
        <f t="shared" si="3"/>
        <v>2531</v>
      </c>
      <c r="N21" s="13">
        <f t="shared" si="3"/>
        <v>2530</v>
      </c>
      <c r="O21" s="116">
        <f t="shared" si="3"/>
        <v>2530</v>
      </c>
      <c r="P21" s="97">
        <f>SUM(P19:P20)</f>
        <v>30369</v>
      </c>
    </row>
    <row r="22" spans="1:16" s="16" customFormat="1" ht="12.75" customHeight="1" thickBot="1">
      <c r="A22" s="69"/>
      <c r="B22" s="81" t="s">
        <v>49</v>
      </c>
      <c r="C22" s="98">
        <f>SUM(C17+C18+C21)</f>
        <v>5433304</v>
      </c>
      <c r="D22" s="49">
        <f>SUM(D17+D18+D21)</f>
        <v>290133</v>
      </c>
      <c r="E22" s="49">
        <f aca="true" t="shared" si="4" ref="E22:O22">SUM(E17+E18+E21)</f>
        <v>251387</v>
      </c>
      <c r="F22" s="49">
        <f t="shared" si="4"/>
        <v>1759074</v>
      </c>
      <c r="G22" s="49">
        <f t="shared" si="4"/>
        <v>402725</v>
      </c>
      <c r="H22" s="49">
        <f t="shared" si="4"/>
        <v>177440</v>
      </c>
      <c r="I22" s="49">
        <f t="shared" si="4"/>
        <v>2237361</v>
      </c>
      <c r="J22" s="49">
        <f t="shared" si="4"/>
        <v>2531</v>
      </c>
      <c r="K22" s="49">
        <f t="shared" si="4"/>
        <v>2531</v>
      </c>
      <c r="L22" s="49">
        <f t="shared" si="4"/>
        <v>302531</v>
      </c>
      <c r="M22" s="49">
        <f t="shared" si="4"/>
        <v>2531</v>
      </c>
      <c r="N22" s="49">
        <f t="shared" si="4"/>
        <v>2530</v>
      </c>
      <c r="O22" s="49">
        <f t="shared" si="4"/>
        <v>2530</v>
      </c>
      <c r="P22" s="98">
        <f>SUM(P17+P18+P21)</f>
        <v>5433304</v>
      </c>
    </row>
    <row r="23" spans="1:16" s="39" customFormat="1" ht="12.75" customHeight="1" thickBot="1">
      <c r="A23" s="70"/>
      <c r="B23" s="81" t="s">
        <v>60</v>
      </c>
      <c r="C23" s="174">
        <f>SUM(C16,C22)</f>
        <v>24869078</v>
      </c>
      <c r="D23" s="50">
        <f aca="true" t="shared" si="5" ref="D23:P23">SUM(D16,D22)</f>
        <v>1819980</v>
      </c>
      <c r="E23" s="50">
        <f t="shared" si="5"/>
        <v>1688501</v>
      </c>
      <c r="F23" s="50">
        <f t="shared" si="5"/>
        <v>4095137</v>
      </c>
      <c r="G23" s="50">
        <f t="shared" si="5"/>
        <v>2126553</v>
      </c>
      <c r="H23" s="50">
        <f t="shared" si="5"/>
        <v>1623041</v>
      </c>
      <c r="I23" s="50">
        <f t="shared" si="5"/>
        <v>3632101</v>
      </c>
      <c r="J23" s="50">
        <f t="shared" si="5"/>
        <v>1331842</v>
      </c>
      <c r="K23" s="50">
        <f t="shared" si="5"/>
        <v>1311873</v>
      </c>
      <c r="L23" s="50">
        <f t="shared" si="5"/>
        <v>2568212</v>
      </c>
      <c r="M23" s="50">
        <f t="shared" si="5"/>
        <v>2067187</v>
      </c>
      <c r="N23" s="50">
        <f t="shared" si="5"/>
        <v>1460121</v>
      </c>
      <c r="O23" s="117">
        <f t="shared" si="5"/>
        <v>1144530</v>
      </c>
      <c r="P23" s="100">
        <f t="shared" si="5"/>
        <v>24869078</v>
      </c>
    </row>
    <row r="24" spans="1:16" s="39" customFormat="1" ht="12.75" customHeight="1">
      <c r="A24" s="71" t="s">
        <v>15</v>
      </c>
      <c r="B24" s="84" t="s">
        <v>61</v>
      </c>
      <c r="C24" s="175">
        <v>553065</v>
      </c>
      <c r="D24" s="159">
        <v>60000</v>
      </c>
      <c r="E24" s="160">
        <v>40000</v>
      </c>
      <c r="F24" s="160">
        <v>66454</v>
      </c>
      <c r="G24" s="160"/>
      <c r="H24" s="160"/>
      <c r="I24" s="160">
        <v>386611</v>
      </c>
      <c r="J24" s="160"/>
      <c r="K24" s="160"/>
      <c r="L24" s="160"/>
      <c r="M24" s="160"/>
      <c r="N24" s="160"/>
      <c r="O24" s="113"/>
      <c r="P24" s="164">
        <f>SUM(D24:O24)</f>
        <v>553065</v>
      </c>
    </row>
    <row r="25" spans="1:16" s="39" customFormat="1" ht="12.75" customHeight="1">
      <c r="A25" s="73" t="s">
        <v>17</v>
      </c>
      <c r="B25" s="83" t="s">
        <v>62</v>
      </c>
      <c r="C25" s="95">
        <v>5924941</v>
      </c>
      <c r="D25" s="95">
        <v>485292</v>
      </c>
      <c r="E25" s="95">
        <f>485292-1</f>
        <v>485291</v>
      </c>
      <c r="F25" s="95">
        <f>485292-1</f>
        <v>485291</v>
      </c>
      <c r="G25" s="95">
        <f>485292-1</f>
        <v>485291</v>
      </c>
      <c r="H25" s="95">
        <f>485292-1</f>
        <v>485291</v>
      </c>
      <c r="I25" s="95">
        <f>485292-1+14500</f>
        <v>499791</v>
      </c>
      <c r="J25" s="95">
        <f>485292+14500</f>
        <v>499792</v>
      </c>
      <c r="K25" s="95">
        <f>485292+14500</f>
        <v>499792</v>
      </c>
      <c r="L25" s="95">
        <f>485292+14500</f>
        <v>499792</v>
      </c>
      <c r="M25" s="95">
        <f>485292+14500</f>
        <v>499792</v>
      </c>
      <c r="N25" s="95">
        <f>485292+14500</f>
        <v>499792</v>
      </c>
      <c r="O25" s="95">
        <f>485292+14442</f>
        <v>499734</v>
      </c>
      <c r="P25" s="165">
        <f>SUM(D25:O25)</f>
        <v>5924941</v>
      </c>
    </row>
    <row r="26" spans="1:16" s="39" customFormat="1" ht="12.75" customHeight="1">
      <c r="A26" s="73" t="s">
        <v>18</v>
      </c>
      <c r="B26" s="83" t="s">
        <v>95</v>
      </c>
      <c r="C26" s="95"/>
      <c r="D26" s="171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66">
        <f>SUM(D26:O26)</f>
        <v>0</v>
      </c>
    </row>
    <row r="27" spans="1:16" s="39" customFormat="1" ht="12.75" customHeight="1">
      <c r="A27" s="72"/>
      <c r="B27" s="79" t="s">
        <v>63</v>
      </c>
      <c r="C27" s="96">
        <f>SUM(C24:C26)</f>
        <v>6478006</v>
      </c>
      <c r="D27" s="172">
        <f>SUM(D24:D26)</f>
        <v>545292</v>
      </c>
      <c r="E27" s="149">
        <f aca="true" t="shared" si="6" ref="E27:N27">SUM(E24:E26)</f>
        <v>525291</v>
      </c>
      <c r="F27" s="149">
        <f t="shared" si="6"/>
        <v>551745</v>
      </c>
      <c r="G27" s="149">
        <f t="shared" si="6"/>
        <v>485291</v>
      </c>
      <c r="H27" s="149">
        <f t="shared" si="6"/>
        <v>485291</v>
      </c>
      <c r="I27" s="149">
        <f t="shared" si="6"/>
        <v>886402</v>
      </c>
      <c r="J27" s="149">
        <f t="shared" si="6"/>
        <v>499792</v>
      </c>
      <c r="K27" s="149">
        <f t="shared" si="6"/>
        <v>499792</v>
      </c>
      <c r="L27" s="149">
        <f t="shared" si="6"/>
        <v>499792</v>
      </c>
      <c r="M27" s="149">
        <f t="shared" si="6"/>
        <v>499792</v>
      </c>
      <c r="N27" s="149">
        <f t="shared" si="6"/>
        <v>499792</v>
      </c>
      <c r="O27" s="149">
        <f>SUM(O24:O26)</f>
        <v>499734</v>
      </c>
      <c r="P27" s="96">
        <f>SUM(P24:P26)</f>
        <v>6478006</v>
      </c>
    </row>
    <row r="28" spans="1:16" s="39" customFormat="1" ht="12.75" customHeight="1">
      <c r="A28" s="73" t="s">
        <v>15</v>
      </c>
      <c r="B28" s="83" t="s">
        <v>64</v>
      </c>
      <c r="C28" s="96">
        <v>12496572</v>
      </c>
      <c r="D28" s="181">
        <v>1202456</v>
      </c>
      <c r="E28" s="146">
        <v>2465322</v>
      </c>
      <c r="F28" s="146">
        <v>2182623</v>
      </c>
      <c r="G28" s="146">
        <v>1733099</v>
      </c>
      <c r="H28" s="148"/>
      <c r="I28" s="148">
        <v>4913072</v>
      </c>
      <c r="J28" s="148"/>
      <c r="K28" s="148"/>
      <c r="L28" s="148"/>
      <c r="M28" s="148"/>
      <c r="N28" s="148"/>
      <c r="O28" s="149"/>
      <c r="P28" s="96">
        <f>SUM(D28:O28)</f>
        <v>12496572</v>
      </c>
    </row>
    <row r="29" spans="1:16" s="39" customFormat="1" ht="12.75" customHeight="1">
      <c r="A29" s="72" t="s">
        <v>17</v>
      </c>
      <c r="B29" s="85" t="s">
        <v>65</v>
      </c>
      <c r="C29" s="102">
        <v>189366</v>
      </c>
      <c r="D29" s="102">
        <v>15609</v>
      </c>
      <c r="E29" s="102">
        <f>15609+1</f>
        <v>15610</v>
      </c>
      <c r="F29" s="102">
        <f>15609+1</f>
        <v>15610</v>
      </c>
      <c r="G29" s="102">
        <f>15609+1</f>
        <v>15610</v>
      </c>
      <c r="H29" s="102">
        <f>15609+1</f>
        <v>15610</v>
      </c>
      <c r="I29" s="102">
        <f>15609+1+500</f>
        <v>16110</v>
      </c>
      <c r="J29" s="102">
        <f>15609+1+500</f>
        <v>16110</v>
      </c>
      <c r="K29" s="102">
        <f>15609+1+500</f>
        <v>16110</v>
      </c>
      <c r="L29" s="102">
        <f>15609+551</f>
        <v>16160</v>
      </c>
      <c r="M29" s="102">
        <v>15609</v>
      </c>
      <c r="N29" s="102">
        <v>15609</v>
      </c>
      <c r="O29" s="102">
        <v>15609</v>
      </c>
      <c r="P29" s="96">
        <f>SUM(D29:O29)</f>
        <v>189366</v>
      </c>
    </row>
    <row r="30" spans="1:16" s="39" customFormat="1" ht="12.75" customHeight="1">
      <c r="A30" s="74"/>
      <c r="B30" s="139" t="s">
        <v>66</v>
      </c>
      <c r="C30" s="140">
        <f>SUM(C28:C29)</f>
        <v>12685938</v>
      </c>
      <c r="D30" s="173">
        <f>SUM(D28:D29)</f>
        <v>1218065</v>
      </c>
      <c r="E30" s="141">
        <f aca="true" t="shared" si="7" ref="E30:O30">SUM(E28:E29)</f>
        <v>2480932</v>
      </c>
      <c r="F30" s="141">
        <f t="shared" si="7"/>
        <v>2198233</v>
      </c>
      <c r="G30" s="141">
        <f t="shared" si="7"/>
        <v>1748709</v>
      </c>
      <c r="H30" s="141">
        <f t="shared" si="7"/>
        <v>15610</v>
      </c>
      <c r="I30" s="141">
        <f t="shared" si="7"/>
        <v>4929182</v>
      </c>
      <c r="J30" s="141">
        <f t="shared" si="7"/>
        <v>16110</v>
      </c>
      <c r="K30" s="141">
        <f t="shared" si="7"/>
        <v>16110</v>
      </c>
      <c r="L30" s="141">
        <f t="shared" si="7"/>
        <v>16160</v>
      </c>
      <c r="M30" s="141">
        <f t="shared" si="7"/>
        <v>15609</v>
      </c>
      <c r="N30" s="141">
        <f t="shared" si="7"/>
        <v>15609</v>
      </c>
      <c r="O30" s="153">
        <f t="shared" si="7"/>
        <v>15609</v>
      </c>
      <c r="P30" s="140">
        <f>SUM(P28:P29)</f>
        <v>12685938</v>
      </c>
    </row>
    <row r="31" spans="1:16" s="39" customFormat="1" ht="12.75" customHeight="1" thickBot="1">
      <c r="A31" s="74">
        <v>1</v>
      </c>
      <c r="B31" s="169" t="s">
        <v>97</v>
      </c>
      <c r="C31" s="140">
        <v>0</v>
      </c>
      <c r="D31" s="176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0">
        <f>SUM(D31:O31)</f>
        <v>0</v>
      </c>
    </row>
    <row r="32" spans="1:16" s="39" customFormat="1" ht="12.75" customHeight="1" thickBot="1">
      <c r="A32" s="74">
        <v>2</v>
      </c>
      <c r="B32" s="168" t="s">
        <v>98</v>
      </c>
      <c r="C32" s="103">
        <f>2460000+6000000</f>
        <v>8460000</v>
      </c>
      <c r="D32" s="178">
        <v>2460000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03">
        <v>6000000</v>
      </c>
      <c r="P32" s="165">
        <f>SUM(D32:O32)</f>
        <v>8460000</v>
      </c>
    </row>
    <row r="33" spans="1:16" s="39" customFormat="1" ht="12.75" customHeight="1" thickBot="1">
      <c r="A33" s="143"/>
      <c r="B33" s="137" t="s">
        <v>91</v>
      </c>
      <c r="C33" s="138">
        <f>+C27+C30+C31+C32</f>
        <v>27623944</v>
      </c>
      <c r="D33" s="138">
        <f aca="true" t="shared" si="8" ref="D33:O33">+D27+D30+D31+D32</f>
        <v>4223357</v>
      </c>
      <c r="E33" s="138">
        <f t="shared" si="8"/>
        <v>3006223</v>
      </c>
      <c r="F33" s="138">
        <f t="shared" si="8"/>
        <v>2749978</v>
      </c>
      <c r="G33" s="138">
        <f t="shared" si="8"/>
        <v>2234000</v>
      </c>
      <c r="H33" s="138">
        <f t="shared" si="8"/>
        <v>500901</v>
      </c>
      <c r="I33" s="138">
        <f t="shared" si="8"/>
        <v>5815584</v>
      </c>
      <c r="J33" s="138">
        <f t="shared" si="8"/>
        <v>515902</v>
      </c>
      <c r="K33" s="138">
        <f t="shared" si="8"/>
        <v>515902</v>
      </c>
      <c r="L33" s="138">
        <f t="shared" si="8"/>
        <v>515952</v>
      </c>
      <c r="M33" s="138">
        <f t="shared" si="8"/>
        <v>515401</v>
      </c>
      <c r="N33" s="138">
        <f t="shared" si="8"/>
        <v>515401</v>
      </c>
      <c r="O33" s="138">
        <f t="shared" si="8"/>
        <v>6515343</v>
      </c>
      <c r="P33" s="138">
        <f>+P27+P30+P31+P32</f>
        <v>27623944</v>
      </c>
    </row>
    <row r="34" spans="1:16" s="39" customFormat="1" ht="12.75" customHeight="1" thickBot="1">
      <c r="A34" s="60"/>
      <c r="B34" s="86" t="s">
        <v>37</v>
      </c>
      <c r="C34" s="103">
        <f>SUM(C23,C27,C30)+C31+C32</f>
        <v>52493022</v>
      </c>
      <c r="D34" s="103">
        <f aca="true" t="shared" si="9" ref="D34:P34">SUM(D23,D27,D30)+D31+D32</f>
        <v>6043337</v>
      </c>
      <c r="E34" s="103">
        <f t="shared" si="9"/>
        <v>4694724</v>
      </c>
      <c r="F34" s="103">
        <f t="shared" si="9"/>
        <v>6845115</v>
      </c>
      <c r="G34" s="103">
        <f t="shared" si="9"/>
        <v>4360553</v>
      </c>
      <c r="H34" s="103">
        <f t="shared" si="9"/>
        <v>2123942</v>
      </c>
      <c r="I34" s="103">
        <f t="shared" si="9"/>
        <v>9447685</v>
      </c>
      <c r="J34" s="103">
        <f t="shared" si="9"/>
        <v>1847744</v>
      </c>
      <c r="K34" s="103">
        <f t="shared" si="9"/>
        <v>1827775</v>
      </c>
      <c r="L34" s="103">
        <f t="shared" si="9"/>
        <v>3084164</v>
      </c>
      <c r="M34" s="103">
        <f t="shared" si="9"/>
        <v>2582588</v>
      </c>
      <c r="N34" s="103">
        <f t="shared" si="9"/>
        <v>1975522</v>
      </c>
      <c r="O34" s="103">
        <f t="shared" si="9"/>
        <v>7659873</v>
      </c>
      <c r="P34" s="103">
        <f t="shared" si="9"/>
        <v>52493022</v>
      </c>
    </row>
    <row r="35" spans="1:16" s="16" customFormat="1" ht="11.25" customHeight="1">
      <c r="A35" s="75"/>
      <c r="B35" s="87" t="s">
        <v>50</v>
      </c>
      <c r="C35" s="154">
        <f>-C25</f>
        <v>-5924941</v>
      </c>
      <c r="D35" s="155">
        <f>-SUM(D25)</f>
        <v>-485292</v>
      </c>
      <c r="E35" s="156">
        <f aca="true" t="shared" si="10" ref="E35:O35">-SUM(E25)</f>
        <v>-485291</v>
      </c>
      <c r="F35" s="156">
        <f t="shared" si="10"/>
        <v>-485291</v>
      </c>
      <c r="G35" s="156">
        <f t="shared" si="10"/>
        <v>-485291</v>
      </c>
      <c r="H35" s="156">
        <f t="shared" si="10"/>
        <v>-485291</v>
      </c>
      <c r="I35" s="156">
        <f t="shared" si="10"/>
        <v>-499791</v>
      </c>
      <c r="J35" s="156">
        <f t="shared" si="10"/>
        <v>-499792</v>
      </c>
      <c r="K35" s="156">
        <f t="shared" si="10"/>
        <v>-499792</v>
      </c>
      <c r="L35" s="156">
        <f t="shared" si="10"/>
        <v>-499792</v>
      </c>
      <c r="M35" s="156">
        <f t="shared" si="10"/>
        <v>-499792</v>
      </c>
      <c r="N35" s="156">
        <f t="shared" si="10"/>
        <v>-499792</v>
      </c>
      <c r="O35" s="157">
        <f t="shared" si="10"/>
        <v>-499734</v>
      </c>
      <c r="P35" s="110">
        <f>SUM(D35:O35)</f>
        <v>-5924941</v>
      </c>
    </row>
    <row r="36" spans="1:16" s="16" customFormat="1" ht="12.75" customHeight="1">
      <c r="A36" s="76"/>
      <c r="B36" s="88" t="s">
        <v>51</v>
      </c>
      <c r="C36" s="158">
        <f>-C29</f>
        <v>-189366</v>
      </c>
      <c r="D36" s="150">
        <f aca="true" t="shared" si="11" ref="D36:O36">-SUM(D29)</f>
        <v>-15609</v>
      </c>
      <c r="E36" s="151">
        <f t="shared" si="11"/>
        <v>-15610</v>
      </c>
      <c r="F36" s="151">
        <f t="shared" si="11"/>
        <v>-15610</v>
      </c>
      <c r="G36" s="151">
        <f t="shared" si="11"/>
        <v>-15610</v>
      </c>
      <c r="H36" s="151">
        <f t="shared" si="11"/>
        <v>-15610</v>
      </c>
      <c r="I36" s="151">
        <f t="shared" si="11"/>
        <v>-16110</v>
      </c>
      <c r="J36" s="151">
        <f t="shared" si="11"/>
        <v>-16110</v>
      </c>
      <c r="K36" s="151">
        <f t="shared" si="11"/>
        <v>-16110</v>
      </c>
      <c r="L36" s="151">
        <f t="shared" si="11"/>
        <v>-16160</v>
      </c>
      <c r="M36" s="151">
        <f t="shared" si="11"/>
        <v>-15609</v>
      </c>
      <c r="N36" s="151">
        <f>-SUM(N29)</f>
        <v>-15609</v>
      </c>
      <c r="O36" s="152">
        <f t="shared" si="11"/>
        <v>-15609</v>
      </c>
      <c r="P36" s="55">
        <f>SUM(D36:O36)</f>
        <v>-189366</v>
      </c>
    </row>
    <row r="37" spans="1:16" s="16" customFormat="1" ht="15" customHeight="1" thickBot="1">
      <c r="A37" s="57"/>
      <c r="B37" s="89" t="s">
        <v>54</v>
      </c>
      <c r="C37" s="140">
        <v>-670000</v>
      </c>
      <c r="D37" s="142">
        <f>$C$37/12</f>
        <v>-55833.333333333336</v>
      </c>
      <c r="E37" s="142">
        <f aca="true" t="shared" si="12" ref="E37:O37">$C$37/12</f>
        <v>-55833.333333333336</v>
      </c>
      <c r="F37" s="142">
        <f t="shared" si="12"/>
        <v>-55833.333333333336</v>
      </c>
      <c r="G37" s="142">
        <f t="shared" si="12"/>
        <v>-55833.333333333336</v>
      </c>
      <c r="H37" s="142">
        <f t="shared" si="12"/>
        <v>-55833.333333333336</v>
      </c>
      <c r="I37" s="142">
        <f t="shared" si="12"/>
        <v>-55833.333333333336</v>
      </c>
      <c r="J37" s="142">
        <f t="shared" si="12"/>
        <v>-55833.333333333336</v>
      </c>
      <c r="K37" s="142">
        <f t="shared" si="12"/>
        <v>-55833.333333333336</v>
      </c>
      <c r="L37" s="142">
        <f t="shared" si="12"/>
        <v>-55833.333333333336</v>
      </c>
      <c r="M37" s="142">
        <f t="shared" si="12"/>
        <v>-55833.333333333336</v>
      </c>
      <c r="N37" s="142">
        <f t="shared" si="12"/>
        <v>-55833.333333333336</v>
      </c>
      <c r="O37" s="142">
        <f t="shared" si="12"/>
        <v>-55833.333333333336</v>
      </c>
      <c r="P37" s="55">
        <f>SUM(D37:O37)</f>
        <v>-670000</v>
      </c>
    </row>
    <row r="38" spans="1:16" s="16" customFormat="1" ht="10.5" customHeight="1" thickBot="1">
      <c r="A38" s="204" t="s">
        <v>37</v>
      </c>
      <c r="B38" s="205"/>
      <c r="C38" s="104">
        <f>SUM(C34:C37)</f>
        <v>45708715</v>
      </c>
      <c r="D38" s="58">
        <f>SUM(D34:D37)</f>
        <v>5486602.666666667</v>
      </c>
      <c r="E38" s="58">
        <f aca="true" t="shared" si="13" ref="E38:O38">SUM(E34:E37)</f>
        <v>4137989.6666666665</v>
      </c>
      <c r="F38" s="58">
        <f t="shared" si="13"/>
        <v>6288380.666666667</v>
      </c>
      <c r="G38" s="58">
        <f t="shared" si="13"/>
        <v>3803818.6666666665</v>
      </c>
      <c r="H38" s="58">
        <f t="shared" si="13"/>
        <v>1567207.6666666667</v>
      </c>
      <c r="I38" s="58">
        <f t="shared" si="13"/>
        <v>8875950.666666666</v>
      </c>
      <c r="J38" s="58">
        <f t="shared" si="13"/>
        <v>1276008.6666666667</v>
      </c>
      <c r="K38" s="58">
        <f t="shared" si="13"/>
        <v>1256039.6666666667</v>
      </c>
      <c r="L38" s="58">
        <f t="shared" si="13"/>
        <v>2512378.6666666665</v>
      </c>
      <c r="M38" s="58">
        <f t="shared" si="13"/>
        <v>2011353.6666666667</v>
      </c>
      <c r="N38" s="58">
        <f t="shared" si="13"/>
        <v>1404287.6666666667</v>
      </c>
      <c r="O38" s="58">
        <f t="shared" si="13"/>
        <v>7088696.666666667</v>
      </c>
      <c r="P38" s="104">
        <f>SUM(P34:P37)</f>
        <v>45708715</v>
      </c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2019-06-20T13:30:31Z</cp:lastPrinted>
  <dcterms:created xsi:type="dcterms:W3CDTF">2009-02-16T12:26:31Z</dcterms:created>
  <dcterms:modified xsi:type="dcterms:W3CDTF">2019-06-20T14:47:11Z</dcterms:modified>
  <cp:category/>
  <cp:version/>
  <cp:contentType/>
  <cp:contentStatus/>
</cp:coreProperties>
</file>