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876" activeTab="1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adó" sheetId="21" r:id="rId21"/>
    <sheet name="pályázat" sheetId="22" r:id="rId22"/>
    <sheet name="i.b" sheetId="23" r:id="rId23"/>
    <sheet name="I . k" sheetId="24" r:id="rId24"/>
    <sheet name="normatíva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'1'!$A:$B,'1'!$1:$4</definedName>
    <definedName name="_xlnm.Print_Titles" localSheetId="1">'2'!$A:$B,'2'!$1:$4</definedName>
    <definedName name="_xlnm.Print_Titles" localSheetId="19">'20'!$A:$B</definedName>
    <definedName name="_xlnm.Print_Titles" localSheetId="3">'4'!$1:$8</definedName>
    <definedName name="_xlnm.Print_Titles" localSheetId="4">'5'!$1:$7</definedName>
    <definedName name="_xlnm.Print_Area" localSheetId="0">'1'!$A$1:$AR$17</definedName>
    <definedName name="_xlnm.Print_Area" localSheetId="12">'13'!$A$1:$F$49</definedName>
    <definedName name="_xlnm.Print_Area" localSheetId="15">'16'!$A$1:$E$23</definedName>
    <definedName name="_xlnm.Print_Area" localSheetId="16">'17'!$A$1:$G$35</definedName>
    <definedName name="_xlnm.Print_Area" localSheetId="17">'18'!$A$1:$C$27</definedName>
    <definedName name="_xlnm.Print_Area" localSheetId="18">'19'!$A$1:$D$26</definedName>
    <definedName name="_xlnm.Print_Area" localSheetId="1">'2'!$A$1:$AR$17</definedName>
    <definedName name="_xlnm.Print_Area" localSheetId="19">'20'!$A$1:$Z$18</definedName>
    <definedName name="_xlnm.Print_Area" localSheetId="2">'3'!$A$1:$E$34</definedName>
    <definedName name="_xlnm.Print_Area" localSheetId="3">'4'!$A$1:$K$83</definedName>
    <definedName name="_xlnm.Print_Area" localSheetId="4">'5'!$A$1:$G$61</definedName>
    <definedName name="_xlnm.Print_Area" localSheetId="5">'6'!$A$1:$O$19</definedName>
    <definedName name="_xlnm.Print_Area" localSheetId="7">'8'!$A$1:$E$33</definedName>
  </definedNames>
  <calcPr fullCalcOnLoad="1"/>
</workbook>
</file>

<file path=xl/sharedStrings.xml><?xml version="1.0" encoding="utf-8"?>
<sst xmlns="http://schemas.openxmlformats.org/spreadsheetml/2006/main" count="2110" uniqueCount="878">
  <si>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</si>
  <si>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</si>
  <si>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</si>
  <si>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</si>
  <si>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</si>
  <si>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</si>
  <si>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</si>
  <si>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</si>
  <si>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</si>
  <si>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</si>
  <si>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</si>
  <si>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</si>
  <si>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</si>
  <si>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</si>
  <si>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</si>
  <si>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</si>
  <si>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</si>
  <si>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</si>
  <si>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</si>
  <si>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</si>
  <si>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</si>
  <si>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</si>
  <si>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</si>
  <si>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</si>
  <si>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</si>
  <si>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</si>
  <si>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</si>
  <si>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</si>
  <si>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</si>
  <si>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</si>
  <si>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</si>
  <si>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</si>
  <si>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</si>
  <si>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</si>
  <si>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</si>
  <si>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</si>
  <si>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</si>
  <si>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</si>
  <si>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</si>
  <si>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</si>
  <si>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</si>
  <si>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</si>
  <si>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</si>
  <si>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</si>
  <si>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</si>
  <si>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</si>
  <si>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</si>
  <si>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</si>
  <si>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</si>
  <si>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</si>
  <si>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</si>
  <si>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</si>
  <si>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</si>
  <si>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</si>
  <si>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</si>
  <si>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</si>
  <si>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</si>
  <si>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</si>
  <si>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</si>
  <si>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</si>
  <si>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</si>
  <si>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</si>
  <si>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</si>
  <si>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</si>
  <si>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</si>
  <si>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</si>
  <si>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</si>
  <si>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</si>
  <si>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</si>
  <si>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</si>
  <si>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</si>
  <si>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</si>
  <si>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</si>
  <si>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</si>
  <si>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</si>
  <si>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</si>
  <si>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</si>
  <si>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</si>
  <si>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28.</t>
  </si>
  <si>
    <t>29.</t>
  </si>
  <si>
    <t>30.</t>
  </si>
  <si>
    <t>G</t>
  </si>
  <si>
    <t>feladatonkénti bontásban</t>
  </si>
  <si>
    <t>II.</t>
  </si>
  <si>
    <t>III.</t>
  </si>
  <si>
    <t>"Krízisalap"-ból nyújtott kölcsönök</t>
  </si>
  <si>
    <t>31.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</si>
  <si>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</si>
  <si>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</si>
  <si>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</si>
  <si>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</si>
  <si>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</si>
  <si>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</si>
  <si>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Eredeti  terv</t>
  </si>
  <si>
    <t>L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</si>
  <si>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</si>
  <si>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</si>
  <si>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</si>
  <si>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</si>
  <si>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</si>
  <si>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</si>
  <si>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</si>
  <si>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</si>
  <si>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</si>
  <si>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</si>
  <si>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</si>
  <si>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</si>
  <si>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</si>
  <si>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</si>
  <si>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</t>
  </si>
  <si>
    <t xml:space="preserve">Egyéb felhalmozási célú kiadások </t>
  </si>
  <si>
    <t>33.</t>
  </si>
  <si>
    <t>36.</t>
  </si>
  <si>
    <t>37.</t>
  </si>
  <si>
    <t>38.</t>
  </si>
  <si>
    <t>39.</t>
  </si>
  <si>
    <t>41.</t>
  </si>
  <si>
    <t>Működési  tartalékok összesen</t>
  </si>
  <si>
    <t>Fejlesztési céltartalék összesen:( 1+…5)</t>
  </si>
  <si>
    <t>Államigazgatási</t>
  </si>
  <si>
    <t>Kötelező</t>
  </si>
  <si>
    <t>Önként vállalt</t>
  </si>
  <si>
    <t xml:space="preserve">Mindösszesen </t>
  </si>
  <si>
    <t>Idegenforgalmi adó</t>
  </si>
  <si>
    <t>Egyéb működési célú kiadások</t>
  </si>
  <si>
    <t>Jogcím</t>
  </si>
  <si>
    <t>Állami támogatás</t>
  </si>
  <si>
    <t>Eredeti előirányzat</t>
  </si>
  <si>
    <t xml:space="preserve">Létszámkeret </t>
  </si>
  <si>
    <t>Működési bevételek összesen</t>
  </si>
  <si>
    <t>Építményadó</t>
  </si>
  <si>
    <t>Átmeneti segély kölcsön</t>
  </si>
  <si>
    <t>Temetési segély kölcsön</t>
  </si>
  <si>
    <t>Otthoni szakápolás</t>
  </si>
  <si>
    <t>Kommunális adó támogatás</t>
  </si>
  <si>
    <t>Gyógyászati Központ és Gyógyfürdő</t>
  </si>
  <si>
    <t xml:space="preserve"> </t>
  </si>
  <si>
    <t>Finanszírozási kiadások</t>
  </si>
  <si>
    <t>Előző évtől áthúzódó feladatok:</t>
  </si>
  <si>
    <t>Új rendezési terv I. ütem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</si>
  <si>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</si>
  <si>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</si>
  <si>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</si>
  <si>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</si>
  <si>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</si>
  <si>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Gyermekmedence kialakítása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</si>
  <si>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</si>
  <si>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</si>
  <si>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</si>
  <si>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</si>
  <si>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</si>
  <si>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 xml:space="preserve"> Közművesítési támogatás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</si>
  <si>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</si>
  <si>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</si>
  <si>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</si>
  <si>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</si>
  <si>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</si>
  <si>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</si>
  <si>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</si>
  <si>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</si>
  <si>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</si>
  <si>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</si>
  <si>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Malomassszonykert járda építés</t>
  </si>
  <si>
    <t>Városi utak aszfaltozása</t>
  </si>
  <si>
    <t>gyalogátkelőhelyek kialakítása</t>
  </si>
  <si>
    <t>közvilágítás hálózat bővítés</t>
  </si>
  <si>
    <t>PH külső nyílászáró javíáts</t>
  </si>
  <si>
    <t>Petőfi u. 4. felújítás I. ütem</t>
  </si>
  <si>
    <t xml:space="preserve">Téli díszkivilágítás </t>
  </si>
  <si>
    <t xml:space="preserve">4. </t>
  </si>
  <si>
    <t>Békési Férfi Kéziladba Kft TAO pályázat önerő</t>
  </si>
  <si>
    <t>Ft</t>
  </si>
  <si>
    <t>Felhalmozási bevételek összesen</t>
  </si>
  <si>
    <t>Békési Gyógyászati Központ és Gyógyfürdő</t>
  </si>
  <si>
    <t>Pénzeszközátadások és egyéb támogatások</t>
  </si>
  <si>
    <t>Egyéb felhalmozási célú kiadások+ fizetett kamatok</t>
  </si>
  <si>
    <t xml:space="preserve">Beruházások, felújítások összesen (I.+II.) </t>
  </si>
  <si>
    <t>közművelődési feladatok</t>
  </si>
  <si>
    <t>ifjúsági feladatok</t>
  </si>
  <si>
    <t>ASP pályázat tartalék</t>
  </si>
  <si>
    <t>VP6-7.2.1. külterületi közutak pályázat önerő</t>
  </si>
  <si>
    <t>Az Önkormányzat feladatai bevételek</t>
  </si>
  <si>
    <t>Az Önkormányzat feladatai kiadások</t>
  </si>
  <si>
    <t>Maradvány igénybevétele (felhalmozási célra)</t>
  </si>
  <si>
    <t>Működési költségvetés 2019.</t>
  </si>
  <si>
    <t>Felhalmozási költségvetés 2019.</t>
  </si>
  <si>
    <t>városháza villamos hálózat felújítás I. ütem</t>
  </si>
  <si>
    <t>Rákóczi u. 16. akadálymentesítés</t>
  </si>
  <si>
    <t>Széchenyi tér 6. homlokzat felújítás</t>
  </si>
  <si>
    <t>lombzsák</t>
  </si>
  <si>
    <t>Fúró utcai gyaloghíd (vasalás bevédés)</t>
  </si>
  <si>
    <t>járda építés</t>
  </si>
  <si>
    <t>városi utak aszfaltozása</t>
  </si>
  <si>
    <t>új rendezési terv I. ütem</t>
  </si>
  <si>
    <t>helyi érték védelmi alap</t>
  </si>
  <si>
    <t xml:space="preserve">téli díszkivilágítás </t>
  </si>
  <si>
    <t>mérleg (Gyep mesteri telep)</t>
  </si>
  <si>
    <t>motor</t>
  </si>
  <si>
    <t>oktatási, közművelődési, ifjúsági feladatok</t>
  </si>
  <si>
    <t>lakosságnak nyújtott kamatmentes kölcsönök</t>
  </si>
  <si>
    <t>vállalkozóknak nyújtott kölcsönök</t>
  </si>
  <si>
    <t>fejlesztési hitel kamat</t>
  </si>
  <si>
    <t>2018 évi állami normatíva visszafizetésére</t>
  </si>
  <si>
    <t>adatok Ft-ban</t>
  </si>
  <si>
    <t>32.</t>
  </si>
  <si>
    <t>34.</t>
  </si>
  <si>
    <t>TOP 5.2.1-15-BS1-2016-00002 Együtt az intergációért</t>
  </si>
  <si>
    <t>EFOP-1.5.3-16-2017-00097 Településeinkért</t>
  </si>
  <si>
    <t>ZP-12017/2573 zártkerti földrészletek mg.hasznosítását segítő infr.hátterét biztosító fejlesztések</t>
  </si>
  <si>
    <t>166/2018 TSZ, Népi Építészeti Program Durkó u. 8 felújítás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</si>
  <si>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</si>
  <si>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</si>
  <si>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</si>
  <si>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</si>
  <si>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</si>
  <si>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</si>
  <si>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</si>
  <si>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TOP-1.4.1-16-BS1-2017-00012 Korona u.tornaszoba kialakítása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</si>
  <si>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</si>
  <si>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</si>
  <si>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</si>
  <si>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</si>
  <si>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</si>
  <si>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</si>
  <si>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</si>
  <si>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</si>
  <si>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166/2018 TSZ, Népi Építészeti Program Durkó u. 8 felújítás</t>
  </si>
  <si>
    <t>Önerő / Verseny u. útburkolat</t>
  </si>
  <si>
    <t>Önerő / HURO</t>
  </si>
  <si>
    <t>Önerő  /napelem</t>
  </si>
  <si>
    <t>Békési Kistérségi Társulás (várható pályázati önerő)</t>
  </si>
  <si>
    <t>35.</t>
  </si>
  <si>
    <t>40.</t>
  </si>
  <si>
    <t>42.</t>
  </si>
  <si>
    <t>Mindösszesen:</t>
  </si>
  <si>
    <t xml:space="preserve">Békés város Önkormányzata 2019 évi  feladatainak minősítése az Áht. 23.§ (2) bekezdés ab) pontja alapján </t>
  </si>
  <si>
    <t>Középiskolai ösztöndíj</t>
  </si>
  <si>
    <t>43.</t>
  </si>
  <si>
    <t>44.</t>
  </si>
  <si>
    <t>45.</t>
  </si>
  <si>
    <t>46.</t>
  </si>
  <si>
    <t>47.</t>
  </si>
  <si>
    <t>48.</t>
  </si>
  <si>
    <t>49.</t>
  </si>
  <si>
    <t>50.</t>
  </si>
  <si>
    <t>BKSZ Plusz kölcsön</t>
  </si>
  <si>
    <t>BKSZ KFT - tőkeleszállítás</t>
  </si>
  <si>
    <t>2019. évben tervezett feladatok:</t>
  </si>
  <si>
    <t>B.)</t>
  </si>
  <si>
    <t>K63-00 informatikai eszközök beszerzése</t>
  </si>
  <si>
    <t>K64-00 egyéb tárgyi eszköz beszerzésé</t>
  </si>
  <si>
    <t>K67-00 Áfa</t>
  </si>
  <si>
    <t>Janytyik Mátyás Múzeum</t>
  </si>
  <si>
    <t>Püski Sándor Könyvtár összesen:</t>
  </si>
  <si>
    <t>Önkormányzat összesen:</t>
  </si>
  <si>
    <t>Költségvetésben nem tervezett felhalmozási kiadások összesen:</t>
  </si>
  <si>
    <t>51.</t>
  </si>
  <si>
    <t>52.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</si>
  <si>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</si>
  <si>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</si>
  <si>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</si>
  <si>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</si>
  <si>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</si>
  <si>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</si>
  <si>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</si>
  <si>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</si>
  <si>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</si>
  <si>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</si>
  <si>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</si>
  <si>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</si>
  <si>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</si>
  <si>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</si>
  <si>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Nem saját forrásból megvalósuló beruházások</t>
  </si>
  <si>
    <t xml:space="preserve">II. </t>
  </si>
  <si>
    <t>K62-00 ingatlanok beszerzés, létesítése</t>
  </si>
  <si>
    <t>Békési Gyógyászati Központ és Gyógyfürdő összesen:</t>
  </si>
  <si>
    <t>Békés Városi Kecskeméti Gábor Kulturális Központ összesen:</t>
  </si>
  <si>
    <t>Békési Polgármesteri Hivatal összesen:</t>
  </si>
  <si>
    <t xml:space="preserve">Költségvetésben tervezett felhalmozási célú kiadások mindösszesen: </t>
  </si>
  <si>
    <t>A.)</t>
  </si>
  <si>
    <t>a.)</t>
  </si>
  <si>
    <t>b.)</t>
  </si>
  <si>
    <t>Költségvetésben tervezett felhalmozási célú kiadások</t>
  </si>
  <si>
    <t>I. Saját forrásból megvalósuló beruházások, felújítások (a+b)</t>
  </si>
  <si>
    <t>Költségvetésben nem tervezett felhalmozási kiadások</t>
  </si>
  <si>
    <t>-</t>
  </si>
  <si>
    <t>Intézményi működési bevételek (B4)</t>
  </si>
  <si>
    <t>Módosított előriányzat</t>
  </si>
  <si>
    <t>Közhatalmi bevételek (B3)</t>
  </si>
  <si>
    <t>Működési célú átvett pénzeszköz (B16, B6)</t>
  </si>
  <si>
    <t>Finanszírozási bevételek (B8)</t>
  </si>
  <si>
    <t>Maradványigénybevétel</t>
  </si>
  <si>
    <t>Kp-i irányítószervi támogatás</t>
  </si>
  <si>
    <t>Államháztartáson belüli megelőlegezések</t>
  </si>
  <si>
    <t xml:space="preserve">E </t>
  </si>
  <si>
    <t>T</t>
  </si>
  <si>
    <t>Felhalmozási és tőkejellegű bevételek (B5)</t>
  </si>
  <si>
    <t>Személyi juttatások (K1)</t>
  </si>
  <si>
    <t>Munkaadókat terhelő járulékokés szociális hozzájárulási adó (K2)</t>
  </si>
  <si>
    <t>Dologi és egyéb folyó kiadások (K3)</t>
  </si>
  <si>
    <t>Szociális ellátások és egyéb juttatások (K4)</t>
  </si>
  <si>
    <t>Egyéb felhalmozási célú kiadások+ fizetett kamatok (K8)</t>
  </si>
  <si>
    <t>Beruházások, felújítások (K6, K7)</t>
  </si>
  <si>
    <t>Belföldi finanszírozás bevételei (hitel)</t>
  </si>
  <si>
    <t>Finanszírozási kiadások (állami megelőlegezés, folyószámla hitel)</t>
  </si>
  <si>
    <t>Felhalmozási célú átvett pénzeszköz (B2,B7)</t>
  </si>
  <si>
    <t>Hitel és kölcsönfelvétel pü.vállalkozástól (fejlesztési hitel)</t>
  </si>
  <si>
    <t>Ell.</t>
  </si>
  <si>
    <t xml:space="preserve"> Rekrációs támogatás </t>
  </si>
  <si>
    <t>Önkormányzati segély</t>
  </si>
  <si>
    <t>Állami támogatások (B1)</t>
  </si>
  <si>
    <t>Teljesítés %</t>
  </si>
  <si>
    <t>Költségvetési szervek összesen</t>
  </si>
  <si>
    <t>Működés</t>
  </si>
  <si>
    <t>Felhalmozás</t>
  </si>
  <si>
    <t>Államháztartáson belüli megelőlegezések + Likvid hitel</t>
  </si>
  <si>
    <t>Finanszírozási kiadások (K9)</t>
  </si>
  <si>
    <t>Maradványigénybevétel, folyószámla hitel, állami megelőlegezés</t>
  </si>
  <si>
    <t>Eredeti előriányzat</t>
  </si>
  <si>
    <t>K63 Informatikai eszközök beszerzése, létesítése</t>
  </si>
  <si>
    <t>K64 Egyéb tárgyi eszközök beszerzése, létesítése</t>
  </si>
  <si>
    <t>K67 Beruházási célú előzetesen felszámított áfa</t>
  </si>
  <si>
    <t>K64 Egyéb tárgyi eszköz beszerzés, létesítés</t>
  </si>
  <si>
    <t>K71 Ingatlanok felújítása, létesítése</t>
  </si>
  <si>
    <t>K74 Felújítási célú előzetesen felszámított áfa</t>
  </si>
  <si>
    <t>12.000 Ft-ot nem raktam bele.</t>
  </si>
  <si>
    <t>Tűzoltóságnak nyújtott kölcsön</t>
  </si>
  <si>
    <t>Kulturális Illetmény pótlék</t>
  </si>
  <si>
    <t>Autómentesnap pályázat</t>
  </si>
  <si>
    <t>2018 évi pénzmaradvány elszámolás (pályázatok megelőlegezésével csökkentve)</t>
  </si>
  <si>
    <t>Önerő / TOP-3.2.1-15 (KT. 372/2018 IX.06.) Energetika</t>
  </si>
  <si>
    <t>Önerő / TOP-1.1.3-15 (KT. 372/218 IX.06.) Piac</t>
  </si>
  <si>
    <t>intézmény felújítási alap (Petőfi 24. felújítás)</t>
  </si>
  <si>
    <t xml:space="preserve">B </t>
  </si>
  <si>
    <t>Bevétel</t>
  </si>
  <si>
    <t>Intézmények összesen</t>
  </si>
  <si>
    <t>Kiadás</t>
  </si>
  <si>
    <t>2019. évi tartalék előirányzata feladatonkénti bontásban</t>
  </si>
  <si>
    <t>53.</t>
  </si>
  <si>
    <t>54.</t>
  </si>
  <si>
    <t>55.</t>
  </si>
  <si>
    <t>56.</t>
  </si>
  <si>
    <t>57.</t>
  </si>
  <si>
    <t>Kommunális adó</t>
  </si>
  <si>
    <t>Iparűzési adó</t>
  </si>
  <si>
    <t>Gépjárműadó</t>
  </si>
  <si>
    <t>Szabálysértési pénz és helyszíni bírságok</t>
  </si>
  <si>
    <t>Egyéb települési adók</t>
  </si>
  <si>
    <t>Talajterhelési díj</t>
  </si>
  <si>
    <t>Teljesítési</t>
  </si>
  <si>
    <t>%</t>
  </si>
  <si>
    <t>EFOP-1.2.11-16-2017-00046 –Esélyt a fiataloknak</t>
  </si>
  <si>
    <t>EFOP-1.5.3-16-2017-00097 – Településeinkért</t>
  </si>
  <si>
    <t>ROHU</t>
  </si>
  <si>
    <t>VP6-7.2.1-7.4.1.2-16 – Külterületi utak. Birkás,Hangyási dűlő</t>
  </si>
  <si>
    <t>Önk.</t>
  </si>
  <si>
    <t>Önk</t>
  </si>
  <si>
    <t>Megtakarítás összege</t>
  </si>
  <si>
    <t>ok</t>
  </si>
  <si>
    <t xml:space="preserve">12. </t>
  </si>
  <si>
    <t>Belterületi utak, hidak normatív támogatása</t>
  </si>
  <si>
    <t>Rendelőintézet/Inverteles klíma szerelés</t>
  </si>
  <si>
    <t>Kézilabda munkacsarnok villamos energia ellátás kiépítése</t>
  </si>
  <si>
    <t>Malomasszonykerti járda</t>
  </si>
  <si>
    <t>2019. májusi lemondás/MÁK levél alapján</t>
  </si>
  <si>
    <t>ROHU 444 pályázati önerő</t>
  </si>
  <si>
    <t>K72 Informatikai eszközök felújítása</t>
  </si>
  <si>
    <t xml:space="preserve">:) </t>
  </si>
  <si>
    <t>Bev.</t>
  </si>
  <si>
    <t>2018 évi pénzmaradvány elszámolás (pályázatok megelőlegezésével, rendezvények csökkentve)</t>
  </si>
  <si>
    <t>Minimál bér és gar.bérminimum kompenzációja (csökkentve az Óvi, BVSZSZK pót ei, EBR októberi lemondás miatt)</t>
  </si>
  <si>
    <t>K61 Immaterális javak beszerzése, létesítése</t>
  </si>
  <si>
    <t>K61-00 Immaterális javak beszerzés, létesítése</t>
  </si>
  <si>
    <t>Beruházások, felújítások összesen (K6, K7)</t>
  </si>
  <si>
    <t>Egyéb felhalmozási célú kiadások összesen (K8)</t>
  </si>
  <si>
    <t>2019. december 31.</t>
  </si>
  <si>
    <t>1. melléklet a .../2020. (  ) önkormányzati rendelethez</t>
  </si>
  <si>
    <t>72.</t>
  </si>
  <si>
    <t>73.</t>
  </si>
  <si>
    <t>74.</t>
  </si>
  <si>
    <t>75.</t>
  </si>
  <si>
    <t>76.</t>
  </si>
  <si>
    <t xml:space="preserve">A </t>
  </si>
  <si>
    <t>Közfoglalkoztatottak</t>
  </si>
  <si>
    <t>Finanszírozási bevételek (maradvány)</t>
  </si>
  <si>
    <t>Rendelőintézet</t>
  </si>
  <si>
    <t>Gyógyfürdő</t>
  </si>
  <si>
    <t>Uszoda</t>
  </si>
  <si>
    <t>Békési Gyógyászati Központ és Gyógyfürdő ÖSSZESEN</t>
  </si>
  <si>
    <t>Maradvány igénybevétele</t>
  </si>
  <si>
    <t>Teljesítések</t>
  </si>
  <si>
    <t>Múzeum</t>
  </si>
  <si>
    <t>Könyvtár</t>
  </si>
  <si>
    <t>Kultúra</t>
  </si>
  <si>
    <t>Dánfok</t>
  </si>
  <si>
    <t>Sportcsarnok</t>
  </si>
  <si>
    <t>Sportpálya</t>
  </si>
  <si>
    <t>KGKK Összesen</t>
  </si>
  <si>
    <t>Kikötő</t>
  </si>
  <si>
    <t>B4</t>
  </si>
  <si>
    <t>B16, B6</t>
  </si>
  <si>
    <t>B816</t>
  </si>
  <si>
    <t>Bölcsöde, mini bölcsöde</t>
  </si>
  <si>
    <t>Fogyatékos sz….</t>
  </si>
  <si>
    <t>Óvoda</t>
  </si>
  <si>
    <t>Általános iskola</t>
  </si>
  <si>
    <t>Gimnázium</t>
  </si>
  <si>
    <t>Szakközép iskola / szakgimn.</t>
  </si>
  <si>
    <t>Szakiskola</t>
  </si>
  <si>
    <t>Kollégium</t>
  </si>
  <si>
    <t>4.6</t>
  </si>
  <si>
    <t>Int.térítési díj</t>
  </si>
  <si>
    <t>Élelmezés teljes ktg.</t>
  </si>
  <si>
    <t>Egyenleg</t>
  </si>
  <si>
    <t>Megoszlás</t>
  </si>
  <si>
    <t>III.5 ab</t>
  </si>
  <si>
    <t>PH</t>
  </si>
  <si>
    <t>fő</t>
  </si>
  <si>
    <t>Ovi, bölcsi</t>
  </si>
  <si>
    <t>III.5 aa)</t>
  </si>
  <si>
    <t>óvoda</t>
  </si>
  <si>
    <t>III. 5 b)</t>
  </si>
  <si>
    <t>Kgkk</t>
  </si>
  <si>
    <t>BVSZSZK</t>
  </si>
  <si>
    <t>I.</t>
  </si>
  <si>
    <t>Helyi önk.ált.műk.tám</t>
  </si>
  <si>
    <t>Köznevelés</t>
  </si>
  <si>
    <t>Szociális, gyermekjóléti, gy.étkeztetés</t>
  </si>
  <si>
    <t>IV.</t>
  </si>
  <si>
    <t>Könyvtári, közm.múzeumi f.</t>
  </si>
  <si>
    <t>Ktgv.</t>
  </si>
  <si>
    <t>Sz.Kati</t>
  </si>
  <si>
    <t>2019-12</t>
  </si>
  <si>
    <t>T/K</t>
  </si>
  <si>
    <t>Összeg</t>
  </si>
  <si>
    <t>Dátum</t>
  </si>
  <si>
    <t>Megjegyzés</t>
  </si>
  <si>
    <t>Részletező kód</t>
  </si>
  <si>
    <t>2019-01-29</t>
  </si>
  <si>
    <t>Támogatási előleg 1.sz.</t>
  </si>
  <si>
    <t>13000006-Esélyt a fiataloknak EFOP-1.2.11-16</t>
  </si>
  <si>
    <t>2019-04-24</t>
  </si>
  <si>
    <t>Támogatás időközi elszámolás</t>
  </si>
  <si>
    <t>2019-07-09</t>
  </si>
  <si>
    <t>Támogatási előleg</t>
  </si>
  <si>
    <t>2019-12-31</t>
  </si>
  <si>
    <t>2019-12-17</t>
  </si>
  <si>
    <t>Támogatás el nem számolt részének visszautalása TOP-2.1.3-15</t>
  </si>
  <si>
    <t>13000010-Dánfok csapadékvíz TOP-2.1.3-15</t>
  </si>
  <si>
    <t>2019-03-01</t>
  </si>
  <si>
    <t>Támogatás megelőlegezés elszámolás</t>
  </si>
  <si>
    <t>13000026-ROHU 14</t>
  </si>
  <si>
    <t>2019-04-01</t>
  </si>
  <si>
    <t>Megelőlegezés visszautalás</t>
  </si>
  <si>
    <t>2019-07-03</t>
  </si>
  <si>
    <t>Időközi elszámolás - megelőlegezés</t>
  </si>
  <si>
    <t>2019-08-01</t>
  </si>
  <si>
    <t>Támogatás visszautalása ROHU</t>
  </si>
  <si>
    <t>2019-09-05</t>
  </si>
  <si>
    <t>Támogatás ROHU14 EURO</t>
  </si>
  <si>
    <t>2019-09-13</t>
  </si>
  <si>
    <t>Megelőlegezési összeg visszafizetése</t>
  </si>
  <si>
    <t>2019-11-08</t>
  </si>
  <si>
    <t>ROHU 14 Deviza támogatás Időközi elszámolás</t>
  </si>
  <si>
    <t>2019-11-29</t>
  </si>
  <si>
    <t>Időközi elszámolás - Megelőlegezés visszautalása</t>
  </si>
  <si>
    <t>Időközi elszámolás</t>
  </si>
  <si>
    <t>2019-04-26</t>
  </si>
  <si>
    <t>Támogatás - Időközi elszámolás</t>
  </si>
  <si>
    <t>13000027-Településeinkért EFOP-1.5.3-16</t>
  </si>
  <si>
    <t>2019-05-02</t>
  </si>
  <si>
    <t>2019-05-17</t>
  </si>
  <si>
    <t>2019-06-20</t>
  </si>
  <si>
    <t>2019-07-18</t>
  </si>
  <si>
    <t>2019-11-12</t>
  </si>
  <si>
    <t>2019-12-02</t>
  </si>
  <si>
    <t>Támogatás</t>
  </si>
  <si>
    <t>13000028-Birkás,Hangyás dűlő útfelújítása</t>
  </si>
  <si>
    <t>VP-6-7.2.1-7.4.1.2-16</t>
  </si>
  <si>
    <t>29</t>
  </si>
  <si>
    <t>TOP-2.1.3-15 Dánfok csapadékvíz elvezetés visszautalás</t>
  </si>
  <si>
    <t>Pénzeszközátadások és egyéb támogatások (K5)</t>
  </si>
  <si>
    <t>Békés Város Önkormányzata és Intézményei 2019. évi kiemelt bevételi  előirányzatainak teljesítése</t>
  </si>
  <si>
    <t>Békés Város Önkormányzata és Intézményei 2019. évi kiemelt kiadási  előirányzatainak teljesítése</t>
  </si>
  <si>
    <t>Békés Város Önkormányzata és Intézményei 2019. évi kiemelt kiadási  előirányzatanak teljesítése</t>
  </si>
  <si>
    <t xml:space="preserve">Békés Város Önkormányzata és intézményei  2019. évi költségvetési mérlege </t>
  </si>
  <si>
    <t>beszámoló</t>
  </si>
  <si>
    <t>pf 12</t>
  </si>
  <si>
    <t>2019. éves felhalmozási kiadások összesen: (A+B)</t>
  </si>
  <si>
    <t>2019. évi felhalmozási előirányzatai és teljesítése</t>
  </si>
  <si>
    <t>Békés Város Önkormányzata és intézményei 2019. évi jóváhagyott és teljesített létszámkerete</t>
  </si>
  <si>
    <t>ezer Ft-ban</t>
  </si>
  <si>
    <t>Támogatás kedvezményezettje (csoportonként)</t>
  </si>
  <si>
    <t>Adóalapkedv. utáni adókedv.</t>
  </si>
  <si>
    <t>Adókedvezmény</t>
  </si>
  <si>
    <t>Jogcíme (jellege)</t>
  </si>
  <si>
    <t>Összege</t>
  </si>
  <si>
    <t>Magánszemélyek kommunális adója</t>
  </si>
  <si>
    <t>70. életévet betöltöttek</t>
  </si>
  <si>
    <t>Katasztrófa védelem</t>
  </si>
  <si>
    <t>Helyi iparűzési adó</t>
  </si>
  <si>
    <t>15.§ (1) 1 millió forint alatti adóalap</t>
  </si>
  <si>
    <t>15. § (2)  orvosok 20 millió adóalap alatt</t>
  </si>
  <si>
    <t>Garázs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</si>
  <si>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</si>
  <si>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</si>
  <si>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</si>
  <si>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</si>
  <si>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</si>
  <si>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</si>
  <si>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</si>
  <si>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Békés Város Önkormányzata 2019 évi közvetett támogatásai</t>
  </si>
  <si>
    <t>7. melléklet az .../2020. (…..) önkormányzati rendelethez</t>
  </si>
  <si>
    <t>Békés város Önkormányzata 2019. évi szociális pénzeszközeinek felhasználása</t>
  </si>
  <si>
    <t>Ft-ban</t>
  </si>
  <si>
    <t>Költségvetési törvény alapján járó támogatás</t>
  </si>
  <si>
    <t>Támogatás évközi változása (május 15.)</t>
  </si>
  <si>
    <t>Támogatás évközi változása (október 1.)</t>
  </si>
  <si>
    <t>Tényleges támogatás</t>
  </si>
  <si>
    <t>Évvégi eltérés, mutatószám szerinti támogatás</t>
  </si>
  <si>
    <t>Az önkormányzat által az adott célra  12.31-ig ténylegesen  felhasznált összeg</t>
  </si>
  <si>
    <t>A települési önkormányzatok működésének támogatása</t>
  </si>
  <si>
    <t>A települési önkormányzatok egyes közenevelési feladatainak támogatása</t>
  </si>
  <si>
    <t>Egyes szociális és gyermekjóléti feladatok támogatása és kiegészítő támogatás a bölcsődében foglalkoztatott, felsőfokú végzettségű kisgyermeknevelők béréhez</t>
  </si>
  <si>
    <t>Intézményi gyermekétkeztetés támogatása</t>
  </si>
  <si>
    <t>Rászoruló gyermekek szünidei étkezetetése</t>
  </si>
  <si>
    <t>Kulturális feladatok támogatása</t>
  </si>
  <si>
    <t>Békés Város Önkormányzata pénzeszközei változásának bemutatása</t>
  </si>
  <si>
    <t xml:space="preserve">H </t>
  </si>
  <si>
    <t>Gyógyászat</t>
  </si>
  <si>
    <t>KG Kulturális Központ</t>
  </si>
  <si>
    <t>Költségvetési bevételek</t>
  </si>
  <si>
    <t>Finanszírozási bevételek (maradvány igénybevétel)</t>
  </si>
  <si>
    <t>36. számla forgalma (+,-)</t>
  </si>
  <si>
    <t>Költségvetési kiadások</t>
  </si>
  <si>
    <t>Pénzkészlet változás összesen              (2-3+4-5-6):</t>
  </si>
  <si>
    <t>Pénzkészlet tárgyidőszak végén (1+7)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</si>
  <si>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</si>
  <si>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</si>
  <si>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</si>
  <si>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</si>
  <si>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</si>
  <si>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</si>
  <si>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 finanszírozási egyenlege</t>
  </si>
  <si>
    <t>A)</t>
  </si>
  <si>
    <t>Alaptevékenység maradványa (I.+II.)</t>
  </si>
  <si>
    <t>Vállakozási tevékenység költségvetési bevételei</t>
  </si>
  <si>
    <t>Vállakozási tevékenység költségvetési kiadásai</t>
  </si>
  <si>
    <t>Vállakozási tevékenység költségvetési egyenlege</t>
  </si>
  <si>
    <t>Vállakozási tevékenység finanszírozási bevételei</t>
  </si>
  <si>
    <t>Vállakozási tevékenység finanszírozási kiadásai</t>
  </si>
  <si>
    <t>IV</t>
  </si>
  <si>
    <t>Vállakozási tevékenység finanszírozási egyenlege</t>
  </si>
  <si>
    <t>B)</t>
  </si>
  <si>
    <t>Vállakozási tevékenység maradványa (III.+IV.)</t>
  </si>
  <si>
    <t>C)</t>
  </si>
  <si>
    <t>Összes maradvány (A +B)</t>
  </si>
  <si>
    <t>D)</t>
  </si>
  <si>
    <t>Alaptevékenység módosított maradványból kötelezettségvállalással terhelt maradványa</t>
  </si>
  <si>
    <t>E)</t>
  </si>
  <si>
    <t>Alaptevékenység szabad maradványa</t>
  </si>
  <si>
    <t>F)</t>
  </si>
  <si>
    <t>Vállalkozási tevékenységet terhelő befizetési kötelezettség (=B*0,09)</t>
  </si>
  <si>
    <t>G)</t>
  </si>
  <si>
    <t>Vállalkozási tevékenység felhasználaható maradványa</t>
  </si>
  <si>
    <t>Javaslat Békés Város Önkormányzata és  intézményeinek</t>
  </si>
  <si>
    <t>Intézmény megnevezése</t>
  </si>
  <si>
    <t>Maradványkimutatás szerinti összeg</t>
  </si>
  <si>
    <t>Jóváhagyásra javasolt maradvány</t>
  </si>
  <si>
    <t>Alaptevénykenység kötelezettséggel terhelt maradánya</t>
  </si>
  <si>
    <t>Váll. tev.-et terhelő befizetési köt.</t>
  </si>
  <si>
    <t>Váll. tev. felhasználható maradványa</t>
  </si>
  <si>
    <t>Békés város mindösszesen:</t>
  </si>
  <si>
    <t>Békés Város Önkormányzata</t>
  </si>
  <si>
    <t xml:space="preserve">2015. évi konszolidált egyszerűsített mérlege </t>
  </si>
  <si>
    <t xml:space="preserve"> Ft-ban</t>
  </si>
  <si>
    <t>Eszközök</t>
  </si>
  <si>
    <t>Előző időszak</t>
  </si>
  <si>
    <t>Tárgyi időszak</t>
  </si>
  <si>
    <t>A/I</t>
  </si>
  <si>
    <t>Immateriális javak</t>
  </si>
  <si>
    <t>A/II</t>
  </si>
  <si>
    <t xml:space="preserve"> Tárgyi eszközök</t>
  </si>
  <si>
    <t>A/III</t>
  </si>
  <si>
    <t>Befektetett pénzügyi eszközök</t>
  </si>
  <si>
    <t>A/IV</t>
  </si>
  <si>
    <t>Koncesszióba , vagyonkezelésbe adott eszközök</t>
  </si>
  <si>
    <t>NEMZETI VAGYONBA TARTOZÓ BEFEKTETETT ESZKÖZÖK</t>
  </si>
  <si>
    <t>B/1</t>
  </si>
  <si>
    <t>Készletek</t>
  </si>
  <si>
    <t>B/2</t>
  </si>
  <si>
    <t>Értékpapírok</t>
  </si>
  <si>
    <t>NEMZETI VAGYONBA TARTOZÓ FORGÓ ESZKÖZÖK</t>
  </si>
  <si>
    <t>C/II</t>
  </si>
  <si>
    <t>Pénztárak, csekkek</t>
  </si>
  <si>
    <t>C/III</t>
  </si>
  <si>
    <t>Forint számlák</t>
  </si>
  <si>
    <t>C/IV</t>
  </si>
  <si>
    <t>Devizaszámlák</t>
  </si>
  <si>
    <t>C/V</t>
  </si>
  <si>
    <t>Idegen pénzeszközök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</si>
  <si>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</si>
  <si>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</si>
  <si>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</si>
  <si>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</si>
  <si>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</si>
  <si>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</si>
  <si>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</si>
  <si>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KÖVETELÉSEK</t>
  </si>
  <si>
    <t>EGYÉB SAJÁTOS ELSZÁMOLÁSOK</t>
  </si>
  <si>
    <t>AKTÍV IDŐBELI ELHATÁROLÁSOK</t>
  </si>
  <si>
    <t>ESZKÖZÖK ÖSSZESEN:</t>
  </si>
  <si>
    <t>Források</t>
  </si>
  <si>
    <t>G/1</t>
  </si>
  <si>
    <t>Nemzeti vagyon induláskori értéke</t>
  </si>
  <si>
    <t>G/2</t>
  </si>
  <si>
    <t>Nemzeti vagyon változásai</t>
  </si>
  <si>
    <t>G/3</t>
  </si>
  <si>
    <t>Egyéb eszközök induláskori értéke és változásai</t>
  </si>
  <si>
    <t>G/4</t>
  </si>
  <si>
    <t>Felhalmozott  eredmény</t>
  </si>
  <si>
    <t>G/5</t>
  </si>
  <si>
    <t>Eszközök értékhelyesbítésének  forrása</t>
  </si>
  <si>
    <t>G/6</t>
  </si>
  <si>
    <t>Mérlegszerinti eredmény</t>
  </si>
  <si>
    <t xml:space="preserve"> SAJÁT TŐKE</t>
  </si>
  <si>
    <t>H/I</t>
  </si>
  <si>
    <t>Költségvetési évben esedékes kötelezettségek</t>
  </si>
  <si>
    <t>H/II</t>
  </si>
  <si>
    <t>Költségvetési évet követően esedékes kötelezettségek</t>
  </si>
  <si>
    <t>H/III/1</t>
  </si>
  <si>
    <t>Kapott előlegek</t>
  </si>
  <si>
    <t>H/III/3.</t>
  </si>
  <si>
    <t>Más szervezetet megillető bevételek elszámolása</t>
  </si>
  <si>
    <t>H/III.</t>
  </si>
  <si>
    <t>Kötelezettség jellegű sajátos elszámolások</t>
  </si>
  <si>
    <t>H)</t>
  </si>
  <si>
    <t xml:space="preserve"> KÖTELEZETTSÉGEK</t>
  </si>
  <si>
    <t>I)</t>
  </si>
  <si>
    <t>EGYÉB SAJÁTOS FORRÁS OLDALI ELSZÁMOLÁSOK</t>
  </si>
  <si>
    <t>J)</t>
  </si>
  <si>
    <t xml:space="preserve">KINCSTÁRI SZÁMLAVEZETÉSSEL KAPCSOLATOS  ELSZÁMOLÁSOK </t>
  </si>
  <si>
    <t>K)</t>
  </si>
  <si>
    <t>J) PASSZÍV IDŐBELI ELHATÁROLÁSOK</t>
  </si>
  <si>
    <t>FORRÁSOK ÖSSZESEN:</t>
  </si>
  <si>
    <t>Módosítások</t>
  </si>
  <si>
    <t>01</t>
  </si>
  <si>
    <t>02</t>
  </si>
  <si>
    <t>01 Közhatalmi eredményszemléletű bevételek</t>
  </si>
  <si>
    <t>03</t>
  </si>
  <si>
    <t>02 Eszközök és szolgáltatások értékesítése nettő eredményszemléletű bevételei</t>
  </si>
  <si>
    <t>04</t>
  </si>
  <si>
    <t>I Tevékenység nettó eredményszemléletű bevétele (=01+02+03)</t>
  </si>
  <si>
    <t>05</t>
  </si>
  <si>
    <t>04 Saját termeléső készletek állományváltozása</t>
  </si>
  <si>
    <t>06</t>
  </si>
  <si>
    <r>
      <t>II. Aktivált saját teljesítmények értéke (=</t>
    </r>
    <r>
      <rPr>
        <b/>
        <u val="single"/>
        <sz val="10"/>
        <rFont val="Times New Roman"/>
        <family val="1"/>
      </rPr>
      <t xml:space="preserve">+ </t>
    </r>
    <r>
      <rPr>
        <b/>
        <sz val="10"/>
        <rFont val="Times New Roman"/>
        <family val="1"/>
      </rPr>
      <t>04+05)</t>
    </r>
  </si>
  <si>
    <t>07</t>
  </si>
  <si>
    <t xml:space="preserve">06 Központi működési célú  támogatások eredményszemléletű bevételei </t>
  </si>
  <si>
    <t>08</t>
  </si>
  <si>
    <t>07 Egyéb működési célú támogatások  eredményszemléletű bevételei</t>
  </si>
  <si>
    <t>09</t>
  </si>
  <si>
    <t>08 felhalmozási célú támogatások eredményszemléletű bevételei</t>
  </si>
  <si>
    <t>09 Különféle  egyéb eredményszemléletű bevételek</t>
  </si>
  <si>
    <t>III. Egyéb eredményszemléletű bevételek (=06+07+08+09)</t>
  </si>
  <si>
    <t>10 Anyagköltség</t>
  </si>
  <si>
    <t>11 Igénybevett szolgáltatások értéke</t>
  </si>
  <si>
    <t>12 Eladott áruk beszerzési értéke</t>
  </si>
  <si>
    <t>13 Eladott (közvetített ) szolgáltatások értéke</t>
  </si>
  <si>
    <t>IV. Anyagjellegű ráfordítások (=10+11+12+13)</t>
  </si>
  <si>
    <t>14 Bérköltség</t>
  </si>
  <si>
    <t>15 Személyi jellEgű egyéb kifizetések</t>
  </si>
  <si>
    <t>16 Bérjárulékok</t>
  </si>
  <si>
    <t>V. Személyi jellegű ráfordítások (=14+15+16)</t>
  </si>
  <si>
    <t>VI. Értékcsökkenési leírás</t>
  </si>
  <si>
    <t>VII. Egyéb ráfordítások</t>
  </si>
  <si>
    <t>A) TEVÉKENYSÉGEK EREDMÉNYE (I.+II.+III.-IV.-V.-VI.-VII.)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</si>
  <si>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</si>
  <si>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</si>
  <si>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(&gt;21a+21B)</t>
  </si>
  <si>
    <t>VIII. Pénzügyi műveletek eredményszemléletű  bevételei (=17+18+19+20+21)</t>
  </si>
  <si>
    <t>24 Fizetendő kamatok és kamatjellegű ráfordítások</t>
  </si>
  <si>
    <t>26 Pénzügyi műveletek egyéb ráfordításai (&gt;26a+26b)</t>
  </si>
  <si>
    <t>26b - ebből: egyéb pénzeszközök mérlegfordulónapi értékelése során megállapított (nem realizált) árfolyamvesztesége</t>
  </si>
  <si>
    <t>IX. Pénzügyi műveletek ráfordításai (=22+23+24+25+26)</t>
  </si>
  <si>
    <t>B) PÉNZÜGYI  MŰVELETEK EREDMÉNYE (=VIII+IX)</t>
  </si>
  <si>
    <r>
      <t>C) MÉRLEG SZERINTI EREDMÉNY (=</t>
    </r>
    <r>
      <rPr>
        <b/>
        <u val="single"/>
        <sz val="10"/>
        <rFont val="Times New Roman"/>
        <family val="1"/>
      </rPr>
      <t>+</t>
    </r>
    <r>
      <rPr>
        <b/>
        <sz val="10"/>
        <rFont val="Times New Roman"/>
        <family val="1"/>
      </rPr>
      <t>A</t>
    </r>
    <r>
      <rPr>
        <b/>
        <u val="single"/>
        <sz val="10"/>
        <rFont val="Times New Roman"/>
        <family val="1"/>
      </rPr>
      <t>+</t>
    </r>
    <r>
      <rPr>
        <b/>
        <sz val="10"/>
        <rFont val="Times New Roman"/>
        <family val="1"/>
      </rPr>
      <t>B)</t>
    </r>
  </si>
  <si>
    <t>a 4/2013. (I.11. ) kormányrendelet 30. §-a szerint</t>
  </si>
  <si>
    <t xml:space="preserve">Polgármesteri Hivatal </t>
  </si>
  <si>
    <t>Tárgyi eszközök</t>
  </si>
  <si>
    <t>1. Ingatlanok és kapcsolódó vagyonértékű jogok</t>
  </si>
  <si>
    <t>1.1. Forgalomképtelen</t>
  </si>
  <si>
    <t>1.2. Korlátozottan forgalomképes</t>
  </si>
  <si>
    <t>1.3. Üzleti vagyon</t>
  </si>
  <si>
    <t>2.Gépek ,berendezések, felszerelések, járművek</t>
  </si>
  <si>
    <t>2.1. Forgalomképtelen</t>
  </si>
  <si>
    <t>2.2. Korlátozottan forgalomképes</t>
  </si>
  <si>
    <t>2.3. Üzleti vagyon</t>
  </si>
  <si>
    <t>3. Tenyészállatok</t>
  </si>
  <si>
    <t>3.1. Forgalomképtelen</t>
  </si>
  <si>
    <t>3.2. Korlátozottan forgalomképes</t>
  </si>
  <si>
    <t>3.3. Üzleti vagyon</t>
  </si>
  <si>
    <t>4. Beruházások, felújítások</t>
  </si>
  <si>
    <t>4.1. Forgalomképtelen</t>
  </si>
  <si>
    <t>4.2. Korlátozottan forgalomképes</t>
  </si>
  <si>
    <t>4.3. Üzleti vagyon</t>
  </si>
  <si>
    <t>5. Tárgyi eszközök értékhelyesbítése</t>
  </si>
  <si>
    <t>1. Tartós részesedés</t>
  </si>
  <si>
    <t>2. Tarós hitelviszonyt megtestesítő értékpapír</t>
  </si>
  <si>
    <t>3. Befektetett pénzügyi eszközök  értékhelyesbítése</t>
  </si>
  <si>
    <t>Koncesszióba, vagyonkezelésbe adott eszközök</t>
  </si>
  <si>
    <t>NEMZETI VAGYONBA  TARTOZÓ FORGÓESZKÖZÖK</t>
  </si>
  <si>
    <t>Pénzeszközök</t>
  </si>
  <si>
    <t>Hosszú lejáratú betétek</t>
  </si>
  <si>
    <t xml:space="preserve">Pénztárak, csekkek, betétkönyvek </t>
  </si>
  <si>
    <t>Forintszámlák</t>
  </si>
  <si>
    <t>Devizaszaámlák</t>
  </si>
  <si>
    <t>V.</t>
  </si>
  <si>
    <t xml:space="preserve">Követelések </t>
  </si>
  <si>
    <t>Költségvetési évet követően esedékes  követelések</t>
  </si>
  <si>
    <t>Egyéb sajátos eszközoldali elszámolások</t>
  </si>
  <si>
    <t>Aktív időbeli elhatárolások</t>
  </si>
  <si>
    <t>ESZKÖZÖK ÖSSZESEN (A+B+C+D+E+F)</t>
  </si>
  <si>
    <t>SAJÁT TŐKE</t>
  </si>
  <si>
    <t>Nemzeti vagyon változása</t>
  </si>
  <si>
    <t>Felhalmozott eredmény</t>
  </si>
  <si>
    <t>Eszközök értékhelyesbítésének forrása</t>
  </si>
  <si>
    <t>VI.</t>
  </si>
  <si>
    <t>Mérleg szerinti eredmény</t>
  </si>
  <si>
    <t>KÖTELEZETTSÉGEK</t>
  </si>
  <si>
    <t>III/1.</t>
  </si>
  <si>
    <t>III/2.</t>
  </si>
  <si>
    <t>Más szervezetet megillető bevételek elsz.</t>
  </si>
  <si>
    <t>Kincstári számlaveztéssel kapcsolatos elszámolások</t>
  </si>
  <si>
    <t>Passzív időbeli elhatárolások</t>
  </si>
  <si>
    <t>FORRÁSOK ÖSSZESEN (G+H+I+J+K):</t>
  </si>
  <si>
    <t>Könyvviteli mérlegen kívüli tételek</t>
  </si>
  <si>
    <t>1. Könyvviteli mérlegen kívüli eszközök</t>
  </si>
  <si>
    <t>"0"-ra leírt  eszközök állománya</t>
  </si>
  <si>
    <t>Kisértékű szellemi termékek álománya</t>
  </si>
  <si>
    <t>A Nemzeti vagyonról szóló 2011. évi  CXCVI tv. 1.§ (2) bekezdés  g) és h) pontja szerinti tételek</t>
  </si>
  <si>
    <t>- képzőművészeti alkotások</t>
  </si>
  <si>
    <t>- régészeti leletek</t>
  </si>
  <si>
    <t>- kép- és hangarchívum</t>
  </si>
  <si>
    <t>- gyűjtemények</t>
  </si>
  <si>
    <t>- egyéb kulturális javak</t>
  </si>
  <si>
    <t>2. Könyvviteli mérlegen kívüli függő kötelezettségek</t>
  </si>
  <si>
    <t>Kezesség-illetve garancia vállalással  kapcsolatos  függő kötelezettségek</t>
  </si>
  <si>
    <t>Váltókezesi függő kötelezettségek</t>
  </si>
  <si>
    <t>Le nem zárt peres ügyekkel kapcsolatos  függő kötelezettségek</t>
  </si>
  <si>
    <t>Opciós ügyletekkel kapcsolatos függő kötelezettségek</t>
  </si>
  <si>
    <t>Békés Város Önkormányzatának részesedései gazdálkodó</t>
  </si>
  <si>
    <t>Tulajdoni részesedés</t>
  </si>
  <si>
    <t>Működésből származó kötelezettség</t>
  </si>
  <si>
    <t xml:space="preserve">Dél-alföldi Regionális Fejlesztési Zrt. részvény  </t>
  </si>
  <si>
    <t xml:space="preserve">Békés Megyéért Vállalkozásfejlesztési Alapítvány részesedés </t>
  </si>
  <si>
    <t>BKSZ PLUSZ KFT  üzletrész</t>
  </si>
  <si>
    <t xml:space="preserve">Hunyadi téri óvoda gyermekeiért alapítvány vagyonrész                 </t>
  </si>
  <si>
    <t>Békés Megyei Vízművek Rt.   részvények</t>
  </si>
  <si>
    <t xml:space="preserve">Békés Fürdőért Közalapítvány  részesedés                                          </t>
  </si>
  <si>
    <t xml:space="preserve">Békés Airport Kft.. részesedés                                                              </t>
  </si>
  <si>
    <t xml:space="preserve">Békési Férfi Kézilabda Kft. alapítói vagyon                                     </t>
  </si>
  <si>
    <t>Békés Ferment Kft.</t>
  </si>
  <si>
    <t xml:space="preserve">Körösök Völgye Kft. üzletrész                                                                  </t>
  </si>
  <si>
    <t>Békés város bölcsödéinek apróságaiért alapítvány alap.vagyon</t>
  </si>
  <si>
    <t>Békés Kommunális Szolgáltató Kft.részesedés</t>
  </si>
  <si>
    <t>Békési Gazdasági és Szolgáltató Szociális Szövetkezet</t>
  </si>
  <si>
    <t>KBC Békés megyei Teleülések Fejlesztéséért Nonprofit KFT.</t>
  </si>
  <si>
    <t>Tájékoztató adatok az Áht. 24.§ (4) bekezdés d) pontja szerint</t>
  </si>
  <si>
    <t>2020. évi terv</t>
  </si>
  <si>
    <t>2021. évi terv</t>
  </si>
  <si>
    <t>Maradvány igénybevétele működési célra</t>
  </si>
  <si>
    <t>Felhalmozási és tőkejellgű bevételek</t>
  </si>
  <si>
    <t>Maradvány igénybevétel felhalmozási célra</t>
  </si>
  <si>
    <t>Külső finanszírozás  (hitelfelvétel)</t>
  </si>
  <si>
    <t>Munkadókat terhelő járulékok és szociális hozzájárulási adó</t>
  </si>
  <si>
    <t>Dologi kiadások</t>
  </si>
  <si>
    <t>Ellátottak  pénzbeli juttatása</t>
  </si>
  <si>
    <t>Hitelek, kölcsönök törlesztése</t>
  </si>
  <si>
    <t>saját bevételeinek alakulása  és adósságot keletkeztető ügyletek finanszírozása</t>
  </si>
  <si>
    <t>Az államháztartásról szóló 2011. évi CXCV. törvény 29/A. §  alapján</t>
  </si>
  <si>
    <t>Saját bevételek a 353/2011.(XII.30) Korm.rendelet 2.§(1) bekezdése szerint</t>
  </si>
  <si>
    <t>Helyi adóbevételek</t>
  </si>
  <si>
    <t>Pótlék, bírság, helyszíni és szabálysértési</t>
  </si>
  <si>
    <t xml:space="preserve"> Talajterhelési díj</t>
  </si>
  <si>
    <t xml:space="preserve"> Egyéb díjbevételek</t>
  </si>
  <si>
    <t xml:space="preserve"> Önkormányzati vagyon és vagyonértékű jog értékesítésből és hasznosításából származó bevétel</t>
  </si>
  <si>
    <t>Osztalék, koncessziós díj és hozambevétel (banki kamat)</t>
  </si>
  <si>
    <t>Tárgyi eszköz ,immateriális jószág, részvény, vagy privatizációból származó bevétel</t>
  </si>
  <si>
    <t>Kezességvállalással kapcsolatos megtérülés</t>
  </si>
  <si>
    <t>Saját bevételek összesen:</t>
  </si>
  <si>
    <t>Saját bevétel 50 %-a</t>
  </si>
  <si>
    <t>Adósságot keletkeztető ügyletek a Stabilitási tv.3. § (1) bekezdés a) pontja szerint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</si>
  <si>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</si>
  <si>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</si>
  <si>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</si>
  <si>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</si>
  <si>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Feladat</t>
  </si>
  <si>
    <t>TOP-3.2.1-15-BS1-2016-00021</t>
  </si>
  <si>
    <t>Békés, épületenergetikai beruházások</t>
  </si>
  <si>
    <t>TOP-2.1.3-15-BS1-2016-00002</t>
  </si>
  <si>
    <t>Békés, csapadékvíz elvezetés kialakítása</t>
  </si>
  <si>
    <t>TOP-1.2.1-15-BS1-2016-00007</t>
  </si>
  <si>
    <t>Társadalmi és környezeti szempontból fenntartható turizmusfejlesztés - Dánfok</t>
  </si>
  <si>
    <t>TOP-1.1.3-15-BS1-2016-00012</t>
  </si>
  <si>
    <t>Helyi termelők és termékek piacra jutásának segítése</t>
  </si>
  <si>
    <t>TOP-1.1.1-15-BS1-2016-00004</t>
  </si>
  <si>
    <t>Békés, ONCSA-i iparterület fejlesztése.</t>
  </si>
  <si>
    <t>TOP-5.2.1-15-BS1-2016-00002</t>
  </si>
  <si>
    <t>„Együtt az integrációért Békésen”</t>
  </si>
  <si>
    <t>EFOP-1.2.11-16-2017-00046</t>
  </si>
  <si>
    <t xml:space="preserve"> Esélyt a fiataloknak</t>
  </si>
  <si>
    <t xml:space="preserve"> Épületenergetika III. ütem</t>
  </si>
  <si>
    <t>TOP-3.2.1-16-BS1-2017-00019</t>
  </si>
  <si>
    <t>Épületenergetika II. ütem</t>
  </si>
  <si>
    <t>KÖFOP-VEKOP-16-2017-00818</t>
  </si>
  <si>
    <t>ASP csatlakozás</t>
  </si>
  <si>
    <t>TOP-4.3.1-15-BS1-2016-00010</t>
  </si>
  <si>
    <t>Leromlott városi területek rehabilitációja</t>
  </si>
  <si>
    <t>TOP-1.4.1-16-BS1-2017-00012</t>
  </si>
  <si>
    <t>Korona utcai Ovi tornaszoba</t>
  </si>
  <si>
    <t>TOP-2.1.2-16-BS1-2017-00007</t>
  </si>
  <si>
    <t>Élhetőbb békési városközpontért</t>
  </si>
  <si>
    <t>TOP-3.2.2-15-BS1-2016-00003</t>
  </si>
  <si>
    <t>Békés, napelemrendszer kialakítása</t>
  </si>
  <si>
    <t>EFOP-1.5.3-16-2017-00097</t>
  </si>
  <si>
    <t>Településeinkért….</t>
  </si>
  <si>
    <t>Békés Város Önkormányzata 2019. évi normatíva elszámolása</t>
  </si>
  <si>
    <t>2019. év</t>
  </si>
  <si>
    <t>Pénzkészlet 2019. január 1-én</t>
  </si>
  <si>
    <t>Békés város Önkormányzata és intézményei  2019. évi maradvány kimutatása</t>
  </si>
  <si>
    <t>2019. évi maradvány jóváhagyására</t>
  </si>
  <si>
    <t>2019. évi konszolidált egyszerűsített mérlege</t>
  </si>
  <si>
    <t>H/III/2</t>
  </si>
  <si>
    <t>Továbbadási célból folyosított támogatások, ellátások elszámolása</t>
  </si>
  <si>
    <t>H/III/8.</t>
  </si>
  <si>
    <t>Letétre, megőrzésre, fedezetkezelésre átvett pénzeszközök, biztosítékok</t>
  </si>
  <si>
    <t>Békés Város Önkormányzata  2019. évi konszolidált eredménykimutatása</t>
  </si>
  <si>
    <t>Békés Város Önkormányzata   2019. évi vagyonkimutatása</t>
  </si>
  <si>
    <t>Továbbadási céllal folyósított támogatások, ellátások elszámolása</t>
  </si>
  <si>
    <t>III/3.</t>
  </si>
  <si>
    <t>III/8.</t>
  </si>
  <si>
    <t>Letétre, megőrzésre fedezetkezelésre átvett pénzeszközök, biztosítékok</t>
  </si>
  <si>
    <t>szervezetekben 2019. évben</t>
  </si>
  <si>
    <t xml:space="preserve">A működési és  fejlesztési célú bevételek és kiadások 2019-2020-2021-2022. évi alakulását bemutató mérleg </t>
  </si>
  <si>
    <t>Terv</t>
  </si>
  <si>
    <t>2022. évi terv</t>
  </si>
  <si>
    <t xml:space="preserve">Békés Város Önkormányzata 2019. évi </t>
  </si>
  <si>
    <t>Békés Város Önkormányzata Uniós forrásból megvalósuló 2019. évben teljesített kiadásai</t>
  </si>
  <si>
    <t>2020. év  - 2020. évi ktgv.rendeletből</t>
  </si>
  <si>
    <t>2021-22. a 2020. évi rendelet terv számai</t>
  </si>
  <si>
    <t>Visszafizetési kötelezettség / többlettámogatás</t>
  </si>
  <si>
    <t xml:space="preserve"> Csapadékvíz elvezetés</t>
  </si>
  <si>
    <t>TOP-3.2.1-16-BS1-2017-00016</t>
  </si>
  <si>
    <t>ROHU14</t>
  </si>
  <si>
    <t>ROHU444</t>
  </si>
  <si>
    <t xml:space="preserve">F </t>
  </si>
  <si>
    <t>1. melléklet a 8/2020. (V. 15. ) önkormányzati rendelethez</t>
  </si>
  <si>
    <t>1. melléklet a 8/2020. (V. 15.) önkormányzati rendelethez</t>
  </si>
  <si>
    <t>2. melléklet a 8/2020. (V. 15.) önkormányzati rendelethez</t>
  </si>
  <si>
    <t>3. melléklet a 8/2020. (V. 15.) önkormányzati rendelethez</t>
  </si>
  <si>
    <t>4. melléklet a 8/2020. (V. 15.) önkormányzati rendelethez</t>
  </si>
  <si>
    <t>5.melléklet a 8/2020. (V. 15.) önkormányzati rendelethez</t>
  </si>
  <si>
    <t>6. melléklet a 8/2020. (V. 15.) önkormányzati rendelethez</t>
  </si>
  <si>
    <t>8. melléklet a 8/2020. (V. 15.) önkormányzati rendelethez</t>
  </si>
  <si>
    <t>9. melléklet a 8/2020. (V. 15.) önkormányzati rendelethez</t>
  </si>
  <si>
    <t>10. melléklet a 8/2020. (V. 15.) önkormányzati rendelethez</t>
  </si>
  <si>
    <t>11. melléklet a 8/2020. (V. 15.) önkormányzati rendelethez</t>
  </si>
  <si>
    <t>12. melléklet a 8/2020. (V. 15.) önkormányzati rendelethez</t>
  </si>
  <si>
    <t>13. melléklet a 8/2020. (V. 15.)  önkormányzati rendelethez</t>
  </si>
  <si>
    <t>14. melléklet a 8/2020. (V. 15.) önkormányzati rendelethez</t>
  </si>
  <si>
    <t>15. melléklet  a 8/2020. (V. 15.) önkormányzati rendelethez</t>
  </si>
  <si>
    <t>15. melléklet folytatása  a 8/2020. (V. 15.) önkormányzati rendelethez</t>
  </si>
  <si>
    <t>16. melléklet a 8/2020. (V. 15.) önkormányzati rendelethez</t>
  </si>
  <si>
    <t>17. melléklet a 8/2020. (V. 15.)  önkormányzati rendelethez</t>
  </si>
  <si>
    <t>18. melléklet a 8/2020. (V. 15.) önkormányzati rendelethez</t>
  </si>
  <si>
    <t>19. melléklet a 8/2020. (V. 15.) önkormányzati rendelethez</t>
  </si>
  <si>
    <t>20. melléklet a 8/2020. (V. 15.)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</si>
</sst>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#,##0\ _F_t"/>
    <numFmt numFmtId="168" formatCode="_-* #,##0.0\ _F_t_-;\-* #,##0.0\ _F_t_-;_-* &quot;-&quot;?\ _F_t_-;_-@_-"/>
    <numFmt numFmtId="169" formatCode="_-* #,##0.0\ _F_t_-;\-* #,##0.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0.0000"/>
    <numFmt numFmtId="175" formatCode="0.000"/>
    <numFmt numFmtId="176" formatCode="0.0"/>
    <numFmt numFmtId="177" formatCode="[$-40E]yyyy\.\ mmmm\ d\."/>
    <numFmt numFmtId="178" formatCode="0.0%"/>
    <numFmt numFmtId="179" formatCode="###\ ###\ ###\ ###\ ##0.00"/>
    <numFmt numFmtId="180" formatCode="#,##0_ ;\-#,##0\ "/>
  </numFmts>
  <fonts count="8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4"/>
      <name val="Arial"/>
      <family val="2"/>
    </font>
    <font>
      <b/>
      <u val="single"/>
      <sz val="10"/>
      <name val="Times New Roman"/>
      <family val="1"/>
    </font>
    <font>
      <sz val="16"/>
      <name val="Times New Roman"/>
      <family val="1"/>
    </font>
    <font>
      <b/>
      <sz val="14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0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6" fillId="25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7" borderId="7" applyNumberFormat="0" applyFont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1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6" fontId="5" fillId="0" borderId="10" xfId="46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166" fontId="5" fillId="32" borderId="10" xfId="46" applyNumberFormat="1" applyFont="1" applyFill="1" applyBorder="1" applyAlignment="1">
      <alignment horizontal="center" vertical="center" wrapText="1"/>
    </xf>
    <xf numFmtId="166" fontId="7" fillId="0" borderId="10" xfId="46" applyNumberFormat="1" applyFont="1" applyFill="1" applyBorder="1" applyAlignment="1">
      <alignment/>
    </xf>
    <xf numFmtId="3" fontId="5" fillId="0" borderId="10" xfId="4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46" applyNumberFormat="1" applyFont="1" applyFill="1" applyBorder="1" applyAlignment="1">
      <alignment vertical="center" wrapText="1"/>
    </xf>
    <xf numFmtId="166" fontId="7" fillId="0" borderId="11" xfId="46" applyNumberFormat="1" applyFont="1" applyFill="1" applyBorder="1" applyAlignment="1">
      <alignment/>
    </xf>
    <xf numFmtId="3" fontId="7" fillId="0" borderId="11" xfId="46" applyNumberFormat="1" applyFont="1" applyFill="1" applyBorder="1" applyAlignment="1">
      <alignment/>
    </xf>
    <xf numFmtId="166" fontId="7" fillId="0" borderId="10" xfId="46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11" xfId="46" applyNumberFormat="1" applyFont="1" applyFill="1" applyBorder="1" applyAlignment="1">
      <alignment horizontal="center" vertical="center" wrapText="1"/>
    </xf>
    <xf numFmtId="3" fontId="7" fillId="0" borderId="11" xfId="46" applyNumberFormat="1" applyFont="1" applyFill="1" applyBorder="1" applyAlignment="1">
      <alignment horizontal="center" vertical="center"/>
    </xf>
    <xf numFmtId="166" fontId="7" fillId="0" borderId="10" xfId="46" applyNumberFormat="1" applyFont="1" applyFill="1" applyBorder="1" applyAlignment="1">
      <alignment vertical="center" wrapText="1"/>
    </xf>
    <xf numFmtId="3" fontId="7" fillId="0" borderId="10" xfId="46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0" xfId="46" applyNumberFormat="1" applyFont="1" applyFill="1" applyBorder="1" applyAlignment="1">
      <alignment/>
    </xf>
    <xf numFmtId="166" fontId="5" fillId="0" borderId="10" xfId="46" applyNumberFormat="1" applyFont="1" applyFill="1" applyBorder="1" applyAlignment="1">
      <alignment horizontal="left" indent="4"/>
    </xf>
    <xf numFmtId="0" fontId="5" fillId="0" borderId="10" xfId="0" applyFont="1" applyFill="1" applyBorder="1" applyAlignment="1">
      <alignment horizontal="left" indent="4"/>
    </xf>
    <xf numFmtId="166" fontId="5" fillId="0" borderId="10" xfId="46" applyNumberFormat="1" applyFont="1" applyFill="1" applyBorder="1" applyAlignment="1">
      <alignment horizontal="left" vertical="center" wrapText="1" indent="4"/>
    </xf>
    <xf numFmtId="166" fontId="11" fillId="0" borderId="11" xfId="46" applyNumberFormat="1" applyFont="1" applyFill="1" applyBorder="1" applyAlignment="1">
      <alignment/>
    </xf>
    <xf numFmtId="3" fontId="11" fillId="0" borderId="11" xfId="46" applyNumberFormat="1" applyFont="1" applyFill="1" applyBorder="1" applyAlignment="1">
      <alignment/>
    </xf>
    <xf numFmtId="3" fontId="12" fillId="0" borderId="11" xfId="46" applyNumberFormat="1" applyFont="1" applyFill="1" applyBorder="1" applyAlignment="1">
      <alignment/>
    </xf>
    <xf numFmtId="0" fontId="5" fillId="0" borderId="0" xfId="57" applyFont="1" applyFill="1" applyAlignment="1">
      <alignment horizontal="right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 wrapText="1"/>
      <protection/>
    </xf>
    <xf numFmtId="167" fontId="5" fillId="0" borderId="0" xfId="46" applyNumberFormat="1" applyFont="1" applyAlignment="1">
      <alignment vertical="center"/>
    </xf>
    <xf numFmtId="167" fontId="7" fillId="0" borderId="13" xfId="46" applyNumberFormat="1" applyFont="1" applyBorder="1" applyAlignment="1">
      <alignment horizontal="center" vertical="center"/>
    </xf>
    <xf numFmtId="0" fontId="7" fillId="0" borderId="0" xfId="57" applyFont="1" applyAlignment="1">
      <alignment vertical="center"/>
      <protection/>
    </xf>
    <xf numFmtId="167" fontId="7" fillId="0" borderId="10" xfId="46" applyNumberFormat="1" applyFont="1" applyBorder="1" applyAlignment="1">
      <alignment vertical="center"/>
    </xf>
    <xf numFmtId="0" fontId="5" fillId="0" borderId="14" xfId="57" applyFont="1" applyBorder="1" applyAlignment="1">
      <alignment vertical="center"/>
      <protection/>
    </xf>
    <xf numFmtId="3" fontId="7" fillId="0" borderId="15" xfId="57" applyNumberFormat="1" applyFont="1" applyBorder="1" applyAlignment="1">
      <alignment vertical="center"/>
      <protection/>
    </xf>
    <xf numFmtId="3" fontId="7" fillId="0" borderId="16" xfId="57" applyNumberFormat="1" applyFont="1" applyBorder="1" applyAlignment="1">
      <alignment vertical="center"/>
      <protection/>
    </xf>
    <xf numFmtId="0" fontId="7" fillId="0" borderId="17" xfId="57" applyFont="1" applyBorder="1" applyAlignment="1">
      <alignment vertical="center"/>
      <protection/>
    </xf>
    <xf numFmtId="3" fontId="7" fillId="0" borderId="11" xfId="57" applyNumberFormat="1" applyFont="1" applyBorder="1" applyAlignment="1">
      <alignment vertical="center"/>
      <protection/>
    </xf>
    <xf numFmtId="0" fontId="5" fillId="0" borderId="0" xfId="57" applyFont="1" applyAlignment="1" quotePrefix="1">
      <alignment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/>
      <protection/>
    </xf>
    <xf numFmtId="167" fontId="5" fillId="33" borderId="10" xfId="46" applyNumberFormat="1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66" fontId="14" fillId="0" borderId="10" xfId="46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21" xfId="0" applyNumberFormat="1" applyFont="1" applyBorder="1" applyAlignment="1">
      <alignment vertical="center"/>
    </xf>
    <xf numFmtId="0" fontId="5" fillId="0" borderId="22" xfId="57" applyFont="1" applyBorder="1" applyAlignment="1">
      <alignment vertical="center" wrapText="1"/>
      <protection/>
    </xf>
    <xf numFmtId="0" fontId="5" fillId="0" borderId="23" xfId="57" applyFont="1" applyFill="1" applyBorder="1" applyAlignment="1">
      <alignment vertical="center" wrapText="1"/>
      <protection/>
    </xf>
    <xf numFmtId="0" fontId="5" fillId="0" borderId="24" xfId="57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3" fontId="5" fillId="0" borderId="19" xfId="46" applyNumberFormat="1" applyFont="1" applyBorder="1" applyAlignment="1">
      <alignment vertical="center"/>
    </xf>
    <xf numFmtId="3" fontId="5" fillId="0" borderId="10" xfId="46" applyNumberFormat="1" applyFont="1" applyBorder="1" applyAlignment="1">
      <alignment vertical="center"/>
    </xf>
    <xf numFmtId="3" fontId="5" fillId="0" borderId="15" xfId="46" applyNumberFormat="1" applyFont="1" applyBorder="1" applyAlignment="1">
      <alignment vertical="center"/>
    </xf>
    <xf numFmtId="3" fontId="5" fillId="0" borderId="12" xfId="46" applyNumberFormat="1" applyFont="1" applyBorder="1" applyAlignment="1">
      <alignment vertical="center"/>
    </xf>
    <xf numFmtId="3" fontId="5" fillId="0" borderId="25" xfId="46" applyNumberFormat="1" applyFont="1" applyBorder="1" applyAlignment="1">
      <alignment vertical="center"/>
    </xf>
    <xf numFmtId="3" fontId="5" fillId="0" borderId="13" xfId="46" applyNumberFormat="1" applyFont="1" applyBorder="1" applyAlignment="1">
      <alignment vertical="center"/>
    </xf>
    <xf numFmtId="3" fontId="5" fillId="0" borderId="26" xfId="46" applyNumberFormat="1" applyFont="1" applyBorder="1" applyAlignment="1">
      <alignment vertical="center"/>
    </xf>
    <xf numFmtId="3" fontId="7" fillId="0" borderId="10" xfId="46" applyNumberFormat="1" applyFont="1" applyBorder="1" applyAlignment="1">
      <alignment vertical="center"/>
    </xf>
    <xf numFmtId="3" fontId="5" fillId="0" borderId="27" xfId="46" applyNumberFormat="1" applyFont="1" applyBorder="1" applyAlignment="1">
      <alignment vertical="center"/>
    </xf>
    <xf numFmtId="3" fontId="5" fillId="0" borderId="13" xfId="46" applyNumberFormat="1" applyFont="1" applyFill="1" applyBorder="1" applyAlignment="1">
      <alignment vertical="center"/>
    </xf>
    <xf numFmtId="3" fontId="5" fillId="0" borderId="20" xfId="46" applyNumberFormat="1" applyFont="1" applyBorder="1" applyAlignment="1">
      <alignment horizontal="center" vertical="center"/>
    </xf>
    <xf numFmtId="0" fontId="5" fillId="0" borderId="10" xfId="69" applyFont="1" applyBorder="1" applyAlignment="1">
      <alignment horizontal="center" vertical="center" textRotation="90" wrapText="1"/>
      <protection/>
    </xf>
    <xf numFmtId="0" fontId="7" fillId="0" borderId="10" xfId="69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/>
    </xf>
    <xf numFmtId="3" fontId="7" fillId="0" borderId="10" xfId="46" applyNumberFormat="1" applyFont="1" applyBorder="1" applyAlignment="1">
      <alignment horizontal="right" vertical="center" wrapText="1"/>
    </xf>
    <xf numFmtId="3" fontId="7" fillId="0" borderId="10" xfId="46" applyNumberFormat="1" applyFont="1" applyBorder="1" applyAlignment="1" quotePrefix="1">
      <alignment horizontal="right" vertical="center"/>
    </xf>
    <xf numFmtId="0" fontId="7" fillId="0" borderId="10" xfId="57" applyFont="1" applyBorder="1" applyAlignment="1">
      <alignment horizontal="center" vertical="center"/>
      <protection/>
    </xf>
    <xf numFmtId="0" fontId="5" fillId="0" borderId="0" xfId="69" applyFont="1" applyFill="1" applyBorder="1">
      <alignment/>
      <protection/>
    </xf>
    <xf numFmtId="0" fontId="5" fillId="0" borderId="0" xfId="69" applyFont="1">
      <alignment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69" applyFont="1" applyAlignment="1">
      <alignment horizontal="center"/>
      <protection/>
    </xf>
    <xf numFmtId="0" fontId="5" fillId="33" borderId="10" xfId="69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9" xfId="57" applyFont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5" fillId="34" borderId="28" xfId="57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/>
    </xf>
    <xf numFmtId="3" fontId="7" fillId="34" borderId="10" xfId="46" applyNumberFormat="1" applyFont="1" applyFill="1" applyBorder="1" applyAlignment="1">
      <alignment horizontal="right" vertical="center"/>
    </xf>
    <xf numFmtId="0" fontId="5" fillId="34" borderId="10" xfId="57" applyFont="1" applyFill="1" applyBorder="1" applyAlignment="1">
      <alignment vertical="center" wrapText="1"/>
      <protection/>
    </xf>
    <xf numFmtId="3" fontId="5" fillId="34" borderId="10" xfId="46" applyNumberFormat="1" applyFont="1" applyFill="1" applyBorder="1" applyAlignment="1">
      <alignment horizontal="right" vertical="center" wrapText="1"/>
    </xf>
    <xf numFmtId="0" fontId="7" fillId="34" borderId="10" xfId="57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0" xfId="57" applyFont="1" applyAlignment="1">
      <alignment horizontal="right" vertical="center"/>
      <protection/>
    </xf>
    <xf numFmtId="3" fontId="5" fillId="34" borderId="26" xfId="46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5" fillId="0" borderId="29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57" applyNumberFormat="1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10" fillId="0" borderId="0" xfId="46" applyNumberFormat="1" applyFont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57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0" xfId="69" applyFont="1" applyFill="1" applyBorder="1" applyAlignment="1">
      <alignment horizontal="center"/>
      <protection/>
    </xf>
    <xf numFmtId="0" fontId="5" fillId="0" borderId="10" xfId="69" applyFont="1" applyFill="1" applyBorder="1">
      <alignment/>
      <protection/>
    </xf>
    <xf numFmtId="0" fontId="7" fillId="0" borderId="10" xfId="69" applyFont="1" applyFill="1" applyBorder="1">
      <alignment/>
      <protection/>
    </xf>
    <xf numFmtId="0" fontId="5" fillId="0" borderId="0" xfId="69" applyFont="1" applyFill="1">
      <alignment/>
      <protection/>
    </xf>
    <xf numFmtId="0" fontId="1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7" fillId="0" borderId="10" xfId="46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" fontId="73" fillId="0" borderId="0" xfId="0" applyNumberFormat="1" applyFont="1" applyAlignment="1">
      <alignment vertical="center"/>
    </xf>
    <xf numFmtId="3" fontId="5" fillId="0" borderId="20" xfId="46" applyNumberFormat="1" applyFont="1" applyBorder="1" applyAlignment="1">
      <alignment vertical="center"/>
    </xf>
    <xf numFmtId="3" fontId="5" fillId="0" borderId="26" xfId="46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7" fontId="73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0" borderId="25" xfId="57" applyFont="1" applyBorder="1" applyAlignment="1">
      <alignment vertical="center" wrapText="1"/>
      <protection/>
    </xf>
    <xf numFmtId="0" fontId="5" fillId="0" borderId="27" xfId="57" applyFont="1" applyFill="1" applyBorder="1" applyAlignment="1">
      <alignment vertical="center" wrapText="1"/>
      <protection/>
    </xf>
    <xf numFmtId="0" fontId="5" fillId="33" borderId="32" xfId="0" applyFont="1" applyFill="1" applyBorder="1" applyAlignment="1">
      <alignment horizontal="center" vertical="center" wrapText="1"/>
    </xf>
    <xf numFmtId="0" fontId="7" fillId="0" borderId="33" xfId="57" applyFont="1" applyBorder="1" applyAlignment="1">
      <alignment vertical="center" wrapText="1"/>
      <protection/>
    </xf>
    <xf numFmtId="3" fontId="7" fillId="0" borderId="34" xfId="46" applyNumberFormat="1" applyFont="1" applyBorder="1" applyAlignment="1">
      <alignment vertical="center"/>
    </xf>
    <xf numFmtId="3" fontId="7" fillId="0" borderId="32" xfId="46" applyNumberFormat="1" applyFont="1" applyBorder="1" applyAlignment="1">
      <alignment vertical="center"/>
    </xf>
    <xf numFmtId="3" fontId="7" fillId="0" borderId="33" xfId="46" applyNumberFormat="1" applyFont="1" applyBorder="1" applyAlignment="1">
      <alignment vertical="center"/>
    </xf>
    <xf numFmtId="3" fontId="7" fillId="0" borderId="35" xfId="46" applyNumberFormat="1" applyFont="1" applyBorder="1" applyAlignment="1">
      <alignment vertical="center"/>
    </xf>
    <xf numFmtId="3" fontId="7" fillId="0" borderId="36" xfId="46" applyNumberFormat="1" applyFont="1" applyBorder="1" applyAlignment="1">
      <alignment vertical="center"/>
    </xf>
    <xf numFmtId="3" fontId="7" fillId="0" borderId="37" xfId="46" applyNumberFormat="1" applyFont="1" applyBorder="1" applyAlignment="1">
      <alignment vertical="center"/>
    </xf>
    <xf numFmtId="0" fontId="5" fillId="0" borderId="25" xfId="57" applyFont="1" applyFill="1" applyBorder="1" applyAlignment="1">
      <alignment vertical="center" wrapText="1"/>
      <protection/>
    </xf>
    <xf numFmtId="3" fontId="5" fillId="0" borderId="13" xfId="46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0" fontId="18" fillId="0" borderId="0" xfId="46" applyNumberFormat="1" applyFont="1" applyBorder="1" applyAlignment="1">
      <alignment vertical="center"/>
    </xf>
    <xf numFmtId="10" fontId="3" fillId="0" borderId="0" xfId="46" applyNumberFormat="1" applyFont="1" applyBorder="1" applyAlignment="1">
      <alignment vertical="center"/>
    </xf>
    <xf numFmtId="9" fontId="3" fillId="0" borderId="28" xfId="46" applyNumberFormat="1" applyFont="1" applyBorder="1" applyAlignment="1">
      <alignment vertical="center"/>
    </xf>
    <xf numFmtId="9" fontId="3" fillId="0" borderId="38" xfId="46" applyNumberFormat="1" applyFont="1" applyBorder="1" applyAlignment="1">
      <alignment vertical="center"/>
    </xf>
    <xf numFmtId="9" fontId="3" fillId="0" borderId="39" xfId="46" applyNumberFormat="1" applyFont="1" applyBorder="1" applyAlignment="1">
      <alignment vertical="center"/>
    </xf>
    <xf numFmtId="9" fontId="3" fillId="0" borderId="10" xfId="46" applyNumberFormat="1" applyFont="1" applyBorder="1" applyAlignment="1">
      <alignment vertical="center"/>
    </xf>
    <xf numFmtId="9" fontId="3" fillId="0" borderId="18" xfId="46" applyNumberFormat="1" applyFont="1" applyBorder="1" applyAlignment="1">
      <alignment vertical="center"/>
    </xf>
    <xf numFmtId="9" fontId="3" fillId="0" borderId="13" xfId="46" applyNumberFormat="1" applyFont="1" applyBorder="1" applyAlignment="1">
      <alignment vertical="center"/>
    </xf>
    <xf numFmtId="9" fontId="3" fillId="0" borderId="31" xfId="46" applyNumberFormat="1" applyFont="1" applyBorder="1" applyAlignment="1">
      <alignment vertical="center"/>
    </xf>
    <xf numFmtId="9" fontId="3" fillId="0" borderId="34" xfId="46" applyNumberFormat="1" applyFont="1" applyBorder="1" applyAlignment="1">
      <alignment vertical="center"/>
    </xf>
    <xf numFmtId="9" fontId="3" fillId="0" borderId="35" xfId="46" applyNumberFormat="1" applyFont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0" fontId="5" fillId="0" borderId="24" xfId="57" applyFont="1" applyBorder="1" applyAlignment="1">
      <alignment vertical="center" wrapText="1"/>
      <protection/>
    </xf>
    <xf numFmtId="0" fontId="7" fillId="0" borderId="40" xfId="57" applyFont="1" applyBorder="1" applyAlignment="1">
      <alignment vertical="center" wrapText="1"/>
      <protection/>
    </xf>
    <xf numFmtId="0" fontId="13" fillId="0" borderId="26" xfId="0" applyFont="1" applyBorder="1" applyAlignment="1">
      <alignment horizontal="center" vertical="center"/>
    </xf>
    <xf numFmtId="0" fontId="5" fillId="0" borderId="22" xfId="57" applyFont="1" applyFill="1" applyBorder="1" applyAlignment="1">
      <alignment vertical="center" wrapText="1"/>
      <protection/>
    </xf>
    <xf numFmtId="0" fontId="5" fillId="0" borderId="19" xfId="57" applyFont="1" applyFill="1" applyBorder="1" applyAlignment="1">
      <alignment vertical="center" wrapText="1"/>
      <protection/>
    </xf>
    <xf numFmtId="167" fontId="5" fillId="0" borderId="0" xfId="0" applyNumberFormat="1" applyFont="1" applyAlignment="1">
      <alignment/>
    </xf>
    <xf numFmtId="3" fontId="7" fillId="0" borderId="10" xfId="57" applyNumberFormat="1" applyFont="1" applyBorder="1" applyAlignment="1">
      <alignment vertical="center"/>
      <protection/>
    </xf>
    <xf numFmtId="167" fontId="5" fillId="33" borderId="13" xfId="46" applyNumberFormat="1" applyFont="1" applyFill="1" applyBorder="1" applyAlignment="1">
      <alignment horizontal="center" vertical="center"/>
    </xf>
    <xf numFmtId="167" fontId="7" fillId="0" borderId="11" xfId="46" applyNumberFormat="1" applyFont="1" applyBorder="1" applyAlignment="1">
      <alignment vertical="center"/>
    </xf>
    <xf numFmtId="167" fontId="7" fillId="0" borderId="10" xfId="46" applyNumberFormat="1" applyFont="1" applyBorder="1" applyAlignment="1">
      <alignment horizontal="center" vertical="center" wrapText="1"/>
    </xf>
    <xf numFmtId="0" fontId="7" fillId="0" borderId="12" xfId="57" applyFont="1" applyBorder="1" applyAlignment="1">
      <alignment vertical="center"/>
      <protection/>
    </xf>
    <xf numFmtId="167" fontId="5" fillId="0" borderId="0" xfId="57" applyNumberFormat="1" applyFont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66" fontId="7" fillId="0" borderId="29" xfId="46" applyNumberFormat="1" applyFont="1" applyFill="1" applyBorder="1" applyAlignment="1">
      <alignment horizontal="center" vertical="center" wrapText="1"/>
    </xf>
    <xf numFmtId="3" fontId="73" fillId="0" borderId="0" xfId="57" applyNumberFormat="1" applyFont="1" applyAlignment="1">
      <alignment vertical="center"/>
      <protection/>
    </xf>
    <xf numFmtId="3" fontId="74" fillId="0" borderId="0" xfId="57" applyNumberFormat="1" applyFont="1" applyAlignment="1">
      <alignment vertical="center"/>
      <protection/>
    </xf>
    <xf numFmtId="3" fontId="5" fillId="0" borderId="0" xfId="0" applyNumberFormat="1" applyFont="1" applyAlignment="1">
      <alignment/>
    </xf>
    <xf numFmtId="0" fontId="75" fillId="0" borderId="1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9" fillId="0" borderId="0" xfId="69" applyFont="1" applyFill="1" applyBorder="1" applyAlignment="1">
      <alignment vertical="center"/>
      <protection/>
    </xf>
    <xf numFmtId="0" fontId="19" fillId="0" borderId="0" xfId="69" applyFont="1" applyAlignment="1">
      <alignment vertical="center"/>
      <protection/>
    </xf>
    <xf numFmtId="0" fontId="17" fillId="0" borderId="0" xfId="57" applyFont="1" applyFill="1" applyAlignment="1">
      <alignment vertical="center"/>
      <protection/>
    </xf>
    <xf numFmtId="0" fontId="17" fillId="0" borderId="0" xfId="57" applyFont="1" applyFill="1" applyAlignment="1">
      <alignment horizontal="right" vertical="center"/>
      <protection/>
    </xf>
    <xf numFmtId="0" fontId="76" fillId="0" borderId="0" xfId="69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7" fillId="0" borderId="0" xfId="69" applyFont="1" applyAlignment="1">
      <alignment horizontal="center" vertical="center"/>
      <protection/>
    </xf>
    <xf numFmtId="0" fontId="19" fillId="0" borderId="0" xfId="69" applyFont="1" applyFill="1" applyAlignment="1">
      <alignment vertical="center"/>
      <protection/>
    </xf>
    <xf numFmtId="0" fontId="20" fillId="0" borderId="0" xfId="69" applyFont="1" applyFill="1" applyBorder="1" applyAlignment="1">
      <alignment vertical="center" wrapText="1"/>
      <protection/>
    </xf>
    <xf numFmtId="0" fontId="76" fillId="0" borderId="0" xfId="69" applyFont="1" applyFill="1" applyAlignment="1">
      <alignment vertical="center"/>
      <protection/>
    </xf>
    <xf numFmtId="0" fontId="19" fillId="0" borderId="0" xfId="69" applyFont="1" applyFill="1" applyBorder="1" applyAlignment="1">
      <alignment horizontal="center" vertical="center"/>
      <protection/>
    </xf>
    <xf numFmtId="0" fontId="17" fillId="0" borderId="29" xfId="69" applyFont="1" applyBorder="1" applyAlignment="1">
      <alignment vertical="center"/>
      <protection/>
    </xf>
    <xf numFmtId="0" fontId="17" fillId="0" borderId="0" xfId="0" applyFont="1" applyAlignment="1">
      <alignment horizontal="right" vertical="center"/>
    </xf>
    <xf numFmtId="0" fontId="76" fillId="34" borderId="0" xfId="69" applyFont="1" applyFill="1" applyAlignment="1">
      <alignment vertical="center"/>
      <protection/>
    </xf>
    <xf numFmtId="0" fontId="19" fillId="33" borderId="10" xfId="69" applyFont="1" applyFill="1" applyBorder="1" applyAlignment="1">
      <alignment horizontal="center" vertical="center"/>
      <protection/>
    </xf>
    <xf numFmtId="0" fontId="17" fillId="33" borderId="10" xfId="69" applyFont="1" applyFill="1" applyBorder="1" applyAlignment="1">
      <alignment horizontal="center" vertical="center"/>
      <protection/>
    </xf>
    <xf numFmtId="0" fontId="76" fillId="34" borderId="0" xfId="69" applyFont="1" applyFill="1" applyBorder="1" applyAlignment="1">
      <alignment horizontal="center" vertical="center"/>
      <protection/>
    </xf>
    <xf numFmtId="0" fontId="17" fillId="33" borderId="11" xfId="69" applyFont="1" applyFill="1" applyBorder="1" applyAlignment="1">
      <alignment horizontal="center" vertical="center"/>
      <protection/>
    </xf>
    <xf numFmtId="0" fontId="16" fillId="0" borderId="10" xfId="69" applyFont="1" applyBorder="1" applyAlignment="1">
      <alignment vertical="center"/>
      <protection/>
    </xf>
    <xf numFmtId="0" fontId="17" fillId="0" borderId="10" xfId="57" applyFont="1" applyFill="1" applyBorder="1" applyAlignment="1">
      <alignment vertical="center" wrapText="1"/>
      <protection/>
    </xf>
    <xf numFmtId="3" fontId="17" fillId="0" borderId="15" xfId="46" applyNumberFormat="1" applyFont="1" applyBorder="1" applyAlignment="1">
      <alignment horizontal="right" vertical="center"/>
    </xf>
    <xf numFmtId="3" fontId="17" fillId="0" borderId="10" xfId="46" applyNumberFormat="1" applyFont="1" applyFill="1" applyBorder="1" applyAlignment="1">
      <alignment horizontal="right" vertical="center"/>
    </xf>
    <xf numFmtId="3" fontId="76" fillId="0" borderId="0" xfId="69" applyNumberFormat="1" applyFont="1" applyAlignment="1">
      <alignment vertical="center"/>
      <protection/>
    </xf>
    <xf numFmtId="0" fontId="17" fillId="0" borderId="10" xfId="57" applyFont="1" applyBorder="1" applyAlignment="1">
      <alignment vertical="center" wrapText="1"/>
      <protection/>
    </xf>
    <xf numFmtId="3" fontId="17" fillId="0" borderId="10" xfId="46" applyNumberFormat="1" applyFont="1" applyBorder="1" applyAlignment="1">
      <alignment horizontal="right" vertical="center" wrapText="1"/>
    </xf>
    <xf numFmtId="3" fontId="17" fillId="0" borderId="10" xfId="46" applyNumberFormat="1" applyFont="1" applyBorder="1" applyAlignment="1">
      <alignment horizontal="right" vertical="center"/>
    </xf>
    <xf numFmtId="0" fontId="16" fillId="33" borderId="10" xfId="69" applyFont="1" applyFill="1" applyBorder="1" applyAlignment="1">
      <alignment horizontal="center" vertical="center"/>
      <protection/>
    </xf>
    <xf numFmtId="0" fontId="16" fillId="0" borderId="10" xfId="57" applyFont="1" applyBorder="1" applyAlignment="1">
      <alignment vertical="center" wrapText="1"/>
      <protection/>
    </xf>
    <xf numFmtId="3" fontId="16" fillId="0" borderId="10" xfId="46" applyNumberFormat="1" applyFont="1" applyBorder="1" applyAlignment="1">
      <alignment horizontal="right" vertical="center"/>
    </xf>
    <xf numFmtId="0" fontId="20" fillId="0" borderId="0" xfId="69" applyFont="1" applyAlignment="1">
      <alignment vertical="center"/>
      <protection/>
    </xf>
    <xf numFmtId="0" fontId="19" fillId="0" borderId="0" xfId="69" applyFont="1" applyBorder="1" applyAlignment="1">
      <alignment horizontal="center" vertical="center"/>
      <protection/>
    </xf>
    <xf numFmtId="3" fontId="19" fillId="0" borderId="0" xfId="69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5" fillId="0" borderId="0" xfId="46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73" fillId="0" borderId="0" xfId="46" applyNumberFormat="1" applyFont="1" applyBorder="1" applyAlignment="1">
      <alignment vertical="center"/>
    </xf>
    <xf numFmtId="0" fontId="74" fillId="0" borderId="0" xfId="0" applyFont="1" applyAlignment="1">
      <alignment/>
    </xf>
    <xf numFmtId="9" fontId="3" fillId="0" borderId="33" xfId="46" applyNumberFormat="1" applyFont="1" applyBorder="1" applyAlignment="1">
      <alignment vertical="center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76" fillId="0" borderId="0" xfId="0" applyNumberFormat="1" applyFont="1" applyAlignment="1">
      <alignment vertical="center"/>
    </xf>
    <xf numFmtId="167" fontId="76" fillId="0" borderId="0" xfId="0" applyNumberFormat="1" applyFont="1" applyAlignment="1">
      <alignment/>
    </xf>
    <xf numFmtId="3" fontId="73" fillId="35" borderId="0" xfId="57" applyNumberFormat="1" applyFont="1" applyFill="1" applyAlignment="1">
      <alignment vertical="center"/>
      <protection/>
    </xf>
    <xf numFmtId="9" fontId="5" fillId="0" borderId="10" xfId="46" applyNumberFormat="1" applyFont="1" applyBorder="1" applyAlignment="1">
      <alignment vertical="center"/>
    </xf>
    <xf numFmtId="9" fontId="18" fillId="0" borderId="13" xfId="46" applyNumberFormat="1" applyFont="1" applyBorder="1" applyAlignment="1">
      <alignment vertical="center"/>
    </xf>
    <xf numFmtId="9" fontId="5" fillId="0" borderId="15" xfId="46" applyNumberFormat="1" applyFont="1" applyBorder="1" applyAlignment="1">
      <alignment vertical="center"/>
    </xf>
    <xf numFmtId="9" fontId="5" fillId="0" borderId="44" xfId="46" applyNumberFormat="1" applyFont="1" applyBorder="1" applyAlignment="1">
      <alignment vertical="center"/>
    </xf>
    <xf numFmtId="9" fontId="5" fillId="0" borderId="12" xfId="46" applyNumberFormat="1" applyFont="1" applyBorder="1" applyAlignment="1">
      <alignment vertical="center"/>
    </xf>
    <xf numFmtId="9" fontId="18" fillId="0" borderId="31" xfId="46" applyNumberFormat="1" applyFont="1" applyBorder="1" applyAlignment="1">
      <alignment vertical="center"/>
    </xf>
    <xf numFmtId="9" fontId="5" fillId="0" borderId="13" xfId="46" applyNumberFormat="1" applyFont="1" applyBorder="1" applyAlignment="1">
      <alignment vertical="center"/>
    </xf>
    <xf numFmtId="9" fontId="5" fillId="0" borderId="20" xfId="46" applyNumberFormat="1" applyFont="1" applyBorder="1" applyAlignment="1">
      <alignment vertical="center"/>
    </xf>
    <xf numFmtId="9" fontId="5" fillId="0" borderId="45" xfId="46" applyNumberFormat="1" applyFont="1" applyBorder="1" applyAlignment="1">
      <alignment vertical="center"/>
    </xf>
    <xf numFmtId="9" fontId="5" fillId="0" borderId="26" xfId="46" applyNumberFormat="1" applyFont="1" applyBorder="1" applyAlignment="1">
      <alignment vertical="center"/>
    </xf>
    <xf numFmtId="9" fontId="7" fillId="0" borderId="34" xfId="46" applyNumberFormat="1" applyFont="1" applyBorder="1" applyAlignment="1">
      <alignment vertical="center"/>
    </xf>
    <xf numFmtId="9" fontId="7" fillId="0" borderId="36" xfId="46" applyNumberFormat="1" applyFont="1" applyBorder="1" applyAlignment="1">
      <alignment vertical="center"/>
    </xf>
    <xf numFmtId="9" fontId="7" fillId="0" borderId="37" xfId="46" applyNumberFormat="1" applyFont="1" applyBorder="1" applyAlignment="1">
      <alignment vertical="center"/>
    </xf>
    <xf numFmtId="9" fontId="7" fillId="0" borderId="32" xfId="46" applyNumberFormat="1" applyFont="1" applyBorder="1" applyAlignment="1">
      <alignment vertical="center"/>
    </xf>
    <xf numFmtId="9" fontId="5" fillId="0" borderId="11" xfId="46" applyNumberFormat="1" applyFont="1" applyBorder="1" applyAlignment="1">
      <alignment vertical="center"/>
    </xf>
    <xf numFmtId="9" fontId="5" fillId="0" borderId="16" xfId="46" applyNumberFormat="1" applyFont="1" applyBorder="1" applyAlignment="1">
      <alignment vertical="center"/>
    </xf>
    <xf numFmtId="9" fontId="5" fillId="0" borderId="17" xfId="46" applyNumberFormat="1" applyFont="1" applyBorder="1" applyAlignment="1">
      <alignment vertical="center"/>
    </xf>
    <xf numFmtId="9" fontId="5" fillId="0" borderId="29" xfId="46" applyNumberFormat="1" applyFont="1" applyBorder="1" applyAlignment="1">
      <alignment vertical="center"/>
    </xf>
    <xf numFmtId="9" fontId="5" fillId="0" borderId="20" xfId="46" applyNumberFormat="1" applyFont="1" applyBorder="1" applyAlignment="1">
      <alignment horizontal="center" vertical="center"/>
    </xf>
    <xf numFmtId="9" fontId="5" fillId="0" borderId="13" xfId="46" applyNumberFormat="1" applyFont="1" applyBorder="1" applyAlignment="1">
      <alignment horizontal="center" vertical="center"/>
    </xf>
    <xf numFmtId="9" fontId="5" fillId="0" borderId="19" xfId="46" applyNumberFormat="1" applyFont="1" applyBorder="1" applyAlignment="1">
      <alignment vertical="center"/>
    </xf>
    <xf numFmtId="9" fontId="5" fillId="0" borderId="25" xfId="46" applyNumberFormat="1" applyFont="1" applyBorder="1" applyAlignment="1">
      <alignment vertical="center"/>
    </xf>
    <xf numFmtId="9" fontId="7" fillId="0" borderId="33" xfId="46" applyNumberFormat="1" applyFont="1" applyBorder="1" applyAlignment="1">
      <alignment vertical="center"/>
    </xf>
    <xf numFmtId="9" fontId="18" fillId="0" borderId="30" xfId="46" applyNumberFormat="1" applyFont="1" applyBorder="1" applyAlignment="1">
      <alignment vertical="center"/>
    </xf>
    <xf numFmtId="9" fontId="5" fillId="0" borderId="46" xfId="46" applyNumberFormat="1" applyFont="1" applyBorder="1" applyAlignment="1">
      <alignment vertical="center"/>
    </xf>
    <xf numFmtId="9" fontId="5" fillId="0" borderId="13" xfId="46" applyNumberFormat="1" applyFont="1" applyFill="1" applyBorder="1" applyAlignment="1">
      <alignment vertical="center"/>
    </xf>
    <xf numFmtId="9" fontId="5" fillId="0" borderId="26" xfId="46" applyNumberFormat="1" applyFont="1" applyFill="1" applyBorder="1" applyAlignment="1">
      <alignment vertical="center"/>
    </xf>
    <xf numFmtId="9" fontId="5" fillId="34" borderId="26" xfId="46" applyNumberFormat="1" applyFont="1" applyFill="1" applyBorder="1" applyAlignment="1">
      <alignment vertical="center"/>
    </xf>
    <xf numFmtId="9" fontId="5" fillId="34" borderId="38" xfId="46" applyNumberFormat="1" applyFont="1" applyFill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vertical="center"/>
    </xf>
    <xf numFmtId="0" fontId="5" fillId="33" borderId="10" xfId="69" applyFont="1" applyFill="1" applyBorder="1" applyAlignment="1">
      <alignment horizontal="center"/>
      <protection/>
    </xf>
    <xf numFmtId="0" fontId="5" fillId="33" borderId="15" xfId="69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vertical="center"/>
    </xf>
    <xf numFmtId="3" fontId="7" fillId="0" borderId="47" xfId="46" applyNumberFormat="1" applyFont="1" applyBorder="1" applyAlignment="1">
      <alignment vertical="center"/>
    </xf>
    <xf numFmtId="3" fontId="7" fillId="0" borderId="48" xfId="46" applyNumberFormat="1" applyFont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3" fontId="7" fillId="0" borderId="35" xfId="46" applyNumberFormat="1" applyFont="1" applyFill="1" applyBorder="1" applyAlignment="1">
      <alignment vertical="center"/>
    </xf>
    <xf numFmtId="3" fontId="5" fillId="0" borderId="38" xfId="46" applyNumberFormat="1" applyFont="1" applyFill="1" applyBorder="1" applyAlignment="1">
      <alignment vertical="center"/>
    </xf>
    <xf numFmtId="3" fontId="73" fillId="0" borderId="0" xfId="0" applyNumberFormat="1" applyFont="1" applyFill="1" applyAlignment="1">
      <alignment vertical="center"/>
    </xf>
    <xf numFmtId="167" fontId="76" fillId="0" borderId="0" xfId="0" applyNumberFormat="1" applyFont="1" applyFill="1" applyAlignment="1">
      <alignment vertical="center"/>
    </xf>
    <xf numFmtId="9" fontId="5" fillId="0" borderId="28" xfId="46" applyNumberFormat="1" applyFont="1" applyFill="1" applyBorder="1" applyAlignment="1">
      <alignment vertical="center"/>
    </xf>
    <xf numFmtId="9" fontId="5" fillId="0" borderId="12" xfId="46" applyNumberFormat="1" applyFont="1" applyFill="1" applyBorder="1" applyAlignment="1">
      <alignment vertical="center"/>
    </xf>
    <xf numFmtId="9" fontId="18" fillId="0" borderId="13" xfId="46" applyNumberFormat="1" applyFont="1" applyFill="1" applyBorder="1" applyAlignment="1">
      <alignment vertical="center"/>
    </xf>
    <xf numFmtId="9" fontId="5" fillId="0" borderId="38" xfId="46" applyNumberFormat="1" applyFont="1" applyFill="1" applyBorder="1" applyAlignment="1">
      <alignment vertical="center"/>
    </xf>
    <xf numFmtId="9" fontId="7" fillId="0" borderId="39" xfId="46" applyNumberFormat="1" applyFont="1" applyFill="1" applyBorder="1" applyAlignment="1">
      <alignment vertical="center"/>
    </xf>
    <xf numFmtId="9" fontId="7" fillId="0" borderId="32" xfId="46" applyNumberFormat="1" applyFont="1" applyFill="1" applyBorder="1" applyAlignment="1">
      <alignment vertical="center"/>
    </xf>
    <xf numFmtId="9" fontId="3" fillId="0" borderId="34" xfId="46" applyNumberFormat="1" applyFont="1" applyFill="1" applyBorder="1" applyAlignment="1">
      <alignment vertical="center"/>
    </xf>
    <xf numFmtId="9" fontId="5" fillId="0" borderId="46" xfId="46" applyNumberFormat="1" applyFont="1" applyFill="1" applyBorder="1" applyAlignment="1">
      <alignment vertical="center"/>
    </xf>
    <xf numFmtId="9" fontId="5" fillId="0" borderId="17" xfId="46" applyNumberFormat="1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3" fontId="5" fillId="0" borderId="31" xfId="46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wrapText="1"/>
    </xf>
    <xf numFmtId="3" fontId="7" fillId="0" borderId="15" xfId="46" applyNumberFormat="1" applyFont="1" applyFill="1" applyBorder="1" applyAlignment="1">
      <alignment vertical="center"/>
    </xf>
    <xf numFmtId="3" fontId="7" fillId="0" borderId="36" xfId="46" applyNumberFormat="1" applyFont="1" applyFill="1" applyBorder="1" applyAlignment="1">
      <alignment vertical="center"/>
    </xf>
    <xf numFmtId="9" fontId="5" fillId="0" borderId="19" xfId="46" applyNumberFormat="1" applyFont="1" applyFill="1" applyBorder="1" applyAlignment="1">
      <alignment vertical="center"/>
    </xf>
    <xf numFmtId="9" fontId="5" fillId="0" borderId="10" xfId="46" applyNumberFormat="1" applyFont="1" applyFill="1" applyBorder="1" applyAlignment="1">
      <alignment vertical="center"/>
    </xf>
    <xf numFmtId="9" fontId="18" fillId="0" borderId="31" xfId="46" applyNumberFormat="1" applyFont="1" applyFill="1" applyBorder="1" applyAlignment="1">
      <alignment vertical="center"/>
    </xf>
    <xf numFmtId="9" fontId="5" fillId="0" borderId="25" xfId="46" applyNumberFormat="1" applyFont="1" applyFill="1" applyBorder="1" applyAlignment="1">
      <alignment vertical="center"/>
    </xf>
    <xf numFmtId="9" fontId="7" fillId="0" borderId="33" xfId="46" applyNumberFormat="1" applyFont="1" applyFill="1" applyBorder="1" applyAlignment="1">
      <alignment vertical="center"/>
    </xf>
    <xf numFmtId="9" fontId="7" fillId="0" borderId="34" xfId="46" applyNumberFormat="1" applyFont="1" applyFill="1" applyBorder="1" applyAlignment="1">
      <alignment vertical="center"/>
    </xf>
    <xf numFmtId="9" fontId="3" fillId="0" borderId="35" xfId="46" applyNumberFormat="1" applyFont="1" applyFill="1" applyBorder="1" applyAlignment="1">
      <alignment vertical="center"/>
    </xf>
    <xf numFmtId="9" fontId="5" fillId="0" borderId="27" xfId="46" applyNumberFormat="1" applyFont="1" applyFill="1" applyBorder="1" applyAlignment="1">
      <alignment vertical="center"/>
    </xf>
    <xf numFmtId="9" fontId="5" fillId="0" borderId="11" xfId="46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3" fontId="5" fillId="0" borderId="10" xfId="46" applyNumberFormat="1" applyFont="1" applyFill="1" applyBorder="1" applyAlignment="1">
      <alignment vertical="center"/>
    </xf>
    <xf numFmtId="3" fontId="7" fillId="0" borderId="34" xfId="46" applyNumberFormat="1" applyFont="1" applyFill="1" applyBorder="1" applyAlignment="1">
      <alignment vertical="center"/>
    </xf>
    <xf numFmtId="3" fontId="7" fillId="0" borderId="44" xfId="46" applyNumberFormat="1" applyFont="1" applyBorder="1" applyAlignment="1">
      <alignment vertical="center"/>
    </xf>
    <xf numFmtId="3" fontId="5" fillId="0" borderId="19" xfId="46" applyNumberFormat="1" applyFont="1" applyFill="1" applyBorder="1" applyAlignment="1">
      <alignment vertical="center"/>
    </xf>
    <xf numFmtId="3" fontId="5" fillId="0" borderId="18" xfId="46" applyNumberFormat="1" applyFont="1" applyFill="1" applyBorder="1" applyAlignment="1">
      <alignment vertical="center"/>
    </xf>
    <xf numFmtId="3" fontId="7" fillId="0" borderId="33" xfId="46" applyNumberFormat="1" applyFont="1" applyFill="1" applyBorder="1" applyAlignment="1">
      <alignment vertical="center"/>
    </xf>
    <xf numFmtId="3" fontId="5" fillId="0" borderId="25" xfId="46" applyNumberFormat="1" applyFont="1" applyFill="1" applyBorder="1" applyAlignment="1">
      <alignment vertical="center"/>
    </xf>
    <xf numFmtId="3" fontId="5" fillId="0" borderId="18" xfId="46" applyNumberFormat="1" applyFont="1" applyBorder="1" applyAlignment="1">
      <alignment vertical="center"/>
    </xf>
    <xf numFmtId="3" fontId="5" fillId="0" borderId="31" xfId="46" applyNumberFormat="1" applyFont="1" applyBorder="1" applyAlignment="1">
      <alignment vertical="center"/>
    </xf>
    <xf numFmtId="3" fontId="73" fillId="0" borderId="0" xfId="0" applyNumberFormat="1" applyFont="1" applyFill="1" applyAlignment="1">
      <alignment/>
    </xf>
    <xf numFmtId="167" fontId="76" fillId="0" borderId="0" xfId="0" applyNumberFormat="1" applyFont="1" applyFill="1" applyAlignment="1">
      <alignment/>
    </xf>
    <xf numFmtId="9" fontId="7" fillId="0" borderId="36" xfId="46" applyNumberFormat="1" applyFont="1" applyFill="1" applyBorder="1" applyAlignment="1">
      <alignment vertical="center"/>
    </xf>
    <xf numFmtId="9" fontId="5" fillId="0" borderId="49" xfId="46" applyNumberFormat="1" applyFont="1" applyFill="1" applyBorder="1" applyAlignment="1">
      <alignment vertical="center"/>
    </xf>
    <xf numFmtId="9" fontId="18" fillId="0" borderId="50" xfId="46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9" fontId="18" fillId="0" borderId="30" xfId="46" applyNumberFormat="1" applyFont="1" applyFill="1" applyBorder="1" applyAlignment="1">
      <alignment vertical="center"/>
    </xf>
    <xf numFmtId="3" fontId="7" fillId="0" borderId="48" xfId="46" applyNumberFormat="1" applyFont="1" applyFill="1" applyBorder="1" applyAlignment="1">
      <alignment vertical="center"/>
    </xf>
    <xf numFmtId="3" fontId="7" fillId="0" borderId="40" xfId="46" applyNumberFormat="1" applyFont="1" applyFill="1" applyBorder="1" applyAlignment="1">
      <alignment vertical="center"/>
    </xf>
    <xf numFmtId="3" fontId="5" fillId="0" borderId="45" xfId="46" applyNumberFormat="1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3" fontId="5" fillId="0" borderId="11" xfId="46" applyNumberFormat="1" applyFont="1" applyFill="1" applyBorder="1" applyAlignment="1">
      <alignment vertical="center"/>
    </xf>
    <xf numFmtId="3" fontId="5" fillId="0" borderId="16" xfId="46" applyNumberFormat="1" applyFont="1" applyFill="1" applyBorder="1" applyAlignment="1">
      <alignment vertical="center"/>
    </xf>
    <xf numFmtId="3" fontId="5" fillId="0" borderId="17" xfId="46" applyNumberFormat="1" applyFont="1" applyFill="1" applyBorder="1" applyAlignment="1">
      <alignment vertical="center"/>
    </xf>
    <xf numFmtId="3" fontId="5" fillId="0" borderId="51" xfId="46" applyNumberFormat="1" applyFont="1" applyFill="1" applyBorder="1" applyAlignment="1">
      <alignment vertical="center"/>
    </xf>
    <xf numFmtId="3" fontId="7" fillId="0" borderId="44" xfId="46" applyNumberFormat="1" applyFont="1" applyFill="1" applyBorder="1" applyAlignment="1">
      <alignment vertical="center"/>
    </xf>
    <xf numFmtId="3" fontId="7" fillId="0" borderId="47" xfId="46" applyNumberFormat="1" applyFont="1" applyFill="1" applyBorder="1" applyAlignment="1">
      <alignment vertical="center"/>
    </xf>
    <xf numFmtId="9" fontId="3" fillId="0" borderId="28" xfId="46" applyNumberFormat="1" applyFont="1" applyFill="1" applyBorder="1" applyAlignment="1">
      <alignment vertical="center"/>
    </xf>
    <xf numFmtId="9" fontId="3" fillId="0" borderId="11" xfId="46" applyNumberFormat="1" applyFont="1" applyFill="1" applyBorder="1" applyAlignment="1">
      <alignment vertical="center"/>
    </xf>
    <xf numFmtId="9" fontId="3" fillId="0" borderId="18" xfId="46" applyNumberFormat="1" applyFont="1" applyFill="1" applyBorder="1" applyAlignment="1">
      <alignment vertical="center"/>
    </xf>
    <xf numFmtId="3" fontId="5" fillId="0" borderId="27" xfId="46" applyNumberFormat="1" applyFont="1" applyFill="1" applyBorder="1" applyAlignment="1">
      <alignment vertical="center"/>
    </xf>
    <xf numFmtId="3" fontId="5" fillId="0" borderId="49" xfId="46" applyNumberFormat="1" applyFont="1" applyFill="1" applyBorder="1" applyAlignment="1">
      <alignment vertical="center"/>
    </xf>
    <xf numFmtId="9" fontId="3" fillId="0" borderId="46" xfId="46" applyNumberFormat="1" applyFont="1" applyFill="1" applyBorder="1" applyAlignment="1">
      <alignment vertical="center"/>
    </xf>
    <xf numFmtId="9" fontId="3" fillId="0" borderId="51" xfId="46" applyNumberFormat="1" applyFont="1" applyFill="1" applyBorder="1" applyAlignment="1">
      <alignment vertical="center"/>
    </xf>
    <xf numFmtId="0" fontId="5" fillId="0" borderId="0" xfId="57" applyFont="1" applyFill="1" applyAlignment="1">
      <alignment vertical="center"/>
      <protection/>
    </xf>
    <xf numFmtId="3" fontId="5" fillId="0" borderId="52" xfId="46" applyNumberFormat="1" applyFont="1" applyFill="1" applyBorder="1" applyAlignment="1">
      <alignment vertical="center"/>
    </xf>
    <xf numFmtId="3" fontId="7" fillId="0" borderId="52" xfId="46" applyNumberFormat="1" applyFont="1" applyFill="1" applyBorder="1" applyAlignment="1">
      <alignment vertical="center"/>
    </xf>
    <xf numFmtId="3" fontId="14" fillId="0" borderId="52" xfId="46" applyNumberFormat="1" applyFont="1" applyFill="1" applyBorder="1" applyAlignment="1">
      <alignment vertical="center"/>
    </xf>
    <xf numFmtId="3" fontId="14" fillId="0" borderId="16" xfId="46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57" applyFont="1" applyBorder="1" applyAlignment="1">
      <alignment vertical="center"/>
      <protection/>
    </xf>
    <xf numFmtId="3" fontId="5" fillId="0" borderId="10" xfId="57" applyNumberFormat="1" applyFont="1" applyBorder="1" applyAlignment="1">
      <alignment vertical="center"/>
      <protection/>
    </xf>
    <xf numFmtId="0" fontId="5" fillId="0" borderId="10" xfId="57" applyFont="1" applyBorder="1" applyAlignment="1">
      <alignment vertical="center" wrapText="1"/>
      <protection/>
    </xf>
    <xf numFmtId="0" fontId="4" fillId="0" borderId="19" xfId="57" applyFont="1" applyBorder="1" applyAlignment="1">
      <alignment vertical="center" wrapText="1"/>
      <protection/>
    </xf>
    <xf numFmtId="0" fontId="9" fillId="0" borderId="33" xfId="57" applyFont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33" xfId="57" applyFont="1" applyBorder="1" applyAlignment="1">
      <alignment vertical="center" wrapText="1"/>
      <protection/>
    </xf>
    <xf numFmtId="0" fontId="9" fillId="0" borderId="19" xfId="57" applyFont="1" applyBorder="1" applyAlignment="1">
      <alignment vertical="center" wrapText="1"/>
      <protection/>
    </xf>
    <xf numFmtId="3" fontId="4" fillId="0" borderId="10" xfId="46" applyNumberFormat="1" applyFont="1" applyBorder="1" applyAlignment="1">
      <alignment vertical="center"/>
    </xf>
    <xf numFmtId="3" fontId="4" fillId="0" borderId="25" xfId="46" applyNumberFormat="1" applyFont="1" applyBorder="1" applyAlignment="1">
      <alignment vertical="center"/>
    </xf>
    <xf numFmtId="3" fontId="4" fillId="0" borderId="13" xfId="46" applyNumberFormat="1" applyFont="1" applyBorder="1" applyAlignment="1">
      <alignment vertical="center"/>
    </xf>
    <xf numFmtId="3" fontId="9" fillId="0" borderId="31" xfId="46" applyNumberFormat="1" applyFont="1" applyFill="1" applyBorder="1" applyAlignment="1">
      <alignment vertical="center"/>
    </xf>
    <xf numFmtId="3" fontId="9" fillId="0" borderId="13" xfId="46" applyNumberFormat="1" applyFont="1" applyBorder="1" applyAlignment="1">
      <alignment vertical="center"/>
    </xf>
    <xf numFmtId="3" fontId="9" fillId="0" borderId="25" xfId="46" applyNumberFormat="1" applyFont="1" applyBorder="1" applyAlignment="1">
      <alignment vertical="center"/>
    </xf>
    <xf numFmtId="3" fontId="9" fillId="0" borderId="34" xfId="46" applyNumberFormat="1" applyFont="1" applyBorder="1" applyAlignment="1">
      <alignment vertical="center"/>
    </xf>
    <xf numFmtId="3" fontId="9" fillId="0" borderId="35" xfId="46" applyNumberFormat="1" applyFont="1" applyFill="1" applyBorder="1" applyAlignment="1">
      <alignment vertical="center"/>
    </xf>
    <xf numFmtId="3" fontId="9" fillId="0" borderId="33" xfId="46" applyNumberFormat="1" applyFont="1" applyBorder="1" applyAlignment="1">
      <alignment vertical="center"/>
    </xf>
    <xf numFmtId="3" fontId="4" fillId="0" borderId="11" xfId="46" applyNumberFormat="1" applyFont="1" applyBorder="1" applyAlignment="1">
      <alignment vertical="center"/>
    </xf>
    <xf numFmtId="3" fontId="4" fillId="0" borderId="34" xfId="46" applyNumberFormat="1" applyFont="1" applyBorder="1" applyAlignment="1">
      <alignment vertical="center"/>
    </xf>
    <xf numFmtId="3" fontId="4" fillId="0" borderId="33" xfId="46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9" xfId="57" applyFont="1" applyBorder="1" applyAlignment="1">
      <alignment vertical="center" wrapText="1"/>
      <protection/>
    </xf>
    <xf numFmtId="3" fontId="17" fillId="0" borderId="19" xfId="46" applyNumberFormat="1" applyFont="1" applyBorder="1" applyAlignment="1">
      <alignment vertical="center"/>
    </xf>
    <xf numFmtId="3" fontId="17" fillId="0" borderId="10" xfId="46" applyNumberFormat="1" applyFont="1" applyBorder="1" applyAlignment="1">
      <alignment vertical="center"/>
    </xf>
    <xf numFmtId="3" fontId="17" fillId="0" borderId="12" xfId="46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/>
    </xf>
    <xf numFmtId="0" fontId="16" fillId="0" borderId="19" xfId="57" applyFont="1" applyBorder="1" applyAlignment="1">
      <alignment vertical="center" wrapText="1"/>
      <protection/>
    </xf>
    <xf numFmtId="3" fontId="17" fillId="0" borderId="25" xfId="46" applyNumberFormat="1" applyFont="1" applyBorder="1" applyAlignment="1">
      <alignment vertical="center"/>
    </xf>
    <xf numFmtId="3" fontId="17" fillId="0" borderId="13" xfId="46" applyNumberFormat="1" applyFont="1" applyBorder="1" applyAlignment="1">
      <alignment vertical="center"/>
    </xf>
    <xf numFmtId="3" fontId="17" fillId="0" borderId="26" xfId="46" applyNumberFormat="1" applyFont="1" applyBorder="1" applyAlignment="1">
      <alignment vertical="center"/>
    </xf>
    <xf numFmtId="3" fontId="17" fillId="0" borderId="20" xfId="46" applyNumberFormat="1" applyFont="1" applyBorder="1" applyAlignment="1">
      <alignment vertical="center"/>
    </xf>
    <xf numFmtId="3" fontId="17" fillId="0" borderId="45" xfId="46" applyNumberFormat="1" applyFont="1" applyBorder="1" applyAlignment="1">
      <alignment vertical="center"/>
    </xf>
    <xf numFmtId="0" fontId="17" fillId="0" borderId="24" xfId="57" applyFont="1" applyFill="1" applyBorder="1" applyAlignment="1">
      <alignment vertical="center" wrapText="1"/>
      <protection/>
    </xf>
    <xf numFmtId="3" fontId="17" fillId="0" borderId="53" xfId="46" applyNumberFormat="1" applyFont="1" applyBorder="1" applyAlignment="1">
      <alignment vertical="center"/>
    </xf>
    <xf numFmtId="3" fontId="17" fillId="0" borderId="42" xfId="46" applyNumberFormat="1" applyFont="1" applyBorder="1" applyAlignment="1">
      <alignment vertical="center"/>
    </xf>
    <xf numFmtId="3" fontId="17" fillId="0" borderId="41" xfId="46" applyNumberFormat="1" applyFont="1" applyBorder="1" applyAlignment="1">
      <alignment vertical="center"/>
    </xf>
    <xf numFmtId="0" fontId="16" fillId="0" borderId="40" xfId="57" applyFont="1" applyBorder="1" applyAlignment="1">
      <alignment vertical="center" wrapText="1"/>
      <protection/>
    </xf>
    <xf numFmtId="3" fontId="16" fillId="0" borderId="36" xfId="46" applyNumberFormat="1" applyFont="1" applyBorder="1" applyAlignment="1">
      <alignment vertical="center"/>
    </xf>
    <xf numFmtId="3" fontId="16" fillId="0" borderId="48" xfId="46" applyNumberFormat="1" applyFont="1" applyFill="1" applyBorder="1" applyAlignment="1">
      <alignment vertical="center"/>
    </xf>
    <xf numFmtId="3" fontId="16" fillId="0" borderId="34" xfId="46" applyNumberFormat="1" applyFont="1" applyBorder="1" applyAlignment="1">
      <alignment vertical="center"/>
    </xf>
    <xf numFmtId="3" fontId="16" fillId="0" borderId="32" xfId="46" applyNumberFormat="1" applyFont="1" applyBorder="1" applyAlignment="1">
      <alignment vertical="center"/>
    </xf>
    <xf numFmtId="3" fontId="16" fillId="0" borderId="35" xfId="46" applyNumberFormat="1" applyFont="1" applyFill="1" applyBorder="1" applyAlignment="1">
      <alignment vertical="center"/>
    </xf>
    <xf numFmtId="3" fontId="16" fillId="0" borderId="35" xfId="46" applyNumberFormat="1" applyFont="1" applyBorder="1" applyAlignment="1">
      <alignment vertical="center"/>
    </xf>
    <xf numFmtId="0" fontId="17" fillId="0" borderId="23" xfId="57" applyFont="1" applyFill="1" applyBorder="1" applyAlignment="1">
      <alignment vertical="center" wrapText="1"/>
      <protection/>
    </xf>
    <xf numFmtId="3" fontId="17" fillId="0" borderId="16" xfId="46" applyNumberFormat="1" applyFont="1" applyFill="1" applyBorder="1" applyAlignment="1">
      <alignment vertical="center"/>
    </xf>
    <xf numFmtId="3" fontId="17" fillId="0" borderId="11" xfId="46" applyNumberFormat="1" applyFont="1" applyFill="1" applyBorder="1" applyAlignment="1">
      <alignment vertical="center"/>
    </xf>
    <xf numFmtId="3" fontId="17" fillId="0" borderId="17" xfId="46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/>
    </xf>
    <xf numFmtId="3" fontId="17" fillId="0" borderId="13" xfId="46" applyNumberFormat="1" applyFont="1" applyFill="1" applyBorder="1" applyAlignment="1">
      <alignment vertical="center"/>
    </xf>
    <xf numFmtId="3" fontId="17" fillId="0" borderId="26" xfId="46" applyNumberFormat="1" applyFont="1" applyFill="1" applyBorder="1" applyAlignment="1">
      <alignment vertical="center"/>
    </xf>
    <xf numFmtId="3" fontId="17" fillId="34" borderId="26" xfId="46" applyNumberFormat="1" applyFont="1" applyFill="1" applyBorder="1" applyAlignment="1">
      <alignment vertical="center"/>
    </xf>
    <xf numFmtId="3" fontId="17" fillId="0" borderId="20" xfId="46" applyNumberFormat="1" applyFont="1" applyBorder="1" applyAlignment="1">
      <alignment horizontal="center" vertical="center"/>
    </xf>
    <xf numFmtId="3" fontId="16" fillId="0" borderId="37" xfId="46" applyNumberFormat="1" applyFont="1" applyBorder="1" applyAlignment="1">
      <alignment vertical="center"/>
    </xf>
    <xf numFmtId="3" fontId="16" fillId="0" borderId="40" xfId="46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3" fontId="16" fillId="0" borderId="31" xfId="46" applyNumberFormat="1" applyFont="1" applyFill="1" applyBorder="1" applyAlignment="1">
      <alignment vertical="center"/>
    </xf>
    <xf numFmtId="3" fontId="16" fillId="0" borderId="25" xfId="46" applyNumberFormat="1" applyFont="1" applyBorder="1" applyAlignment="1">
      <alignment vertical="center"/>
    </xf>
    <xf numFmtId="3" fontId="16" fillId="0" borderId="20" xfId="46" applyNumberFormat="1" applyFont="1" applyBorder="1" applyAlignment="1">
      <alignment vertical="center"/>
    </xf>
    <xf numFmtId="3" fontId="16" fillId="0" borderId="45" xfId="46" applyNumberFormat="1" applyFont="1" applyBorder="1" applyAlignment="1">
      <alignment vertical="center"/>
    </xf>
    <xf numFmtId="3" fontId="16" fillId="0" borderId="18" xfId="46" applyNumberFormat="1" applyFont="1" applyFill="1" applyBorder="1" applyAlignment="1">
      <alignment vertical="center"/>
    </xf>
    <xf numFmtId="3" fontId="16" fillId="0" borderId="19" xfId="46" applyNumberFormat="1" applyFont="1" applyBorder="1" applyAlignment="1">
      <alignment vertical="center"/>
    </xf>
    <xf numFmtId="3" fontId="16" fillId="0" borderId="10" xfId="46" applyNumberFormat="1" applyFont="1" applyBorder="1" applyAlignment="1">
      <alignment vertical="center"/>
    </xf>
    <xf numFmtId="3" fontId="16" fillId="0" borderId="18" xfId="46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/>
    </xf>
    <xf numFmtId="0" fontId="16" fillId="0" borderId="0" xfId="0" applyFont="1" applyFill="1" applyBorder="1" applyAlignment="1">
      <alignment horizontal="right" vertical="center"/>
    </xf>
    <xf numFmtId="3" fontId="16" fillId="0" borderId="21" xfId="46" applyNumberFormat="1" applyFont="1" applyFill="1" applyBorder="1" applyAlignment="1">
      <alignment vertical="center"/>
    </xf>
    <xf numFmtId="3" fontId="16" fillId="0" borderId="51" xfId="46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3" fontId="16" fillId="0" borderId="47" xfId="46" applyNumberFormat="1" applyFont="1" applyBorder="1" applyAlignment="1">
      <alignment vertical="center"/>
    </xf>
    <xf numFmtId="3" fontId="17" fillId="0" borderId="54" xfId="46" applyNumberFormat="1" applyFont="1" applyBorder="1" applyAlignment="1">
      <alignment vertical="center"/>
    </xf>
    <xf numFmtId="3" fontId="17" fillId="0" borderId="55" xfId="46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10" fontId="17" fillId="0" borderId="0" xfId="0" applyNumberFormat="1" applyFont="1" applyAlignment="1">
      <alignment vertical="center"/>
    </xf>
    <xf numFmtId="3" fontId="16" fillId="35" borderId="0" xfId="0" applyNumberFormat="1" applyFont="1" applyFill="1" applyAlignment="1">
      <alignment vertical="center"/>
    </xf>
    <xf numFmtId="0" fontId="77" fillId="0" borderId="0" xfId="0" applyFont="1" applyAlignment="1">
      <alignment horizontal="center" vertical="center"/>
    </xf>
    <xf numFmtId="49" fontId="16" fillId="0" borderId="29" xfId="0" applyNumberFormat="1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10" fontId="17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3" fontId="16" fillId="0" borderId="29" xfId="0" applyNumberFormat="1" applyFont="1" applyBorder="1" applyAlignment="1">
      <alignment vertical="center"/>
    </xf>
    <xf numFmtId="49" fontId="78" fillId="0" borderId="0" xfId="0" applyNumberFormat="1" applyFont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77" fillId="0" borderId="10" xfId="0" applyNumberFormat="1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77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179" fontId="4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7" xfId="57" applyFont="1" applyBorder="1" applyAlignment="1">
      <alignment vertical="center" wrapText="1"/>
      <protection/>
    </xf>
    <xf numFmtId="3" fontId="5" fillId="35" borderId="17" xfId="46" applyNumberFormat="1" applyFont="1" applyFill="1" applyBorder="1" applyAlignment="1">
      <alignment vertical="center"/>
    </xf>
    <xf numFmtId="3" fontId="5" fillId="35" borderId="11" xfId="46" applyNumberFormat="1" applyFont="1" applyFill="1" applyBorder="1" applyAlignment="1">
      <alignment vertical="center"/>
    </xf>
    <xf numFmtId="0" fontId="5" fillId="0" borderId="0" xfId="60" applyFont="1" applyAlignment="1">
      <alignment horizontal="right" vertical="center"/>
      <protection/>
    </xf>
    <xf numFmtId="0" fontId="5" fillId="0" borderId="0" xfId="74" applyFont="1" applyAlignment="1">
      <alignment horizontal="right"/>
      <protection/>
    </xf>
    <xf numFmtId="0" fontId="5" fillId="0" borderId="0" xfId="72" applyFont="1" applyAlignment="1">
      <alignment horizontal="center" vertical="center"/>
      <protection/>
    </xf>
    <xf numFmtId="0" fontId="7" fillId="0" borderId="0" xfId="72" applyFont="1" applyAlignment="1">
      <alignment horizontal="center" vertical="center"/>
      <protection/>
    </xf>
    <xf numFmtId="0" fontId="5" fillId="0" borderId="0" xfId="72" applyFont="1" applyAlignment="1">
      <alignment horizontal="right"/>
      <protection/>
    </xf>
    <xf numFmtId="0" fontId="5" fillId="33" borderId="10" xfId="72" applyFont="1" applyFill="1" applyBorder="1" applyAlignment="1">
      <alignment horizontal="center" vertical="center"/>
      <protection/>
    </xf>
    <xf numFmtId="0" fontId="5" fillId="33" borderId="15" xfId="72" applyFont="1" applyFill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/>
      <protection/>
    </xf>
    <xf numFmtId="0" fontId="5" fillId="0" borderId="10" xfId="72" applyFont="1" applyBorder="1">
      <alignment/>
      <protection/>
    </xf>
    <xf numFmtId="0" fontId="5" fillId="0" borderId="10" xfId="72" applyFont="1" applyBorder="1" applyAlignment="1">
      <alignment vertical="center"/>
      <protection/>
    </xf>
    <xf numFmtId="0" fontId="5" fillId="0" borderId="10" xfId="72" applyFont="1" applyBorder="1" applyAlignment="1">
      <alignment vertical="center" wrapText="1"/>
      <protection/>
    </xf>
    <xf numFmtId="3" fontId="5" fillId="0" borderId="10" xfId="72" applyNumberFormat="1" applyFont="1" applyBorder="1" applyAlignment="1">
      <alignment vertical="center"/>
      <protection/>
    </xf>
    <xf numFmtId="3" fontId="7" fillId="0" borderId="10" xfId="72" applyNumberFormat="1" applyFont="1" applyBorder="1" applyAlignment="1">
      <alignment vertical="center"/>
      <protection/>
    </xf>
    <xf numFmtId="0" fontId="5" fillId="0" borderId="15" xfId="72" applyFont="1" applyBorder="1" applyAlignment="1">
      <alignment vertical="center" wrapText="1"/>
      <protection/>
    </xf>
    <xf numFmtId="0" fontId="24" fillId="0" borderId="15" xfId="72" applyFont="1" applyBorder="1" applyAlignment="1">
      <alignment vertical="center" wrapText="1"/>
      <protection/>
    </xf>
    <xf numFmtId="0" fontId="5" fillId="0" borderId="16" xfId="72" applyFont="1" applyBorder="1" applyAlignment="1">
      <alignment vertical="center" wrapText="1"/>
      <protection/>
    </xf>
    <xf numFmtId="0" fontId="7" fillId="0" borderId="16" xfId="72" applyFont="1" applyBorder="1" applyAlignment="1">
      <alignment vertical="center" wrapText="1"/>
      <protection/>
    </xf>
    <xf numFmtId="0" fontId="7" fillId="0" borderId="10" xfId="72" applyFont="1" applyBorder="1" applyAlignment="1">
      <alignment vertical="center" wrapText="1"/>
      <protection/>
    </xf>
    <xf numFmtId="0" fontId="7" fillId="0" borderId="15" xfId="72" applyFont="1" applyBorder="1" applyAlignment="1">
      <alignment horizontal="center" vertical="center"/>
      <protection/>
    </xf>
    <xf numFmtId="0" fontId="5" fillId="0" borderId="10" xfId="48" applyNumberFormat="1" applyFont="1" applyFill="1" applyBorder="1" applyAlignment="1">
      <alignment/>
    </xf>
    <xf numFmtId="3" fontId="5" fillId="0" borderId="10" xfId="48" applyNumberFormat="1" applyFont="1" applyFill="1" applyBorder="1" applyAlignment="1">
      <alignment/>
    </xf>
    <xf numFmtId="3" fontId="7" fillId="0" borderId="10" xfId="48" applyNumberFormat="1" applyFont="1" applyFill="1" applyBorder="1" applyAlignment="1">
      <alignment/>
    </xf>
    <xf numFmtId="0" fontId="5" fillId="0" borderId="0" xfId="67" applyFont="1" applyAlignment="1">
      <alignment vertical="center"/>
      <protection/>
    </xf>
    <xf numFmtId="0" fontId="5" fillId="0" borderId="0" xfId="67" applyFont="1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 horizontal="center" vertical="center"/>
      <protection/>
    </xf>
    <xf numFmtId="0" fontId="5" fillId="36" borderId="10" xfId="75" applyFont="1" applyFill="1" applyBorder="1" applyAlignment="1">
      <alignment horizontal="center" vertical="center"/>
      <protection/>
    </xf>
    <xf numFmtId="0" fontId="5" fillId="36" borderId="10" xfId="63" applyFont="1" applyFill="1" applyBorder="1" applyAlignment="1">
      <alignment horizontal="center" vertical="center"/>
      <protection/>
    </xf>
    <xf numFmtId="0" fontId="5" fillId="36" borderId="10" xfId="67" applyFont="1" applyFill="1" applyBorder="1" applyAlignment="1">
      <alignment horizontal="center"/>
      <protection/>
    </xf>
    <xf numFmtId="0" fontId="5" fillId="0" borderId="0" xfId="63" applyFont="1" applyAlignment="1">
      <alignment vertical="center" wrapText="1"/>
      <protection/>
    </xf>
    <xf numFmtId="3" fontId="5" fillId="0" borderId="0" xfId="63" applyNumberFormat="1" applyFont="1">
      <alignment/>
      <protection/>
    </xf>
    <xf numFmtId="0" fontId="5" fillId="0" borderId="56" xfId="63" applyFont="1" applyBorder="1" applyAlignment="1">
      <alignment horizontal="center" vertical="center"/>
      <protection/>
    </xf>
    <xf numFmtId="0" fontId="7" fillId="0" borderId="43" xfId="63" applyFont="1" applyBorder="1" applyAlignment="1">
      <alignment horizontal="center" vertical="center" wrapText="1"/>
      <protection/>
    </xf>
    <xf numFmtId="3" fontId="7" fillId="0" borderId="43" xfId="63" applyNumberFormat="1" applyFont="1" applyBorder="1" applyAlignment="1">
      <alignment horizontal="center" vertical="center" textRotation="90" wrapText="1"/>
      <protection/>
    </xf>
    <xf numFmtId="3" fontId="7" fillId="0" borderId="57" xfId="63" applyNumberFormat="1" applyFont="1" applyBorder="1" applyAlignment="1">
      <alignment horizontal="center" vertical="center" textRotation="90" wrapText="1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vertical="center" wrapText="1"/>
      <protection/>
    </xf>
    <xf numFmtId="166" fontId="5" fillId="0" borderId="10" xfId="48" applyNumberFormat="1" applyFont="1" applyFill="1" applyBorder="1" applyAlignment="1">
      <alignment vertical="center"/>
    </xf>
    <xf numFmtId="166" fontId="5" fillId="0" borderId="18" xfId="48" applyNumberFormat="1" applyFont="1" applyFill="1" applyBorder="1" applyAlignment="1">
      <alignment vertical="center"/>
    </xf>
    <xf numFmtId="166" fontId="5" fillId="0" borderId="0" xfId="67" applyNumberFormat="1" applyFont="1" applyAlignment="1">
      <alignment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vertical="center" wrapText="1"/>
      <protection/>
    </xf>
    <xf numFmtId="166" fontId="5" fillId="0" borderId="13" xfId="48" applyNumberFormat="1" applyFont="1" applyFill="1" applyBorder="1" applyAlignment="1">
      <alignment vertical="center"/>
    </xf>
    <xf numFmtId="166" fontId="5" fillId="0" borderId="0" xfId="67" applyNumberFormat="1" applyFont="1">
      <alignment/>
      <protection/>
    </xf>
    <xf numFmtId="166" fontId="73" fillId="0" borderId="0" xfId="67" applyNumberFormat="1" applyFont="1">
      <alignment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horizontal="center" vertical="center"/>
      <protection/>
    </xf>
    <xf numFmtId="0" fontId="18" fillId="0" borderId="0" xfId="67" applyFont="1">
      <alignment/>
      <protection/>
    </xf>
    <xf numFmtId="0" fontId="9" fillId="0" borderId="0" xfId="67" applyFont="1" applyAlignment="1">
      <alignment horizontal="center"/>
      <protection/>
    </xf>
    <xf numFmtId="0" fontId="4" fillId="36" borderId="10" xfId="67" applyFont="1" applyFill="1" applyBorder="1" applyAlignment="1">
      <alignment horizontal="center"/>
      <protection/>
    </xf>
    <xf numFmtId="0" fontId="4" fillId="36" borderId="10" xfId="67" applyFont="1" applyFill="1" applyBorder="1" applyAlignment="1">
      <alignment horizontal="center" vertical="center"/>
      <protection/>
    </xf>
    <xf numFmtId="0" fontId="4" fillId="36" borderId="11" xfId="67" applyFont="1" applyFill="1" applyBorder="1" applyAlignment="1">
      <alignment horizontal="center" vertical="center"/>
      <protection/>
    </xf>
    <xf numFmtId="0" fontId="9" fillId="0" borderId="0" xfId="67" applyFont="1" applyAlignment="1">
      <alignment horizontal="right"/>
      <protection/>
    </xf>
    <xf numFmtId="0" fontId="4" fillId="0" borderId="58" xfId="67" applyFont="1" applyBorder="1" applyAlignment="1">
      <alignment horizontal="center" vertical="center"/>
      <protection/>
    </xf>
    <xf numFmtId="0" fontId="9" fillId="0" borderId="59" xfId="67" applyFont="1" applyBorder="1" applyAlignment="1">
      <alignment horizontal="center" vertical="center" wrapText="1"/>
      <protection/>
    </xf>
    <xf numFmtId="0" fontId="9" fillId="0" borderId="60" xfId="67" applyFont="1" applyBorder="1" applyAlignment="1">
      <alignment horizontal="center" vertical="center" wrapText="1"/>
      <protection/>
    </xf>
    <xf numFmtId="0" fontId="9" fillId="0" borderId="43" xfId="67" applyFont="1" applyBorder="1" applyAlignment="1">
      <alignment horizontal="center" vertical="center" wrapText="1"/>
      <protection/>
    </xf>
    <xf numFmtId="0" fontId="9" fillId="0" borderId="56" xfId="67" applyFont="1" applyBorder="1" applyAlignment="1">
      <alignment horizontal="center" vertical="center" wrapText="1"/>
      <protection/>
    </xf>
    <xf numFmtId="0" fontId="9" fillId="0" borderId="43" xfId="67" applyFont="1" applyBorder="1" applyAlignment="1">
      <alignment horizontal="center" vertical="center"/>
      <protection/>
    </xf>
    <xf numFmtId="0" fontId="4" fillId="0" borderId="44" xfId="67" applyFont="1" applyBorder="1" applyAlignment="1">
      <alignment horizontal="center" vertical="center"/>
      <protection/>
    </xf>
    <xf numFmtId="49" fontId="4" fillId="0" borderId="19" xfId="67" applyNumberFormat="1" applyFont="1" applyBorder="1" applyAlignment="1">
      <alignment vertical="center" wrapText="1"/>
      <protection/>
    </xf>
    <xf numFmtId="166" fontId="4" fillId="0" borderId="12" xfId="48" applyNumberFormat="1" applyFont="1" applyFill="1" applyBorder="1" applyAlignment="1">
      <alignment horizontal="center" vertical="center"/>
    </xf>
    <xf numFmtId="166" fontId="4" fillId="0" borderId="10" xfId="48" applyNumberFormat="1" applyFont="1" applyFill="1" applyBorder="1" applyAlignment="1">
      <alignment horizontal="center" vertical="center"/>
    </xf>
    <xf numFmtId="166" fontId="4" fillId="0" borderId="15" xfId="48" applyNumberFormat="1" applyFont="1" applyBorder="1" applyAlignment="1">
      <alignment vertical="center"/>
    </xf>
    <xf numFmtId="166" fontId="4" fillId="0" borderId="10" xfId="48" applyNumberFormat="1" applyFont="1" applyBorder="1" applyAlignment="1">
      <alignment vertical="center"/>
    </xf>
    <xf numFmtId="0" fontId="18" fillId="0" borderId="0" xfId="67" applyFont="1" applyAlignment="1">
      <alignment vertical="center"/>
      <protection/>
    </xf>
    <xf numFmtId="0" fontId="4" fillId="0" borderId="19" xfId="67" applyFont="1" applyBorder="1" applyAlignment="1">
      <alignment vertical="center" wrapText="1"/>
      <protection/>
    </xf>
    <xf numFmtId="0" fontId="9" fillId="0" borderId="44" xfId="67" applyFont="1" applyBorder="1" applyAlignment="1">
      <alignment horizontal="center" vertical="center"/>
      <protection/>
    </xf>
    <xf numFmtId="0" fontId="9" fillId="0" borderId="19" xfId="67" applyFont="1" applyBorder="1" applyAlignment="1">
      <alignment vertical="center" wrapText="1"/>
      <protection/>
    </xf>
    <xf numFmtId="166" fontId="9" fillId="0" borderId="12" xfId="48" applyNumberFormat="1" applyFont="1" applyFill="1" applyBorder="1" applyAlignment="1">
      <alignment horizontal="center" vertical="center"/>
    </xf>
    <xf numFmtId="166" fontId="9" fillId="0" borderId="12" xfId="48" applyNumberFormat="1" applyFont="1" applyFill="1" applyBorder="1" applyAlignment="1">
      <alignment vertical="center"/>
    </xf>
    <xf numFmtId="49" fontId="9" fillId="0" borderId="19" xfId="67" applyNumberFormat="1" applyFont="1" applyBorder="1" applyAlignment="1">
      <alignment vertical="center" wrapText="1"/>
      <protection/>
    </xf>
    <xf numFmtId="166" fontId="4" fillId="0" borderId="10" xfId="67" applyNumberFormat="1" applyFont="1" applyBorder="1" applyAlignment="1">
      <alignment vertical="center"/>
      <protection/>
    </xf>
    <xf numFmtId="166" fontId="9" fillId="0" borderId="10" xfId="48" applyNumberFormat="1" applyFont="1" applyFill="1" applyBorder="1" applyAlignment="1">
      <alignment horizontal="center" vertical="center"/>
    </xf>
    <xf numFmtId="0" fontId="9" fillId="0" borderId="45" xfId="67" applyFont="1" applyBorder="1" applyAlignment="1">
      <alignment horizontal="center" vertical="center"/>
      <protection/>
    </xf>
    <xf numFmtId="166" fontId="9" fillId="0" borderId="13" xfId="48" applyNumberFormat="1" applyFont="1" applyBorder="1" applyAlignment="1">
      <alignment vertical="center"/>
    </xf>
    <xf numFmtId="0" fontId="9" fillId="0" borderId="10" xfId="67" applyFont="1" applyBorder="1" applyAlignment="1">
      <alignment horizontal="center" vertical="center"/>
      <protection/>
    </xf>
    <xf numFmtId="166" fontId="9" fillId="0" borderId="10" xfId="48" applyNumberFormat="1" applyFont="1" applyBorder="1" applyAlignment="1">
      <alignment/>
    </xf>
    <xf numFmtId="166" fontId="80" fillId="0" borderId="10" xfId="48" applyNumberFormat="1" applyFont="1" applyBorder="1" applyAlignment="1">
      <alignment/>
    </xf>
    <xf numFmtId="0" fontId="17" fillId="0" borderId="0" xfId="67" applyFont="1">
      <alignment/>
      <protection/>
    </xf>
    <xf numFmtId="0" fontId="17" fillId="0" borderId="0" xfId="67" applyFont="1" applyAlignment="1">
      <alignment horizontal="center" vertical="center"/>
      <protection/>
    </xf>
    <xf numFmtId="166" fontId="4" fillId="0" borderId="0" xfId="67" applyNumberFormat="1" applyFont="1">
      <alignment/>
      <protection/>
    </xf>
    <xf numFmtId="0" fontId="18" fillId="0" borderId="0" xfId="67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4" fillId="33" borderId="10" xfId="62" applyFont="1" applyFill="1" applyBorder="1">
      <alignment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0" borderId="29" xfId="62" applyFont="1" applyBorder="1">
      <alignment/>
      <protection/>
    </xf>
    <xf numFmtId="0" fontId="17" fillId="0" borderId="0" xfId="62" applyFont="1" applyAlignment="1">
      <alignment horizontal="right"/>
      <protection/>
    </xf>
    <xf numFmtId="0" fontId="7" fillId="0" borderId="11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vertical="center" wrapText="1"/>
      <protection/>
    </xf>
    <xf numFmtId="0" fontId="5" fillId="0" borderId="11" xfId="62" applyFont="1" applyBorder="1" applyAlignment="1">
      <alignment horizontal="left" wrapText="1"/>
      <protection/>
    </xf>
    <xf numFmtId="0" fontId="5" fillId="0" borderId="11" xfId="62" applyFont="1" applyBorder="1">
      <alignment/>
      <protection/>
    </xf>
    <xf numFmtId="3" fontId="5" fillId="0" borderId="11" xfId="62" applyNumberFormat="1" applyFont="1" applyBorder="1" applyAlignment="1">
      <alignment horizontal="center" vertical="center"/>
      <protection/>
    </xf>
    <xf numFmtId="3" fontId="5" fillId="0" borderId="17" xfId="62" applyNumberFormat="1" applyFont="1" applyBorder="1" applyAlignment="1">
      <alignment horizontal="center" vertical="center"/>
      <protection/>
    </xf>
    <xf numFmtId="3" fontId="5" fillId="0" borderId="10" xfId="62" applyNumberFormat="1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>
      <alignment/>
      <protection/>
    </xf>
    <xf numFmtId="0" fontId="5" fillId="0" borderId="15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0" borderId="10" xfId="62" applyFont="1" applyBorder="1">
      <alignment/>
      <protection/>
    </xf>
    <xf numFmtId="3" fontId="7" fillId="0" borderId="10" xfId="62" applyNumberFormat="1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left" vertical="center"/>
      <protection/>
    </xf>
    <xf numFmtId="0" fontId="5" fillId="0" borderId="13" xfId="62" applyFont="1" applyBorder="1">
      <alignment/>
      <protection/>
    </xf>
    <xf numFmtId="3" fontId="5" fillId="0" borderId="13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left" vertical="center" wrapText="1"/>
      <protection/>
    </xf>
    <xf numFmtId="3" fontId="4" fillId="0" borderId="0" xfId="62" applyNumberFormat="1" applyFont="1">
      <alignment/>
      <protection/>
    </xf>
    <xf numFmtId="0" fontId="4" fillId="0" borderId="0" xfId="62" applyFont="1" applyAlignment="1">
      <alignment horizontal="left" wrapText="1"/>
      <protection/>
    </xf>
    <xf numFmtId="0" fontId="17" fillId="0" borderId="0" xfId="62" applyFont="1">
      <alignment/>
      <protection/>
    </xf>
    <xf numFmtId="0" fontId="17" fillId="0" borderId="0" xfId="68" applyFont="1">
      <alignment/>
      <protection/>
    </xf>
    <xf numFmtId="0" fontId="17" fillId="0" borderId="0" xfId="68" applyFont="1" applyAlignment="1">
      <alignment horizontal="center"/>
      <protection/>
    </xf>
    <xf numFmtId="0" fontId="16" fillId="0" borderId="0" xfId="68" applyFont="1" applyAlignment="1">
      <alignment horizontal="center" vertical="center"/>
      <protection/>
    </xf>
    <xf numFmtId="0" fontId="4" fillId="0" borderId="0" xfId="68" applyFont="1" applyAlignment="1">
      <alignment vertical="center"/>
      <protection/>
    </xf>
    <xf numFmtId="0" fontId="4" fillId="0" borderId="0" xfId="68" applyFont="1">
      <alignment/>
      <protection/>
    </xf>
    <xf numFmtId="0" fontId="17" fillId="36" borderId="10" xfId="68" applyFont="1" applyFill="1" applyBorder="1">
      <alignment/>
      <protection/>
    </xf>
    <xf numFmtId="0" fontId="17" fillId="36" borderId="10" xfId="62" applyFont="1" applyFill="1" applyBorder="1" applyAlignment="1">
      <alignment horizontal="center"/>
      <protection/>
    </xf>
    <xf numFmtId="0" fontId="17" fillId="36" borderId="10" xfId="68" applyFont="1" applyFill="1" applyBorder="1" applyAlignment="1">
      <alignment horizontal="center"/>
      <protection/>
    </xf>
    <xf numFmtId="0" fontId="17" fillId="0" borderId="0" xfId="68" applyFont="1" applyAlignment="1">
      <alignment horizontal="right"/>
      <protection/>
    </xf>
    <xf numFmtId="0" fontId="5" fillId="0" borderId="0" xfId="68" applyFont="1">
      <alignment/>
      <protection/>
    </xf>
    <xf numFmtId="0" fontId="16" fillId="0" borderId="43" xfId="62" applyFont="1" applyBorder="1" applyAlignment="1">
      <alignment horizontal="center" vertical="center" wrapText="1"/>
      <protection/>
    </xf>
    <xf numFmtId="0" fontId="16" fillId="0" borderId="57" xfId="62" applyFont="1" applyBorder="1" applyAlignment="1">
      <alignment horizontal="center" vertical="center" wrapText="1"/>
      <protection/>
    </xf>
    <xf numFmtId="0" fontId="16" fillId="0" borderId="10" xfId="68" applyFont="1" applyBorder="1" applyAlignment="1">
      <alignment horizontal="center" vertical="center"/>
      <protection/>
    </xf>
    <xf numFmtId="0" fontId="17" fillId="0" borderId="10" xfId="62" applyFont="1" applyBorder="1" applyAlignment="1">
      <alignment vertical="center"/>
      <protection/>
    </xf>
    <xf numFmtId="180" fontId="17" fillId="0" borderId="18" xfId="48" applyNumberFormat="1" applyFont="1" applyBorder="1" applyAlignment="1">
      <alignment horizontal="right" vertical="center"/>
    </xf>
    <xf numFmtId="0" fontId="17" fillId="0" borderId="16" xfId="68" applyFont="1" applyBorder="1" applyAlignment="1">
      <alignment horizontal="center"/>
      <protection/>
    </xf>
    <xf numFmtId="0" fontId="17" fillId="0" borderId="10" xfId="62" applyFont="1" applyBorder="1" applyAlignment="1">
      <alignment vertical="center" wrapText="1"/>
      <protection/>
    </xf>
    <xf numFmtId="0" fontId="16" fillId="0" borderId="15" xfId="68" applyFont="1" applyBorder="1" applyAlignment="1">
      <alignment horizontal="center" vertical="center"/>
      <protection/>
    </xf>
    <xf numFmtId="180" fontId="16" fillId="0" borderId="18" xfId="48" applyNumberFormat="1" applyFont="1" applyBorder="1" applyAlignment="1">
      <alignment horizontal="right" vertical="center"/>
    </xf>
    <xf numFmtId="180" fontId="5" fillId="0" borderId="0" xfId="68" applyNumberFormat="1" applyFont="1">
      <alignment/>
      <protection/>
    </xf>
    <xf numFmtId="0" fontId="16" fillId="0" borderId="10" xfId="62" applyFont="1" applyBorder="1" applyAlignment="1">
      <alignment horizontal="left" vertical="center"/>
      <protection/>
    </xf>
    <xf numFmtId="0" fontId="16" fillId="0" borderId="10" xfId="62" applyFont="1" applyBorder="1" applyAlignment="1">
      <alignment horizontal="center" vertical="center"/>
      <protection/>
    </xf>
    <xf numFmtId="43" fontId="5" fillId="0" borderId="0" xfId="48" applyFont="1" applyAlignment="1">
      <alignment/>
    </xf>
    <xf numFmtId="43" fontId="5" fillId="0" borderId="0" xfId="68" applyNumberFormat="1" applyFont="1">
      <alignment/>
      <protection/>
    </xf>
    <xf numFmtId="180" fontId="16" fillId="0" borderId="21" xfId="48" applyNumberFormat="1" applyFont="1" applyBorder="1" applyAlignment="1">
      <alignment horizontal="right" vertical="center"/>
    </xf>
    <xf numFmtId="0" fontId="17" fillId="0" borderId="0" xfId="62" applyFont="1" applyAlignment="1">
      <alignment vertical="center"/>
      <protection/>
    </xf>
    <xf numFmtId="180" fontId="17" fillId="0" borderId="0" xfId="68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7" fillId="0" borderId="0" xfId="68" applyFont="1" applyAlignment="1">
      <alignment horizontal="center" vertical="center"/>
      <protection/>
    </xf>
    <xf numFmtId="180" fontId="4" fillId="0" borderId="0" xfId="68" applyNumberFormat="1" applyFont="1">
      <alignment/>
      <protection/>
    </xf>
    <xf numFmtId="0" fontId="4" fillId="0" borderId="0" xfId="68" applyFont="1" applyAlignment="1">
      <alignment horizontal="center" vertical="center"/>
      <protection/>
    </xf>
    <xf numFmtId="0" fontId="4" fillId="36" borderId="10" xfId="68" applyFont="1" applyFill="1" applyBorder="1">
      <alignment/>
      <protection/>
    </xf>
    <xf numFmtId="0" fontId="4" fillId="36" borderId="15" xfId="68" applyFont="1" applyFill="1" applyBorder="1" applyAlignment="1">
      <alignment horizontal="center"/>
      <protection/>
    </xf>
    <xf numFmtId="0" fontId="4" fillId="36" borderId="10" xfId="68" applyFont="1" applyFill="1" applyBorder="1" applyAlignment="1">
      <alignment horizontal="center"/>
      <protection/>
    </xf>
    <xf numFmtId="0" fontId="4" fillId="36" borderId="10" xfId="68" applyFont="1" applyFill="1" applyBorder="1" applyAlignment="1">
      <alignment horizontal="center" vertical="center"/>
      <protection/>
    </xf>
    <xf numFmtId="0" fontId="4" fillId="0" borderId="61" xfId="68" applyFont="1" applyBorder="1">
      <alignment/>
      <protection/>
    </xf>
    <xf numFmtId="0" fontId="4" fillId="0" borderId="61" xfId="68" applyFont="1" applyBorder="1" applyAlignment="1">
      <alignment horizontal="right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 wrapText="1"/>
      <protection/>
    </xf>
    <xf numFmtId="0" fontId="5" fillId="0" borderId="0" xfId="68" applyFont="1" applyAlignment="1">
      <alignment horizontal="center" vertical="center"/>
      <protection/>
    </xf>
    <xf numFmtId="0" fontId="4" fillId="0" borderId="11" xfId="68" applyFont="1" applyBorder="1" applyAlignment="1" quotePrefix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horizontal="center" vertical="center" wrapText="1"/>
      <protection/>
    </xf>
    <xf numFmtId="0" fontId="9" fillId="0" borderId="11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vertical="center"/>
      <protection/>
    </xf>
    <xf numFmtId="3" fontId="4" fillId="0" borderId="16" xfId="68" applyNumberFormat="1" applyFont="1" applyBorder="1" applyAlignment="1">
      <alignment horizontal="center" vertical="center" wrapText="1"/>
      <protection/>
    </xf>
    <xf numFmtId="3" fontId="4" fillId="0" borderId="10" xfId="68" applyNumberFormat="1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horizontal="center" vertical="center" wrapText="1"/>
      <protection/>
    </xf>
    <xf numFmtId="0" fontId="4" fillId="0" borderId="10" xfId="68" applyFont="1" applyBorder="1" applyAlignment="1" quotePrefix="1">
      <alignment horizontal="center" vertical="center"/>
      <protection/>
    </xf>
    <xf numFmtId="0" fontId="9" fillId="0" borderId="10" xfId="68" applyFont="1" applyBorder="1" applyAlignment="1">
      <alignment vertical="center"/>
      <protection/>
    </xf>
    <xf numFmtId="166" fontId="9" fillId="0" borderId="15" xfId="48" applyNumberFormat="1" applyFont="1" applyBorder="1" applyAlignment="1">
      <alignment vertical="center"/>
    </xf>
    <xf numFmtId="166" fontId="9" fillId="0" borderId="10" xfId="48" applyNumberFormat="1" applyFont="1" applyBorder="1" applyAlignment="1">
      <alignment vertical="center"/>
    </xf>
    <xf numFmtId="166" fontId="7" fillId="0" borderId="0" xfId="48" applyNumberFormat="1" applyFont="1" applyBorder="1" applyAlignment="1">
      <alignment vertical="center"/>
    </xf>
    <xf numFmtId="0" fontId="5" fillId="0" borderId="0" xfId="68" applyFont="1" applyAlignment="1">
      <alignment vertical="center"/>
      <protection/>
    </xf>
    <xf numFmtId="0" fontId="4" fillId="0" borderId="10" xfId="68" applyFont="1" applyBorder="1" applyAlignment="1">
      <alignment vertical="center"/>
      <protection/>
    </xf>
    <xf numFmtId="0" fontId="4" fillId="0" borderId="10" xfId="68" applyFont="1" applyBorder="1" applyAlignment="1">
      <alignment vertical="center" wrapText="1"/>
      <protection/>
    </xf>
    <xf numFmtId="166" fontId="5" fillId="0" borderId="0" xfId="68" applyNumberFormat="1" applyFont="1" applyAlignment="1">
      <alignment vertical="center"/>
      <protection/>
    </xf>
    <xf numFmtId="0" fontId="9" fillId="0" borderId="10" xfId="68" applyFont="1" applyBorder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9" fillId="0" borderId="59" xfId="71" applyFont="1" applyBorder="1" applyAlignment="1">
      <alignment horizontal="center" vertical="center" wrapText="1"/>
      <protection/>
    </xf>
    <xf numFmtId="0" fontId="9" fillId="0" borderId="43" xfId="71" applyFont="1" applyBorder="1" applyAlignment="1">
      <alignment horizontal="center" vertical="center" wrapText="1"/>
      <protection/>
    </xf>
    <xf numFmtId="166" fontId="9" fillId="0" borderId="19" xfId="48" applyNumberFormat="1" applyFont="1" applyFill="1" applyBorder="1" applyAlignment="1">
      <alignment horizontal="center" vertical="center"/>
    </xf>
    <xf numFmtId="166" fontId="4" fillId="0" borderId="25" xfId="48" applyNumberFormat="1" applyFont="1" applyFill="1" applyBorder="1" applyAlignment="1">
      <alignment horizontal="center" vertical="center"/>
    </xf>
    <xf numFmtId="166" fontId="9" fillId="0" borderId="15" xfId="48" applyNumberFormat="1" applyFont="1" applyFill="1" applyBorder="1" applyAlignment="1">
      <alignment horizontal="center" vertical="center"/>
    </xf>
    <xf numFmtId="166" fontId="9" fillId="0" borderId="12" xfId="48" applyNumberFormat="1" applyFont="1" applyFill="1" applyBorder="1" applyAlignment="1">
      <alignment vertical="center" wrapText="1"/>
    </xf>
    <xf numFmtId="166" fontId="4" fillId="0" borderId="12" xfId="48" applyNumberFormat="1" applyFont="1" applyFill="1" applyBorder="1" applyAlignment="1">
      <alignment vertical="center" wrapText="1"/>
    </xf>
    <xf numFmtId="166" fontId="4" fillId="0" borderId="19" xfId="48" applyNumberFormat="1" applyFont="1" applyFill="1" applyBorder="1" applyAlignment="1">
      <alignment horizontal="center" vertical="center"/>
    </xf>
    <xf numFmtId="166" fontId="9" fillId="0" borderId="25" xfId="48" applyNumberFormat="1" applyFont="1" applyFill="1" applyBorder="1" applyAlignment="1">
      <alignment horizontal="center" vertical="center"/>
    </xf>
    <xf numFmtId="166" fontId="4" fillId="0" borderId="12" xfId="48" applyNumberFormat="1" applyFont="1" applyFill="1" applyBorder="1" applyAlignment="1">
      <alignment vertical="center"/>
    </xf>
    <xf numFmtId="166" fontId="4" fillId="0" borderId="26" xfId="48" applyNumberFormat="1" applyFont="1" applyFill="1" applyBorder="1" applyAlignment="1">
      <alignment vertical="center" wrapText="1"/>
    </xf>
    <xf numFmtId="166" fontId="9" fillId="0" borderId="20" xfId="48" applyNumberFormat="1" applyFont="1" applyFill="1" applyBorder="1" applyAlignment="1">
      <alignment horizontal="center" vertical="center"/>
    </xf>
    <xf numFmtId="166" fontId="4" fillId="0" borderId="0" xfId="48" applyNumberFormat="1" applyFont="1" applyFill="1" applyBorder="1" applyAlignment="1">
      <alignment horizontal="center" vertical="center"/>
    </xf>
    <xf numFmtId="166" fontId="9" fillId="0" borderId="0" xfId="48" applyNumberFormat="1" applyFont="1" applyFill="1" applyBorder="1" applyAlignment="1">
      <alignment vertical="center" wrapText="1"/>
    </xf>
    <xf numFmtId="166" fontId="4" fillId="0" borderId="0" xfId="48" applyNumberFormat="1" applyFont="1" applyFill="1" applyAlignment="1">
      <alignment/>
    </xf>
    <xf numFmtId="166" fontId="4" fillId="33" borderId="62" xfId="48" applyNumberFormat="1" applyFont="1" applyFill="1" applyBorder="1" applyAlignment="1">
      <alignment horizontal="center" vertical="center"/>
    </xf>
    <xf numFmtId="0" fontId="9" fillId="0" borderId="63" xfId="77" applyFont="1" applyBorder="1" applyAlignment="1">
      <alignment horizontal="center" vertical="center" wrapText="1"/>
      <protection/>
    </xf>
    <xf numFmtId="166" fontId="4" fillId="33" borderId="28" xfId="48" applyNumberFormat="1" applyFont="1" applyFill="1" applyBorder="1" applyAlignment="1">
      <alignment horizontal="center" vertical="center"/>
    </xf>
    <xf numFmtId="166" fontId="9" fillId="0" borderId="22" xfId="48" applyNumberFormat="1" applyFont="1" applyFill="1" applyBorder="1" applyAlignment="1">
      <alignment vertical="center"/>
    </xf>
    <xf numFmtId="166" fontId="4" fillId="0" borderId="44" xfId="48" applyNumberFormat="1" applyFont="1" applyFill="1" applyBorder="1" applyAlignment="1">
      <alignment vertical="center" wrapText="1"/>
    </xf>
    <xf numFmtId="166" fontId="9" fillId="0" borderId="64" xfId="48" applyNumberFormat="1" applyFont="1" applyFill="1" applyBorder="1" applyAlignment="1">
      <alignment vertical="center"/>
    </xf>
    <xf numFmtId="0" fontId="4" fillId="0" borderId="0" xfId="6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166" fontId="9" fillId="36" borderId="62" xfId="48" applyNumberFormat="1" applyFont="1" applyFill="1" applyBorder="1" applyAlignment="1">
      <alignment vertical="center"/>
    </xf>
    <xf numFmtId="0" fontId="9" fillId="0" borderId="60" xfId="77" applyFont="1" applyBorder="1" applyAlignment="1">
      <alignment horizontal="center" vertical="center" wrapText="1"/>
      <protection/>
    </xf>
    <xf numFmtId="0" fontId="4" fillId="33" borderId="46" xfId="71" applyFont="1" applyFill="1" applyBorder="1" applyAlignment="1">
      <alignment horizontal="center" vertical="center"/>
      <protection/>
    </xf>
    <xf numFmtId="0" fontId="4" fillId="33" borderId="10" xfId="71" applyFont="1" applyFill="1" applyBorder="1" applyAlignment="1">
      <alignment horizontal="center" vertical="center"/>
      <protection/>
    </xf>
    <xf numFmtId="0" fontId="4" fillId="0" borderId="56" xfId="71" applyFont="1" applyBorder="1" applyAlignment="1">
      <alignment horizontal="center" vertical="center"/>
      <protection/>
    </xf>
    <xf numFmtId="0" fontId="4" fillId="0" borderId="15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center" vertical="center"/>
      <protection/>
    </xf>
    <xf numFmtId="49" fontId="4" fillId="0" borderId="0" xfId="71" applyNumberFormat="1" applyFont="1" applyAlignment="1">
      <alignment vertical="center"/>
      <protection/>
    </xf>
    <xf numFmtId="0" fontId="9" fillId="0" borderId="10" xfId="76" applyFont="1" applyBorder="1">
      <alignment/>
      <protection/>
    </xf>
    <xf numFmtId="0" fontId="15" fillId="0" borderId="0" xfId="68">
      <alignment/>
      <protection/>
    </xf>
    <xf numFmtId="0" fontId="6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vertical="center"/>
      <protection/>
    </xf>
    <xf numFmtId="0" fontId="15" fillId="0" borderId="0" xfId="68" applyAlignment="1">
      <alignment horizontal="right"/>
      <protection/>
    </xf>
    <xf numFmtId="0" fontId="15" fillId="36" borderId="10" xfId="68" applyFill="1" applyBorder="1" applyAlignment="1">
      <alignment horizontal="center" vertical="center"/>
      <protection/>
    </xf>
    <xf numFmtId="0" fontId="0" fillId="36" borderId="10" xfId="68" applyFont="1" applyFill="1" applyBorder="1" applyAlignment="1">
      <alignment horizontal="center" vertical="center"/>
      <protection/>
    </xf>
    <xf numFmtId="0" fontId="0" fillId="0" borderId="10" xfId="68" applyFont="1" applyBorder="1" applyAlignment="1">
      <alignment horizontal="center" vertical="center"/>
      <protection/>
    </xf>
    <xf numFmtId="0" fontId="5" fillId="36" borderId="10" xfId="68" applyFont="1" applyFill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15" fillId="0" borderId="0" xfId="68" applyAlignment="1">
      <alignment horizontal="center" vertical="center"/>
      <protection/>
    </xf>
    <xf numFmtId="0" fontId="15" fillId="0" borderId="0" xfId="68" applyAlignment="1">
      <alignment horizontal="left" vertical="center"/>
      <protection/>
    </xf>
    <xf numFmtId="166" fontId="15" fillId="0" borderId="0" xfId="68" applyNumberFormat="1" applyAlignment="1">
      <alignment horizontal="left" vertical="center"/>
      <protection/>
    </xf>
    <xf numFmtId="0" fontId="5" fillId="36" borderId="0" xfId="68" applyFont="1" applyFill="1" applyAlignment="1">
      <alignment horizontal="center" vertical="center"/>
      <protection/>
    </xf>
    <xf numFmtId="166" fontId="5" fillId="0" borderId="0" xfId="48" applyNumberFormat="1" applyFont="1" applyBorder="1" applyAlignment="1">
      <alignment horizontal="left" vertical="center"/>
    </xf>
    <xf numFmtId="0" fontId="5" fillId="0" borderId="10" xfId="68" applyFont="1" applyBorder="1" applyAlignment="1">
      <alignment horizontal="left" vertical="center" wrapText="1"/>
      <protection/>
    </xf>
    <xf numFmtId="166" fontId="15" fillId="0" borderId="0" xfId="68" applyNumberFormat="1">
      <alignment/>
      <protection/>
    </xf>
    <xf numFmtId="0" fontId="5" fillId="0" borderId="0" xfId="67" applyFont="1" applyAlignment="1">
      <alignment horizontal="right"/>
      <protection/>
    </xf>
    <xf numFmtId="0" fontId="4" fillId="33" borderId="26" xfId="67" applyFont="1" applyFill="1" applyBorder="1" applyAlignment="1">
      <alignment horizontal="center" vertical="center" wrapText="1"/>
      <protection/>
    </xf>
    <xf numFmtId="0" fontId="7" fillId="0" borderId="65" xfId="67" applyFont="1" applyBorder="1" applyAlignment="1">
      <alignment horizontal="left" vertical="center" wrapText="1"/>
      <protection/>
    </xf>
    <xf numFmtId="0" fontId="3" fillId="0" borderId="57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vertical="center" wrapText="1"/>
      <protection/>
    </xf>
    <xf numFmtId="166" fontId="15" fillId="0" borderId="0" xfId="68" applyNumberFormat="1" applyAlignment="1">
      <alignment horizontal="right" vertical="center"/>
      <protection/>
    </xf>
    <xf numFmtId="0" fontId="5" fillId="0" borderId="19" xfId="67" applyFont="1" applyBorder="1" applyAlignment="1" quotePrefix="1">
      <alignment vertical="center"/>
      <protection/>
    </xf>
    <xf numFmtId="0" fontId="5" fillId="0" borderId="19" xfId="67" applyFont="1" applyBorder="1" applyAlignment="1">
      <alignment vertical="center"/>
      <protection/>
    </xf>
    <xf numFmtId="166" fontId="25" fillId="0" borderId="0" xfId="68" applyNumberFormat="1" applyFont="1" applyAlignment="1">
      <alignment horizontal="right" vertical="center"/>
      <protection/>
    </xf>
    <xf numFmtId="0" fontId="7" fillId="0" borderId="19" xfId="67" applyFont="1" applyBorder="1" applyAlignment="1">
      <alignment vertical="center"/>
      <protection/>
    </xf>
    <xf numFmtId="166" fontId="7" fillId="0" borderId="18" xfId="48" applyNumberFormat="1" applyFont="1" applyBorder="1" applyAlignment="1">
      <alignment vertical="center"/>
    </xf>
    <xf numFmtId="0" fontId="7" fillId="0" borderId="53" xfId="67" applyFont="1" applyBorder="1" applyAlignment="1">
      <alignment vertical="center"/>
      <protection/>
    </xf>
    <xf numFmtId="166" fontId="7" fillId="0" borderId="21" xfId="48" applyNumberFormat="1" applyFont="1" applyBorder="1" applyAlignment="1">
      <alignment vertical="center"/>
    </xf>
    <xf numFmtId="0" fontId="7" fillId="0" borderId="53" xfId="67" applyFont="1" applyBorder="1" applyAlignment="1">
      <alignment vertical="center" wrapText="1"/>
      <protection/>
    </xf>
    <xf numFmtId="166" fontId="4" fillId="0" borderId="0" xfId="48" applyNumberFormat="1" applyFont="1" applyFill="1" applyBorder="1" applyAlignment="1">
      <alignment/>
    </xf>
    <xf numFmtId="0" fontId="8" fillId="0" borderId="0" xfId="72" applyFont="1" applyAlignment="1">
      <alignment horizontal="center" vertical="center" wrapText="1"/>
      <protection/>
    </xf>
    <xf numFmtId="166" fontId="8" fillId="0" borderId="0" xfId="48" applyNumberFormat="1" applyFont="1" applyFill="1" applyBorder="1" applyAlignment="1">
      <alignment horizontal="center" vertical="center" wrapText="1"/>
    </xf>
    <xf numFmtId="0" fontId="6" fillId="0" borderId="0" xfId="72" applyFont="1" applyAlignment="1">
      <alignment horizontal="center" vertical="center"/>
      <protection/>
    </xf>
    <xf numFmtId="166" fontId="6" fillId="0" borderId="0" xfId="48" applyNumberFormat="1" applyFont="1" applyFill="1" applyAlignment="1">
      <alignment horizontal="center" vertical="center"/>
    </xf>
    <xf numFmtId="0" fontId="9" fillId="33" borderId="15" xfId="72" applyFont="1" applyFill="1" applyBorder="1" applyAlignment="1">
      <alignment horizontal="center" vertical="center"/>
      <protection/>
    </xf>
    <xf numFmtId="0" fontId="4" fillId="33" borderId="15" xfId="72" applyFont="1" applyFill="1" applyBorder="1" applyAlignment="1">
      <alignment horizontal="center" vertical="center"/>
      <protection/>
    </xf>
    <xf numFmtId="0" fontId="4" fillId="33" borderId="10" xfId="72" applyFont="1" applyFill="1" applyBorder="1" applyAlignment="1">
      <alignment horizontal="center" vertical="center"/>
      <protection/>
    </xf>
    <xf numFmtId="166" fontId="4" fillId="33" borderId="10" xfId="48" applyNumberFormat="1" applyFont="1" applyFill="1" applyBorder="1" applyAlignment="1">
      <alignment horizontal="center" vertical="center"/>
    </xf>
    <xf numFmtId="0" fontId="18" fillId="0" borderId="29" xfId="72" applyFont="1" applyBorder="1" applyAlignment="1">
      <alignment horizontal="center" vertical="center"/>
      <protection/>
    </xf>
    <xf numFmtId="166" fontId="4" fillId="0" borderId="0" xfId="48" applyNumberFormat="1" applyFont="1" applyFill="1" applyAlignment="1">
      <alignment horizontal="right" vertical="center"/>
    </xf>
    <xf numFmtId="166" fontId="7" fillId="0" borderId="10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6" fontId="0" fillId="0" borderId="10" xfId="48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74" applyFont="1">
      <alignment/>
      <protection/>
    </xf>
    <xf numFmtId="0" fontId="4" fillId="0" borderId="0" xfId="73" applyFont="1">
      <alignment/>
      <protection/>
    </xf>
    <xf numFmtId="0" fontId="4" fillId="0" borderId="0" xfId="66" applyFont="1" applyAlignment="1">
      <alignment horizontal="right"/>
      <protection/>
    </xf>
    <xf numFmtId="0" fontId="3" fillId="0" borderId="0" xfId="73" applyFont="1" applyAlignment="1">
      <alignment horizontal="center" vertical="center"/>
      <protection/>
    </xf>
    <xf numFmtId="0" fontId="3" fillId="33" borderId="10" xfId="73" applyFont="1" applyFill="1" applyBorder="1" applyAlignment="1">
      <alignment horizontal="center" vertical="center"/>
      <protection/>
    </xf>
    <xf numFmtId="0" fontId="29" fillId="37" borderId="10" xfId="73" applyFont="1" applyFill="1" applyBorder="1" applyAlignment="1">
      <alignment horizontal="center" vertical="center"/>
      <protection/>
    </xf>
    <xf numFmtId="0" fontId="4" fillId="33" borderId="10" xfId="73" applyFont="1" applyFill="1" applyBorder="1" applyAlignment="1">
      <alignment horizontal="center" vertical="center"/>
      <protection/>
    </xf>
    <xf numFmtId="0" fontId="4" fillId="37" borderId="0" xfId="73" applyFont="1" applyFill="1" applyAlignment="1">
      <alignment horizontal="center" vertical="center"/>
      <protection/>
    </xf>
    <xf numFmtId="0" fontId="4" fillId="37" borderId="10" xfId="73" applyFont="1" applyFill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textRotation="90" wrapText="1"/>
      <protection/>
    </xf>
    <xf numFmtId="0" fontId="4" fillId="0" borderId="10" xfId="73" applyFont="1" applyBorder="1" applyAlignment="1">
      <alignment vertical="center" wrapText="1"/>
      <protection/>
    </xf>
    <xf numFmtId="3" fontId="4" fillId="0" borderId="10" xfId="73" applyNumberFormat="1" applyFont="1" applyBorder="1">
      <alignment/>
      <protection/>
    </xf>
    <xf numFmtId="3" fontId="9" fillId="0" borderId="10" xfId="73" applyNumberFormat="1" applyFont="1" applyBorder="1">
      <alignment/>
      <protection/>
    </xf>
    <xf numFmtId="0" fontId="9" fillId="0" borderId="57" xfId="67" applyFont="1" applyBorder="1" applyAlignment="1">
      <alignment horizontal="center" vertical="center"/>
      <protection/>
    </xf>
    <xf numFmtId="166" fontId="4" fillId="0" borderId="18" xfId="48" applyNumberFormat="1" applyFont="1" applyBorder="1" applyAlignment="1">
      <alignment vertical="center"/>
    </xf>
    <xf numFmtId="166" fontId="9" fillId="0" borderId="18" xfId="48" applyNumberFormat="1" applyFont="1" applyFill="1" applyBorder="1" applyAlignment="1">
      <alignment horizontal="center" vertical="center"/>
    </xf>
    <xf numFmtId="166" fontId="4" fillId="0" borderId="18" xfId="67" applyNumberFormat="1" applyFont="1" applyBorder="1" applyAlignment="1">
      <alignment vertical="center"/>
      <protection/>
    </xf>
    <xf numFmtId="166" fontId="9" fillId="0" borderId="31" xfId="48" applyNumberFormat="1" applyFont="1" applyBorder="1" applyAlignment="1">
      <alignment vertical="center"/>
    </xf>
    <xf numFmtId="166" fontId="9" fillId="0" borderId="18" xfId="48" applyNumberFormat="1" applyFont="1" applyBorder="1" applyAlignment="1">
      <alignment/>
    </xf>
    <xf numFmtId="0" fontId="4" fillId="0" borderId="54" xfId="67" applyFont="1" applyBorder="1" applyAlignment="1">
      <alignment horizontal="right"/>
      <protection/>
    </xf>
    <xf numFmtId="0" fontId="9" fillId="33" borderId="12" xfId="61" applyFont="1" applyFill="1" applyBorder="1" applyAlignment="1">
      <alignment horizontal="center" vertical="center"/>
      <protection/>
    </xf>
    <xf numFmtId="0" fontId="4" fillId="33" borderId="65" xfId="61" applyFont="1" applyFill="1" applyBorder="1" applyAlignment="1">
      <alignment horizontal="center" vertical="center"/>
      <protection/>
    </xf>
    <xf numFmtId="0" fontId="4" fillId="33" borderId="66" xfId="61" applyFont="1" applyFill="1" applyBorder="1" applyAlignment="1">
      <alignment horizontal="center" vertical="center"/>
      <protection/>
    </xf>
    <xf numFmtId="0" fontId="4" fillId="33" borderId="67" xfId="61" applyFont="1" applyFill="1" applyBorder="1" applyAlignment="1">
      <alignment horizontal="center" vertical="center"/>
      <protection/>
    </xf>
    <xf numFmtId="0" fontId="4" fillId="33" borderId="68" xfId="61" applyFont="1" applyFill="1" applyBorder="1" applyAlignment="1">
      <alignment horizontal="center" vertical="center"/>
      <protection/>
    </xf>
    <xf numFmtId="0" fontId="4" fillId="36" borderId="65" xfId="71" applyFont="1" applyFill="1" applyBorder="1" applyAlignment="1">
      <alignment horizontal="center" vertical="center"/>
      <protection/>
    </xf>
    <xf numFmtId="0" fontId="4" fillId="36" borderId="67" xfId="71" applyFont="1" applyFill="1" applyBorder="1" applyAlignment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6" fontId="9" fillId="0" borderId="0" xfId="71" applyNumberFormat="1" applyFont="1" applyAlignment="1">
      <alignment vertical="center"/>
      <protection/>
    </xf>
    <xf numFmtId="0" fontId="9" fillId="0" borderId="0" xfId="71" applyFont="1" applyAlignment="1">
      <alignment vertical="center"/>
      <protection/>
    </xf>
    <xf numFmtId="166" fontId="4" fillId="0" borderId="10" xfId="48" applyNumberFormat="1" applyFont="1" applyBorder="1" applyAlignment="1">
      <alignment horizontal="right" vertical="center"/>
    </xf>
    <xf numFmtId="166" fontId="4" fillId="0" borderId="0" xfId="71" applyNumberFormat="1" applyFont="1" applyAlignment="1">
      <alignment vertical="center"/>
      <protection/>
    </xf>
    <xf numFmtId="180" fontId="4" fillId="0" borderId="49" xfId="48" applyNumberFormat="1" applyFont="1" applyBorder="1" applyAlignment="1">
      <alignment horizontal="right" vertical="center"/>
    </xf>
    <xf numFmtId="166" fontId="4" fillId="0" borderId="15" xfId="48" applyNumberFormat="1" applyFont="1" applyBorder="1" applyAlignment="1">
      <alignment horizontal="right" vertical="center"/>
    </xf>
    <xf numFmtId="166" fontId="9" fillId="0" borderId="42" xfId="48" applyNumberFormat="1" applyFont="1" applyFill="1" applyBorder="1" applyAlignment="1">
      <alignment vertical="center"/>
    </xf>
    <xf numFmtId="166" fontId="9" fillId="0" borderId="0" xfId="48" applyNumberFormat="1" applyFont="1" applyFill="1" applyBorder="1" applyAlignment="1">
      <alignment horizontal="right" vertical="center"/>
    </xf>
    <xf numFmtId="166" fontId="4" fillId="0" borderId="0" xfId="48" applyNumberFormat="1" applyFont="1" applyBorder="1" applyAlignment="1">
      <alignment horizontal="right" vertical="center"/>
    </xf>
    <xf numFmtId="166" fontId="4" fillId="0" borderId="0" xfId="48" applyNumberFormat="1" applyFont="1" applyBorder="1" applyAlignment="1">
      <alignment vertical="center"/>
    </xf>
    <xf numFmtId="166" fontId="4" fillId="0" borderId="0" xfId="48" applyNumberFormat="1" applyFont="1" applyAlignment="1">
      <alignment vertical="center"/>
    </xf>
    <xf numFmtId="166" fontId="4" fillId="0" borderId="0" xfId="48" applyNumberFormat="1" applyFont="1" applyFill="1" applyAlignment="1">
      <alignment vertical="center"/>
    </xf>
    <xf numFmtId="166" fontId="9" fillId="0" borderId="19" xfId="48" applyNumberFormat="1" applyFont="1" applyBorder="1" applyAlignment="1">
      <alignment vertical="center"/>
    </xf>
    <xf numFmtId="166" fontId="4" fillId="0" borderId="19" xfId="48" applyNumberFormat="1" applyFont="1" applyBorder="1" applyAlignment="1">
      <alignment vertical="center"/>
    </xf>
    <xf numFmtId="166" fontId="9" fillId="0" borderId="53" xfId="48" applyNumberFormat="1" applyFont="1" applyBorder="1" applyAlignment="1">
      <alignment vertical="center"/>
    </xf>
    <xf numFmtId="0" fontId="9" fillId="0" borderId="0" xfId="71" applyFont="1" applyAlignment="1">
      <alignment horizontal="left" vertical="center"/>
      <protection/>
    </xf>
    <xf numFmtId="166" fontId="4" fillId="0" borderId="41" xfId="48" applyNumberFormat="1" applyFont="1" applyFill="1" applyBorder="1" applyAlignment="1">
      <alignment vertical="center"/>
    </xf>
    <xf numFmtId="166" fontId="4" fillId="0" borderId="53" xfId="48" applyNumberFormat="1" applyFont="1" applyBorder="1" applyAlignment="1">
      <alignment vertical="center"/>
    </xf>
    <xf numFmtId="166" fontId="4" fillId="0" borderId="42" xfId="48" applyNumberFormat="1" applyFont="1" applyBorder="1" applyAlignment="1">
      <alignment vertical="center"/>
    </xf>
    <xf numFmtId="166" fontId="4" fillId="0" borderId="68" xfId="48" applyNumberFormat="1" applyFont="1" applyBorder="1" applyAlignment="1">
      <alignment vertical="center"/>
    </xf>
    <xf numFmtId="166" fontId="4" fillId="0" borderId="59" xfId="48" applyNumberFormat="1" applyFont="1" applyBorder="1" applyAlignment="1">
      <alignment vertical="center"/>
    </xf>
    <xf numFmtId="166" fontId="4" fillId="0" borderId="43" xfId="48" applyNumberFormat="1" applyFont="1" applyBorder="1" applyAlignment="1">
      <alignment vertical="center"/>
    </xf>
    <xf numFmtId="166" fontId="4" fillId="0" borderId="12" xfId="48" applyNumberFormat="1" applyFont="1" applyBorder="1" applyAlignment="1">
      <alignment vertical="center"/>
    </xf>
    <xf numFmtId="166" fontId="4" fillId="0" borderId="69" xfId="48" applyNumberFormat="1" applyFont="1" applyBorder="1" applyAlignment="1">
      <alignment vertical="center"/>
    </xf>
    <xf numFmtId="166" fontId="9" fillId="33" borderId="28" xfId="48" applyNumberFormat="1" applyFont="1" applyFill="1" applyBorder="1" applyAlignment="1">
      <alignment horizontal="center" vertical="center"/>
    </xf>
    <xf numFmtId="0" fontId="4" fillId="0" borderId="0" xfId="67" applyFont="1" applyAlignme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33" borderId="10" xfId="67" applyFont="1" applyFill="1" applyBorder="1" applyAlignment="1">
      <alignment vertical="center"/>
      <protection/>
    </xf>
    <xf numFmtId="0" fontId="4" fillId="33" borderId="1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 vertical="center"/>
      <protection/>
    </xf>
    <xf numFmtId="3" fontId="4" fillId="0" borderId="0" xfId="67" applyNumberFormat="1" applyFont="1" applyAlignment="1">
      <alignment vertical="center"/>
      <protection/>
    </xf>
    <xf numFmtId="166" fontId="5" fillId="0" borderId="18" xfId="48" applyNumberFormat="1" applyFont="1" applyBorder="1" applyAlignment="1">
      <alignment vertical="center"/>
    </xf>
    <xf numFmtId="166" fontId="4" fillId="0" borderId="0" xfId="67" applyNumberFormat="1" applyFont="1" applyAlignment="1">
      <alignment vertical="center"/>
      <protection/>
    </xf>
    <xf numFmtId="0" fontId="4" fillId="0" borderId="18" xfId="67" applyFont="1" applyBorder="1" applyAlignment="1">
      <alignment vertical="center"/>
      <protection/>
    </xf>
    <xf numFmtId="3" fontId="4" fillId="0" borderId="0" xfId="73" applyNumberFormat="1" applyFont="1" applyBorder="1">
      <alignment/>
      <protection/>
    </xf>
    <xf numFmtId="3" fontId="5" fillId="0" borderId="10" xfId="46" applyNumberFormat="1" applyFont="1" applyFill="1" applyBorder="1" applyAlignment="1" quotePrefix="1">
      <alignment horizontal="right" vertical="center"/>
    </xf>
    <xf numFmtId="3" fontId="7" fillId="0" borderId="10" xfId="46" applyNumberFormat="1" applyFont="1" applyFill="1" applyBorder="1" applyAlignment="1" quotePrefix="1">
      <alignment horizontal="right" vertical="center"/>
    </xf>
    <xf numFmtId="166" fontId="4" fillId="0" borderId="10" xfId="48" applyNumberFormat="1" applyFont="1" applyFill="1" applyBorder="1" applyAlignment="1">
      <alignment horizontal="right" vertical="center"/>
    </xf>
    <xf numFmtId="166" fontId="4" fillId="0" borderId="10" xfId="48" applyNumberFormat="1" applyFont="1" applyFill="1" applyBorder="1" applyAlignment="1">
      <alignment vertical="center"/>
    </xf>
    <xf numFmtId="166" fontId="4" fillId="0" borderId="15" xfId="48" applyNumberFormat="1" applyFont="1" applyFill="1" applyBorder="1" applyAlignment="1">
      <alignment horizontal="right" vertical="center"/>
    </xf>
    <xf numFmtId="166" fontId="9" fillId="0" borderId="18" xfId="48" applyNumberFormat="1" applyFont="1" applyBorder="1" applyAlignment="1">
      <alignment horizontal="right" vertical="center"/>
    </xf>
    <xf numFmtId="166" fontId="9" fillId="0" borderId="10" xfId="48" applyNumberFormat="1" applyFont="1" applyFill="1" applyBorder="1" applyAlignment="1">
      <alignment vertical="center"/>
    </xf>
    <xf numFmtId="166" fontId="9" fillId="0" borderId="18" xfId="48" applyNumberFormat="1" applyFont="1" applyFill="1" applyBorder="1" applyAlignment="1">
      <alignment vertical="center"/>
    </xf>
    <xf numFmtId="166" fontId="4" fillId="0" borderId="18" xfId="48" applyNumberFormat="1" applyFont="1" applyFill="1" applyBorder="1" applyAlignment="1">
      <alignment horizontal="right" vertical="center"/>
    </xf>
    <xf numFmtId="166" fontId="4" fillId="0" borderId="18" xfId="48" applyNumberFormat="1" applyFont="1" applyFill="1" applyBorder="1" applyAlignment="1">
      <alignment vertical="center"/>
    </xf>
    <xf numFmtId="166" fontId="4" fillId="0" borderId="18" xfId="48" applyNumberFormat="1" applyFont="1" applyBorder="1" applyAlignment="1">
      <alignment horizontal="right" vertical="center"/>
    </xf>
    <xf numFmtId="166" fontId="9" fillId="0" borderId="18" xfId="48" applyNumberFormat="1" applyFont="1" applyBorder="1" applyAlignment="1">
      <alignment vertical="center"/>
    </xf>
    <xf numFmtId="0" fontId="9" fillId="0" borderId="57" xfId="71" applyFont="1" applyBorder="1" applyAlignment="1">
      <alignment horizontal="center" vertical="center" wrapText="1"/>
      <protection/>
    </xf>
    <xf numFmtId="166" fontId="9" fillId="0" borderId="21" xfId="48" applyNumberFormat="1" applyFont="1" applyFill="1" applyBorder="1" applyAlignment="1">
      <alignment vertical="center"/>
    </xf>
    <xf numFmtId="0" fontId="9" fillId="0" borderId="56" xfId="71" applyFont="1" applyBorder="1" applyAlignment="1">
      <alignment horizontal="center" vertical="center" wrapText="1"/>
      <protection/>
    </xf>
    <xf numFmtId="166" fontId="9" fillId="0" borderId="15" xfId="48" applyNumberFormat="1" applyFont="1" applyBorder="1" applyAlignment="1">
      <alignment horizontal="right" vertical="center"/>
    </xf>
    <xf numFmtId="166" fontId="9" fillId="0" borderId="15" xfId="48" applyNumberFormat="1" applyFont="1" applyFill="1" applyBorder="1" applyAlignment="1">
      <alignment vertical="center"/>
    </xf>
    <xf numFmtId="166" fontId="4" fillId="0" borderId="15" xfId="48" applyNumberFormat="1" applyFont="1" applyFill="1" applyBorder="1" applyAlignment="1">
      <alignment vertical="center"/>
    </xf>
    <xf numFmtId="166" fontId="9" fillId="0" borderId="54" xfId="48" applyNumberFormat="1" applyFont="1" applyFill="1" applyBorder="1" applyAlignment="1">
      <alignment vertical="center"/>
    </xf>
    <xf numFmtId="166" fontId="4" fillId="0" borderId="22" xfId="48" applyNumberFormat="1" applyFont="1" applyFill="1" applyBorder="1" applyAlignment="1">
      <alignment vertical="center"/>
    </xf>
    <xf numFmtId="0" fontId="81" fillId="0" borderId="0" xfId="68" applyFont="1" applyAlignment="1">
      <alignment horizontal="left" vertical="center"/>
      <protection/>
    </xf>
    <xf numFmtId="3" fontId="5" fillId="0" borderId="0" xfId="67" applyNumberFormat="1" applyFont="1" applyAlignment="1">
      <alignment vertical="center"/>
      <protection/>
    </xf>
    <xf numFmtId="0" fontId="17" fillId="36" borderId="10" xfId="63" applyFont="1" applyFill="1" applyBorder="1" applyAlignment="1">
      <alignment horizontal="center" vertical="center"/>
      <protection/>
    </xf>
    <xf numFmtId="0" fontId="17" fillId="0" borderId="54" xfId="67" applyFont="1" applyBorder="1" applyAlignment="1">
      <alignment horizontal="center" vertical="center"/>
      <protection/>
    </xf>
    <xf numFmtId="0" fontId="16" fillId="0" borderId="42" xfId="67" applyFont="1" applyBorder="1" applyAlignment="1">
      <alignment vertical="center"/>
      <protection/>
    </xf>
    <xf numFmtId="166" fontId="16" fillId="0" borderId="42" xfId="48" applyNumberFormat="1" applyFont="1" applyFill="1" applyBorder="1" applyAlignment="1">
      <alignment vertical="center"/>
    </xf>
    <xf numFmtId="166" fontId="17" fillId="0" borderId="0" xfId="67" applyNumberFormat="1" applyFont="1" applyAlignment="1">
      <alignment vertical="center"/>
      <protection/>
    </xf>
    <xf numFmtId="3" fontId="17" fillId="0" borderId="0" xfId="67" applyNumberFormat="1" applyFont="1" applyAlignment="1">
      <alignment vertical="center"/>
      <protection/>
    </xf>
    <xf numFmtId="0" fontId="5" fillId="33" borderId="42" xfId="0" applyFont="1" applyFill="1" applyBorder="1" applyAlignment="1">
      <alignment horizontal="center" vertical="center" wrapText="1"/>
    </xf>
    <xf numFmtId="0" fontId="4" fillId="0" borderId="19" xfId="71" applyFont="1" applyFill="1" applyBorder="1" applyAlignment="1">
      <alignment horizontal="center" vertical="center"/>
      <protection/>
    </xf>
    <xf numFmtId="0" fontId="4" fillId="0" borderId="53" xfId="71" applyFont="1" applyFill="1" applyBorder="1" applyAlignment="1">
      <alignment horizontal="center" vertical="center"/>
      <protection/>
    </xf>
    <xf numFmtId="0" fontId="4" fillId="0" borderId="0" xfId="76" applyFont="1" applyAlignment="1">
      <alignment horizontal="right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76" applyFont="1">
      <alignment/>
      <protection/>
    </xf>
    <xf numFmtId="0" fontId="4" fillId="0" borderId="0" xfId="76" applyFont="1" applyAlignment="1">
      <alignment horizontal="right"/>
      <protection/>
    </xf>
    <xf numFmtId="0" fontId="5" fillId="0" borderId="0" xfId="58" applyFont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0" borderId="10" xfId="76" applyFont="1" applyBorder="1">
      <alignment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3" fontId="4" fillId="0" borderId="10" xfId="76" applyNumberFormat="1" applyFont="1" applyBorder="1">
      <alignment/>
      <protection/>
    </xf>
    <xf numFmtId="3" fontId="4" fillId="0" borderId="10" xfId="76" applyNumberFormat="1" applyFont="1" applyFill="1" applyBorder="1">
      <alignment/>
      <protection/>
    </xf>
    <xf numFmtId="3" fontId="9" fillId="0" borderId="10" xfId="76" applyNumberFormat="1" applyFont="1" applyBorder="1">
      <alignment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0" borderId="0" xfId="76" applyFont="1" applyBorder="1">
      <alignment/>
      <protection/>
    </xf>
    <xf numFmtId="0" fontId="4" fillId="0" borderId="0" xfId="76" applyFont="1" applyBorder="1" applyAlignment="1">
      <alignment horizontal="right"/>
      <protection/>
    </xf>
    <xf numFmtId="0" fontId="4" fillId="0" borderId="61" xfId="76" applyFont="1" applyBorder="1" applyAlignment="1">
      <alignment horizontal="right"/>
      <protection/>
    </xf>
    <xf numFmtId="0" fontId="7" fillId="0" borderId="10" xfId="68" applyFont="1" applyBorder="1" applyAlignment="1">
      <alignment horizontal="left" vertical="center" wrapText="1"/>
      <protection/>
    </xf>
    <xf numFmtId="0" fontId="5" fillId="0" borderId="0" xfId="68" applyFont="1" applyAlignment="1">
      <alignment horizontal="left" vertical="center" wrapText="1"/>
      <protection/>
    </xf>
    <xf numFmtId="0" fontId="5" fillId="36" borderId="10" xfId="68" applyFont="1" applyFill="1" applyBorder="1" applyAlignment="1">
      <alignment horizontal="left" vertical="center" wrapText="1"/>
      <protection/>
    </xf>
    <xf numFmtId="0" fontId="15" fillId="0" borderId="0" xfId="68" applyAlignment="1">
      <alignment horizontal="left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7" fillId="0" borderId="59" xfId="57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3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83" fillId="34" borderId="4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82" fillId="0" borderId="44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44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7" fillId="0" borderId="44" xfId="57" applyFont="1" applyBorder="1" applyAlignment="1">
      <alignment vertical="center"/>
      <protection/>
    </xf>
    <xf numFmtId="0" fontId="7" fillId="0" borderId="15" xfId="57" applyFont="1" applyBorder="1" applyAlignment="1">
      <alignment vertical="center"/>
      <protection/>
    </xf>
    <xf numFmtId="0" fontId="7" fillId="0" borderId="29" xfId="57" applyFont="1" applyBorder="1" applyAlignment="1">
      <alignment vertical="center"/>
      <protection/>
    </xf>
    <xf numFmtId="0" fontId="7" fillId="0" borderId="26" xfId="57" applyFont="1" applyBorder="1" applyAlignment="1">
      <alignment horizontal="left" vertical="center"/>
      <protection/>
    </xf>
    <xf numFmtId="0" fontId="7" fillId="0" borderId="45" xfId="57" applyFont="1" applyBorder="1" applyAlignment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>
      <alignment horizontal="left" vertical="center"/>
      <protection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5" fillId="33" borderId="13" xfId="69" applyFont="1" applyFill="1" applyBorder="1" applyAlignment="1">
      <alignment horizontal="center" vertical="center"/>
      <protection/>
    </xf>
    <xf numFmtId="0" fontId="5" fillId="33" borderId="30" xfId="69" applyFont="1" applyFill="1" applyBorder="1" applyAlignment="1">
      <alignment horizontal="center" vertical="center"/>
      <protection/>
    </xf>
    <xf numFmtId="0" fontId="5" fillId="33" borderId="11" xfId="69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vertical="center"/>
    </xf>
    <xf numFmtId="0" fontId="5" fillId="0" borderId="10" xfId="57" applyFont="1" applyBorder="1" applyAlignment="1">
      <alignment horizontal="center" vertical="center" textRotation="90" wrapText="1"/>
      <protection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/>
      <protection/>
    </xf>
    <xf numFmtId="0" fontId="7" fillId="0" borderId="10" xfId="69" applyFont="1" applyBorder="1" applyAlignment="1">
      <alignment horizontal="center" vertical="center" wrapText="1"/>
      <protection/>
    </xf>
    <xf numFmtId="0" fontId="5" fillId="37" borderId="12" xfId="72" applyFont="1" applyFill="1" applyBorder="1" applyAlignment="1">
      <alignment vertical="center"/>
      <protection/>
    </xf>
    <xf numFmtId="0" fontId="5" fillId="37" borderId="44" xfId="72" applyFont="1" applyFill="1" applyBorder="1" applyAlignment="1">
      <alignment vertical="center"/>
      <protection/>
    </xf>
    <xf numFmtId="0" fontId="5" fillId="37" borderId="15" xfId="72" applyFont="1" applyFill="1" applyBorder="1" applyAlignment="1">
      <alignment vertical="center"/>
      <protection/>
    </xf>
    <xf numFmtId="0" fontId="7" fillId="37" borderId="12" xfId="72" applyFont="1" applyFill="1" applyBorder="1" applyAlignment="1">
      <alignment vertical="center"/>
      <protection/>
    </xf>
    <xf numFmtId="0" fontId="7" fillId="37" borderId="44" xfId="72" applyFont="1" applyFill="1" applyBorder="1" applyAlignment="1">
      <alignment vertical="center"/>
      <protection/>
    </xf>
    <xf numFmtId="0" fontId="7" fillId="37" borderId="15" xfId="72" applyFont="1" applyFill="1" applyBorder="1" applyAlignment="1">
      <alignment vertical="center"/>
      <protection/>
    </xf>
    <xf numFmtId="0" fontId="5" fillId="0" borderId="13" xfId="72" applyFont="1" applyBorder="1" applyAlignment="1">
      <alignment horizontal="left" vertical="center" wrapText="1"/>
      <protection/>
    </xf>
    <xf numFmtId="0" fontId="5" fillId="0" borderId="11" xfId="72" applyFont="1" applyBorder="1" applyAlignment="1">
      <alignment horizontal="left" vertical="center" wrapText="1"/>
      <protection/>
    </xf>
    <xf numFmtId="3" fontId="5" fillId="0" borderId="13" xfId="72" applyNumberFormat="1" applyFont="1" applyBorder="1" applyAlignment="1">
      <alignment horizontal="right" vertical="center"/>
      <protection/>
    </xf>
    <xf numFmtId="3" fontId="5" fillId="0" borderId="11" xfId="72" applyNumberFormat="1" applyFont="1" applyBorder="1" applyAlignment="1">
      <alignment horizontal="right" vertical="center"/>
      <protection/>
    </xf>
    <xf numFmtId="3" fontId="7" fillId="0" borderId="13" xfId="72" applyNumberFormat="1" applyFont="1" applyBorder="1" applyAlignment="1">
      <alignment horizontal="right" vertical="center"/>
      <protection/>
    </xf>
    <xf numFmtId="3" fontId="7" fillId="0" borderId="11" xfId="72" applyNumberFormat="1" applyFont="1" applyBorder="1" applyAlignment="1">
      <alignment horizontal="right" vertical="center"/>
      <protection/>
    </xf>
    <xf numFmtId="0" fontId="5" fillId="33" borderId="13" xfId="72" applyFont="1" applyFill="1" applyBorder="1" applyAlignment="1">
      <alignment horizontal="center" vertical="center"/>
      <protection/>
    </xf>
    <xf numFmtId="0" fontId="5" fillId="33" borderId="11" xfId="72" applyFont="1" applyFill="1" applyBorder="1" applyAlignment="1">
      <alignment horizontal="center" vertical="center"/>
      <protection/>
    </xf>
    <xf numFmtId="0" fontId="7" fillId="0" borderId="12" xfId="72" applyFont="1" applyBorder="1" applyAlignment="1">
      <alignment horizontal="center" vertical="center"/>
      <protection/>
    </xf>
    <xf numFmtId="0" fontId="7" fillId="0" borderId="44" xfId="72" applyFont="1" applyBorder="1" applyAlignment="1">
      <alignment horizontal="center" vertical="center"/>
      <protection/>
    </xf>
    <xf numFmtId="0" fontId="7" fillId="0" borderId="15" xfId="7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 wrapText="1"/>
    </xf>
    <xf numFmtId="0" fontId="5" fillId="0" borderId="13" xfId="72" applyFont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5" fillId="0" borderId="13" xfId="72" applyFont="1" applyBorder="1" applyAlignment="1">
      <alignment horizontal="center" vertical="center" wrapText="1"/>
      <protection/>
    </xf>
    <xf numFmtId="0" fontId="5" fillId="0" borderId="11" xfId="72" applyFont="1" applyBorder="1" applyAlignment="1">
      <alignment horizontal="center" vertical="center" wrapText="1"/>
      <protection/>
    </xf>
    <xf numFmtId="3" fontId="5" fillId="0" borderId="13" xfId="72" applyNumberFormat="1" applyFont="1" applyBorder="1" applyAlignment="1">
      <alignment horizontal="center" vertical="center"/>
      <protection/>
    </xf>
    <xf numFmtId="3" fontId="5" fillId="0" borderId="11" xfId="72" applyNumberFormat="1" applyFont="1" applyBorder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7" fillId="0" borderId="0" xfId="72" applyFont="1" applyAlignment="1">
      <alignment horizontal="center" vertical="center"/>
      <protection/>
    </xf>
    <xf numFmtId="0" fontId="7" fillId="0" borderId="20" xfId="72" applyFont="1" applyBorder="1" applyAlignment="1">
      <alignment horizontal="center" vertical="center" wrapText="1"/>
      <protection/>
    </xf>
    <xf numFmtId="0" fontId="7" fillId="0" borderId="16" xfId="72" applyFont="1" applyBorder="1" applyAlignment="1">
      <alignment horizontal="center"/>
      <protection/>
    </xf>
    <xf numFmtId="0" fontId="7" fillId="0" borderId="10" xfId="72" applyFont="1" applyBorder="1" applyAlignment="1">
      <alignment horizontal="center" vertical="center"/>
      <protection/>
    </xf>
    <xf numFmtId="0" fontId="7" fillId="0" borderId="10" xfId="7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7" fillId="0" borderId="12" xfId="46" applyNumberFormat="1" applyFont="1" applyFill="1" applyBorder="1" applyAlignment="1">
      <alignment horizontal="center" vertical="center"/>
    </xf>
    <xf numFmtId="3" fontId="7" fillId="0" borderId="44" xfId="46" applyNumberFormat="1" applyFont="1" applyFill="1" applyBorder="1" applyAlignment="1">
      <alignment horizontal="center" vertical="center"/>
    </xf>
    <xf numFmtId="3" fontId="7" fillId="0" borderId="15" xfId="4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166" fontId="7" fillId="0" borderId="10" xfId="46" applyNumberFormat="1" applyFont="1" applyFill="1" applyBorder="1" applyAlignment="1">
      <alignment horizontal="center" vertical="center" wrapText="1"/>
    </xf>
    <xf numFmtId="166" fontId="7" fillId="0" borderId="12" xfId="46" applyNumberFormat="1" applyFont="1" applyFill="1" applyBorder="1" applyAlignment="1">
      <alignment horizontal="center" vertical="center" wrapText="1"/>
    </xf>
    <xf numFmtId="166" fontId="7" fillId="0" borderId="44" xfId="46" applyNumberFormat="1" applyFont="1" applyFill="1" applyBorder="1" applyAlignment="1">
      <alignment horizontal="center" vertical="center" wrapText="1"/>
    </xf>
    <xf numFmtId="166" fontId="7" fillId="0" borderId="15" xfId="46" applyNumberFormat="1" applyFont="1" applyFill="1" applyBorder="1" applyAlignment="1">
      <alignment horizontal="center" vertical="center" wrapText="1"/>
    </xf>
    <xf numFmtId="0" fontId="5" fillId="0" borderId="0" xfId="62" applyFont="1" applyAlignment="1">
      <alignment horizontal="right"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59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5" fillId="0" borderId="0" xfId="67" applyFont="1" applyAlignment="1">
      <alignment horizontal="center" vertical="center"/>
      <protection/>
    </xf>
    <xf numFmtId="0" fontId="3" fillId="0" borderId="0" xfId="73" applyFont="1" applyAlignment="1">
      <alignment horizontal="center" vertical="center"/>
      <protection/>
    </xf>
    <xf numFmtId="0" fontId="9" fillId="0" borderId="0" xfId="6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67" applyFont="1" applyAlignment="1">
      <alignment horizontal="right"/>
      <protection/>
    </xf>
    <xf numFmtId="0" fontId="4" fillId="0" borderId="0" xfId="59" applyFont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7" fillId="0" borderId="1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0" xfId="62" applyFont="1" applyBorder="1" applyAlignment="1">
      <alignment horizontal="left" vertical="center" wrapText="1"/>
      <protection/>
    </xf>
    <xf numFmtId="0" fontId="16" fillId="0" borderId="54" xfId="62" applyFont="1" applyBorder="1" applyAlignment="1">
      <alignment horizontal="left" vertical="center"/>
      <protection/>
    </xf>
    <xf numFmtId="0" fontId="16" fillId="0" borderId="42" xfId="62" applyFont="1" applyBorder="1" applyAlignment="1">
      <alignment horizontal="left" vertical="center"/>
      <protection/>
    </xf>
    <xf numFmtId="0" fontId="16" fillId="0" borderId="58" xfId="62" applyFont="1" applyBorder="1" applyAlignment="1">
      <alignment horizontal="center" vertical="center"/>
      <protection/>
    </xf>
    <xf numFmtId="0" fontId="16" fillId="0" borderId="56" xfId="62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/>
      <protection/>
    </xf>
    <xf numFmtId="0" fontId="17" fillId="0" borderId="61" xfId="68" applyFont="1" applyBorder="1" applyAlignment="1">
      <alignment horizontal="center"/>
      <protection/>
    </xf>
    <xf numFmtId="0" fontId="17" fillId="0" borderId="16" xfId="68" applyFont="1" applyBorder="1" applyAlignment="1">
      <alignment horizontal="center"/>
      <protection/>
    </xf>
    <xf numFmtId="0" fontId="16" fillId="0" borderId="10" xfId="62" applyFont="1" applyBorder="1" applyAlignment="1">
      <alignment horizontal="left" vertical="center"/>
      <protection/>
    </xf>
    <xf numFmtId="0" fontId="16" fillId="0" borderId="20" xfId="68" applyFont="1" applyBorder="1" applyAlignment="1">
      <alignment horizontal="center" vertical="center"/>
      <protection/>
    </xf>
    <xf numFmtId="0" fontId="16" fillId="0" borderId="16" xfId="68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6" fillId="0" borderId="43" xfId="62" applyFont="1" applyBorder="1" applyAlignment="1">
      <alignment horizontal="center" vertical="center"/>
      <protection/>
    </xf>
    <xf numFmtId="0" fontId="17" fillId="0" borderId="0" xfId="63" applyFont="1" applyAlignment="1">
      <alignment horizontal="right" vertical="center"/>
      <protection/>
    </xf>
    <xf numFmtId="0" fontId="4" fillId="0" borderId="0" xfId="68" applyFont="1" applyAlignment="1">
      <alignment horizontal="right"/>
      <protection/>
    </xf>
    <xf numFmtId="0" fontId="9" fillId="0" borderId="0" xfId="68" applyFont="1" applyAlignment="1">
      <alignment horizontal="center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0" xfId="71" applyFont="1" applyAlignment="1">
      <alignment horizontal="left" vertical="center"/>
      <protection/>
    </xf>
    <xf numFmtId="0" fontId="9" fillId="0" borderId="0" xfId="71" applyFont="1" applyAlignment="1">
      <alignment horizontal="left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43" xfId="71" applyFont="1" applyBorder="1" applyAlignment="1">
      <alignment horizontal="left" vertical="center" wrapText="1"/>
      <protection/>
    </xf>
    <xf numFmtId="0" fontId="4" fillId="0" borderId="10" xfId="71" applyFont="1" applyBorder="1" applyAlignment="1">
      <alignment horizontal="left" vertical="center"/>
      <protection/>
    </xf>
    <xf numFmtId="0" fontId="4" fillId="0" borderId="10" xfId="71" applyFont="1" applyBorder="1" applyAlignment="1">
      <alignment horizontal="left" vertical="center" wrapText="1"/>
      <protection/>
    </xf>
    <xf numFmtId="0" fontId="4" fillId="0" borderId="19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 quotePrefix="1">
      <alignment horizontal="left" vertical="center"/>
      <protection/>
    </xf>
    <xf numFmtId="0" fontId="4" fillId="0" borderId="42" xfId="71" applyFont="1" applyFill="1" applyBorder="1" applyAlignment="1" quotePrefix="1">
      <alignment horizontal="left" vertical="center"/>
      <protection/>
    </xf>
    <xf numFmtId="166" fontId="9" fillId="0" borderId="78" xfId="48" applyNumberFormat="1" applyFont="1" applyFill="1" applyBorder="1" applyAlignment="1">
      <alignment horizontal="left" vertical="center" wrapText="1"/>
    </xf>
    <xf numFmtId="166" fontId="9" fillId="0" borderId="55" xfId="48" applyNumberFormat="1" applyFont="1" applyFill="1" applyBorder="1" applyAlignment="1">
      <alignment horizontal="left" vertical="center" wrapText="1"/>
    </xf>
    <xf numFmtId="0" fontId="9" fillId="0" borderId="0" xfId="71" applyFont="1" applyAlignment="1">
      <alignment horizontal="center" vertical="center"/>
      <protection/>
    </xf>
    <xf numFmtId="166" fontId="9" fillId="0" borderId="62" xfId="48" applyNumberFormat="1" applyFont="1" applyFill="1" applyBorder="1" applyAlignment="1">
      <alignment horizontal="center" vertical="center"/>
    </xf>
    <xf numFmtId="166" fontId="9" fillId="0" borderId="58" xfId="48" applyNumberFormat="1" applyFont="1" applyFill="1" applyBorder="1" applyAlignment="1">
      <alignment horizontal="center" vertical="center"/>
    </xf>
    <xf numFmtId="166" fontId="9" fillId="0" borderId="56" xfId="48" applyNumberFormat="1" applyFont="1" applyFill="1" applyBorder="1" applyAlignment="1">
      <alignment horizontal="center" vertical="center"/>
    </xf>
    <xf numFmtId="0" fontId="4" fillId="0" borderId="27" xfId="71" applyFont="1" applyBorder="1" applyAlignment="1">
      <alignment horizontal="left" vertical="center"/>
      <protection/>
    </xf>
    <xf numFmtId="0" fontId="4" fillId="0" borderId="11" xfId="71" applyFont="1" applyBorder="1" applyAlignment="1">
      <alignment horizontal="left" vertical="center"/>
      <protection/>
    </xf>
    <xf numFmtId="0" fontId="4" fillId="0" borderId="28" xfId="71" applyFont="1" applyFill="1" applyBorder="1" applyAlignment="1">
      <alignment horizontal="left" vertical="center"/>
      <protection/>
    </xf>
    <xf numFmtId="0" fontId="4" fillId="0" borderId="44" xfId="71" applyFont="1" applyFill="1" applyBorder="1" applyAlignment="1">
      <alignment horizontal="left" vertical="center"/>
      <protection/>
    </xf>
    <xf numFmtId="0" fontId="4" fillId="0" borderId="15" xfId="71" applyFont="1" applyFill="1" applyBorder="1" applyAlignment="1">
      <alignment horizontal="left" vertical="center"/>
      <protection/>
    </xf>
    <xf numFmtId="166" fontId="9" fillId="0" borderId="12" xfId="48" applyNumberFormat="1" applyFont="1" applyFill="1" applyBorder="1" applyAlignment="1">
      <alignment horizontal="left" vertical="center" wrapText="1"/>
    </xf>
    <xf numFmtId="166" fontId="9" fillId="0" borderId="44" xfId="48" applyNumberFormat="1" applyFont="1" applyFill="1" applyBorder="1" applyAlignment="1">
      <alignment horizontal="left" vertical="center" wrapText="1"/>
    </xf>
    <xf numFmtId="166" fontId="4" fillId="0" borderId="25" xfId="48" applyNumberFormat="1" applyFont="1" applyFill="1" applyBorder="1" applyAlignment="1">
      <alignment horizontal="center" vertical="center"/>
    </xf>
    <xf numFmtId="166" fontId="4" fillId="0" borderId="27" xfId="48" applyNumberFormat="1" applyFont="1" applyFill="1" applyBorder="1" applyAlignment="1">
      <alignment horizontal="center" vertical="center"/>
    </xf>
    <xf numFmtId="0" fontId="4" fillId="0" borderId="0" xfId="71" applyFont="1" applyAlignment="1">
      <alignment horizontal="right" vertical="center" wrapText="1"/>
      <protection/>
    </xf>
    <xf numFmtId="166" fontId="4" fillId="0" borderId="38" xfId="48" applyNumberFormat="1" applyFont="1" applyFill="1" applyBorder="1" applyAlignment="1">
      <alignment horizontal="center" vertical="center"/>
    </xf>
    <xf numFmtId="166" fontId="4" fillId="0" borderId="49" xfId="48" applyNumberFormat="1" applyFont="1" applyFill="1" applyBorder="1" applyAlignment="1">
      <alignment horizontal="center" vertical="center"/>
    </xf>
    <xf numFmtId="166" fontId="4" fillId="0" borderId="46" xfId="48" applyNumberFormat="1" applyFont="1" applyFill="1" applyBorder="1" applyAlignment="1">
      <alignment horizontal="center" vertical="center"/>
    </xf>
    <xf numFmtId="166" fontId="4" fillId="0" borderId="10" xfId="48" applyNumberFormat="1" applyFont="1" applyFill="1" applyBorder="1" applyAlignment="1">
      <alignment horizontal="center" vertical="center"/>
    </xf>
    <xf numFmtId="166" fontId="9" fillId="0" borderId="25" xfId="48" applyNumberFormat="1" applyFont="1" applyFill="1" applyBorder="1" applyAlignment="1">
      <alignment horizontal="center" vertical="center"/>
    </xf>
    <xf numFmtId="166" fontId="9" fillId="0" borderId="74" xfId="48" applyNumberFormat="1" applyFont="1" applyFill="1" applyBorder="1" applyAlignment="1">
      <alignment horizontal="center" vertical="center"/>
    </xf>
    <xf numFmtId="166" fontId="9" fillId="0" borderId="27" xfId="48" applyNumberFormat="1" applyFont="1" applyFill="1" applyBorder="1" applyAlignment="1">
      <alignment horizontal="center" vertical="center"/>
    </xf>
    <xf numFmtId="0" fontId="4" fillId="0" borderId="0" xfId="71" applyFont="1" applyAlignment="1">
      <alignment horizontal="right" vertical="center"/>
      <protection/>
    </xf>
    <xf numFmtId="0" fontId="9" fillId="0" borderId="0" xfId="71" applyFont="1" applyAlignment="1">
      <alignment horizontal="center" vertical="center" wrapText="1"/>
      <protection/>
    </xf>
    <xf numFmtId="0" fontId="9" fillId="0" borderId="62" xfId="71" applyFont="1" applyBorder="1" applyAlignment="1">
      <alignment horizontal="center" vertical="center"/>
      <protection/>
    </xf>
    <xf numFmtId="0" fontId="9" fillId="0" borderId="58" xfId="71" applyFont="1" applyBorder="1" applyAlignment="1">
      <alignment horizontal="center" vertical="center"/>
      <protection/>
    </xf>
    <xf numFmtId="166" fontId="4" fillId="0" borderId="74" xfId="48" applyNumberFormat="1" applyFont="1" applyFill="1" applyBorder="1" applyAlignment="1">
      <alignment horizontal="center" vertical="center"/>
    </xf>
    <xf numFmtId="0" fontId="4" fillId="0" borderId="0" xfId="76" applyFont="1" applyAlignment="1">
      <alignment horizontal="right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3" fillId="0" borderId="0" xfId="76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68" applyFont="1" applyAlignment="1">
      <alignment horizontal="center" vertical="center" wrapText="1"/>
      <protection/>
    </xf>
    <xf numFmtId="0" fontId="28" fillId="0" borderId="0" xfId="68" applyFont="1" applyAlignment="1">
      <alignment horizontal="center" vertical="center" wrapText="1"/>
      <protection/>
    </xf>
    <xf numFmtId="0" fontId="0" fillId="0" borderId="0" xfId="68" applyFont="1" applyAlignment="1">
      <alignment horizontal="center"/>
      <protection/>
    </xf>
    <xf numFmtId="0" fontId="7" fillId="0" borderId="12" xfId="68" applyFont="1" applyBorder="1" applyAlignment="1">
      <alignment horizontal="center" vertical="center" wrapText="1"/>
      <protection/>
    </xf>
    <xf numFmtId="0" fontId="7" fillId="0" borderId="15" xfId="68" applyFont="1" applyBorder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8" fillId="0" borderId="0" xfId="72" applyFont="1" applyAlignment="1">
      <alignment horizontal="center" vertical="center" wrapText="1"/>
      <protection/>
    </xf>
    <xf numFmtId="0" fontId="76" fillId="0" borderId="29" xfId="69" applyFont="1" applyBorder="1" applyAlignment="1">
      <alignment horizontal="center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16" fillId="0" borderId="12" xfId="69" applyFont="1" applyBorder="1" applyAlignment="1">
      <alignment horizontal="center" vertical="center" wrapText="1"/>
      <protection/>
    </xf>
    <xf numFmtId="0" fontId="16" fillId="0" borderId="44" xfId="69" applyFont="1" applyBorder="1" applyAlignment="1">
      <alignment horizontal="center" vertical="center" wrapText="1"/>
      <protection/>
    </xf>
    <xf numFmtId="0" fontId="16" fillId="0" borderId="15" xfId="69" applyFont="1" applyBorder="1" applyAlignment="1">
      <alignment horizontal="center" vertical="center" wrapText="1"/>
      <protection/>
    </xf>
    <xf numFmtId="0" fontId="76" fillId="0" borderId="17" xfId="69" applyFont="1" applyBorder="1" applyAlignment="1">
      <alignment horizontal="center" vertical="center"/>
      <protection/>
    </xf>
    <xf numFmtId="0" fontId="16" fillId="0" borderId="26" xfId="69" applyFont="1" applyBorder="1" applyAlignment="1">
      <alignment horizontal="center" vertical="center" wrapText="1"/>
      <protection/>
    </xf>
    <xf numFmtId="0" fontId="16" fillId="0" borderId="45" xfId="69" applyFont="1" applyBorder="1" applyAlignment="1">
      <alignment horizontal="center" vertical="center" wrapText="1"/>
      <protection/>
    </xf>
    <xf numFmtId="0" fontId="16" fillId="0" borderId="20" xfId="69" applyFont="1" applyBorder="1" applyAlignment="1">
      <alignment horizontal="center" vertical="center" wrapText="1"/>
      <protection/>
    </xf>
    <xf numFmtId="0" fontId="16" fillId="0" borderId="17" xfId="69" applyFont="1" applyBorder="1" applyAlignment="1">
      <alignment horizontal="center" vertical="center" wrapText="1"/>
      <protection/>
    </xf>
    <xf numFmtId="0" fontId="16" fillId="0" borderId="29" xfId="69" applyFont="1" applyBorder="1" applyAlignment="1">
      <alignment horizontal="center" vertical="center" wrapText="1"/>
      <protection/>
    </xf>
    <xf numFmtId="0" fontId="16" fillId="0" borderId="16" xfId="69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0" xfId="69" applyFont="1" applyBorder="1" applyAlignment="1">
      <alignment vertical="center"/>
      <protection/>
    </xf>
    <xf numFmtId="0" fontId="17" fillId="33" borderId="30" xfId="69" applyFont="1" applyFill="1" applyBorder="1" applyAlignment="1">
      <alignment horizontal="center" vertical="center"/>
      <protection/>
    </xf>
    <xf numFmtId="0" fontId="17" fillId="33" borderId="11" xfId="69" applyFont="1" applyFill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59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79" xfId="0" applyFont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3" xfId="57" applyFont="1" applyBorder="1" applyAlignment="1">
      <alignment horizontal="center" vertical="center" wrapText="1"/>
      <protection/>
    </xf>
    <xf numFmtId="0" fontId="16" fillId="0" borderId="23" xfId="57" applyFont="1" applyBorder="1" applyAlignment="1">
      <alignment horizontal="center" vertical="center" wrapText="1"/>
      <protection/>
    </xf>
    <xf numFmtId="49" fontId="16" fillId="0" borderId="0" xfId="0" applyNumberFormat="1" applyFont="1" applyAlignment="1">
      <alignment horizontal="center" vertical="center"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_2001 költségvetés" xfId="57"/>
    <cellStyle name="Normál_2001 költségvetés_2013.évi zárszámadás" xfId="58"/>
    <cellStyle name="Normál_2001 költségvetés_2015.évi zárszámadás Magdi" xfId="59"/>
    <cellStyle name="Normál_2001 költségvetés_Munka3" xfId="60"/>
    <cellStyle name="Normál_2001 költségvetés_Zárszámadás-vagyonkimutatás 2016." xfId="61"/>
    <cellStyle name="Normál_2009.évi.besz." xfId="62"/>
    <cellStyle name="Normál_2010.évi beszám" xfId="63"/>
    <cellStyle name="Normál_2013.évi zárszámadás" xfId="64"/>
    <cellStyle name="Normál_2014.IV.n.előirányzat mód.fea.b._2015.évi zárszámadás Magdi" xfId="65"/>
    <cellStyle name="Normál_2015. I. félévi beszámoló táblái" xfId="66"/>
    <cellStyle name="Normál_2015.évi zárszámadás Magdi" xfId="67"/>
    <cellStyle name="Normál_2015.évi zárszámadás összesített" xfId="68"/>
    <cellStyle name="Normál_2-A tábla" xfId="69"/>
    <cellStyle name="Normál_A 2012. évi zárszámadásról II" xfId="70"/>
    <cellStyle name="Normál_Egyszer.mérleg előírt tagolása" xfId="71"/>
    <cellStyle name="Normál_mellékletek Magdinak" xfId="72"/>
    <cellStyle name="Normál_Munka1" xfId="73"/>
    <cellStyle name="Normál_Munka3" xfId="74"/>
    <cellStyle name="Normál_Testület 3.n.év" xfId="75"/>
    <cellStyle name="Normál_zárszámadáshoz 2013.részesedés" xfId="76"/>
    <cellStyle name="Normál_Zárszámadás-vagyonkimutatás 2016.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k&#246;lts&#233;gvet&#233;s\&#214;SSZEVONT%20V&#193;ROSI%20KV%202018%20B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v&#225;cs%20Szilvia\2_&#214;nkorm&#225;nyzat\El&#337;terjeszt&#233;sek\2019-08\&#214;nk%202019%20k&#246;lts&#233;gvet&#233;s%20m&#243;dos&#237;t&#225;s\&#214;nk_2019%20I%20f&#233;l&#233;v%20teljes&#237;t&#233;s%20t&#225;bl&#225;k%20(Jav&#237;tot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gyesin&#233;%20Anik&#243;\Desktop\&#214;nk_2019%20IV%20negyed&#233;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9.%20k&#246;lts&#233;gvet&#233;s\2018%20&#233;vi%20IFT%20k&#246;lts&#233;gvet&#233;s\2019%20&#211;voda\Teljes%20k&#246;lts&#233;gvet&#233;s%20t&#225;bl&#225;zat%202019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9.%20k&#246;lts&#233;gvet&#233;s\2018%20&#233;vi%20IFT%20k&#246;lts&#233;gvet&#233;s\2019%20BVSSZK\K&#246;lts&#233;gvet&#233;s%20t&#225;bl&#225;zat%202019%20BVSZSZK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\2020-02\&#214;nk%20ktgvet&#233;si%20rendelet%20m&#243;dos&#237;t&#225;s\&#214;nk_2019%20IV%20negyed&#233;v%20teljes&#237;t&#233;s%20t&#225;bl&#225;k%20S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\2018.%20&#233;vi%20z&#225;rsz&#225;mad&#225;s\2018%20%20z&#225;rsz&#225;mad&#225;s%20%20t&#225;bl&#225;k%20&#214;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42"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adó - munkaanyag Szilvi"/>
      <sheetName val="pályázat - munkaanyag Szilvi"/>
    </sheetNames>
    <sheetDataSet>
      <sheetData sheetId="0">
        <row r="10">
          <cell r="AN10">
            <v>719220904</v>
          </cell>
        </row>
        <row r="11">
          <cell r="AN11">
            <v>169998048</v>
          </cell>
        </row>
        <row r="12">
          <cell r="AN12">
            <v>56201032</v>
          </cell>
        </row>
        <row r="13">
          <cell r="AN13">
            <v>27314758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4"/>
      <sheetName val="5"/>
      <sheetName val="9"/>
      <sheetName val="nem épül be"/>
    </sheetNames>
    <sheetDataSet>
      <sheetData sheetId="1">
        <row r="17">
          <cell r="L17">
            <v>135700000</v>
          </cell>
          <cell r="M17">
            <v>142455000</v>
          </cell>
          <cell r="N17">
            <v>92725714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0">
          <cell r="D50">
            <v>450065435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1">
          <cell r="D51">
            <v>211401944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8."/>
      <sheetName val="9"/>
      <sheetName val="10."/>
      <sheetName val="11"/>
      <sheetName val="nem épül be"/>
      <sheetName val="adó - munkaanyag Szilvi"/>
      <sheetName val="pályázat - munkaanyag Szilvi"/>
      <sheetName val="Bevétel-Intézmények részletes"/>
      <sheetName val="Kiadás-intézmények részletes"/>
      <sheetName val="normatíva"/>
    </sheetNames>
    <sheetDataSet>
      <sheetData sheetId="1">
        <row r="15">
          <cell r="AM15">
            <v>579344064</v>
          </cell>
          <cell r="AN15">
            <v>592312739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10">
        <row r="23">
          <cell r="D23">
            <v>3015293668</v>
          </cell>
        </row>
        <row r="24">
          <cell r="D24">
            <v>323206464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0"/>
  <sheetViews>
    <sheetView zoomScale="90" zoomScaleNormal="90" zoomScaleSheetLayoutView="80" zoomScalePageLayoutView="0" workbookViewId="0" topLeftCell="A1">
      <pane xSplit="2" ySplit="9" topLeftCell="AE13" activePane="bottomRight" state="frozen"/>
      <selection pane="topLeft" activeCell="E149" sqref="E149"/>
      <selection pane="topRight" activeCell="E149" sqref="E149"/>
      <selection pane="bottomLeft" activeCell="E149" sqref="E149"/>
      <selection pane="bottomRight" activeCell="N1" sqref="N1"/>
    </sheetView>
  </sheetViews>
  <sheetFormatPr defaultColWidth="9.140625" defaultRowHeight="12.75"/>
  <cols>
    <col min="1" max="1" width="5.140625" style="66" customWidth="1"/>
    <col min="2" max="2" width="20.7109375" style="66" customWidth="1"/>
    <col min="3" max="3" width="15.7109375" style="66" customWidth="1"/>
    <col min="4" max="4" width="16.00390625" style="66" customWidth="1"/>
    <col min="5" max="5" width="15.8515625" style="66" customWidth="1"/>
    <col min="6" max="6" width="14.57421875" style="66" customWidth="1"/>
    <col min="7" max="7" width="15.421875" style="66" customWidth="1"/>
    <col min="8" max="8" width="15.28125" style="66" customWidth="1"/>
    <col min="9" max="9" width="14.140625" style="66" customWidth="1"/>
    <col min="10" max="11" width="14.8515625" style="66" customWidth="1"/>
    <col min="12" max="12" width="15.00390625" style="66" customWidth="1"/>
    <col min="13" max="13" width="14.421875" style="66" customWidth="1"/>
    <col min="14" max="14" width="14.7109375" style="66" customWidth="1"/>
    <col min="15" max="15" width="15.421875" style="66" customWidth="1"/>
    <col min="16" max="16" width="16.421875" style="66" customWidth="1"/>
    <col min="17" max="17" width="15.7109375" style="66" customWidth="1"/>
    <col min="18" max="18" width="15.8515625" style="66" customWidth="1"/>
    <col min="19" max="19" width="14.421875" style="66" customWidth="1"/>
    <col min="20" max="20" width="14.8515625" style="66" customWidth="1"/>
    <col min="21" max="21" width="15.8515625" style="15" customWidth="1"/>
    <col min="22" max="22" width="16.421875" style="15" customWidth="1"/>
    <col min="23" max="23" width="15.7109375" style="15" customWidth="1"/>
    <col min="24" max="24" width="13.140625" style="66" customWidth="1"/>
    <col min="25" max="25" width="14.421875" style="66" customWidth="1"/>
    <col min="26" max="26" width="14.7109375" style="66" customWidth="1"/>
    <col min="27" max="29" width="13.00390625" style="66" customWidth="1"/>
    <col min="30" max="30" width="14.8515625" style="66" customWidth="1"/>
    <col min="31" max="31" width="15.421875" style="66" customWidth="1"/>
    <col min="32" max="32" width="14.00390625" style="66" customWidth="1"/>
    <col min="33" max="33" width="16.28125" style="66" customWidth="1"/>
    <col min="34" max="34" width="17.140625" style="66" customWidth="1"/>
    <col min="35" max="35" width="17.00390625" style="66" customWidth="1"/>
    <col min="36" max="37" width="17.8515625" style="15" customWidth="1"/>
    <col min="38" max="38" width="16.140625" style="15" customWidth="1"/>
    <col min="39" max="40" width="16.140625" style="66" customWidth="1"/>
    <col min="41" max="41" width="15.8515625" style="66" customWidth="1"/>
    <col min="42" max="42" width="12.140625" style="66" customWidth="1"/>
    <col min="43" max="43" width="15.140625" style="66" customWidth="1"/>
    <col min="44" max="44" width="14.140625" style="66" customWidth="1"/>
    <col min="45" max="45" width="24.57421875" style="66" hidden="1" customWidth="1"/>
    <col min="46" max="46" width="9.140625" style="66" hidden="1" customWidth="1"/>
    <col min="47" max="47" width="12.421875" style="66" hidden="1" customWidth="1"/>
    <col min="48" max="48" width="9.140625" style="66" hidden="1" customWidth="1"/>
    <col min="49" max="49" width="17.28125" style="66" hidden="1" customWidth="1"/>
    <col min="50" max="50" width="15.8515625" style="66" customWidth="1"/>
    <col min="51" max="51" width="20.140625" style="66" customWidth="1"/>
    <col min="52" max="16384" width="9.140625" style="66" customWidth="1"/>
  </cols>
  <sheetData>
    <row r="1" spans="14:44" s="111" customFormat="1" ht="15.75">
      <c r="N1" s="119" t="s">
        <v>858</v>
      </c>
      <c r="W1" s="119" t="s">
        <v>376</v>
      </c>
      <c r="AI1" s="119" t="s">
        <v>857</v>
      </c>
      <c r="AR1" s="119" t="s">
        <v>858</v>
      </c>
    </row>
    <row r="2" spans="3:44" s="138" customFormat="1" ht="21.75" customHeight="1">
      <c r="C2" s="884" t="s">
        <v>482</v>
      </c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 t="s">
        <v>482</v>
      </c>
      <c r="P2" s="884"/>
      <c r="Q2" s="884"/>
      <c r="R2" s="884"/>
      <c r="S2" s="884"/>
      <c r="T2" s="884"/>
      <c r="U2" s="884"/>
      <c r="V2" s="884"/>
      <c r="W2" s="884"/>
      <c r="X2" s="885" t="s">
        <v>482</v>
      </c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 t="s">
        <v>482</v>
      </c>
      <c r="AK2" s="885"/>
      <c r="AL2" s="885"/>
      <c r="AM2" s="885"/>
      <c r="AN2" s="885"/>
      <c r="AO2" s="885"/>
      <c r="AP2" s="885"/>
      <c r="AQ2" s="885"/>
      <c r="AR2" s="885"/>
    </row>
    <row r="3" spans="1:44" ht="15.75">
      <c r="A3" s="11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203</v>
      </c>
      <c r="O3" s="15"/>
      <c r="P3" s="15"/>
      <c r="Q3" s="15"/>
      <c r="R3" s="15"/>
      <c r="S3" s="15"/>
      <c r="T3" s="15"/>
      <c r="W3" s="15" t="s">
        <v>203</v>
      </c>
      <c r="AI3" s="15" t="s">
        <v>203</v>
      </c>
      <c r="AL3" s="111"/>
      <c r="AM3" s="139"/>
      <c r="AN3" s="139"/>
      <c r="AR3" s="66" t="s">
        <v>203</v>
      </c>
    </row>
    <row r="4" spans="1:40" ht="15.75">
      <c r="A4" s="11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AF4" s="109"/>
      <c r="AG4" s="109"/>
      <c r="AH4" s="109"/>
      <c r="AI4" s="109"/>
      <c r="AJ4" s="303"/>
      <c r="AK4" s="303"/>
      <c r="AL4" s="111"/>
      <c r="AM4" s="139"/>
      <c r="AN4" s="139"/>
    </row>
    <row r="5" spans="1:44" ht="16.5" thickBot="1">
      <c r="A5" s="112"/>
      <c r="B5" s="114" t="s">
        <v>0</v>
      </c>
      <c r="C5" s="114" t="s">
        <v>1</v>
      </c>
      <c r="D5" s="114" t="s">
        <v>2</v>
      </c>
      <c r="E5" s="114" t="s">
        <v>3</v>
      </c>
      <c r="F5" s="114" t="s">
        <v>294</v>
      </c>
      <c r="G5" s="114" t="s">
        <v>5</v>
      </c>
      <c r="H5" s="114" t="s">
        <v>81</v>
      </c>
      <c r="I5" s="114" t="s">
        <v>6</v>
      </c>
      <c r="J5" s="114" t="s">
        <v>7</v>
      </c>
      <c r="K5" s="114" t="s">
        <v>39</v>
      </c>
      <c r="L5" s="114" t="s">
        <v>8</v>
      </c>
      <c r="M5" s="114" t="s">
        <v>94</v>
      </c>
      <c r="N5" s="114" t="s">
        <v>40</v>
      </c>
      <c r="O5" s="114" t="s">
        <v>1</v>
      </c>
      <c r="P5" s="114" t="s">
        <v>2</v>
      </c>
      <c r="Q5" s="114" t="s">
        <v>3</v>
      </c>
      <c r="R5" s="114" t="s">
        <v>294</v>
      </c>
      <c r="S5" s="114" t="s">
        <v>5</v>
      </c>
      <c r="T5" s="114" t="s">
        <v>81</v>
      </c>
      <c r="U5" s="336" t="s">
        <v>6</v>
      </c>
      <c r="V5" s="336" t="s">
        <v>7</v>
      </c>
      <c r="W5" s="336" t="s">
        <v>39</v>
      </c>
      <c r="X5" s="336" t="s">
        <v>1</v>
      </c>
      <c r="Y5" s="114" t="s">
        <v>2</v>
      </c>
      <c r="Z5" s="114" t="s">
        <v>3</v>
      </c>
      <c r="AA5" s="114" t="s">
        <v>294</v>
      </c>
      <c r="AB5" s="114" t="s">
        <v>5</v>
      </c>
      <c r="AC5" s="114" t="s">
        <v>81</v>
      </c>
      <c r="AD5" s="114" t="s">
        <v>294</v>
      </c>
      <c r="AE5" s="148" t="s">
        <v>7</v>
      </c>
      <c r="AF5" s="149" t="s">
        <v>39</v>
      </c>
      <c r="AG5" s="149" t="s">
        <v>8</v>
      </c>
      <c r="AH5" s="149" t="s">
        <v>94</v>
      </c>
      <c r="AI5" s="149" t="s">
        <v>40</v>
      </c>
      <c r="AJ5" s="149" t="s">
        <v>1</v>
      </c>
      <c r="AK5" s="149" t="s">
        <v>2</v>
      </c>
      <c r="AL5" s="336" t="s">
        <v>3</v>
      </c>
      <c r="AM5" s="114" t="s">
        <v>294</v>
      </c>
      <c r="AN5" s="114" t="s">
        <v>5</v>
      </c>
      <c r="AO5" s="114" t="s">
        <v>81</v>
      </c>
      <c r="AP5" s="148" t="s">
        <v>6</v>
      </c>
      <c r="AQ5" s="148" t="s">
        <v>7</v>
      </c>
      <c r="AR5" s="156" t="s">
        <v>39</v>
      </c>
    </row>
    <row r="6" spans="1:44" ht="33.75" customHeight="1">
      <c r="A6" s="886" t="s">
        <v>10</v>
      </c>
      <c r="B6" s="889" t="s">
        <v>11</v>
      </c>
      <c r="C6" s="891" t="s">
        <v>12</v>
      </c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904" t="s">
        <v>129</v>
      </c>
      <c r="V6" s="904"/>
      <c r="W6" s="904"/>
      <c r="X6" s="901" t="s">
        <v>13</v>
      </c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2"/>
      <c r="AJ6" s="906" t="s">
        <v>172</v>
      </c>
      <c r="AK6" s="907"/>
      <c r="AL6" s="908" t="s">
        <v>172</v>
      </c>
      <c r="AM6" s="926" t="s">
        <v>14</v>
      </c>
      <c r="AN6" s="915"/>
      <c r="AO6" s="916" t="s">
        <v>14</v>
      </c>
      <c r="AP6" s="914" t="s">
        <v>311</v>
      </c>
      <c r="AQ6" s="915"/>
      <c r="AR6" s="916"/>
    </row>
    <row r="7" spans="1:44" ht="32.25" customHeight="1">
      <c r="A7" s="887"/>
      <c r="B7" s="890"/>
      <c r="C7" s="891" t="s">
        <v>310</v>
      </c>
      <c r="D7" s="891"/>
      <c r="E7" s="891"/>
      <c r="F7" s="891" t="s">
        <v>288</v>
      </c>
      <c r="G7" s="891"/>
      <c r="H7" s="891"/>
      <c r="I7" s="891" t="s">
        <v>286</v>
      </c>
      <c r="J7" s="891"/>
      <c r="K7" s="891"/>
      <c r="L7" s="891" t="s">
        <v>289</v>
      </c>
      <c r="M7" s="891"/>
      <c r="N7" s="891"/>
      <c r="O7" s="891" t="s">
        <v>290</v>
      </c>
      <c r="P7" s="891"/>
      <c r="Q7" s="891"/>
      <c r="R7" s="891"/>
      <c r="S7" s="891"/>
      <c r="T7" s="891"/>
      <c r="U7" s="904"/>
      <c r="V7" s="904"/>
      <c r="W7" s="904"/>
      <c r="X7" s="900" t="s">
        <v>305</v>
      </c>
      <c r="Y7" s="891"/>
      <c r="Z7" s="891"/>
      <c r="AA7" s="892" t="s">
        <v>296</v>
      </c>
      <c r="AB7" s="893"/>
      <c r="AC7" s="894"/>
      <c r="AD7" s="898" t="s">
        <v>290</v>
      </c>
      <c r="AE7" s="899"/>
      <c r="AF7" s="899"/>
      <c r="AG7" s="899"/>
      <c r="AH7" s="899"/>
      <c r="AI7" s="903"/>
      <c r="AJ7" s="909"/>
      <c r="AK7" s="904"/>
      <c r="AL7" s="910"/>
      <c r="AM7" s="900"/>
      <c r="AN7" s="891"/>
      <c r="AO7" s="927"/>
      <c r="AP7" s="917" t="s">
        <v>313</v>
      </c>
      <c r="AQ7" s="920" t="s">
        <v>314</v>
      </c>
      <c r="AR7" s="923" t="s">
        <v>99</v>
      </c>
    </row>
    <row r="8" spans="1:44" ht="45.75" customHeight="1">
      <c r="A8" s="887"/>
      <c r="B8" s="890"/>
      <c r="C8" s="891"/>
      <c r="D8" s="891"/>
      <c r="E8" s="891"/>
      <c r="F8" s="891"/>
      <c r="G8" s="891"/>
      <c r="H8" s="891"/>
      <c r="I8" s="891"/>
      <c r="J8" s="891"/>
      <c r="K8" s="891"/>
      <c r="L8" s="891"/>
      <c r="M8" s="891"/>
      <c r="N8" s="891"/>
      <c r="O8" s="891" t="s">
        <v>317</v>
      </c>
      <c r="P8" s="891"/>
      <c r="Q8" s="891"/>
      <c r="R8" s="891" t="s">
        <v>292</v>
      </c>
      <c r="S8" s="891"/>
      <c r="T8" s="891"/>
      <c r="U8" s="904"/>
      <c r="V8" s="904"/>
      <c r="W8" s="904"/>
      <c r="X8" s="900"/>
      <c r="Y8" s="891"/>
      <c r="Z8" s="891"/>
      <c r="AA8" s="895"/>
      <c r="AB8" s="896"/>
      <c r="AC8" s="897"/>
      <c r="AD8" s="898" t="s">
        <v>306</v>
      </c>
      <c r="AE8" s="899"/>
      <c r="AF8" s="900"/>
      <c r="AG8" s="898" t="s">
        <v>183</v>
      </c>
      <c r="AH8" s="899"/>
      <c r="AI8" s="903"/>
      <c r="AJ8" s="909"/>
      <c r="AK8" s="904"/>
      <c r="AL8" s="910"/>
      <c r="AM8" s="900"/>
      <c r="AN8" s="891"/>
      <c r="AO8" s="927"/>
      <c r="AP8" s="918"/>
      <c r="AQ8" s="921"/>
      <c r="AR8" s="924"/>
    </row>
    <row r="9" spans="1:44" s="140" customFormat="1" ht="55.5" customHeight="1">
      <c r="A9" s="888"/>
      <c r="B9" s="890"/>
      <c r="C9" s="137" t="s">
        <v>127</v>
      </c>
      <c r="D9" s="137" t="s">
        <v>287</v>
      </c>
      <c r="E9" s="137" t="s">
        <v>96</v>
      </c>
      <c r="F9" s="137" t="s">
        <v>127</v>
      </c>
      <c r="G9" s="137" t="s">
        <v>287</v>
      </c>
      <c r="H9" s="137" t="s">
        <v>96</v>
      </c>
      <c r="I9" s="137" t="s">
        <v>127</v>
      </c>
      <c r="J9" s="137" t="s">
        <v>287</v>
      </c>
      <c r="K9" s="137" t="s">
        <v>96</v>
      </c>
      <c r="L9" s="137" t="s">
        <v>127</v>
      </c>
      <c r="M9" s="137" t="s">
        <v>287</v>
      </c>
      <c r="N9" s="137" t="s">
        <v>96</v>
      </c>
      <c r="O9" s="137" t="s">
        <v>127</v>
      </c>
      <c r="P9" s="137" t="s">
        <v>287</v>
      </c>
      <c r="Q9" s="137" t="s">
        <v>96</v>
      </c>
      <c r="R9" s="137" t="s">
        <v>127</v>
      </c>
      <c r="S9" s="137" t="s">
        <v>287</v>
      </c>
      <c r="T9" s="137" t="s">
        <v>96</v>
      </c>
      <c r="U9" s="324" t="s">
        <v>127</v>
      </c>
      <c r="V9" s="307" t="s">
        <v>287</v>
      </c>
      <c r="W9" s="308" t="s">
        <v>96</v>
      </c>
      <c r="X9" s="147" t="s">
        <v>127</v>
      </c>
      <c r="Y9" s="137" t="s">
        <v>287</v>
      </c>
      <c r="Z9" s="137" t="s">
        <v>96</v>
      </c>
      <c r="AA9" s="137" t="s">
        <v>127</v>
      </c>
      <c r="AB9" s="137" t="s">
        <v>287</v>
      </c>
      <c r="AC9" s="137" t="s">
        <v>96</v>
      </c>
      <c r="AD9" s="137" t="s">
        <v>127</v>
      </c>
      <c r="AE9" s="137" t="s">
        <v>287</v>
      </c>
      <c r="AF9" s="137" t="s">
        <v>96</v>
      </c>
      <c r="AG9" s="137" t="s">
        <v>127</v>
      </c>
      <c r="AH9" s="137" t="s">
        <v>287</v>
      </c>
      <c r="AI9" s="146" t="s">
        <v>96</v>
      </c>
      <c r="AJ9" s="306" t="s">
        <v>127</v>
      </c>
      <c r="AK9" s="307" t="s">
        <v>287</v>
      </c>
      <c r="AL9" s="308" t="s">
        <v>96</v>
      </c>
      <c r="AM9" s="147" t="s">
        <v>127</v>
      </c>
      <c r="AN9" s="137" t="s">
        <v>287</v>
      </c>
      <c r="AO9" s="146" t="s">
        <v>96</v>
      </c>
      <c r="AP9" s="919"/>
      <c r="AQ9" s="922"/>
      <c r="AR9" s="925"/>
    </row>
    <row r="10" spans="1:47" ht="72" customHeight="1">
      <c r="A10" s="29" t="s">
        <v>15</v>
      </c>
      <c r="B10" s="187" t="s">
        <v>173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91896000</v>
      </c>
      <c r="J10" s="68">
        <v>105579223</v>
      </c>
      <c r="K10" s="68">
        <v>101820999</v>
      </c>
      <c r="L10" s="68">
        <v>448987390</v>
      </c>
      <c r="M10" s="68">
        <v>498540395</v>
      </c>
      <c r="N10" s="68">
        <v>498540395</v>
      </c>
      <c r="O10" s="68">
        <v>2500000</v>
      </c>
      <c r="P10" s="68">
        <v>111424827</v>
      </c>
      <c r="Q10" s="68">
        <v>111424827</v>
      </c>
      <c r="R10" s="68">
        <v>60683079</v>
      </c>
      <c r="S10" s="68">
        <v>68885532</v>
      </c>
      <c r="T10" s="68">
        <v>68857671</v>
      </c>
      <c r="U10" s="325">
        <f>C10+F10+I10+L10+O10+R10</f>
        <v>604066469</v>
      </c>
      <c r="V10" s="325">
        <f aca="true" t="shared" si="0" ref="V10:W12">D10+G10+J10+M10+P10+S10</f>
        <v>784429977</v>
      </c>
      <c r="W10" s="325">
        <f t="shared" si="0"/>
        <v>780643892</v>
      </c>
      <c r="X10" s="69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344">
        <v>0</v>
      </c>
      <c r="AJ10" s="340">
        <f aca="true" t="shared" si="1" ref="AJ10:AL13">X10+AA10+AD10+AG10</f>
        <v>0</v>
      </c>
      <c r="AK10" s="337">
        <f t="shared" si="1"/>
        <v>0</v>
      </c>
      <c r="AL10" s="341">
        <f t="shared" si="1"/>
        <v>0</v>
      </c>
      <c r="AM10" s="339">
        <f aca="true" t="shared" si="2" ref="AM10:AO13">AJ10+U10</f>
        <v>604066469</v>
      </c>
      <c r="AN10" s="74">
        <f t="shared" si="2"/>
        <v>784429977</v>
      </c>
      <c r="AO10" s="304">
        <f t="shared" si="2"/>
        <v>780643892</v>
      </c>
      <c r="AP10" s="173">
        <f aca="true" t="shared" si="3" ref="AP10:AP17">W10/V10</f>
        <v>0.9951734570184586</v>
      </c>
      <c r="AQ10" s="176"/>
      <c r="AR10" s="177">
        <f aca="true" t="shared" si="4" ref="AR10:AR17">AO10/AN10</f>
        <v>0.9951734570184586</v>
      </c>
      <c r="AU10" s="152">
        <f>'[2]1'!$AN$10-AN10</f>
        <v>-65209073</v>
      </c>
    </row>
    <row r="11" spans="1:47" ht="54.75" customHeight="1">
      <c r="A11" s="29" t="s">
        <v>22</v>
      </c>
      <c r="B11" s="187" t="s">
        <v>25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47800000</v>
      </c>
      <c r="J11" s="68">
        <v>89052017</v>
      </c>
      <c r="K11" s="68">
        <v>86082287</v>
      </c>
      <c r="L11" s="68">
        <v>0</v>
      </c>
      <c r="M11" s="68">
        <v>28385901</v>
      </c>
      <c r="N11" s="68">
        <v>28385901</v>
      </c>
      <c r="O11" s="68">
        <v>2025359</v>
      </c>
      <c r="P11" s="68">
        <v>47941605</v>
      </c>
      <c r="Q11" s="68">
        <v>47941605</v>
      </c>
      <c r="R11" s="68">
        <v>62952271</v>
      </c>
      <c r="S11" s="68">
        <v>63399223</v>
      </c>
      <c r="T11" s="68">
        <v>48536258</v>
      </c>
      <c r="U11" s="325">
        <f>C11+F11+I11+L11+O11+R11</f>
        <v>112777630</v>
      </c>
      <c r="V11" s="325">
        <f t="shared" si="0"/>
        <v>228778746</v>
      </c>
      <c r="W11" s="325">
        <f t="shared" si="0"/>
        <v>210946051</v>
      </c>
      <c r="X11" s="69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344">
        <v>0</v>
      </c>
      <c r="AJ11" s="340">
        <f>X11+AA11+AD11+AG11</f>
        <v>0</v>
      </c>
      <c r="AK11" s="337">
        <f>Y11+AB11+AE11+AH11</f>
        <v>0</v>
      </c>
      <c r="AL11" s="341">
        <f>Z11+AC11+AF11+AI11</f>
        <v>0</v>
      </c>
      <c r="AM11" s="339">
        <f t="shared" si="2"/>
        <v>112777630</v>
      </c>
      <c r="AN11" s="74">
        <f t="shared" si="2"/>
        <v>228778746</v>
      </c>
      <c r="AO11" s="304">
        <f t="shared" si="2"/>
        <v>210946051</v>
      </c>
      <c r="AP11" s="173">
        <f t="shared" si="3"/>
        <v>0.9220526586853484</v>
      </c>
      <c r="AQ11" s="176"/>
      <c r="AR11" s="177">
        <f t="shared" si="4"/>
        <v>0.9220526586853484</v>
      </c>
      <c r="AU11" s="152">
        <f>'[2]1'!$AN$11-AN11</f>
        <v>-58780698</v>
      </c>
    </row>
    <row r="12" spans="1:47" ht="40.5" customHeight="1">
      <c r="A12" s="29" t="s">
        <v>23</v>
      </c>
      <c r="B12" s="187" t="s">
        <v>29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1585000</v>
      </c>
      <c r="J12" s="68">
        <v>1704924</v>
      </c>
      <c r="K12" s="68">
        <v>1704924</v>
      </c>
      <c r="L12" s="68">
        <v>0</v>
      </c>
      <c r="M12" s="68">
        <v>1533060</v>
      </c>
      <c r="N12" s="68">
        <v>1533060</v>
      </c>
      <c r="O12" s="68">
        <v>800000</v>
      </c>
      <c r="P12" s="68">
        <v>21348303</v>
      </c>
      <c r="Q12" s="68">
        <v>21348303</v>
      </c>
      <c r="R12" s="68">
        <v>31941648</v>
      </c>
      <c r="S12" s="68">
        <v>33265984</v>
      </c>
      <c r="T12" s="68">
        <v>32356596</v>
      </c>
      <c r="U12" s="325">
        <f>C12+F12+I12+L12+O12+R12</f>
        <v>34326648</v>
      </c>
      <c r="V12" s="325">
        <f t="shared" si="0"/>
        <v>57852271</v>
      </c>
      <c r="W12" s="325">
        <f t="shared" si="0"/>
        <v>56942883</v>
      </c>
      <c r="X12" s="69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344">
        <v>0</v>
      </c>
      <c r="AJ12" s="340">
        <f t="shared" si="1"/>
        <v>0</v>
      </c>
      <c r="AK12" s="337">
        <f t="shared" si="1"/>
        <v>0</v>
      </c>
      <c r="AL12" s="341">
        <f t="shared" si="1"/>
        <v>0</v>
      </c>
      <c r="AM12" s="339">
        <f t="shared" si="2"/>
        <v>34326648</v>
      </c>
      <c r="AN12" s="74">
        <f t="shared" si="2"/>
        <v>57852271</v>
      </c>
      <c r="AO12" s="304">
        <f t="shared" si="2"/>
        <v>56942883</v>
      </c>
      <c r="AP12" s="173">
        <f t="shared" si="3"/>
        <v>0.9842808590867591</v>
      </c>
      <c r="AQ12" s="176"/>
      <c r="AR12" s="177">
        <f t="shared" si="4"/>
        <v>0.9842808590867591</v>
      </c>
      <c r="AU12" s="152">
        <f>'[2]1'!$AN$12-AN12</f>
        <v>-1651239</v>
      </c>
    </row>
    <row r="13" spans="1:47" ht="40.5" customHeight="1" thickBot="1">
      <c r="A13" s="157" t="s">
        <v>52</v>
      </c>
      <c r="B13" s="168" t="s">
        <v>27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1450000</v>
      </c>
      <c r="J13" s="72">
        <v>4351368</v>
      </c>
      <c r="K13" s="72">
        <v>2742490</v>
      </c>
      <c r="L13" s="72">
        <v>0</v>
      </c>
      <c r="M13" s="72">
        <v>2689768</v>
      </c>
      <c r="N13" s="72">
        <v>2689768</v>
      </c>
      <c r="O13" s="72">
        <v>780420</v>
      </c>
      <c r="P13" s="72">
        <v>4597039</v>
      </c>
      <c r="Q13" s="72">
        <v>4597039</v>
      </c>
      <c r="R13" s="72">
        <v>20091080</v>
      </c>
      <c r="S13" s="72">
        <v>22201042</v>
      </c>
      <c r="T13" s="72">
        <v>19620392</v>
      </c>
      <c r="U13" s="325">
        <f>C13+F13+I13+L13+O13+R13</f>
        <v>22321500</v>
      </c>
      <c r="V13" s="325">
        <f>J13+M13+P13+S13</f>
        <v>33839217</v>
      </c>
      <c r="W13" s="325">
        <f>K13+N13+Q13+T13</f>
        <v>29649689</v>
      </c>
      <c r="X13" s="14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345">
        <v>0</v>
      </c>
      <c r="AJ13" s="340">
        <f t="shared" si="1"/>
        <v>0</v>
      </c>
      <c r="AK13" s="337">
        <f t="shared" si="1"/>
        <v>0</v>
      </c>
      <c r="AL13" s="341">
        <f t="shared" si="1"/>
        <v>0</v>
      </c>
      <c r="AM13" s="339">
        <f t="shared" si="2"/>
        <v>22321500</v>
      </c>
      <c r="AN13" s="74">
        <f t="shared" si="2"/>
        <v>33839217</v>
      </c>
      <c r="AO13" s="304">
        <f t="shared" si="2"/>
        <v>29649689</v>
      </c>
      <c r="AP13" s="173">
        <f t="shared" si="3"/>
        <v>0.8761931164069192</v>
      </c>
      <c r="AQ13" s="178"/>
      <c r="AR13" s="177">
        <f t="shared" si="4"/>
        <v>0.8761931164069192</v>
      </c>
      <c r="AU13" s="152">
        <f>'[2]1'!$AN$13-AN13</f>
        <v>-6524459</v>
      </c>
    </row>
    <row r="14" spans="1:44" s="93" customFormat="1" ht="60" customHeight="1" thickBot="1">
      <c r="A14" s="160" t="s">
        <v>54</v>
      </c>
      <c r="B14" s="161" t="s">
        <v>312</v>
      </c>
      <c r="C14" s="162">
        <f aca="true" t="shared" si="5" ref="C14:H14">SUM(C10:C13)</f>
        <v>0</v>
      </c>
      <c r="D14" s="162">
        <f t="shared" si="5"/>
        <v>0</v>
      </c>
      <c r="E14" s="162">
        <f t="shared" si="5"/>
        <v>0</v>
      </c>
      <c r="F14" s="162">
        <f t="shared" si="5"/>
        <v>0</v>
      </c>
      <c r="G14" s="162">
        <f t="shared" si="5"/>
        <v>0</v>
      </c>
      <c r="H14" s="162">
        <f t="shared" si="5"/>
        <v>0</v>
      </c>
      <c r="I14" s="162">
        <f>SUM(I10:I13)</f>
        <v>142731000</v>
      </c>
      <c r="J14" s="162">
        <f>SUM(J10:J13)</f>
        <v>200687532</v>
      </c>
      <c r="K14" s="162">
        <f aca="true" t="shared" si="6" ref="K14:Q14">SUM(K10:K13)</f>
        <v>192350700</v>
      </c>
      <c r="L14" s="162">
        <f t="shared" si="6"/>
        <v>448987390</v>
      </c>
      <c r="M14" s="162">
        <f t="shared" si="6"/>
        <v>531149124</v>
      </c>
      <c r="N14" s="162">
        <f t="shared" si="6"/>
        <v>531149124</v>
      </c>
      <c r="O14" s="162">
        <f t="shared" si="6"/>
        <v>6105779</v>
      </c>
      <c r="P14" s="162">
        <f t="shared" si="6"/>
        <v>185311774</v>
      </c>
      <c r="Q14" s="162">
        <f t="shared" si="6"/>
        <v>185311774</v>
      </c>
      <c r="R14" s="162">
        <f aca="true" t="shared" si="7" ref="R14:W14">SUM(R10:R13)</f>
        <v>175668078</v>
      </c>
      <c r="S14" s="162">
        <f t="shared" si="7"/>
        <v>187751781</v>
      </c>
      <c r="T14" s="162">
        <f t="shared" si="7"/>
        <v>169370917</v>
      </c>
      <c r="U14" s="326">
        <f>SUM(U10:U13)</f>
        <v>773492247</v>
      </c>
      <c r="V14" s="326">
        <f t="shared" si="7"/>
        <v>1104900211</v>
      </c>
      <c r="W14" s="326">
        <f t="shared" si="7"/>
        <v>1078182515</v>
      </c>
      <c r="X14" s="166">
        <f aca="true" t="shared" si="8" ref="X14:AD14">SUM(X10:X13)</f>
        <v>0</v>
      </c>
      <c r="Y14" s="166">
        <f t="shared" si="8"/>
        <v>0</v>
      </c>
      <c r="Z14" s="166">
        <f t="shared" si="8"/>
        <v>0</v>
      </c>
      <c r="AA14" s="166">
        <f t="shared" si="8"/>
        <v>0</v>
      </c>
      <c r="AB14" s="166">
        <f t="shared" si="8"/>
        <v>0</v>
      </c>
      <c r="AC14" s="166">
        <f t="shared" si="8"/>
        <v>0</v>
      </c>
      <c r="AD14" s="162">
        <f t="shared" si="8"/>
        <v>0</v>
      </c>
      <c r="AE14" s="162">
        <f aca="true" t="shared" si="9" ref="AE14:AL14">SUM(AE10:AE13)</f>
        <v>0</v>
      </c>
      <c r="AF14" s="162">
        <f t="shared" si="9"/>
        <v>0</v>
      </c>
      <c r="AG14" s="162">
        <f t="shared" si="9"/>
        <v>0</v>
      </c>
      <c r="AH14" s="162">
        <f t="shared" si="9"/>
        <v>0</v>
      </c>
      <c r="AI14" s="165">
        <f t="shared" si="9"/>
        <v>0</v>
      </c>
      <c r="AJ14" s="342">
        <f t="shared" si="9"/>
        <v>0</v>
      </c>
      <c r="AK14" s="338">
        <f t="shared" si="9"/>
        <v>0</v>
      </c>
      <c r="AL14" s="309">
        <f t="shared" si="9"/>
        <v>0</v>
      </c>
      <c r="AM14" s="167">
        <f>SUM(AM10:AM13)</f>
        <v>773492247</v>
      </c>
      <c r="AN14" s="162">
        <f>SUM(AN10:AN13)</f>
        <v>1104900211</v>
      </c>
      <c r="AO14" s="305">
        <f>AL14+W14</f>
        <v>1078182515</v>
      </c>
      <c r="AP14" s="262">
        <f t="shared" si="3"/>
        <v>0.9758189058758356</v>
      </c>
      <c r="AQ14" s="180"/>
      <c r="AR14" s="181">
        <f t="shared" si="4"/>
        <v>0.9758189058758356</v>
      </c>
    </row>
    <row r="15" spans="1:48" ht="48" customHeight="1">
      <c r="A15" s="498" t="s">
        <v>48</v>
      </c>
      <c r="B15" s="499" t="s">
        <v>32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138174000</v>
      </c>
      <c r="J15" s="363">
        <v>138174000</v>
      </c>
      <c r="K15" s="363">
        <v>121241441</v>
      </c>
      <c r="L15" s="363">
        <v>0</v>
      </c>
      <c r="M15" s="363">
        <v>10026039</v>
      </c>
      <c r="N15" s="363">
        <v>10078539</v>
      </c>
      <c r="O15" s="363">
        <v>3000000</v>
      </c>
      <c r="P15" s="363">
        <v>4623599</v>
      </c>
      <c r="Q15" s="363">
        <v>4623599</v>
      </c>
      <c r="R15" s="363">
        <v>438170064</v>
      </c>
      <c r="S15" s="363">
        <v>439074378</v>
      </c>
      <c r="T15" s="363">
        <v>438665337</v>
      </c>
      <c r="U15" s="325">
        <f>C15+F15+I15+L15+O15+R15</f>
        <v>579344064</v>
      </c>
      <c r="V15" s="325">
        <f>J15+M15+P15+S15</f>
        <v>591898016</v>
      </c>
      <c r="W15" s="325">
        <f>K15+N15+Q15+T15</f>
        <v>574608916</v>
      </c>
      <c r="X15" s="364">
        <v>0</v>
      </c>
      <c r="Y15" s="363">
        <v>240000</v>
      </c>
      <c r="Z15" s="363">
        <v>240000</v>
      </c>
      <c r="AA15" s="363">
        <v>0</v>
      </c>
      <c r="AB15" s="363">
        <v>174723</v>
      </c>
      <c r="AC15" s="363">
        <v>174723</v>
      </c>
      <c r="AD15" s="363">
        <v>0</v>
      </c>
      <c r="AE15" s="363">
        <v>0</v>
      </c>
      <c r="AF15" s="363">
        <v>0</v>
      </c>
      <c r="AG15" s="365">
        <v>0</v>
      </c>
      <c r="AH15" s="365">
        <v>0</v>
      </c>
      <c r="AI15" s="366">
        <v>0</v>
      </c>
      <c r="AJ15" s="340">
        <f aca="true" t="shared" si="10" ref="AJ15:AL16">X15+AA15+AD15+AG15</f>
        <v>0</v>
      </c>
      <c r="AK15" s="337">
        <f t="shared" si="10"/>
        <v>414723</v>
      </c>
      <c r="AL15" s="341">
        <f t="shared" si="10"/>
        <v>414723</v>
      </c>
      <c r="AM15" s="367">
        <f>AJ15+U15</f>
        <v>579344064</v>
      </c>
      <c r="AN15" s="136">
        <f>AK15+V15</f>
        <v>592312739</v>
      </c>
      <c r="AO15" s="368">
        <f>AL15+W15</f>
        <v>575023639</v>
      </c>
      <c r="AP15" s="369">
        <f t="shared" si="3"/>
        <v>0.9707904072447507</v>
      </c>
      <c r="AQ15" s="370"/>
      <c r="AR15" s="371">
        <f t="shared" si="4"/>
        <v>0.9708108590924633</v>
      </c>
      <c r="AU15" s="152">
        <f>AM15-'[6]2'!AM15</f>
        <v>0</v>
      </c>
      <c r="AV15" s="152">
        <f>AN15-'[6]2'!AN15</f>
        <v>0</v>
      </c>
    </row>
    <row r="16" spans="1:44" s="93" customFormat="1" ht="55.5" customHeight="1" thickBot="1">
      <c r="A16" s="157" t="s">
        <v>24</v>
      </c>
      <c r="B16" s="168" t="s">
        <v>34</v>
      </c>
      <c r="C16" s="72">
        <v>1281966403</v>
      </c>
      <c r="D16" s="72">
        <v>1415629974</v>
      </c>
      <c r="E16" s="72">
        <v>1415629974</v>
      </c>
      <c r="F16" s="72">
        <v>580041000</v>
      </c>
      <c r="G16" s="72">
        <v>580041000</v>
      </c>
      <c r="H16" s="72">
        <v>592577388</v>
      </c>
      <c r="I16" s="72">
        <v>244882000</v>
      </c>
      <c r="J16" s="72">
        <v>249715914</v>
      </c>
      <c r="K16" s="72">
        <v>164388028</v>
      </c>
      <c r="L16" s="72">
        <v>252293455</v>
      </c>
      <c r="M16" s="72">
        <v>275898869</v>
      </c>
      <c r="N16" s="72">
        <v>253832039</v>
      </c>
      <c r="O16" s="76">
        <v>194747807</v>
      </c>
      <c r="P16" s="76">
        <f>194747807+309782220</f>
        <v>504530027</v>
      </c>
      <c r="Q16" s="76">
        <f>504530027+53889082</f>
        <v>558419109</v>
      </c>
      <c r="R16" s="72">
        <v>-613838142</v>
      </c>
      <c r="S16" s="72">
        <v>-626826159</v>
      </c>
      <c r="T16" s="72">
        <v>-608036254</v>
      </c>
      <c r="U16" s="325">
        <f>C16+F16+I16+L16+O16+R16</f>
        <v>1940092523</v>
      </c>
      <c r="V16" s="325">
        <f>D16+G16+J16+M16+P16+S16</f>
        <v>2398989625</v>
      </c>
      <c r="W16" s="325">
        <f>E16+H16+K16+N16+Q16+T16</f>
        <v>2376810284</v>
      </c>
      <c r="X16" s="77">
        <v>77122503</v>
      </c>
      <c r="Y16" s="169">
        <v>420178625</v>
      </c>
      <c r="Z16" s="169">
        <v>393768723</v>
      </c>
      <c r="AA16" s="169">
        <v>76513900</v>
      </c>
      <c r="AB16" s="169">
        <v>76513900</v>
      </c>
      <c r="AC16" s="169">
        <v>27578753</v>
      </c>
      <c r="AD16" s="72">
        <v>250000000</v>
      </c>
      <c r="AE16" s="72">
        <v>250000000</v>
      </c>
      <c r="AF16" s="72">
        <v>246937240</v>
      </c>
      <c r="AG16" s="143">
        <v>2648658331</v>
      </c>
      <c r="AH16" s="143">
        <v>2648658331</v>
      </c>
      <c r="AI16" s="323">
        <v>2648658331</v>
      </c>
      <c r="AJ16" s="343">
        <f t="shared" si="10"/>
        <v>3052294734</v>
      </c>
      <c r="AK16" s="76">
        <f t="shared" si="10"/>
        <v>3395350856</v>
      </c>
      <c r="AL16" s="323">
        <f t="shared" si="10"/>
        <v>3316943047</v>
      </c>
      <c r="AM16" s="339">
        <f>AJ16+U16</f>
        <v>4992387257</v>
      </c>
      <c r="AN16" s="74">
        <f>AK16+V16</f>
        <v>5794340481</v>
      </c>
      <c r="AO16" s="304">
        <v>5693753331</v>
      </c>
      <c r="AP16" s="173">
        <f t="shared" si="3"/>
        <v>0.9907547157483018</v>
      </c>
      <c r="AQ16" s="178">
        <f>AL16/AK16</f>
        <v>0.9769073028604853</v>
      </c>
      <c r="AR16" s="177">
        <f t="shared" si="4"/>
        <v>0.9826404488431718</v>
      </c>
    </row>
    <row r="17" spans="1:45" s="93" customFormat="1" ht="62.25" customHeight="1" thickBot="1">
      <c r="A17" s="160" t="s">
        <v>26</v>
      </c>
      <c r="B17" s="161" t="s">
        <v>36</v>
      </c>
      <c r="C17" s="162">
        <f aca="true" t="shared" si="11" ref="C17:H17">SUM(C14:C16)</f>
        <v>1281966403</v>
      </c>
      <c r="D17" s="162">
        <f t="shared" si="11"/>
        <v>1415629974</v>
      </c>
      <c r="E17" s="162">
        <f t="shared" si="11"/>
        <v>1415629974</v>
      </c>
      <c r="F17" s="162">
        <f t="shared" si="11"/>
        <v>580041000</v>
      </c>
      <c r="G17" s="162">
        <f t="shared" si="11"/>
        <v>580041000</v>
      </c>
      <c r="H17" s="162">
        <f t="shared" si="11"/>
        <v>592577388</v>
      </c>
      <c r="I17" s="162">
        <f aca="true" t="shared" si="12" ref="I17:W17">SUM(I14:I16)</f>
        <v>525787000</v>
      </c>
      <c r="J17" s="162">
        <f t="shared" si="12"/>
        <v>588577446</v>
      </c>
      <c r="K17" s="162">
        <f t="shared" si="12"/>
        <v>477980169</v>
      </c>
      <c r="L17" s="162">
        <f t="shared" si="12"/>
        <v>701280845</v>
      </c>
      <c r="M17" s="162">
        <f t="shared" si="12"/>
        <v>817074032</v>
      </c>
      <c r="N17" s="162">
        <f t="shared" si="12"/>
        <v>795059702</v>
      </c>
      <c r="O17" s="162">
        <f t="shared" si="12"/>
        <v>203853586</v>
      </c>
      <c r="P17" s="162">
        <f t="shared" si="12"/>
        <v>694465400</v>
      </c>
      <c r="Q17" s="162">
        <f t="shared" si="12"/>
        <v>748354482</v>
      </c>
      <c r="R17" s="162">
        <f t="shared" si="12"/>
        <v>0</v>
      </c>
      <c r="S17" s="162">
        <f t="shared" si="12"/>
        <v>0</v>
      </c>
      <c r="T17" s="162">
        <f t="shared" si="12"/>
        <v>0</v>
      </c>
      <c r="U17" s="326">
        <f>SUM(U14:U16)</f>
        <v>3292928834</v>
      </c>
      <c r="V17" s="326">
        <f t="shared" si="12"/>
        <v>4095787852</v>
      </c>
      <c r="W17" s="326">
        <f t="shared" si="12"/>
        <v>4029601715</v>
      </c>
      <c r="X17" s="166">
        <f aca="true" t="shared" si="13" ref="X17:AE17">SUM(X14:X16)</f>
        <v>77122503</v>
      </c>
      <c r="Y17" s="166">
        <f>SUM(Y14:Y16)</f>
        <v>420418625</v>
      </c>
      <c r="Z17" s="166">
        <f>SUM(Z14:Z16)</f>
        <v>394008723</v>
      </c>
      <c r="AA17" s="166">
        <f t="shared" si="13"/>
        <v>76513900</v>
      </c>
      <c r="AB17" s="166">
        <f t="shared" si="13"/>
        <v>76688623</v>
      </c>
      <c r="AC17" s="166">
        <f>SUM(AC14:AC16)</f>
        <v>27753476</v>
      </c>
      <c r="AD17" s="162">
        <f t="shared" si="13"/>
        <v>250000000</v>
      </c>
      <c r="AE17" s="162">
        <f t="shared" si="13"/>
        <v>250000000</v>
      </c>
      <c r="AF17" s="162">
        <f aca="true" t="shared" si="14" ref="AF17:AO17">SUM(AF14:AF16)</f>
        <v>246937240</v>
      </c>
      <c r="AG17" s="162">
        <f t="shared" si="14"/>
        <v>2648658331</v>
      </c>
      <c r="AH17" s="162">
        <f t="shared" si="14"/>
        <v>2648658331</v>
      </c>
      <c r="AI17" s="165">
        <f t="shared" si="14"/>
        <v>2648658331</v>
      </c>
      <c r="AJ17" s="342">
        <f t="shared" si="14"/>
        <v>3052294734</v>
      </c>
      <c r="AK17" s="338">
        <f t="shared" si="14"/>
        <v>3395765579</v>
      </c>
      <c r="AL17" s="309">
        <f t="shared" si="14"/>
        <v>3317357770</v>
      </c>
      <c r="AM17" s="167">
        <f t="shared" si="14"/>
        <v>6345223568</v>
      </c>
      <c r="AN17" s="162">
        <f t="shared" si="14"/>
        <v>7491553431</v>
      </c>
      <c r="AO17" s="167">
        <f t="shared" si="14"/>
        <v>7346959485</v>
      </c>
      <c r="AP17" s="262">
        <f t="shared" si="3"/>
        <v>0.9838404381790231</v>
      </c>
      <c r="AQ17" s="180">
        <f>AL17/AK17</f>
        <v>0.976910123159005</v>
      </c>
      <c r="AR17" s="181">
        <f t="shared" si="4"/>
        <v>0.9806990703154207</v>
      </c>
      <c r="AS17" s="131">
        <f>AN17-AM17</f>
        <v>1146329863</v>
      </c>
    </row>
    <row r="18" spans="9:43" s="151" customFormat="1" ht="27" customHeight="1" hidden="1">
      <c r="I18" s="141"/>
      <c r="J18" s="141"/>
      <c r="K18" s="141"/>
      <c r="O18" s="141">
        <f>O16+AG16</f>
        <v>2843406138</v>
      </c>
      <c r="P18" s="141">
        <f>P16+AH16</f>
        <v>3153188358</v>
      </c>
      <c r="Q18" s="141">
        <f>Q16+AI16</f>
        <v>3207077440</v>
      </c>
      <c r="U18" s="311"/>
      <c r="V18" s="311"/>
      <c r="W18" s="311"/>
      <c r="AJ18" s="311">
        <f>X17+AA17+AD17+AG17-AJ17</f>
        <v>0</v>
      </c>
      <c r="AK18" s="311">
        <f>Y17+AB17+AE17+AH17-AK17</f>
        <v>0</v>
      </c>
      <c r="AL18" s="311">
        <f>Z17+AC17+AF17+AI17-AL17</f>
        <v>0</v>
      </c>
      <c r="AM18" s="141">
        <f>U17+AJ17-AM17</f>
        <v>0</v>
      </c>
      <c r="AN18" s="141">
        <f>V17+AK17-AN17</f>
        <v>0</v>
      </c>
      <c r="AO18" s="141">
        <f>W17+AL17-AO17</f>
        <v>0</v>
      </c>
      <c r="AP18" s="141"/>
      <c r="AQ18" s="141"/>
    </row>
    <row r="19" spans="2:51" s="267" customFormat="1" ht="20.25" customHeight="1" hidden="1">
      <c r="B19" s="267" t="s">
        <v>307</v>
      </c>
      <c r="C19" s="267">
        <v>1281966403</v>
      </c>
      <c r="D19" s="267">
        <v>1415629974</v>
      </c>
      <c r="E19" s="267">
        <v>1415629974</v>
      </c>
      <c r="F19" s="267">
        <v>580041000</v>
      </c>
      <c r="G19" s="267">
        <v>580041000</v>
      </c>
      <c r="H19" s="267">
        <v>592577388</v>
      </c>
      <c r="I19" s="267">
        <v>525787000</v>
      </c>
      <c r="J19" s="267">
        <v>636604068</v>
      </c>
      <c r="K19" s="267">
        <v>477980169</v>
      </c>
      <c r="L19" s="267">
        <f>635059390+66221455</f>
        <v>701280845</v>
      </c>
      <c r="M19" s="267">
        <v>817074032</v>
      </c>
      <c r="N19" s="267">
        <v>795059702</v>
      </c>
      <c r="O19" s="267">
        <v>2852511917</v>
      </c>
      <c r="P19" s="267">
        <v>3343123731</v>
      </c>
      <c r="Q19" s="267">
        <v>3397012813</v>
      </c>
      <c r="R19" s="267">
        <v>613838142</v>
      </c>
      <c r="S19" s="267">
        <v>626826159</v>
      </c>
      <c r="T19" s="267">
        <v>608036254</v>
      </c>
      <c r="U19" s="312"/>
      <c r="V19" s="312"/>
      <c r="W19" s="312"/>
      <c r="X19" s="267">
        <f>38315907+38806596</f>
        <v>77122503</v>
      </c>
      <c r="Y19" s="267">
        <v>420418625</v>
      </c>
      <c r="Z19" s="267">
        <v>394008723</v>
      </c>
      <c r="AA19" s="267">
        <v>76513900</v>
      </c>
      <c r="AB19" s="267">
        <v>76688623</v>
      </c>
      <c r="AC19" s="267">
        <v>27753476</v>
      </c>
      <c r="AD19" s="267">
        <v>250000000</v>
      </c>
      <c r="AE19" s="267">
        <v>250000000</v>
      </c>
      <c r="AF19" s="267">
        <v>246937240</v>
      </c>
      <c r="AJ19" s="312"/>
      <c r="AK19" s="312"/>
      <c r="AL19" s="312"/>
      <c r="AM19" s="267">
        <f>3716350059+3242711651+R16</f>
        <v>6345223568</v>
      </c>
      <c r="AN19" s="267">
        <v>7539580053</v>
      </c>
      <c r="AO19" s="267">
        <v>7346959485</v>
      </c>
      <c r="AW19" s="267">
        <v>5606225399</v>
      </c>
      <c r="AX19" s="267">
        <v>6376129792</v>
      </c>
      <c r="AY19" s="267">
        <v>3154180985</v>
      </c>
    </row>
    <row r="20" spans="3:51" s="267" customFormat="1" ht="15" hidden="1">
      <c r="C20" s="267">
        <f aca="true" t="shared" si="15" ref="C20:J20">C17-C19</f>
        <v>0</v>
      </c>
      <c r="D20" s="267">
        <f t="shared" si="15"/>
        <v>0</v>
      </c>
      <c r="E20" s="267">
        <f t="shared" si="15"/>
        <v>0</v>
      </c>
      <c r="F20" s="267">
        <f t="shared" si="15"/>
        <v>0</v>
      </c>
      <c r="G20" s="267">
        <f t="shared" si="15"/>
        <v>0</v>
      </c>
      <c r="H20" s="267">
        <f t="shared" si="15"/>
        <v>0</v>
      </c>
      <c r="I20" s="267">
        <f t="shared" si="15"/>
        <v>0</v>
      </c>
      <c r="J20" s="267">
        <f t="shared" si="15"/>
        <v>-48026622</v>
      </c>
      <c r="K20" s="267">
        <f>K17-K19</f>
        <v>0</v>
      </c>
      <c r="L20" s="267">
        <f>L17-L19</f>
        <v>0</v>
      </c>
      <c r="M20" s="267">
        <f>M17-M19</f>
        <v>0</v>
      </c>
      <c r="N20" s="267">
        <f>N17-N19</f>
        <v>0</v>
      </c>
      <c r="O20" s="267">
        <f>O17-O19+AG16</f>
        <v>0</v>
      </c>
      <c r="P20" s="267">
        <f>P17-P19+AH16</f>
        <v>0</v>
      </c>
      <c r="Q20" s="267">
        <f>Q17-Q19+AI16</f>
        <v>0</v>
      </c>
      <c r="R20" s="267">
        <f>R17-R19-R16</f>
        <v>0</v>
      </c>
      <c r="S20" s="267">
        <f>S17-S19-S16</f>
        <v>0</v>
      </c>
      <c r="T20" s="267">
        <f>T17-T19-T16</f>
        <v>0</v>
      </c>
      <c r="U20" s="312"/>
      <c r="V20" s="312"/>
      <c r="W20" s="312"/>
      <c r="X20" s="267">
        <f aca="true" t="shared" si="16" ref="X20:AF20">X19-X17</f>
        <v>0</v>
      </c>
      <c r="Y20" s="267">
        <f t="shared" si="16"/>
        <v>0</v>
      </c>
      <c r="Z20" s="267">
        <f t="shared" si="16"/>
        <v>0</v>
      </c>
      <c r="AA20" s="267">
        <f t="shared" si="16"/>
        <v>0</v>
      </c>
      <c r="AB20" s="267">
        <f t="shared" si="16"/>
        <v>0</v>
      </c>
      <c r="AC20" s="267">
        <f t="shared" si="16"/>
        <v>0</v>
      </c>
      <c r="AD20" s="267">
        <f t="shared" si="16"/>
        <v>0</v>
      </c>
      <c r="AE20" s="267">
        <f t="shared" si="16"/>
        <v>0</v>
      </c>
      <c r="AF20" s="267">
        <f t="shared" si="16"/>
        <v>0</v>
      </c>
      <c r="AJ20" s="312"/>
      <c r="AK20" s="312"/>
      <c r="AL20" s="312"/>
      <c r="AM20" s="267">
        <f>AM19-AM17</f>
        <v>0</v>
      </c>
      <c r="AN20" s="267">
        <f>AN19-AN17</f>
        <v>48026622</v>
      </c>
      <c r="AO20" s="267">
        <f>AO19-AO17</f>
        <v>0</v>
      </c>
      <c r="AW20" s="267">
        <f>AW19-AM19</f>
        <v>-738998169</v>
      </c>
      <c r="AX20" s="267">
        <f>AX19-AN19</f>
        <v>-1163450261</v>
      </c>
      <c r="AY20" s="267">
        <f>AY19-AO19</f>
        <v>-4192778500</v>
      </c>
    </row>
    <row r="21" ht="16.5" hidden="1" thickBot="1"/>
    <row r="22" spans="1:43" ht="25.5" customHeight="1" hidden="1">
      <c r="A22" s="886" t="s">
        <v>10</v>
      </c>
      <c r="B22" s="889" t="s">
        <v>11</v>
      </c>
      <c r="C22" s="905" t="s">
        <v>12</v>
      </c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  <c r="T22" s="901"/>
      <c r="U22" s="906" t="s">
        <v>129</v>
      </c>
      <c r="V22" s="907"/>
      <c r="W22" s="908"/>
      <c r="X22" s="901" t="s">
        <v>13</v>
      </c>
      <c r="Y22" s="901"/>
      <c r="Z22" s="901"/>
      <c r="AA22" s="901"/>
      <c r="AB22" s="901"/>
      <c r="AC22" s="901"/>
      <c r="AD22" s="901"/>
      <c r="AE22" s="901"/>
      <c r="AF22" s="901"/>
      <c r="AG22" s="901"/>
      <c r="AH22" s="901"/>
      <c r="AI22" s="901"/>
      <c r="AJ22" s="906" t="s">
        <v>172</v>
      </c>
      <c r="AK22" s="907"/>
      <c r="AL22" s="908" t="s">
        <v>172</v>
      </c>
      <c r="AM22" s="926" t="s">
        <v>14</v>
      </c>
      <c r="AN22" s="915"/>
      <c r="AO22" s="916" t="s">
        <v>14</v>
      </c>
      <c r="AP22" s="154"/>
      <c r="AQ22" s="154"/>
    </row>
    <row r="23" spans="1:43" ht="15.75" hidden="1">
      <c r="A23" s="887"/>
      <c r="B23" s="890"/>
      <c r="C23" s="892" t="s">
        <v>310</v>
      </c>
      <c r="D23" s="893"/>
      <c r="E23" s="894"/>
      <c r="F23" s="892" t="s">
        <v>288</v>
      </c>
      <c r="G23" s="893"/>
      <c r="H23" s="894"/>
      <c r="I23" s="892" t="s">
        <v>286</v>
      </c>
      <c r="J23" s="893"/>
      <c r="K23" s="894"/>
      <c r="L23" s="892" t="s">
        <v>289</v>
      </c>
      <c r="M23" s="893"/>
      <c r="N23" s="894"/>
      <c r="O23" s="899"/>
      <c r="P23" s="899"/>
      <c r="Q23" s="899"/>
      <c r="R23" s="899"/>
      <c r="S23" s="899"/>
      <c r="T23" s="899"/>
      <c r="U23" s="909"/>
      <c r="V23" s="904"/>
      <c r="W23" s="910"/>
      <c r="X23" s="893" t="s">
        <v>305</v>
      </c>
      <c r="Y23" s="893"/>
      <c r="Z23" s="894"/>
      <c r="AA23" s="892" t="s">
        <v>296</v>
      </c>
      <c r="AB23" s="893"/>
      <c r="AC23" s="894"/>
      <c r="AD23" s="898" t="s">
        <v>290</v>
      </c>
      <c r="AE23" s="899"/>
      <c r="AF23" s="899"/>
      <c r="AG23" s="899"/>
      <c r="AH23" s="899"/>
      <c r="AI23" s="899"/>
      <c r="AJ23" s="909"/>
      <c r="AK23" s="904"/>
      <c r="AL23" s="910"/>
      <c r="AM23" s="900"/>
      <c r="AN23" s="891"/>
      <c r="AO23" s="927"/>
      <c r="AP23" s="154"/>
      <c r="AQ23" s="154"/>
    </row>
    <row r="24" spans="1:43" ht="15.75" customHeight="1" hidden="1">
      <c r="A24" s="887"/>
      <c r="B24" s="890"/>
      <c r="C24" s="911"/>
      <c r="D24" s="912"/>
      <c r="E24" s="913"/>
      <c r="F24" s="911"/>
      <c r="G24" s="912"/>
      <c r="H24" s="913"/>
      <c r="I24" s="911"/>
      <c r="J24" s="912"/>
      <c r="K24" s="913"/>
      <c r="L24" s="911"/>
      <c r="M24" s="912"/>
      <c r="N24" s="913"/>
      <c r="O24" s="898" t="s">
        <v>291</v>
      </c>
      <c r="P24" s="899"/>
      <c r="Q24" s="900"/>
      <c r="R24" s="898" t="s">
        <v>292</v>
      </c>
      <c r="S24" s="899"/>
      <c r="T24" s="899"/>
      <c r="U24" s="909"/>
      <c r="V24" s="904"/>
      <c r="W24" s="910"/>
      <c r="X24" s="896"/>
      <c r="Y24" s="896"/>
      <c r="Z24" s="897"/>
      <c r="AA24" s="895"/>
      <c r="AB24" s="896"/>
      <c r="AC24" s="897"/>
      <c r="AD24" s="898" t="s">
        <v>306</v>
      </c>
      <c r="AE24" s="899"/>
      <c r="AF24" s="900"/>
      <c r="AG24" s="898" t="s">
        <v>183</v>
      </c>
      <c r="AH24" s="899"/>
      <c r="AI24" s="899"/>
      <c r="AJ24" s="909"/>
      <c r="AK24" s="904"/>
      <c r="AL24" s="910"/>
      <c r="AM24" s="900"/>
      <c r="AN24" s="891"/>
      <c r="AO24" s="927"/>
      <c r="AP24" s="154"/>
      <c r="AQ24" s="154"/>
    </row>
    <row r="25" spans="1:43" ht="28.5" hidden="1">
      <c r="A25" s="888"/>
      <c r="B25" s="890"/>
      <c r="C25" s="137"/>
      <c r="D25" s="137"/>
      <c r="E25" s="137" t="s">
        <v>96</v>
      </c>
      <c r="F25" s="137"/>
      <c r="G25" s="137"/>
      <c r="H25" s="137" t="s">
        <v>96</v>
      </c>
      <c r="I25" s="137"/>
      <c r="J25" s="137"/>
      <c r="K25" s="137" t="s">
        <v>96</v>
      </c>
      <c r="L25" s="137"/>
      <c r="M25" s="137"/>
      <c r="N25" s="137" t="s">
        <v>96</v>
      </c>
      <c r="O25" s="137"/>
      <c r="P25" s="137"/>
      <c r="Q25" s="137" t="s">
        <v>96</v>
      </c>
      <c r="R25" s="137"/>
      <c r="S25" s="137"/>
      <c r="T25" s="144" t="s">
        <v>96</v>
      </c>
      <c r="U25" s="306"/>
      <c r="V25" s="307"/>
      <c r="W25" s="308" t="s">
        <v>96</v>
      </c>
      <c r="X25" s="147"/>
      <c r="Y25" s="137"/>
      <c r="Z25" s="137" t="s">
        <v>96</v>
      </c>
      <c r="AA25" s="137"/>
      <c r="AB25" s="137"/>
      <c r="AC25" s="137" t="s">
        <v>96</v>
      </c>
      <c r="AD25" s="137"/>
      <c r="AE25" s="137"/>
      <c r="AF25" s="137" t="s">
        <v>96</v>
      </c>
      <c r="AG25" s="137"/>
      <c r="AH25" s="137"/>
      <c r="AI25" s="144" t="s">
        <v>96</v>
      </c>
      <c r="AJ25" s="306"/>
      <c r="AK25" s="307"/>
      <c r="AL25" s="308" t="s">
        <v>96</v>
      </c>
      <c r="AM25" s="147" t="s">
        <v>127</v>
      </c>
      <c r="AN25" s="137" t="s">
        <v>287</v>
      </c>
      <c r="AO25" s="146" t="s">
        <v>96</v>
      </c>
      <c r="AP25" s="170"/>
      <c r="AQ25" s="170"/>
    </row>
    <row r="26" spans="1:43" ht="71.25" customHeight="1" hidden="1">
      <c r="A26" s="29" t="s">
        <v>15</v>
      </c>
      <c r="B26" s="92" t="s">
        <v>173</v>
      </c>
      <c r="C26" s="270"/>
      <c r="D26" s="270"/>
      <c r="E26" s="270"/>
      <c r="F26" s="270"/>
      <c r="G26" s="270"/>
      <c r="H26" s="270"/>
      <c r="I26" s="270"/>
      <c r="J26" s="270"/>
      <c r="K26" s="271">
        <f aca="true" t="shared" si="17" ref="K26:K33">K10/J10</f>
        <v>0.9644037539469295</v>
      </c>
      <c r="L26" s="270"/>
      <c r="M26" s="270"/>
      <c r="N26" s="271">
        <f>N10/M10</f>
        <v>1</v>
      </c>
      <c r="O26" s="270"/>
      <c r="P26" s="270"/>
      <c r="Q26" s="271">
        <f>Q10/P10</f>
        <v>1</v>
      </c>
      <c r="R26" s="270"/>
      <c r="S26" s="270"/>
      <c r="T26" s="271">
        <f>T10/S10</f>
        <v>0.9995955464204007</v>
      </c>
      <c r="U26" s="327"/>
      <c r="V26" s="328"/>
      <c r="W26" s="329">
        <f>W10/V10</f>
        <v>0.9951734570184586</v>
      </c>
      <c r="X26" s="272"/>
      <c r="Y26" s="270"/>
      <c r="Z26" s="271"/>
      <c r="AA26" s="270"/>
      <c r="AB26" s="270"/>
      <c r="AC26" s="271"/>
      <c r="AD26" s="270"/>
      <c r="AE26" s="270"/>
      <c r="AF26" s="271"/>
      <c r="AG26" s="270"/>
      <c r="AH26" s="270"/>
      <c r="AI26" s="271"/>
      <c r="AJ26" s="313"/>
      <c r="AK26" s="314"/>
      <c r="AL26" s="315"/>
      <c r="AM26" s="273"/>
      <c r="AN26" s="274"/>
      <c r="AO26" s="275">
        <f aca="true" t="shared" si="18" ref="AO26:AO33">AO10/AN10</f>
        <v>0.9951734570184586</v>
      </c>
      <c r="AP26" s="171"/>
      <c r="AQ26" s="171"/>
    </row>
    <row r="27" spans="1:43" ht="56.25" customHeight="1" hidden="1">
      <c r="A27" s="29" t="s">
        <v>22</v>
      </c>
      <c r="B27" s="92" t="s">
        <v>25</v>
      </c>
      <c r="C27" s="270"/>
      <c r="D27" s="270"/>
      <c r="E27" s="270"/>
      <c r="F27" s="270"/>
      <c r="G27" s="270"/>
      <c r="H27" s="270"/>
      <c r="I27" s="270"/>
      <c r="J27" s="270"/>
      <c r="K27" s="271">
        <f t="shared" si="17"/>
        <v>0.9666517379387375</v>
      </c>
      <c r="L27" s="270"/>
      <c r="M27" s="270"/>
      <c r="N27" s="271">
        <f aca="true" t="shared" si="19" ref="N27:N32">N11/M11</f>
        <v>1</v>
      </c>
      <c r="O27" s="270"/>
      <c r="P27" s="270"/>
      <c r="Q27" s="271">
        <f aca="true" t="shared" si="20" ref="Q27:Q32">Q11/P11</f>
        <v>1</v>
      </c>
      <c r="R27" s="270"/>
      <c r="S27" s="270"/>
      <c r="T27" s="271">
        <f aca="true" t="shared" si="21" ref="T27:T32">T11/S11</f>
        <v>0.765565502277528</v>
      </c>
      <c r="U27" s="327"/>
      <c r="V27" s="328"/>
      <c r="W27" s="329">
        <f aca="true" t="shared" si="22" ref="W27:W32">W11/V11</f>
        <v>0.9220526586853484</v>
      </c>
      <c r="X27" s="272"/>
      <c r="Y27" s="270"/>
      <c r="Z27" s="271"/>
      <c r="AA27" s="270"/>
      <c r="AB27" s="270"/>
      <c r="AC27" s="271"/>
      <c r="AD27" s="270"/>
      <c r="AE27" s="270"/>
      <c r="AF27" s="271"/>
      <c r="AG27" s="270"/>
      <c r="AH27" s="270"/>
      <c r="AI27" s="271"/>
      <c r="AJ27" s="313"/>
      <c r="AK27" s="314"/>
      <c r="AL27" s="315"/>
      <c r="AM27" s="273"/>
      <c r="AN27" s="274"/>
      <c r="AO27" s="275">
        <f t="shared" si="18"/>
        <v>0.9220526586853484</v>
      </c>
      <c r="AP27" s="171"/>
      <c r="AQ27" s="171"/>
    </row>
    <row r="28" spans="1:43" ht="31.5" hidden="1">
      <c r="A28" s="29" t="s">
        <v>23</v>
      </c>
      <c r="B28" s="92" t="s">
        <v>29</v>
      </c>
      <c r="C28" s="270"/>
      <c r="D28" s="270"/>
      <c r="E28" s="270"/>
      <c r="F28" s="270"/>
      <c r="G28" s="270"/>
      <c r="H28" s="270"/>
      <c r="I28" s="270"/>
      <c r="J28" s="270"/>
      <c r="K28" s="271">
        <f t="shared" si="17"/>
        <v>1</v>
      </c>
      <c r="L28" s="270"/>
      <c r="M28" s="270"/>
      <c r="N28" s="271">
        <f t="shared" si="19"/>
        <v>1</v>
      </c>
      <c r="O28" s="270"/>
      <c r="P28" s="270"/>
      <c r="Q28" s="271">
        <f t="shared" si="20"/>
        <v>1</v>
      </c>
      <c r="R28" s="270"/>
      <c r="S28" s="270"/>
      <c r="T28" s="271">
        <f t="shared" si="21"/>
        <v>0.9726631263936157</v>
      </c>
      <c r="U28" s="327"/>
      <c r="V28" s="328"/>
      <c r="W28" s="329">
        <f t="shared" si="22"/>
        <v>0.9842808590867591</v>
      </c>
      <c r="X28" s="272"/>
      <c r="Y28" s="270"/>
      <c r="Z28" s="271"/>
      <c r="AA28" s="270"/>
      <c r="AB28" s="270"/>
      <c r="AC28" s="271"/>
      <c r="AD28" s="270"/>
      <c r="AE28" s="270"/>
      <c r="AF28" s="271"/>
      <c r="AG28" s="270"/>
      <c r="AH28" s="270"/>
      <c r="AI28" s="271"/>
      <c r="AJ28" s="313"/>
      <c r="AK28" s="314"/>
      <c r="AL28" s="315"/>
      <c r="AM28" s="273"/>
      <c r="AN28" s="274"/>
      <c r="AO28" s="275">
        <f t="shared" si="18"/>
        <v>0.9842808590867591</v>
      </c>
      <c r="AP28" s="171"/>
      <c r="AQ28" s="171"/>
    </row>
    <row r="29" spans="1:43" ht="32.25" hidden="1" thickBot="1">
      <c r="A29" s="157" t="s">
        <v>52</v>
      </c>
      <c r="B29" s="158" t="s">
        <v>27</v>
      </c>
      <c r="C29" s="276"/>
      <c r="D29" s="276"/>
      <c r="E29" s="276"/>
      <c r="F29" s="276"/>
      <c r="G29" s="276"/>
      <c r="H29" s="276"/>
      <c r="I29" s="276"/>
      <c r="J29" s="276"/>
      <c r="K29" s="271">
        <f t="shared" si="17"/>
        <v>0.6302592655918783</v>
      </c>
      <c r="L29" s="276"/>
      <c r="M29" s="276"/>
      <c r="N29" s="271">
        <f t="shared" si="19"/>
        <v>1</v>
      </c>
      <c r="O29" s="276"/>
      <c r="P29" s="276"/>
      <c r="Q29" s="271">
        <f t="shared" si="20"/>
        <v>1</v>
      </c>
      <c r="R29" s="276"/>
      <c r="S29" s="276"/>
      <c r="T29" s="271">
        <f t="shared" si="21"/>
        <v>0.8837599604559101</v>
      </c>
      <c r="U29" s="330"/>
      <c r="V29" s="295"/>
      <c r="W29" s="329">
        <f t="shared" si="22"/>
        <v>0.8761931164069192</v>
      </c>
      <c r="X29" s="277"/>
      <c r="Y29" s="276"/>
      <c r="Z29" s="271"/>
      <c r="AA29" s="276"/>
      <c r="AB29" s="276"/>
      <c r="AC29" s="271"/>
      <c r="AD29" s="276"/>
      <c r="AE29" s="276"/>
      <c r="AF29" s="271"/>
      <c r="AG29" s="276"/>
      <c r="AH29" s="276"/>
      <c r="AI29" s="271"/>
      <c r="AJ29" s="316"/>
      <c r="AK29" s="296"/>
      <c r="AL29" s="315"/>
      <c r="AM29" s="278"/>
      <c r="AN29" s="279"/>
      <c r="AO29" s="275">
        <f t="shared" si="18"/>
        <v>0.8761931164069192</v>
      </c>
      <c r="AP29" s="171"/>
      <c r="AQ29" s="171"/>
    </row>
    <row r="30" spans="1:43" ht="32.25" hidden="1" thickBot="1">
      <c r="A30" s="160" t="s">
        <v>54</v>
      </c>
      <c r="B30" s="161" t="s">
        <v>30</v>
      </c>
      <c r="C30" s="280"/>
      <c r="D30" s="280"/>
      <c r="E30" s="280"/>
      <c r="F30" s="280"/>
      <c r="G30" s="280"/>
      <c r="H30" s="280"/>
      <c r="I30" s="280"/>
      <c r="J30" s="280"/>
      <c r="K30" s="180">
        <f t="shared" si="17"/>
        <v>0.9584586450542428</v>
      </c>
      <c r="L30" s="280"/>
      <c r="M30" s="280"/>
      <c r="N30" s="180">
        <f t="shared" si="19"/>
        <v>1</v>
      </c>
      <c r="O30" s="280"/>
      <c r="P30" s="280"/>
      <c r="Q30" s="180">
        <f t="shared" si="20"/>
        <v>1</v>
      </c>
      <c r="R30" s="280"/>
      <c r="S30" s="280"/>
      <c r="T30" s="180">
        <f t="shared" si="21"/>
        <v>0.9021001883332335</v>
      </c>
      <c r="U30" s="331"/>
      <c r="V30" s="332"/>
      <c r="W30" s="333">
        <f t="shared" si="22"/>
        <v>0.9758189058758356</v>
      </c>
      <c r="X30" s="281"/>
      <c r="Y30" s="280"/>
      <c r="Z30" s="180"/>
      <c r="AA30" s="280"/>
      <c r="AB30" s="280"/>
      <c r="AC30" s="180"/>
      <c r="AD30" s="280"/>
      <c r="AE30" s="280"/>
      <c r="AF30" s="180"/>
      <c r="AG30" s="280"/>
      <c r="AH30" s="280"/>
      <c r="AI30" s="180"/>
      <c r="AJ30" s="317"/>
      <c r="AK30" s="318"/>
      <c r="AL30" s="319"/>
      <c r="AM30" s="282"/>
      <c r="AN30" s="283"/>
      <c r="AO30" s="181">
        <f t="shared" si="18"/>
        <v>0.9758189058758356</v>
      </c>
      <c r="AP30" s="172"/>
      <c r="AQ30" s="172"/>
    </row>
    <row r="31" spans="1:43" ht="36" customHeight="1" hidden="1">
      <c r="A31" s="155" t="s">
        <v>48</v>
      </c>
      <c r="B31" s="159" t="s">
        <v>32</v>
      </c>
      <c r="C31" s="284"/>
      <c r="D31" s="284"/>
      <c r="E31" s="284"/>
      <c r="F31" s="284"/>
      <c r="G31" s="284"/>
      <c r="H31" s="284"/>
      <c r="I31" s="284"/>
      <c r="J31" s="284"/>
      <c r="K31" s="271">
        <f t="shared" si="17"/>
        <v>0.8774548106011261</v>
      </c>
      <c r="L31" s="284"/>
      <c r="M31" s="284"/>
      <c r="N31" s="271">
        <f t="shared" si="19"/>
        <v>1.0052363650291007</v>
      </c>
      <c r="O31" s="284"/>
      <c r="P31" s="284"/>
      <c r="Q31" s="271">
        <f t="shared" si="20"/>
        <v>1</v>
      </c>
      <c r="R31" s="284"/>
      <c r="S31" s="284"/>
      <c r="T31" s="271">
        <f t="shared" si="21"/>
        <v>0.9990684015727286</v>
      </c>
      <c r="U31" s="334"/>
      <c r="V31" s="335"/>
      <c r="W31" s="329">
        <f t="shared" si="22"/>
        <v>0.9707904072447507</v>
      </c>
      <c r="X31" s="285"/>
      <c r="Y31" s="284"/>
      <c r="Z31" s="271"/>
      <c r="AA31" s="284"/>
      <c r="AB31" s="284"/>
      <c r="AC31" s="271"/>
      <c r="AD31" s="284"/>
      <c r="AE31" s="284"/>
      <c r="AF31" s="271"/>
      <c r="AG31" s="286"/>
      <c r="AH31" s="286"/>
      <c r="AI31" s="271"/>
      <c r="AJ31" s="320"/>
      <c r="AK31" s="321"/>
      <c r="AL31" s="315"/>
      <c r="AM31" s="287"/>
      <c r="AN31" s="286"/>
      <c r="AO31" s="275">
        <f t="shared" si="18"/>
        <v>0.9708108590924633</v>
      </c>
      <c r="AP31" s="171"/>
      <c r="AQ31" s="171"/>
    </row>
    <row r="32" spans="1:43" ht="27" customHeight="1" hidden="1" thickBot="1">
      <c r="A32" s="157" t="s">
        <v>24</v>
      </c>
      <c r="B32" s="168" t="s">
        <v>34</v>
      </c>
      <c r="C32" s="276"/>
      <c r="D32" s="276"/>
      <c r="E32" s="271">
        <f>E16/D16</f>
        <v>1</v>
      </c>
      <c r="F32" s="276"/>
      <c r="G32" s="276"/>
      <c r="H32" s="271">
        <f>H16/G16</f>
        <v>1.0216129342580955</v>
      </c>
      <c r="I32" s="276"/>
      <c r="J32" s="276"/>
      <c r="K32" s="271">
        <f t="shared" si="17"/>
        <v>0.6583001674454757</v>
      </c>
      <c r="L32" s="276"/>
      <c r="M32" s="276"/>
      <c r="N32" s="271">
        <f t="shared" si="19"/>
        <v>0.9200184108039965</v>
      </c>
      <c r="O32" s="276"/>
      <c r="P32" s="276"/>
      <c r="Q32" s="271">
        <f t="shared" si="20"/>
        <v>1.1068104555053568</v>
      </c>
      <c r="R32" s="276"/>
      <c r="S32" s="276"/>
      <c r="T32" s="271">
        <f t="shared" si="21"/>
        <v>0.9700237382722249</v>
      </c>
      <c r="U32" s="330"/>
      <c r="V32" s="295"/>
      <c r="W32" s="329">
        <f t="shared" si="22"/>
        <v>0.9907547157483018</v>
      </c>
      <c r="X32" s="288"/>
      <c r="Y32" s="289"/>
      <c r="Z32" s="271">
        <f>Z16/Y16</f>
        <v>0.9371460126035683</v>
      </c>
      <c r="AA32" s="289"/>
      <c r="AB32" s="289"/>
      <c r="AC32" s="271">
        <f>AC16/AB16</f>
        <v>0.3604410832541538</v>
      </c>
      <c r="AD32" s="276"/>
      <c r="AE32" s="276"/>
      <c r="AF32" s="271">
        <f>AF16/AE16</f>
        <v>0.98774896</v>
      </c>
      <c r="AG32" s="279"/>
      <c r="AH32" s="279"/>
      <c r="AI32" s="271">
        <f>AI16/AH16</f>
        <v>1</v>
      </c>
      <c r="AJ32" s="316"/>
      <c r="AK32" s="296"/>
      <c r="AL32" s="315">
        <f>AL16/AK16</f>
        <v>0.9769073028604853</v>
      </c>
      <c r="AM32" s="278"/>
      <c r="AN32" s="279"/>
      <c r="AO32" s="275">
        <f t="shared" si="18"/>
        <v>0.9826404488431718</v>
      </c>
      <c r="AP32" s="171"/>
      <c r="AQ32" s="171"/>
    </row>
    <row r="33" spans="1:43" ht="36" customHeight="1" hidden="1" thickBot="1">
      <c r="A33" s="160" t="s">
        <v>26</v>
      </c>
      <c r="B33" s="161" t="s">
        <v>36</v>
      </c>
      <c r="C33" s="280"/>
      <c r="D33" s="280"/>
      <c r="E33" s="180">
        <f>E17/D17</f>
        <v>1</v>
      </c>
      <c r="F33" s="280"/>
      <c r="G33" s="280"/>
      <c r="H33" s="180">
        <f>H17/G17</f>
        <v>1.0216129342580955</v>
      </c>
      <c r="I33" s="280"/>
      <c r="J33" s="280"/>
      <c r="K33" s="180">
        <f t="shared" si="17"/>
        <v>0.8120939262086505</v>
      </c>
      <c r="L33" s="280"/>
      <c r="M33" s="280"/>
      <c r="N33" s="180">
        <f>N17/M17</f>
        <v>0.9730571170569279</v>
      </c>
      <c r="O33" s="280"/>
      <c r="P33" s="280"/>
      <c r="Q33" s="180">
        <f>Q17/P17</f>
        <v>1.0775979364846686</v>
      </c>
      <c r="R33" s="280"/>
      <c r="S33" s="280"/>
      <c r="T33" s="180"/>
      <c r="U33" s="331"/>
      <c r="V33" s="332"/>
      <c r="W33" s="333">
        <f>W17/V17</f>
        <v>0.9838404381790231</v>
      </c>
      <c r="X33" s="281"/>
      <c r="Y33" s="280"/>
      <c r="Z33" s="180">
        <f>Z17/Y17</f>
        <v>0.9371818934044609</v>
      </c>
      <c r="AA33" s="280"/>
      <c r="AB33" s="280"/>
      <c r="AC33" s="180">
        <f>AC17/AB17</f>
        <v>0.36189821794035865</v>
      </c>
      <c r="AD33" s="280"/>
      <c r="AE33" s="280"/>
      <c r="AF33" s="180">
        <f>AF17/AE17</f>
        <v>0.98774896</v>
      </c>
      <c r="AG33" s="280"/>
      <c r="AH33" s="280"/>
      <c r="AI33" s="180">
        <f>AI17/AH17</f>
        <v>1</v>
      </c>
      <c r="AJ33" s="317"/>
      <c r="AK33" s="318"/>
      <c r="AL33" s="319">
        <f>AL17/AK17</f>
        <v>0.976910123159005</v>
      </c>
      <c r="AM33" s="282"/>
      <c r="AN33" s="283"/>
      <c r="AO33" s="181">
        <f t="shared" si="18"/>
        <v>0.9806990703154207</v>
      </c>
      <c r="AP33" s="172"/>
      <c r="AQ33" s="172"/>
    </row>
    <row r="34" ht="15.75" hidden="1"/>
    <row r="35" ht="15.75" hidden="1">
      <c r="B35" s="261" t="s">
        <v>357</v>
      </c>
    </row>
    <row r="36" spans="2:38" s="151" customFormat="1" ht="15.75" hidden="1">
      <c r="B36" s="151" t="s">
        <v>356</v>
      </c>
      <c r="E36" s="260"/>
      <c r="K36" s="141">
        <f>(50-22.35)/100*J16</f>
        <v>69046450.22099999</v>
      </c>
      <c r="U36" s="322"/>
      <c r="V36" s="322"/>
      <c r="W36" s="322"/>
      <c r="AJ36" s="322"/>
      <c r="AK36" s="322"/>
      <c r="AL36" s="322"/>
    </row>
    <row r="37" spans="36:41" ht="15.75" hidden="1">
      <c r="AJ37" s="310"/>
      <c r="AK37" s="143"/>
      <c r="AL37" s="323"/>
      <c r="AM37" s="152"/>
      <c r="AN37" s="152"/>
      <c r="AO37" s="152"/>
    </row>
    <row r="38" spans="13:35" ht="15.75" hidden="1">
      <c r="M38" s="141">
        <v>209677414</v>
      </c>
      <c r="N38" s="141">
        <v>226959079</v>
      </c>
      <c r="R38" s="152"/>
      <c r="AG38" s="152">
        <f>O17+AG17</f>
        <v>2852511917</v>
      </c>
      <c r="AH38" s="152">
        <f>P17+AH17</f>
        <v>3343123731</v>
      </c>
      <c r="AI38" s="152">
        <f>Q17+AI17</f>
        <v>3397012813</v>
      </c>
    </row>
    <row r="39" spans="13:35" ht="15.75" hidden="1">
      <c r="M39" s="141">
        <v>66221455</v>
      </c>
      <c r="N39" s="141">
        <v>26872960</v>
      </c>
      <c r="AG39" s="266">
        <v>2852511917</v>
      </c>
      <c r="AH39" s="266">
        <v>3343123731</v>
      </c>
      <c r="AI39" s="266">
        <v>3343123731</v>
      </c>
    </row>
    <row r="40" spans="13:35" ht="15.75" hidden="1">
      <c r="M40" s="141">
        <f>SUM(M38:M39)</f>
        <v>275898869</v>
      </c>
      <c r="N40" s="141">
        <f>SUM(N38:N39)</f>
        <v>253832039</v>
      </c>
      <c r="AG40" s="152"/>
      <c r="AH40" s="152">
        <f>AH16+P16</f>
        <v>3153188358</v>
      </c>
      <c r="AI40" s="152"/>
    </row>
    <row r="41" ht="15.75" hidden="1">
      <c r="M41" s="141"/>
    </row>
    <row r="42" spans="13:41" ht="15.75" hidden="1">
      <c r="M42" s="141"/>
      <c r="Q42" s="152">
        <f>Q17-P17</f>
        <v>53889082</v>
      </c>
      <c r="AM42" s="205">
        <v>3242711651</v>
      </c>
      <c r="AN42" s="205">
        <v>3539182637</v>
      </c>
      <c r="AO42" s="205">
        <v>1844099134</v>
      </c>
    </row>
    <row r="43" spans="13:41" ht="15.75" hidden="1">
      <c r="M43" s="141"/>
      <c r="AM43" s="205">
        <v>3716350059</v>
      </c>
      <c r="AN43" s="205">
        <v>4212937087</v>
      </c>
      <c r="AO43" s="205">
        <v>3640342571</v>
      </c>
    </row>
    <row r="44" spans="13:41" ht="15.75" hidden="1">
      <c r="M44" s="141"/>
      <c r="AM44" s="205">
        <f>SUM(AM42:AM43)</f>
        <v>6959061710</v>
      </c>
      <c r="AN44" s="205">
        <f>SUM(AN42:AN43)</f>
        <v>7752119724</v>
      </c>
      <c r="AO44" s="205">
        <f>SUM(AO42:AO43)</f>
        <v>5484441705</v>
      </c>
    </row>
    <row r="45" spans="33:41" ht="15.75" hidden="1">
      <c r="AG45" s="152"/>
      <c r="AH45" s="152"/>
      <c r="AI45" s="152"/>
      <c r="AM45" s="205">
        <f>AM44-AM17</f>
        <v>613838142</v>
      </c>
      <c r="AN45" s="205">
        <f>AN44-AN17</f>
        <v>260566293</v>
      </c>
      <c r="AO45" s="205">
        <f>AO44-AO17</f>
        <v>-1862517780</v>
      </c>
    </row>
    <row r="46" ht="15.75" hidden="1">
      <c r="AO46" s="152"/>
    </row>
    <row r="47" ht="15.75" hidden="1"/>
    <row r="48" ht="15.75" hidden="1"/>
    <row r="49" spans="39:42" ht="15.75" hidden="1">
      <c r="AM49" s="205"/>
      <c r="AN49" s="205"/>
      <c r="AO49" s="205"/>
      <c r="AP49" s="205"/>
    </row>
    <row r="50" spans="39:42" ht="15.75" hidden="1">
      <c r="AM50" s="205">
        <v>2512819261</v>
      </c>
      <c r="AN50" s="205">
        <v>2791234909</v>
      </c>
      <c r="AO50" s="205">
        <v>1460336121</v>
      </c>
      <c r="AP50" s="205"/>
    </row>
    <row r="51" spans="13:42" ht="15.75" hidden="1">
      <c r="M51" s="141"/>
      <c r="AM51" s="205">
        <v>3093406138</v>
      </c>
      <c r="AN51" s="205">
        <v>3403188358</v>
      </c>
      <c r="AO51" s="205">
        <v>3155728358</v>
      </c>
      <c r="AP51" s="205"/>
    </row>
    <row r="52" spans="13:42" ht="15.75" hidden="1">
      <c r="M52" s="141"/>
      <c r="AM52" s="205">
        <f>SUM(AM50:AM51)</f>
        <v>5606225399</v>
      </c>
      <c r="AN52" s="205">
        <f>SUM(AN50:AN51)</f>
        <v>6194423267</v>
      </c>
      <c r="AO52" s="205">
        <f>SUM(AO50:AO51)</f>
        <v>4616064479</v>
      </c>
      <c r="AP52" s="205"/>
    </row>
    <row r="53" spans="13:42" ht="15.75" hidden="1">
      <c r="M53" s="141"/>
      <c r="AM53" s="205">
        <f>AM52-AM16</f>
        <v>613838142</v>
      </c>
      <c r="AN53" s="205">
        <f>AN52-AN16</f>
        <v>400082786</v>
      </c>
      <c r="AO53" s="205">
        <f>AO52-AO16</f>
        <v>-1077688852</v>
      </c>
      <c r="AP53" s="205"/>
    </row>
    <row r="54" spans="39:42" ht="15.75" hidden="1">
      <c r="AM54" s="205"/>
      <c r="AN54" s="205"/>
      <c r="AO54" s="205"/>
      <c r="AP54" s="205"/>
    </row>
    <row r="55" spans="39:42" ht="15.75" hidden="1">
      <c r="AM55" s="205"/>
      <c r="AN55" s="205"/>
      <c r="AO55" s="205"/>
      <c r="AP55" s="205"/>
    </row>
    <row r="56" spans="39:42" ht="15.75" hidden="1">
      <c r="AM56" s="205"/>
      <c r="AN56" s="205"/>
      <c r="AO56" s="205"/>
      <c r="AP56" s="205"/>
    </row>
    <row r="57" spans="39:42" ht="15.75" hidden="1">
      <c r="AM57" s="205"/>
      <c r="AN57" s="205"/>
      <c r="AO57" s="205"/>
      <c r="AP57" s="205"/>
    </row>
    <row r="58" spans="39:42" ht="15.75" hidden="1">
      <c r="AM58" s="205"/>
      <c r="AN58" s="205"/>
      <c r="AO58" s="205"/>
      <c r="AP58" s="205"/>
    </row>
    <row r="59" spans="39:42" ht="15.75" hidden="1">
      <c r="AM59" s="205"/>
      <c r="AN59" s="205"/>
      <c r="AO59" s="205"/>
      <c r="AP59" s="205"/>
    </row>
    <row r="60" spans="39:42" ht="15.75" hidden="1">
      <c r="AM60" s="205"/>
      <c r="AN60" s="205"/>
      <c r="AO60" s="205"/>
      <c r="AP60" s="205"/>
    </row>
    <row r="61" spans="39:42" ht="15.75" hidden="1">
      <c r="AM61" s="205"/>
      <c r="AN61" s="205"/>
      <c r="AO61" s="205"/>
      <c r="AP61" s="205"/>
    </row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9" ht="15.75">
      <c r="AO159" s="152"/>
    </row>
    <row r="160" ht="15.75">
      <c r="AO160" s="152"/>
    </row>
  </sheetData>
  <sheetProtection/>
  <mergeCells count="46">
    <mergeCell ref="AG24:AI24"/>
    <mergeCell ref="AP6:AR6"/>
    <mergeCell ref="AP7:AP9"/>
    <mergeCell ref="AQ7:AQ9"/>
    <mergeCell ref="AR7:AR9"/>
    <mergeCell ref="AM22:AO24"/>
    <mergeCell ref="AJ22:AL24"/>
    <mergeCell ref="AD7:AI7"/>
    <mergeCell ref="AJ6:AL8"/>
    <mergeCell ref="AM6:AO8"/>
    <mergeCell ref="C23:E24"/>
    <mergeCell ref="F23:H24"/>
    <mergeCell ref="I23:K24"/>
    <mergeCell ref="L23:N24"/>
    <mergeCell ref="O23:T23"/>
    <mergeCell ref="X23:Z24"/>
    <mergeCell ref="AA23:AC24"/>
    <mergeCell ref="AD23:AI23"/>
    <mergeCell ref="A22:A25"/>
    <mergeCell ref="B22:B25"/>
    <mergeCell ref="C22:T22"/>
    <mergeCell ref="U22:W24"/>
    <mergeCell ref="X22:AI22"/>
    <mergeCell ref="O24:Q24"/>
    <mergeCell ref="R24:T24"/>
    <mergeCell ref="AD24:AF24"/>
    <mergeCell ref="AD8:AF8"/>
    <mergeCell ref="O8:Q8"/>
    <mergeCell ref="X6:AI6"/>
    <mergeCell ref="AG8:AI8"/>
    <mergeCell ref="I7:K8"/>
    <mergeCell ref="L7:N8"/>
    <mergeCell ref="O7:T7"/>
    <mergeCell ref="X7:Z8"/>
    <mergeCell ref="C6:T6"/>
    <mergeCell ref="U6:W8"/>
    <mergeCell ref="C2:N2"/>
    <mergeCell ref="O2:W2"/>
    <mergeCell ref="X2:AI2"/>
    <mergeCell ref="AJ2:AR2"/>
    <mergeCell ref="A6:A9"/>
    <mergeCell ref="B6:B9"/>
    <mergeCell ref="C7:E8"/>
    <mergeCell ref="F7:H8"/>
    <mergeCell ref="R8:T8"/>
    <mergeCell ref="AA7:AC8"/>
  </mergeCells>
  <printOptions/>
  <pageMargins left="0" right="0" top="0.3937007874015748" bottom="0.3937007874015748" header="0.5118110236220472" footer="0.5118110236220472"/>
  <pageSetup fitToHeight="0" fitToWidth="0" horizontalDpi="600" verticalDpi="600" orientation="landscape" paperSize="9" scale="70" r:id="rId1"/>
  <colBreaks count="2" manualBreakCount="2">
    <brk id="14" max="16" man="1"/>
    <brk id="23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J1" sqref="J1"/>
    </sheetView>
  </sheetViews>
  <sheetFormatPr defaultColWidth="10.28125" defaultRowHeight="12.75"/>
  <cols>
    <col min="1" max="2" width="4.00390625" style="1" customWidth="1"/>
    <col min="3" max="3" width="32.57421875" style="1" customWidth="1"/>
    <col min="4" max="4" width="13.421875" style="1" customWidth="1"/>
    <col min="5" max="5" width="13.57421875" style="1" customWidth="1"/>
    <col min="6" max="7" width="12.28125" style="1" customWidth="1"/>
    <col min="8" max="8" width="12.00390625" style="1" customWidth="1"/>
    <col min="9" max="9" width="11.00390625" style="1" customWidth="1"/>
    <col min="10" max="10" width="12.140625" style="1" customWidth="1"/>
    <col min="11" max="16384" width="10.28125" style="1" customWidth="1"/>
  </cols>
  <sheetData>
    <row r="1" spans="1:10" ht="20.25" customHeight="1">
      <c r="A1" s="767"/>
      <c r="B1" s="767"/>
      <c r="C1" s="767"/>
      <c r="D1" s="767"/>
      <c r="E1" s="767"/>
      <c r="F1" s="767"/>
      <c r="G1" s="767"/>
      <c r="H1" s="768"/>
      <c r="I1" s="768"/>
      <c r="J1" s="768" t="s">
        <v>866</v>
      </c>
    </row>
    <row r="2" spans="1:10" ht="20.25" customHeight="1">
      <c r="A2" s="767"/>
      <c r="B2" s="767"/>
      <c r="C2" s="767"/>
      <c r="D2" s="767"/>
      <c r="E2" s="767"/>
      <c r="F2" s="767"/>
      <c r="G2" s="767"/>
      <c r="H2" s="767"/>
      <c r="I2" s="767"/>
      <c r="J2" s="767"/>
    </row>
    <row r="3" spans="1:10" ht="20.25" customHeight="1">
      <c r="A3" s="1079" t="s">
        <v>527</v>
      </c>
      <c r="B3" s="1079"/>
      <c r="C3" s="1079"/>
      <c r="D3" s="1079"/>
      <c r="E3" s="1079"/>
      <c r="F3" s="1079"/>
      <c r="G3" s="1079"/>
      <c r="H3" s="1079"/>
      <c r="I3" s="1079"/>
      <c r="J3" s="1079"/>
    </row>
    <row r="4" spans="1:10" ht="20.25" customHeight="1">
      <c r="A4" s="1079" t="s">
        <v>828</v>
      </c>
      <c r="B4" s="1079"/>
      <c r="C4" s="1079"/>
      <c r="D4" s="1079"/>
      <c r="E4" s="1079"/>
      <c r="F4" s="1079"/>
      <c r="G4" s="1079"/>
      <c r="H4" s="1079"/>
      <c r="I4" s="1079"/>
      <c r="J4" s="1079"/>
    </row>
    <row r="5" spans="1:10" ht="20.25" customHeight="1">
      <c r="A5" s="769"/>
      <c r="B5" s="769"/>
      <c r="C5" s="769"/>
      <c r="D5" s="769"/>
      <c r="E5" s="769"/>
      <c r="F5" s="769"/>
      <c r="G5" s="769"/>
      <c r="H5" s="769"/>
      <c r="I5" s="769"/>
      <c r="J5" s="769"/>
    </row>
    <row r="6" spans="1:10" ht="20.25" customHeight="1">
      <c r="A6" s="770"/>
      <c r="B6" s="771"/>
      <c r="C6" s="772" t="s">
        <v>0</v>
      </c>
      <c r="D6" s="772" t="s">
        <v>1</v>
      </c>
      <c r="E6" s="772" t="s">
        <v>2</v>
      </c>
      <c r="F6" s="772" t="s">
        <v>3</v>
      </c>
      <c r="G6" s="772" t="s">
        <v>4</v>
      </c>
      <c r="H6" s="772" t="s">
        <v>81</v>
      </c>
      <c r="I6" s="772" t="s">
        <v>528</v>
      </c>
      <c r="J6" s="772" t="s">
        <v>7</v>
      </c>
    </row>
    <row r="7" spans="1:10" ht="17.25" customHeight="1">
      <c r="A7" s="772">
        <v>1</v>
      </c>
      <c r="B7" s="773"/>
      <c r="C7" s="767"/>
      <c r="D7" s="767"/>
      <c r="E7" s="767"/>
      <c r="F7" s="767"/>
      <c r="G7" s="767"/>
      <c r="H7" s="767"/>
      <c r="I7" s="767"/>
      <c r="J7" s="767"/>
    </row>
    <row r="8" spans="1:10" ht="105" customHeight="1">
      <c r="A8" s="772">
        <v>2</v>
      </c>
      <c r="B8" s="774"/>
      <c r="C8" s="775" t="s">
        <v>11</v>
      </c>
      <c r="D8" s="776" t="s">
        <v>99</v>
      </c>
      <c r="E8" s="776" t="s">
        <v>104</v>
      </c>
      <c r="F8" s="776" t="s">
        <v>32</v>
      </c>
      <c r="G8" s="776" t="s">
        <v>529</v>
      </c>
      <c r="H8" s="776" t="s">
        <v>530</v>
      </c>
      <c r="I8" s="776" t="s">
        <v>392</v>
      </c>
      <c r="J8" s="776" t="s">
        <v>391</v>
      </c>
    </row>
    <row r="9" spans="1:10" ht="17.25" customHeight="1">
      <c r="A9" s="772">
        <v>3</v>
      </c>
      <c r="B9" s="774">
        <v>1</v>
      </c>
      <c r="C9" s="777" t="s">
        <v>829</v>
      </c>
      <c r="D9" s="778">
        <v>3213222215</v>
      </c>
      <c r="E9" s="778">
        <v>3023641554</v>
      </c>
      <c r="F9" s="778">
        <v>4628887</v>
      </c>
      <c r="G9" s="778">
        <v>111184827</v>
      </c>
      <c r="H9" s="778">
        <v>47821605</v>
      </c>
      <c r="I9" s="778">
        <v>21348303</v>
      </c>
      <c r="J9" s="778">
        <v>4597039</v>
      </c>
    </row>
    <row r="10" spans="1:10" ht="16.5" customHeight="1">
      <c r="A10" s="772">
        <v>4</v>
      </c>
      <c r="B10" s="774">
        <f>B9+1</f>
        <v>2</v>
      </c>
      <c r="C10" s="777" t="s">
        <v>531</v>
      </c>
      <c r="D10" s="778">
        <f aca="true" t="shared" si="0" ref="D10:D15">SUM(E10:J10)</f>
        <v>7954995739</v>
      </c>
      <c r="E10" s="778">
        <f>2847774905+3454014680</f>
        <v>6301789585</v>
      </c>
      <c r="F10" s="778">
        <f>131734703+443288936</f>
        <v>575023639</v>
      </c>
      <c r="G10" s="778">
        <f>600361394+180282498</f>
        <v>780643892</v>
      </c>
      <c r="H10" s="778">
        <f>114468188+96477863</f>
        <v>210946051</v>
      </c>
      <c r="I10" s="778">
        <f>3237984+53704899</f>
        <v>56942883</v>
      </c>
      <c r="J10" s="778">
        <f>5432258+24217431</f>
        <v>29649689</v>
      </c>
    </row>
    <row r="11" spans="1:10" ht="27" customHeight="1">
      <c r="A11" s="772">
        <v>5</v>
      </c>
      <c r="B11" s="774">
        <f aca="true" t="shared" si="1" ref="B11:B16">B10+1</f>
        <v>3</v>
      </c>
      <c r="C11" s="777" t="s">
        <v>532</v>
      </c>
      <c r="D11" s="778">
        <f t="shared" si="0"/>
        <v>3343123731</v>
      </c>
      <c r="E11" s="778">
        <v>3153188358</v>
      </c>
      <c r="F11" s="778">
        <v>4623599</v>
      </c>
      <c r="G11" s="778">
        <v>111424827</v>
      </c>
      <c r="H11" s="778">
        <v>47941605</v>
      </c>
      <c r="I11" s="778">
        <v>21348303</v>
      </c>
      <c r="J11" s="778">
        <v>4597039</v>
      </c>
    </row>
    <row r="12" spans="1:10" ht="15.75" customHeight="1">
      <c r="A12" s="772">
        <v>6</v>
      </c>
      <c r="B12" s="774">
        <f t="shared" si="1"/>
        <v>4</v>
      </c>
      <c r="C12" s="777" t="s">
        <v>533</v>
      </c>
      <c r="D12" s="778">
        <f t="shared" si="0"/>
        <v>-182498579</v>
      </c>
      <c r="E12" s="778">
        <v>-183661681</v>
      </c>
      <c r="F12" s="778">
        <v>1471435</v>
      </c>
      <c r="G12" s="778">
        <v>15000</v>
      </c>
      <c r="H12" s="778">
        <v>-323333</v>
      </c>
      <c r="I12" s="778">
        <v>0</v>
      </c>
      <c r="J12" s="778">
        <v>0</v>
      </c>
    </row>
    <row r="13" spans="1:10" ht="15.75" customHeight="1">
      <c r="A13" s="772">
        <v>7</v>
      </c>
      <c r="B13" s="774">
        <f t="shared" si="1"/>
        <v>5</v>
      </c>
      <c r="C13" s="777" t="s">
        <v>534</v>
      </c>
      <c r="D13" s="778">
        <f t="shared" si="0"/>
        <v>5738487446</v>
      </c>
      <c r="E13" s="778">
        <f>3565597839+655206626</f>
        <v>4220804465</v>
      </c>
      <c r="F13" s="778">
        <f>568660616</f>
        <v>568660616</v>
      </c>
      <c r="G13" s="778">
        <v>680738661</v>
      </c>
      <c r="H13" s="778">
        <v>195746999</v>
      </c>
      <c r="I13" s="778">
        <v>46242467</v>
      </c>
      <c r="J13" s="778">
        <v>26294238</v>
      </c>
    </row>
    <row r="14" spans="1:13" ht="16.5" customHeight="1">
      <c r="A14" s="772">
        <v>8</v>
      </c>
      <c r="B14" s="774">
        <f t="shared" si="1"/>
        <v>6</v>
      </c>
      <c r="C14" s="777" t="s">
        <v>137</v>
      </c>
      <c r="D14" s="778">
        <f t="shared" si="0"/>
        <v>0</v>
      </c>
      <c r="E14" s="778"/>
      <c r="F14" s="778"/>
      <c r="G14" s="778"/>
      <c r="H14" s="778"/>
      <c r="I14" s="778"/>
      <c r="J14" s="778"/>
      <c r="L14" s="105"/>
      <c r="M14" s="105"/>
    </row>
    <row r="15" spans="1:13" ht="25.5" customHeight="1">
      <c r="A15" s="772">
        <v>10</v>
      </c>
      <c r="B15" s="774">
        <f t="shared" si="1"/>
        <v>7</v>
      </c>
      <c r="C15" s="777" t="s">
        <v>535</v>
      </c>
      <c r="D15" s="778">
        <f t="shared" si="0"/>
        <v>-1309114017</v>
      </c>
      <c r="E15" s="778">
        <f aca="true" t="shared" si="2" ref="E15:J15">E10-E11+E12-E13-E14</f>
        <v>-1255864919</v>
      </c>
      <c r="F15" s="778">
        <f t="shared" si="2"/>
        <v>3210859</v>
      </c>
      <c r="G15" s="778">
        <f t="shared" si="2"/>
        <v>-11504596</v>
      </c>
      <c r="H15" s="778">
        <f t="shared" si="2"/>
        <v>-33065886</v>
      </c>
      <c r="I15" s="778">
        <f t="shared" si="2"/>
        <v>-10647887</v>
      </c>
      <c r="J15" s="778">
        <f t="shared" si="2"/>
        <v>-1241588</v>
      </c>
      <c r="L15" s="105"/>
      <c r="M15" s="105"/>
    </row>
    <row r="16" spans="1:13" ht="21.75" customHeight="1">
      <c r="A16" s="772">
        <v>11</v>
      </c>
      <c r="B16" s="774">
        <f t="shared" si="1"/>
        <v>8</v>
      </c>
      <c r="C16" s="777" t="s">
        <v>536</v>
      </c>
      <c r="D16" s="779">
        <f aca="true" t="shared" si="3" ref="D16:J16">D9+D15</f>
        <v>1904108198</v>
      </c>
      <c r="E16" s="779">
        <f t="shared" si="3"/>
        <v>1767776635</v>
      </c>
      <c r="F16" s="779">
        <f t="shared" si="3"/>
        <v>7839746</v>
      </c>
      <c r="G16" s="779">
        <f t="shared" si="3"/>
        <v>99680231</v>
      </c>
      <c r="H16" s="779">
        <f t="shared" si="3"/>
        <v>14755719</v>
      </c>
      <c r="I16" s="779">
        <f t="shared" si="3"/>
        <v>10700416</v>
      </c>
      <c r="J16" s="779">
        <f t="shared" si="3"/>
        <v>3355451</v>
      </c>
      <c r="L16" s="105"/>
      <c r="M16" s="105"/>
    </row>
    <row r="17" ht="12.75">
      <c r="D17" s="105"/>
    </row>
    <row r="18" spans="5:14" s="3" customFormat="1" ht="12.75">
      <c r="E18" s="830"/>
      <c r="L18" s="107"/>
      <c r="M18" s="107"/>
      <c r="N18" s="107"/>
    </row>
    <row r="19" spans="5:15" ht="12.75">
      <c r="E19" s="105"/>
      <c r="F19" s="105"/>
      <c r="G19" s="105"/>
      <c r="H19" s="105"/>
      <c r="I19" s="105"/>
      <c r="J19" s="105"/>
      <c r="O19" s="105"/>
    </row>
  </sheetData>
  <sheetProtection/>
  <mergeCells count="2"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7" topLeftCell="D8" activePane="bottomRight" state="frozen"/>
      <selection pane="topLeft" activeCell="G10" sqref="G1:J16384"/>
      <selection pane="topRight" activeCell="G10" sqref="G1:J16384"/>
      <selection pane="bottomLeft" activeCell="G10" sqref="G1:J16384"/>
      <selection pane="bottomRight" activeCell="I4" sqref="I4"/>
    </sheetView>
  </sheetViews>
  <sheetFormatPr defaultColWidth="9.140625" defaultRowHeight="12.75"/>
  <cols>
    <col min="1" max="1" width="4.28125" style="549" customWidth="1"/>
    <col min="2" max="2" width="4.140625" style="584" customWidth="1"/>
    <col min="3" max="3" width="23.57421875" style="549" customWidth="1"/>
    <col min="4" max="4" width="15.7109375" style="549" customWidth="1"/>
    <col min="5" max="5" width="15.421875" style="549" customWidth="1"/>
    <col min="6" max="7" width="13.8515625" style="549" customWidth="1"/>
    <col min="8" max="8" width="13.28125" style="549" customWidth="1"/>
    <col min="9" max="9" width="13.57421875" style="549" customWidth="1"/>
    <col min="10" max="10" width="13.140625" style="549" customWidth="1"/>
    <col min="11" max="11" width="11.57421875" style="549" customWidth="1"/>
    <col min="12" max="16384" width="9.140625" style="549" customWidth="1"/>
  </cols>
  <sheetData>
    <row r="1" spans="1:10" ht="18.75">
      <c r="A1" s="1082" t="s">
        <v>867</v>
      </c>
      <c r="B1" s="1082"/>
      <c r="C1" s="1082"/>
      <c r="D1" s="1082"/>
      <c r="E1" s="1082"/>
      <c r="F1" s="1082"/>
      <c r="G1" s="1082"/>
      <c r="H1" s="1082"/>
      <c r="I1" s="1082"/>
      <c r="J1" s="1082"/>
    </row>
    <row r="2" spans="1:10" ht="18.75">
      <c r="A2" s="547"/>
      <c r="B2" s="548"/>
      <c r="C2" s="547"/>
      <c r="D2" s="547"/>
      <c r="E2" s="547"/>
      <c r="F2" s="547"/>
      <c r="G2" s="547"/>
      <c r="H2" s="547"/>
      <c r="I2" s="547"/>
      <c r="J2" s="547"/>
    </row>
    <row r="3" spans="1:10" ht="18.75">
      <c r="A3" s="1080" t="s">
        <v>830</v>
      </c>
      <c r="B3" s="1081"/>
      <c r="C3" s="1081"/>
      <c r="D3" s="1081"/>
      <c r="E3" s="1081"/>
      <c r="F3" s="1081"/>
      <c r="G3" s="1081"/>
      <c r="H3" s="1081"/>
      <c r="I3" s="1081"/>
      <c r="J3" s="1081"/>
    </row>
    <row r="4" spans="1:10" ht="18.75">
      <c r="A4" s="547"/>
      <c r="B4" s="548"/>
      <c r="C4" s="550"/>
      <c r="D4" s="550"/>
      <c r="E4" s="550"/>
      <c r="F4" s="550"/>
      <c r="G4" s="550"/>
      <c r="H4" s="550"/>
      <c r="I4" s="550"/>
      <c r="J4" s="550"/>
    </row>
    <row r="5" spans="1:10" ht="18.75">
      <c r="A5" s="551"/>
      <c r="B5" s="552" t="s">
        <v>0</v>
      </c>
      <c r="C5" s="551" t="s">
        <v>1</v>
      </c>
      <c r="D5" s="551" t="s">
        <v>2</v>
      </c>
      <c r="E5" s="551" t="s">
        <v>3</v>
      </c>
      <c r="F5" s="551" t="s">
        <v>4</v>
      </c>
      <c r="G5" s="551" t="s">
        <v>5</v>
      </c>
      <c r="H5" s="551" t="s">
        <v>6</v>
      </c>
      <c r="I5" s="551" t="s">
        <v>7</v>
      </c>
      <c r="J5" s="551" t="s">
        <v>39</v>
      </c>
    </row>
    <row r="6" spans="1:10" ht="19.5" thickBot="1">
      <c r="A6" s="553">
        <v>1</v>
      </c>
      <c r="B6" s="548"/>
      <c r="C6" s="550"/>
      <c r="D6" s="547"/>
      <c r="E6" s="554"/>
      <c r="F6" s="547"/>
      <c r="G6" s="547"/>
      <c r="H6" s="547"/>
      <c r="I6" s="547"/>
      <c r="J6" s="786" t="s">
        <v>514</v>
      </c>
    </row>
    <row r="7" spans="1:10" ht="34.5" customHeight="1">
      <c r="A7" s="552">
        <f>A6+1</f>
        <v>2</v>
      </c>
      <c r="B7" s="555"/>
      <c r="C7" s="556" t="s">
        <v>11</v>
      </c>
      <c r="D7" s="557" t="s">
        <v>99</v>
      </c>
      <c r="E7" s="558" t="s">
        <v>104</v>
      </c>
      <c r="F7" s="559" t="s">
        <v>32</v>
      </c>
      <c r="G7" s="558" t="s">
        <v>385</v>
      </c>
      <c r="H7" s="558" t="s">
        <v>530</v>
      </c>
      <c r="I7" s="560" t="s">
        <v>392</v>
      </c>
      <c r="J7" s="780" t="s">
        <v>391</v>
      </c>
    </row>
    <row r="8" spans="1:10" s="567" customFormat="1" ht="28.5" customHeight="1">
      <c r="A8" s="552">
        <f aca="true" t="shared" si="0" ref="A8:A26">A7+1</f>
        <v>3</v>
      </c>
      <c r="B8" s="561" t="s">
        <v>10</v>
      </c>
      <c r="C8" s="562" t="s">
        <v>537</v>
      </c>
      <c r="D8" s="563">
        <f>SUM(E8:J8)</f>
        <v>3646423249</v>
      </c>
      <c r="E8" s="564">
        <v>2847774905</v>
      </c>
      <c r="F8" s="565">
        <v>75148520</v>
      </c>
      <c r="G8" s="566">
        <v>600361394</v>
      </c>
      <c r="H8" s="566">
        <v>114468188</v>
      </c>
      <c r="I8" s="566">
        <v>3237984</v>
      </c>
      <c r="J8" s="781">
        <v>5432258</v>
      </c>
    </row>
    <row r="9" spans="1:10" s="567" customFormat="1" ht="39" customHeight="1">
      <c r="A9" s="552">
        <f t="shared" si="0"/>
        <v>4</v>
      </c>
      <c r="B9" s="561" t="s">
        <v>15</v>
      </c>
      <c r="C9" s="568" t="s">
        <v>538</v>
      </c>
      <c r="D9" s="563">
        <f>SUM(E9:J9)</f>
        <v>5028253957</v>
      </c>
      <c r="E9" s="563">
        <v>3565597839</v>
      </c>
      <c r="F9" s="564">
        <v>513634353</v>
      </c>
      <c r="G9" s="565">
        <v>680738661</v>
      </c>
      <c r="H9" s="565">
        <v>195746399</v>
      </c>
      <c r="I9" s="566">
        <v>46242467</v>
      </c>
      <c r="J9" s="781">
        <v>26294238</v>
      </c>
    </row>
    <row r="10" spans="1:10" s="567" customFormat="1" ht="26.25" customHeight="1">
      <c r="A10" s="552">
        <f t="shared" si="0"/>
        <v>5</v>
      </c>
      <c r="B10" s="569" t="s">
        <v>7</v>
      </c>
      <c r="C10" s="570" t="s">
        <v>539</v>
      </c>
      <c r="D10" s="571">
        <f aca="true" t="shared" si="1" ref="D10:J10">D8-D9</f>
        <v>-1381830708</v>
      </c>
      <c r="E10" s="571">
        <f t="shared" si="1"/>
        <v>-717822934</v>
      </c>
      <c r="F10" s="572">
        <f t="shared" si="1"/>
        <v>-438485833</v>
      </c>
      <c r="G10" s="571">
        <f t="shared" si="1"/>
        <v>-80377267</v>
      </c>
      <c r="H10" s="571">
        <f>H8-H9</f>
        <v>-81278211</v>
      </c>
      <c r="I10" s="571">
        <f t="shared" si="1"/>
        <v>-43004483</v>
      </c>
      <c r="J10" s="782">
        <f t="shared" si="1"/>
        <v>-20861980</v>
      </c>
    </row>
    <row r="11" spans="1:10" s="567" customFormat="1" ht="24" customHeight="1">
      <c r="A11" s="552">
        <f t="shared" si="0"/>
        <v>6</v>
      </c>
      <c r="B11" s="561" t="s">
        <v>22</v>
      </c>
      <c r="C11" s="562" t="s">
        <v>540</v>
      </c>
      <c r="D11" s="563">
        <f>SUM(E11:J11)</f>
        <v>4251986307</v>
      </c>
      <c r="E11" s="564">
        <v>3454014680</v>
      </c>
      <c r="F11" s="565">
        <v>443288936</v>
      </c>
      <c r="G11" s="566">
        <v>180282498</v>
      </c>
      <c r="H11" s="566">
        <v>96477863</v>
      </c>
      <c r="I11" s="566">
        <v>53704899</v>
      </c>
      <c r="J11" s="781">
        <v>24217431</v>
      </c>
    </row>
    <row r="12" spans="1:10" s="567" customFormat="1" ht="27" customHeight="1">
      <c r="A12" s="552">
        <f t="shared" si="0"/>
        <v>7</v>
      </c>
      <c r="B12" s="561" t="s">
        <v>23</v>
      </c>
      <c r="C12" s="562" t="s">
        <v>541</v>
      </c>
      <c r="D12" s="563">
        <f>SUM(E12:J12)</f>
        <v>655206626</v>
      </c>
      <c r="E12" s="563">
        <v>655206626</v>
      </c>
      <c r="F12" s="571"/>
      <c r="G12" s="571"/>
      <c r="H12" s="571"/>
      <c r="I12" s="571"/>
      <c r="J12" s="782"/>
    </row>
    <row r="13" spans="1:10" s="567" customFormat="1" ht="27.75" customHeight="1">
      <c r="A13" s="552">
        <f t="shared" si="0"/>
        <v>8</v>
      </c>
      <c r="B13" s="569" t="s">
        <v>542</v>
      </c>
      <c r="C13" s="573" t="s">
        <v>543</v>
      </c>
      <c r="D13" s="574">
        <f aca="true" t="shared" si="2" ref="D13:J13">D11-D12</f>
        <v>3596779681</v>
      </c>
      <c r="E13" s="574">
        <f t="shared" si="2"/>
        <v>2798808054</v>
      </c>
      <c r="F13" s="574">
        <f t="shared" si="2"/>
        <v>443288936</v>
      </c>
      <c r="G13" s="574">
        <f t="shared" si="2"/>
        <v>180282498</v>
      </c>
      <c r="H13" s="574">
        <f>H11-H12</f>
        <v>96477863</v>
      </c>
      <c r="I13" s="574">
        <f t="shared" si="2"/>
        <v>53704899</v>
      </c>
      <c r="J13" s="783">
        <f t="shared" si="2"/>
        <v>24217431</v>
      </c>
    </row>
    <row r="14" spans="1:10" s="567" customFormat="1" ht="24" customHeight="1">
      <c r="A14" s="552">
        <f t="shared" si="0"/>
        <v>9</v>
      </c>
      <c r="B14" s="569" t="s">
        <v>544</v>
      </c>
      <c r="C14" s="573" t="s">
        <v>545</v>
      </c>
      <c r="D14" s="571">
        <f aca="true" t="shared" si="3" ref="D14:J14">D10+D13</f>
        <v>2214948973</v>
      </c>
      <c r="E14" s="571">
        <f t="shared" si="3"/>
        <v>2080985120</v>
      </c>
      <c r="F14" s="571">
        <f t="shared" si="3"/>
        <v>4803103</v>
      </c>
      <c r="G14" s="571">
        <f t="shared" si="3"/>
        <v>99905231</v>
      </c>
      <c r="H14" s="571">
        <f>H10+H13</f>
        <v>15199652</v>
      </c>
      <c r="I14" s="571">
        <f t="shared" si="3"/>
        <v>10700416</v>
      </c>
      <c r="J14" s="782">
        <f t="shared" si="3"/>
        <v>3355451</v>
      </c>
    </row>
    <row r="15" spans="1:10" s="567" customFormat="1" ht="34.5" customHeight="1">
      <c r="A15" s="552">
        <f t="shared" si="0"/>
        <v>10</v>
      </c>
      <c r="B15" s="561" t="s">
        <v>52</v>
      </c>
      <c r="C15" s="562" t="s">
        <v>546</v>
      </c>
      <c r="D15" s="563">
        <f>SUM(E15:J15)</f>
        <v>56586183</v>
      </c>
      <c r="E15" s="564">
        <v>0</v>
      </c>
      <c r="F15" s="565">
        <v>56586183</v>
      </c>
      <c r="G15" s="566">
        <v>0</v>
      </c>
      <c r="H15" s="566">
        <v>0</v>
      </c>
      <c r="I15" s="566">
        <v>0</v>
      </c>
      <c r="J15" s="781">
        <v>0</v>
      </c>
    </row>
    <row r="16" spans="1:10" s="567" customFormat="1" ht="24" customHeight="1">
      <c r="A16" s="552">
        <f t="shared" si="0"/>
        <v>11</v>
      </c>
      <c r="B16" s="561" t="s">
        <v>54</v>
      </c>
      <c r="C16" s="562" t="s">
        <v>547</v>
      </c>
      <c r="D16" s="563">
        <f>SUM(E16:J16)</f>
        <v>55026263</v>
      </c>
      <c r="E16" s="564">
        <v>0</v>
      </c>
      <c r="F16" s="565">
        <v>55026263</v>
      </c>
      <c r="G16" s="566">
        <v>0</v>
      </c>
      <c r="H16" s="566">
        <v>0</v>
      </c>
      <c r="I16" s="566">
        <v>0</v>
      </c>
      <c r="J16" s="781">
        <v>0</v>
      </c>
    </row>
    <row r="17" spans="1:10" s="567" customFormat="1" ht="36.75" customHeight="1">
      <c r="A17" s="552">
        <f t="shared" si="0"/>
        <v>12</v>
      </c>
      <c r="B17" s="569" t="s">
        <v>84</v>
      </c>
      <c r="C17" s="573" t="s">
        <v>548</v>
      </c>
      <c r="D17" s="571">
        <f aca="true" t="shared" si="4" ref="D17:J17">D15-D16</f>
        <v>1559920</v>
      </c>
      <c r="E17" s="571">
        <f t="shared" si="4"/>
        <v>0</v>
      </c>
      <c r="F17" s="571">
        <f t="shared" si="4"/>
        <v>1559920</v>
      </c>
      <c r="G17" s="571">
        <f t="shared" si="4"/>
        <v>0</v>
      </c>
      <c r="H17" s="571">
        <f>H15-H16</f>
        <v>0</v>
      </c>
      <c r="I17" s="571">
        <f t="shared" si="4"/>
        <v>0</v>
      </c>
      <c r="J17" s="782">
        <f t="shared" si="4"/>
        <v>0</v>
      </c>
    </row>
    <row r="18" spans="1:10" s="567" customFormat="1" ht="39.75" customHeight="1">
      <c r="A18" s="552">
        <f t="shared" si="0"/>
        <v>13</v>
      </c>
      <c r="B18" s="561" t="s">
        <v>48</v>
      </c>
      <c r="C18" s="562" t="s">
        <v>549</v>
      </c>
      <c r="D18" s="563">
        <f>SUM(E18:J18)</f>
        <v>0</v>
      </c>
      <c r="E18" s="564">
        <v>0</v>
      </c>
      <c r="F18" s="565">
        <v>0</v>
      </c>
      <c r="G18" s="566">
        <v>0</v>
      </c>
      <c r="H18" s="566">
        <v>0</v>
      </c>
      <c r="I18" s="566">
        <v>0</v>
      </c>
      <c r="J18" s="781">
        <v>0</v>
      </c>
    </row>
    <row r="19" spans="1:10" s="567" customFormat="1" ht="37.5" customHeight="1">
      <c r="A19" s="552">
        <f t="shared" si="0"/>
        <v>14</v>
      </c>
      <c r="B19" s="561" t="s">
        <v>24</v>
      </c>
      <c r="C19" s="562" t="s">
        <v>550</v>
      </c>
      <c r="D19" s="563">
        <f>SUM(E19:J19)</f>
        <v>0</v>
      </c>
      <c r="E19" s="564">
        <v>0</v>
      </c>
      <c r="F19" s="565">
        <v>0</v>
      </c>
      <c r="G19" s="566">
        <v>0</v>
      </c>
      <c r="H19" s="566">
        <v>0</v>
      </c>
      <c r="I19" s="566">
        <v>0</v>
      </c>
      <c r="J19" s="781">
        <v>0</v>
      </c>
    </row>
    <row r="20" spans="1:10" s="567" customFormat="1" ht="36.75" customHeight="1">
      <c r="A20" s="552">
        <f t="shared" si="0"/>
        <v>15</v>
      </c>
      <c r="B20" s="569" t="s">
        <v>551</v>
      </c>
      <c r="C20" s="573" t="s">
        <v>552</v>
      </c>
      <c r="D20" s="571">
        <f>D18-D19</f>
        <v>0</v>
      </c>
      <c r="E20" s="575">
        <v>0</v>
      </c>
      <c r="F20" s="565">
        <f>F18+F19</f>
        <v>0</v>
      </c>
      <c r="G20" s="566">
        <v>0</v>
      </c>
      <c r="H20" s="566">
        <v>0</v>
      </c>
      <c r="I20" s="566">
        <v>0</v>
      </c>
      <c r="J20" s="781">
        <v>0</v>
      </c>
    </row>
    <row r="21" spans="1:10" s="567" customFormat="1" ht="45" customHeight="1">
      <c r="A21" s="552">
        <f t="shared" si="0"/>
        <v>16</v>
      </c>
      <c r="B21" s="569" t="s">
        <v>553</v>
      </c>
      <c r="C21" s="573" t="s">
        <v>554</v>
      </c>
      <c r="D21" s="571">
        <f aca="true" t="shared" si="5" ref="D21:J21">D17+D20</f>
        <v>1559920</v>
      </c>
      <c r="E21" s="571">
        <f t="shared" si="5"/>
        <v>0</v>
      </c>
      <c r="F21" s="571">
        <f t="shared" si="5"/>
        <v>1559920</v>
      </c>
      <c r="G21" s="571">
        <f t="shared" si="5"/>
        <v>0</v>
      </c>
      <c r="H21" s="571">
        <f>H17+H20</f>
        <v>0</v>
      </c>
      <c r="I21" s="571">
        <f t="shared" si="5"/>
        <v>0</v>
      </c>
      <c r="J21" s="782">
        <f t="shared" si="5"/>
        <v>0</v>
      </c>
    </row>
    <row r="22" spans="1:10" s="567" customFormat="1" ht="25.5" customHeight="1">
      <c r="A22" s="552">
        <f t="shared" si="0"/>
        <v>17</v>
      </c>
      <c r="B22" s="569" t="s">
        <v>555</v>
      </c>
      <c r="C22" s="573" t="s">
        <v>556</v>
      </c>
      <c r="D22" s="571">
        <f>D14+D21</f>
        <v>2216508893</v>
      </c>
      <c r="E22" s="571">
        <f aca="true" t="shared" si="6" ref="E22:J22">E14+E21</f>
        <v>2080985120</v>
      </c>
      <c r="F22" s="571">
        <f t="shared" si="6"/>
        <v>6363023</v>
      </c>
      <c r="G22" s="571">
        <f t="shared" si="6"/>
        <v>99905231</v>
      </c>
      <c r="H22" s="571">
        <f>H14+H21</f>
        <v>15199652</v>
      </c>
      <c r="I22" s="571">
        <f t="shared" si="6"/>
        <v>10700416</v>
      </c>
      <c r="J22" s="782">
        <f t="shared" si="6"/>
        <v>3355451</v>
      </c>
    </row>
    <row r="23" spans="1:10" s="567" customFormat="1" ht="63" customHeight="1">
      <c r="A23" s="552">
        <f t="shared" si="0"/>
        <v>18</v>
      </c>
      <c r="B23" s="569" t="s">
        <v>557</v>
      </c>
      <c r="C23" s="573" t="s">
        <v>558</v>
      </c>
      <c r="D23" s="571">
        <f>SUM(E23:J23)</f>
        <v>1748472882</v>
      </c>
      <c r="E23" s="571">
        <v>1633274499</v>
      </c>
      <c r="F23" s="571">
        <v>1751748</v>
      </c>
      <c r="G23" s="571">
        <v>93616778</v>
      </c>
      <c r="H23" s="571">
        <v>8932715</v>
      </c>
      <c r="I23" s="571">
        <v>8950088</v>
      </c>
      <c r="J23" s="782">
        <v>1947054</v>
      </c>
    </row>
    <row r="24" spans="1:10" s="567" customFormat="1" ht="27.75" customHeight="1">
      <c r="A24" s="552">
        <f t="shared" si="0"/>
        <v>19</v>
      </c>
      <c r="B24" s="576" t="s">
        <v>559</v>
      </c>
      <c r="C24" s="573" t="s">
        <v>560</v>
      </c>
      <c r="D24" s="577">
        <f>D14-D23</f>
        <v>466476091</v>
      </c>
      <c r="E24" s="577">
        <f aca="true" t="shared" si="7" ref="E24:J24">E14-E23</f>
        <v>447710621</v>
      </c>
      <c r="F24" s="577">
        <f t="shared" si="7"/>
        <v>3051355</v>
      </c>
      <c r="G24" s="577">
        <f t="shared" si="7"/>
        <v>6288453</v>
      </c>
      <c r="H24" s="577">
        <f t="shared" si="7"/>
        <v>6266937</v>
      </c>
      <c r="I24" s="577">
        <f t="shared" si="7"/>
        <v>1750328</v>
      </c>
      <c r="J24" s="784">
        <f t="shared" si="7"/>
        <v>1408397</v>
      </c>
    </row>
    <row r="25" spans="1:10" ht="40.5" customHeight="1">
      <c r="A25" s="552">
        <f t="shared" si="0"/>
        <v>20</v>
      </c>
      <c r="B25" s="578" t="s">
        <v>561</v>
      </c>
      <c r="C25" s="573" t="s">
        <v>562</v>
      </c>
      <c r="D25" s="579">
        <f>D21*0.09</f>
        <v>140392.8</v>
      </c>
      <c r="E25" s="580">
        <f aca="true" t="shared" si="8" ref="E25:J25">E21*0.1</f>
        <v>0</v>
      </c>
      <c r="F25" s="579">
        <f>F21*0.09</f>
        <v>140392.8</v>
      </c>
      <c r="G25" s="579">
        <f t="shared" si="8"/>
        <v>0</v>
      </c>
      <c r="H25" s="579">
        <f>H21*0.1</f>
        <v>0</v>
      </c>
      <c r="I25" s="579">
        <f t="shared" si="8"/>
        <v>0</v>
      </c>
      <c r="J25" s="785">
        <f t="shared" si="8"/>
        <v>0</v>
      </c>
    </row>
    <row r="26" spans="1:10" ht="25.5">
      <c r="A26" s="552">
        <f t="shared" si="0"/>
        <v>21</v>
      </c>
      <c r="B26" s="578" t="s">
        <v>563</v>
      </c>
      <c r="C26" s="573" t="s">
        <v>564</v>
      </c>
      <c r="D26" s="579">
        <f>D21-D25</f>
        <v>1419527.2</v>
      </c>
      <c r="E26" s="579">
        <f aca="true" t="shared" si="9" ref="E26:J26">E21-E25</f>
        <v>0</v>
      </c>
      <c r="F26" s="579">
        <f t="shared" si="9"/>
        <v>1419527.2</v>
      </c>
      <c r="G26" s="579">
        <f t="shared" si="9"/>
        <v>0</v>
      </c>
      <c r="H26" s="579">
        <f t="shared" si="9"/>
        <v>0</v>
      </c>
      <c r="I26" s="579">
        <f t="shared" si="9"/>
        <v>0</v>
      </c>
      <c r="J26" s="785">
        <f t="shared" si="9"/>
        <v>0</v>
      </c>
    </row>
    <row r="27" spans="1:10" ht="18.75">
      <c r="A27" s="581"/>
      <c r="B27" s="582"/>
      <c r="C27" s="581"/>
      <c r="D27" s="583"/>
      <c r="E27" s="581"/>
      <c r="F27" s="581"/>
      <c r="G27" s="581"/>
      <c r="H27" s="581"/>
      <c r="I27" s="581"/>
      <c r="J27" s="581"/>
    </row>
    <row r="28" spans="1:10" ht="18.75">
      <c r="A28" s="581"/>
      <c r="B28" s="582"/>
      <c r="C28" s="581"/>
      <c r="D28" s="581"/>
      <c r="E28" s="581"/>
      <c r="F28" s="581"/>
      <c r="G28" s="581"/>
      <c r="H28" s="581"/>
      <c r="I28" s="581"/>
      <c r="J28" s="581"/>
    </row>
    <row r="29" spans="1:10" ht="18.75">
      <c r="A29" s="581"/>
      <c r="B29" s="582"/>
      <c r="C29" s="581"/>
      <c r="D29" s="581"/>
      <c r="E29" s="581"/>
      <c r="F29" s="581"/>
      <c r="G29" s="581"/>
      <c r="H29" s="581"/>
      <c r="I29" s="581"/>
      <c r="J29" s="581"/>
    </row>
    <row r="30" spans="1:10" ht="18.75">
      <c r="A30" s="581"/>
      <c r="B30" s="582"/>
      <c r="C30" s="581"/>
      <c r="D30" s="581"/>
      <c r="E30" s="581"/>
      <c r="F30" s="581"/>
      <c r="G30" s="581"/>
      <c r="H30" s="581"/>
      <c r="I30" s="581"/>
      <c r="J30" s="581"/>
    </row>
  </sheetData>
  <sheetProtection/>
  <mergeCells count="2">
    <mergeCell ref="A3:J3"/>
    <mergeCell ref="A1:J1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zoomScalePageLayoutView="0" workbookViewId="0" topLeftCell="A1">
      <selection activeCell="A3" sqref="A3:I3"/>
    </sheetView>
  </sheetViews>
  <sheetFormatPr defaultColWidth="9.140625" defaultRowHeight="12.75"/>
  <cols>
    <col min="1" max="1" width="5.8515625" style="588" customWidth="1"/>
    <col min="2" max="2" width="27.57421875" style="588" customWidth="1"/>
    <col min="3" max="3" width="0.42578125" style="588" hidden="1" customWidth="1"/>
    <col min="4" max="4" width="8.140625" style="588" hidden="1" customWidth="1"/>
    <col min="5" max="5" width="21.28125" style="588" customWidth="1"/>
    <col min="6" max="6" width="20.57421875" style="588" customWidth="1"/>
    <col min="7" max="7" width="17.8515625" style="588" customWidth="1"/>
    <col min="8" max="8" width="18.00390625" style="588" customWidth="1"/>
    <col min="9" max="9" width="18.421875" style="588" customWidth="1"/>
    <col min="10" max="10" width="15.7109375" style="588" customWidth="1"/>
    <col min="11" max="16384" width="9.140625" style="588" customWidth="1"/>
  </cols>
  <sheetData>
    <row r="1" spans="1:13" ht="12.75">
      <c r="A1" s="585"/>
      <c r="B1" s="586"/>
      <c r="C1" s="586"/>
      <c r="D1" s="586"/>
      <c r="E1" s="586"/>
      <c r="F1" s="1083" t="s">
        <v>868</v>
      </c>
      <c r="G1" s="1083"/>
      <c r="H1" s="1083"/>
      <c r="I1" s="1083"/>
      <c r="J1" s="587"/>
      <c r="K1" s="587"/>
      <c r="L1" s="587"/>
      <c r="M1" s="587"/>
    </row>
    <row r="2" ht="22.5" customHeight="1"/>
    <row r="3" spans="1:10" ht="25.5" customHeight="1">
      <c r="A3" s="1084" t="s">
        <v>565</v>
      </c>
      <c r="B3" s="1085"/>
      <c r="C3" s="1085"/>
      <c r="D3" s="1085"/>
      <c r="E3" s="1085"/>
      <c r="F3" s="1085"/>
      <c r="G3" s="1085"/>
      <c r="H3" s="1085"/>
      <c r="I3" s="1085"/>
      <c r="J3" s="589"/>
    </row>
    <row r="4" spans="1:10" ht="25.5" customHeight="1">
      <c r="A4" s="1084" t="s">
        <v>831</v>
      </c>
      <c r="B4" s="1085"/>
      <c r="C4" s="1085"/>
      <c r="D4" s="1085"/>
      <c r="E4" s="1085"/>
      <c r="F4" s="1085"/>
      <c r="G4" s="1085"/>
      <c r="H4" s="1085"/>
      <c r="I4" s="1085"/>
      <c r="J4" s="589"/>
    </row>
    <row r="5" spans="2:10" ht="20.25">
      <c r="B5" s="590"/>
      <c r="C5" s="590"/>
      <c r="D5" s="590"/>
      <c r="E5" s="590"/>
      <c r="F5" s="590"/>
      <c r="G5" s="590"/>
      <c r="H5" s="590"/>
      <c r="I5" s="590"/>
      <c r="J5" s="589"/>
    </row>
    <row r="6" spans="1:10" ht="18.75">
      <c r="A6" s="591"/>
      <c r="B6" s="592" t="s">
        <v>0</v>
      </c>
      <c r="C6" s="593"/>
      <c r="D6" s="593"/>
      <c r="E6" s="593" t="s">
        <v>1</v>
      </c>
      <c r="F6" s="593" t="s">
        <v>2</v>
      </c>
      <c r="G6" s="593" t="s">
        <v>3</v>
      </c>
      <c r="H6" s="593" t="s">
        <v>4</v>
      </c>
      <c r="I6" s="593" t="s">
        <v>5</v>
      </c>
      <c r="J6" s="589"/>
    </row>
    <row r="7" spans="1:10" ht="18" customHeight="1">
      <c r="A7" s="594">
        <v>1</v>
      </c>
      <c r="B7" s="589"/>
      <c r="C7" s="589"/>
      <c r="D7" s="589"/>
      <c r="E7" s="589"/>
      <c r="F7" s="589"/>
      <c r="G7" s="589"/>
      <c r="H7" s="589"/>
      <c r="I7" s="589"/>
      <c r="J7" s="589"/>
    </row>
    <row r="8" spans="1:9" ht="15">
      <c r="A8" s="595">
        <f>A7+1</f>
        <v>2</v>
      </c>
      <c r="B8" s="596"/>
      <c r="C8" s="596"/>
      <c r="D8" s="596"/>
      <c r="E8" s="596"/>
      <c r="I8" s="597" t="s">
        <v>514</v>
      </c>
    </row>
    <row r="9" spans="1:10" ht="34.5" customHeight="1">
      <c r="A9" s="594">
        <f aca="true" t="shared" si="0" ref="A9:A18">A8+1</f>
        <v>3</v>
      </c>
      <c r="B9" s="1086" t="s">
        <v>566</v>
      </c>
      <c r="C9" s="598"/>
      <c r="D9" s="598"/>
      <c r="E9" s="1088" t="s">
        <v>567</v>
      </c>
      <c r="F9" s="1090" t="s">
        <v>568</v>
      </c>
      <c r="G9" s="1091"/>
      <c r="H9" s="1091"/>
      <c r="I9" s="1092"/>
      <c r="J9" s="599"/>
    </row>
    <row r="10" spans="1:9" ht="52.5" customHeight="1">
      <c r="A10" s="594">
        <f t="shared" si="0"/>
        <v>4</v>
      </c>
      <c r="B10" s="1087"/>
      <c r="C10" s="600"/>
      <c r="D10" s="600"/>
      <c r="E10" s="1089"/>
      <c r="F10" s="601" t="s">
        <v>569</v>
      </c>
      <c r="G10" s="601" t="s">
        <v>560</v>
      </c>
      <c r="H10" s="602" t="s">
        <v>570</v>
      </c>
      <c r="I10" s="602" t="s">
        <v>571</v>
      </c>
    </row>
    <row r="11" spans="1:9" ht="38.25" customHeight="1">
      <c r="A11" s="594">
        <f t="shared" si="0"/>
        <v>5</v>
      </c>
      <c r="B11" s="603" t="s">
        <v>173</v>
      </c>
      <c r="C11" s="604"/>
      <c r="D11" s="605"/>
      <c r="E11" s="606">
        <f>'11'!G22</f>
        <v>99905231</v>
      </c>
      <c r="F11" s="607">
        <f>'11'!G23</f>
        <v>93616778</v>
      </c>
      <c r="G11" s="608">
        <f>E11-F11</f>
        <v>6288453</v>
      </c>
      <c r="H11" s="608"/>
      <c r="I11" s="608"/>
    </row>
    <row r="12" spans="1:9" ht="40.5" customHeight="1">
      <c r="A12" s="594">
        <f t="shared" si="0"/>
        <v>6</v>
      </c>
      <c r="B12" s="609" t="s">
        <v>102</v>
      </c>
      <c r="C12" s="610"/>
      <c r="D12" s="611"/>
      <c r="E12" s="608">
        <f>'11'!H22</f>
        <v>15199652</v>
      </c>
      <c r="F12" s="608">
        <f>'11'!H23</f>
        <v>8932715</v>
      </c>
      <c r="G12" s="608">
        <f>E12-F12</f>
        <v>6266937</v>
      </c>
      <c r="H12" s="608"/>
      <c r="I12" s="608"/>
    </row>
    <row r="13" spans="1:9" ht="27" customHeight="1">
      <c r="A13" s="594">
        <f t="shared" si="0"/>
        <v>7</v>
      </c>
      <c r="B13" s="612" t="s">
        <v>27</v>
      </c>
      <c r="C13" s="611"/>
      <c r="D13" s="611"/>
      <c r="E13" s="608">
        <f>'11'!J22</f>
        <v>3355451</v>
      </c>
      <c r="F13" s="608">
        <f>'11'!J23</f>
        <v>1947054</v>
      </c>
      <c r="G13" s="608">
        <f>E13-F13</f>
        <v>1408397</v>
      </c>
      <c r="H13" s="608"/>
      <c r="I13" s="608"/>
    </row>
    <row r="14" spans="1:9" ht="27.75" customHeight="1">
      <c r="A14" s="594">
        <f t="shared" si="0"/>
        <v>8</v>
      </c>
      <c r="B14" s="612" t="s">
        <v>29</v>
      </c>
      <c r="C14" s="611"/>
      <c r="D14" s="611"/>
      <c r="E14" s="608">
        <f>'11'!I22</f>
        <v>10700416</v>
      </c>
      <c r="F14" s="608">
        <f>'11'!I23</f>
        <v>8950088</v>
      </c>
      <c r="G14" s="608">
        <f>E14-F14</f>
        <v>1750328</v>
      </c>
      <c r="H14" s="608"/>
      <c r="I14" s="608"/>
    </row>
    <row r="15" spans="1:9" ht="27.75" customHeight="1">
      <c r="A15" s="594">
        <f t="shared" si="0"/>
        <v>9</v>
      </c>
      <c r="B15" s="612" t="s">
        <v>32</v>
      </c>
      <c r="C15" s="611"/>
      <c r="D15" s="611"/>
      <c r="E15" s="608">
        <f>'11'!F22</f>
        <v>6363023</v>
      </c>
      <c r="F15" s="608">
        <f>'11'!F23</f>
        <v>1751748</v>
      </c>
      <c r="G15" s="608">
        <f>'11'!F24</f>
        <v>3051355</v>
      </c>
      <c r="H15" s="608">
        <f>'11'!F25</f>
        <v>140392.8</v>
      </c>
      <c r="I15" s="608">
        <f>'11'!F26</f>
        <v>1419527.2</v>
      </c>
    </row>
    <row r="16" spans="1:9" ht="33.75" customHeight="1">
      <c r="A16" s="594">
        <f t="shared" si="0"/>
        <v>10</v>
      </c>
      <c r="B16" s="613" t="s">
        <v>30</v>
      </c>
      <c r="C16" s="614"/>
      <c r="D16" s="614"/>
      <c r="E16" s="615">
        <f>SUM(E11:E15)</f>
        <v>135523773</v>
      </c>
      <c r="F16" s="615">
        <f>SUM(F11:F15)</f>
        <v>115198383</v>
      </c>
      <c r="G16" s="615">
        <f>SUM(G11:G15)</f>
        <v>18765470</v>
      </c>
      <c r="H16" s="615">
        <f>SUM(H11:H15)</f>
        <v>140392.8</v>
      </c>
      <c r="I16" s="615">
        <f>SUM(I11:I15)</f>
        <v>1419527.2</v>
      </c>
    </row>
    <row r="17" spans="1:9" ht="27" customHeight="1">
      <c r="A17" s="594">
        <f t="shared" si="0"/>
        <v>11</v>
      </c>
      <c r="B17" s="616" t="s">
        <v>104</v>
      </c>
      <c r="C17" s="617"/>
      <c r="D17" s="617"/>
      <c r="E17" s="618">
        <f>'11'!E22</f>
        <v>2080985120</v>
      </c>
      <c r="F17" s="618">
        <f>'11'!E23</f>
        <v>1633274499</v>
      </c>
      <c r="G17" s="608">
        <f>'11'!E24</f>
        <v>447710621</v>
      </c>
      <c r="H17" s="618"/>
      <c r="I17" s="618"/>
    </row>
    <row r="18" spans="1:9" ht="31.5" customHeight="1">
      <c r="A18" s="594">
        <f t="shared" si="0"/>
        <v>12</v>
      </c>
      <c r="B18" s="619" t="s">
        <v>572</v>
      </c>
      <c r="C18" s="614"/>
      <c r="D18" s="614"/>
      <c r="E18" s="615">
        <f>E16+E17</f>
        <v>2216508893</v>
      </c>
      <c r="F18" s="615">
        <f>F16+F17</f>
        <v>1748472882</v>
      </c>
      <c r="G18" s="615">
        <f>G17+G16</f>
        <v>466476091</v>
      </c>
      <c r="H18" s="615">
        <f>H16+H17</f>
        <v>140392.8</v>
      </c>
      <c r="I18" s="615">
        <f>I16+I17</f>
        <v>1419527.2</v>
      </c>
    </row>
    <row r="19" spans="6:7" ht="12.75" hidden="1">
      <c r="F19" s="620">
        <f>F18-'[7]11.sz.'!D23</f>
        <v>-1266820786</v>
      </c>
      <c r="G19" s="620">
        <f>G18-'[7]11.sz.'!D24</f>
        <v>143269627</v>
      </c>
    </row>
    <row r="20" spans="3:4" ht="12.75" customHeight="1">
      <c r="C20" s="621"/>
      <c r="D20" s="621"/>
    </row>
    <row r="21" spans="3:6" ht="12.75">
      <c r="C21" s="621"/>
      <c r="D21" s="621"/>
      <c r="F21" s="620"/>
    </row>
    <row r="31" spans="2:9" ht="15">
      <c r="B31" s="622"/>
      <c r="C31" s="622"/>
      <c r="D31" s="622"/>
      <c r="E31" s="622"/>
      <c r="F31" s="622"/>
      <c r="G31" s="622"/>
      <c r="H31" s="622"/>
      <c r="I31" s="622"/>
    </row>
    <row r="32" spans="2:9" ht="15">
      <c r="B32" s="622"/>
      <c r="C32" s="622"/>
      <c r="D32" s="622"/>
      <c r="E32" s="622"/>
      <c r="F32" s="622"/>
      <c r="G32" s="622"/>
      <c r="H32" s="622"/>
      <c r="I32" s="622"/>
    </row>
    <row r="33" spans="2:9" ht="15">
      <c r="B33" s="622"/>
      <c r="C33" s="622"/>
      <c r="D33" s="622"/>
      <c r="E33" s="622"/>
      <c r="F33" s="622"/>
      <c r="G33" s="622"/>
      <c r="H33" s="622"/>
      <c r="I33" s="622"/>
    </row>
  </sheetData>
  <sheetProtection/>
  <mergeCells count="6">
    <mergeCell ref="F1:I1"/>
    <mergeCell ref="A3:I3"/>
    <mergeCell ref="A4:I4"/>
    <mergeCell ref="B9:B10"/>
    <mergeCell ref="E9:E10"/>
    <mergeCell ref="F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pane xSplit="4" ySplit="8" topLeftCell="E33" activePane="bottomRight" state="frozen"/>
      <selection pane="topLeft" activeCell="G10" sqref="G1:J16384"/>
      <selection pane="topRight" activeCell="G10" sqref="G1:J16384"/>
      <selection pane="bottomLeft" activeCell="G10" sqref="G1:J16384"/>
      <selection pane="bottomRight" activeCell="A1" sqref="A1:F1"/>
    </sheetView>
  </sheetViews>
  <sheetFormatPr defaultColWidth="9.140625" defaultRowHeight="12.75"/>
  <cols>
    <col min="1" max="1" width="4.7109375" style="627" customWidth="1"/>
    <col min="2" max="2" width="4.7109375" style="650" customWidth="1"/>
    <col min="3" max="3" width="8.28125" style="651" customWidth="1"/>
    <col min="4" max="4" width="69.140625" style="627" customWidth="1"/>
    <col min="5" max="5" width="15.7109375" style="627" customWidth="1"/>
    <col min="6" max="6" width="15.57421875" style="627" customWidth="1"/>
    <col min="7" max="7" width="19.7109375" style="627" bestFit="1" customWidth="1"/>
    <col min="8" max="8" width="17.421875" style="627" bestFit="1" customWidth="1"/>
    <col min="9" max="16384" width="9.140625" style="627" customWidth="1"/>
  </cols>
  <sheetData>
    <row r="1" spans="1:11" ht="15">
      <c r="A1" s="1107" t="s">
        <v>869</v>
      </c>
      <c r="B1" s="1107"/>
      <c r="C1" s="1107"/>
      <c r="D1" s="1107"/>
      <c r="E1" s="1107"/>
      <c r="F1" s="1107"/>
      <c r="G1" s="626"/>
      <c r="H1" s="626"/>
      <c r="I1" s="626"/>
      <c r="J1" s="626"/>
      <c r="K1" s="626"/>
    </row>
    <row r="2" spans="1:6" ht="15">
      <c r="A2" s="623"/>
      <c r="B2" s="624"/>
      <c r="C2" s="625"/>
      <c r="D2" s="623"/>
      <c r="E2" s="623"/>
      <c r="F2" s="623"/>
    </row>
    <row r="3" spans="1:6" ht="14.25">
      <c r="A3" s="1104" t="s">
        <v>573</v>
      </c>
      <c r="B3" s="1105"/>
      <c r="C3" s="1105"/>
      <c r="D3" s="1105"/>
      <c r="E3" s="1105"/>
      <c r="F3" s="1105"/>
    </row>
    <row r="4" spans="1:6" ht="14.25">
      <c r="A4" s="1104" t="s">
        <v>832</v>
      </c>
      <c r="B4" s="1105" t="s">
        <v>574</v>
      </c>
      <c r="C4" s="1105"/>
      <c r="D4" s="1105"/>
      <c r="E4" s="1105"/>
      <c r="F4" s="1105"/>
    </row>
    <row r="5" spans="1:6" ht="15">
      <c r="A5" s="623"/>
      <c r="B5" s="624"/>
      <c r="C5" s="625"/>
      <c r="D5" s="623"/>
      <c r="E5" s="623"/>
      <c r="F5" s="623"/>
    </row>
    <row r="6" spans="1:6" ht="15">
      <c r="A6" s="628"/>
      <c r="B6" s="629" t="s">
        <v>0</v>
      </c>
      <c r="C6" s="629" t="s">
        <v>1</v>
      </c>
      <c r="D6" s="629" t="s">
        <v>2</v>
      </c>
      <c r="E6" s="629" t="s">
        <v>3</v>
      </c>
      <c r="F6" s="629" t="s">
        <v>4</v>
      </c>
    </row>
    <row r="7" spans="1:6" s="632" customFormat="1" ht="16.5" thickBot="1">
      <c r="A7" s="630" t="s">
        <v>10</v>
      </c>
      <c r="B7" s="624"/>
      <c r="C7" s="625"/>
      <c r="D7" s="622"/>
      <c r="E7" s="622"/>
      <c r="F7" s="631" t="s">
        <v>575</v>
      </c>
    </row>
    <row r="8" spans="1:6" s="632" customFormat="1" ht="29.25" customHeight="1">
      <c r="A8" s="630" t="s">
        <v>15</v>
      </c>
      <c r="B8" s="1097" t="s">
        <v>576</v>
      </c>
      <c r="C8" s="1106"/>
      <c r="D8" s="1106"/>
      <c r="E8" s="633" t="s">
        <v>577</v>
      </c>
      <c r="F8" s="634" t="s">
        <v>578</v>
      </c>
    </row>
    <row r="9" spans="1:6" s="632" customFormat="1" ht="21.75" customHeight="1">
      <c r="A9" s="630" t="s">
        <v>22</v>
      </c>
      <c r="B9" s="1098"/>
      <c r="C9" s="635" t="s">
        <v>579</v>
      </c>
      <c r="D9" s="636" t="s">
        <v>580</v>
      </c>
      <c r="E9" s="637">
        <v>11584262</v>
      </c>
      <c r="F9" s="637">
        <v>8240209</v>
      </c>
    </row>
    <row r="10" spans="1:6" s="632" customFormat="1" ht="21.75" customHeight="1">
      <c r="A10" s="630" t="s">
        <v>23</v>
      </c>
      <c r="B10" s="1099"/>
      <c r="C10" s="635" t="s">
        <v>581</v>
      </c>
      <c r="D10" s="636" t="s">
        <v>582</v>
      </c>
      <c r="E10" s="637">
        <v>16532184083</v>
      </c>
      <c r="F10" s="637">
        <v>17393030861</v>
      </c>
    </row>
    <row r="11" spans="1:6" s="632" customFormat="1" ht="21.75" customHeight="1">
      <c r="A11" s="630" t="s">
        <v>52</v>
      </c>
      <c r="B11" s="1099"/>
      <c r="C11" s="635" t="s">
        <v>583</v>
      </c>
      <c r="D11" s="636" t="s">
        <v>584</v>
      </c>
      <c r="E11" s="637">
        <v>173267512</v>
      </c>
      <c r="F11" s="637">
        <v>173267512</v>
      </c>
    </row>
    <row r="12" spans="1:6" s="632" customFormat="1" ht="21.75" customHeight="1">
      <c r="A12" s="630" t="s">
        <v>54</v>
      </c>
      <c r="B12" s="1100"/>
      <c r="C12" s="635" t="s">
        <v>585</v>
      </c>
      <c r="D12" s="639" t="s">
        <v>586</v>
      </c>
      <c r="E12" s="637">
        <v>0</v>
      </c>
      <c r="F12" s="637"/>
    </row>
    <row r="13" spans="1:7" s="632" customFormat="1" ht="29.25" customHeight="1">
      <c r="A13" s="630" t="s">
        <v>48</v>
      </c>
      <c r="B13" s="640" t="s">
        <v>544</v>
      </c>
      <c r="C13" s="1093" t="s">
        <v>587</v>
      </c>
      <c r="D13" s="1093"/>
      <c r="E13" s="641">
        <f>SUM(E9:E12)</f>
        <v>16717035857</v>
      </c>
      <c r="F13" s="641">
        <f>SUM(F9:F12)</f>
        <v>17574538582</v>
      </c>
      <c r="G13" s="642"/>
    </row>
    <row r="14" spans="1:6" s="632" customFormat="1" ht="21.75" customHeight="1">
      <c r="A14" s="630" t="s">
        <v>24</v>
      </c>
      <c r="B14" s="1102"/>
      <c r="C14" s="635" t="s">
        <v>588</v>
      </c>
      <c r="D14" s="639" t="s">
        <v>589</v>
      </c>
      <c r="E14" s="637">
        <v>6184327</v>
      </c>
      <c r="F14" s="637">
        <v>10221823</v>
      </c>
    </row>
    <row r="15" spans="1:6" s="632" customFormat="1" ht="21.75" customHeight="1">
      <c r="A15" s="630" t="s">
        <v>26</v>
      </c>
      <c r="B15" s="1103"/>
      <c r="C15" s="635" t="s">
        <v>590</v>
      </c>
      <c r="D15" s="639" t="s">
        <v>591</v>
      </c>
      <c r="E15" s="637"/>
      <c r="F15" s="637"/>
    </row>
    <row r="16" spans="1:7" s="632" customFormat="1" ht="30.75" customHeight="1">
      <c r="A16" s="630" t="s">
        <v>28</v>
      </c>
      <c r="B16" s="640" t="s">
        <v>553</v>
      </c>
      <c r="C16" s="1093" t="s">
        <v>592</v>
      </c>
      <c r="D16" s="1093"/>
      <c r="E16" s="641">
        <f>SUM(E14:E15)</f>
        <v>6184327</v>
      </c>
      <c r="F16" s="641">
        <f>SUM(F14:F15)</f>
        <v>10221823</v>
      </c>
      <c r="G16" s="642"/>
    </row>
    <row r="17" spans="1:6" s="632" customFormat="1" ht="21.75" customHeight="1">
      <c r="A17" s="630" t="s">
        <v>31</v>
      </c>
      <c r="B17" s="1098"/>
      <c r="C17" s="635" t="s">
        <v>593</v>
      </c>
      <c r="D17" s="636" t="s">
        <v>594</v>
      </c>
      <c r="E17" s="637">
        <v>7593225</v>
      </c>
      <c r="F17" s="637">
        <v>6835635</v>
      </c>
    </row>
    <row r="18" spans="1:6" s="632" customFormat="1" ht="21.75" customHeight="1">
      <c r="A18" s="630" t="s">
        <v>49</v>
      </c>
      <c r="B18" s="1100"/>
      <c r="C18" s="635" t="s">
        <v>595</v>
      </c>
      <c r="D18" s="636" t="s">
        <v>596</v>
      </c>
      <c r="E18" s="637">
        <v>3178303429</v>
      </c>
      <c r="F18" s="637">
        <v>1876599079</v>
      </c>
    </row>
    <row r="19" spans="1:6" s="632" customFormat="1" ht="21.75" customHeight="1">
      <c r="A19" s="630"/>
      <c r="B19" s="638"/>
      <c r="C19" s="635" t="s">
        <v>597</v>
      </c>
      <c r="D19" s="636" t="s">
        <v>598</v>
      </c>
      <c r="E19" s="637">
        <v>27325561</v>
      </c>
      <c r="F19" s="637">
        <v>20673484</v>
      </c>
    </row>
    <row r="20" spans="1:6" s="632" customFormat="1" ht="21.75" customHeight="1">
      <c r="A20" s="630" t="s">
        <v>33</v>
      </c>
      <c r="B20" s="638"/>
      <c r="C20" s="635" t="s">
        <v>599</v>
      </c>
      <c r="D20" s="636" t="s">
        <v>600</v>
      </c>
      <c r="E20" s="637"/>
      <c r="F20" s="637"/>
    </row>
    <row r="21" spans="1:7" s="632" customFormat="1" ht="24.75" customHeight="1">
      <c r="A21" s="630" t="s">
        <v>35</v>
      </c>
      <c r="B21" s="640" t="s">
        <v>555</v>
      </c>
      <c r="C21" s="1101" t="s">
        <v>601</v>
      </c>
      <c r="D21" s="1101"/>
      <c r="E21" s="641">
        <f>SUM(E17:E20)</f>
        <v>3213222215</v>
      </c>
      <c r="F21" s="641">
        <f>SUM(F17:F20)</f>
        <v>1904108198</v>
      </c>
      <c r="G21" s="642"/>
    </row>
    <row r="22" spans="1:8" s="632" customFormat="1" ht="21.75" customHeight="1">
      <c r="A22" s="630" t="s">
        <v>59</v>
      </c>
      <c r="B22" s="640"/>
      <c r="C22" s="644" t="s">
        <v>602</v>
      </c>
      <c r="D22" s="643" t="s">
        <v>603</v>
      </c>
      <c r="E22" s="637">
        <v>224965139</v>
      </c>
      <c r="F22" s="637">
        <v>506106294</v>
      </c>
      <c r="G22" s="632" t="s">
        <v>136</v>
      </c>
      <c r="H22" s="642" t="s">
        <v>136</v>
      </c>
    </row>
    <row r="23" spans="1:6" s="632" customFormat="1" ht="21.75" customHeight="1">
      <c r="A23" s="630" t="s">
        <v>60</v>
      </c>
      <c r="B23" s="640"/>
      <c r="C23" s="644" t="s">
        <v>604</v>
      </c>
      <c r="D23" s="643" t="s">
        <v>605</v>
      </c>
      <c r="E23" s="637">
        <v>77170682</v>
      </c>
      <c r="F23" s="637">
        <v>67082781</v>
      </c>
    </row>
    <row r="24" spans="1:6" s="632" customFormat="1" ht="21.75" customHeight="1">
      <c r="A24" s="630" t="s">
        <v>61</v>
      </c>
      <c r="B24" s="640"/>
      <c r="C24" s="644" t="s">
        <v>606</v>
      </c>
      <c r="D24" s="643" t="s">
        <v>607</v>
      </c>
      <c r="E24" s="637">
        <v>77012987</v>
      </c>
      <c r="F24" s="637">
        <v>228085918</v>
      </c>
    </row>
    <row r="25" spans="1:8" s="632" customFormat="1" ht="20.25" customHeight="1">
      <c r="A25" s="630" t="s">
        <v>62</v>
      </c>
      <c r="B25" s="640" t="s">
        <v>557</v>
      </c>
      <c r="C25" s="1093" t="s">
        <v>608</v>
      </c>
      <c r="D25" s="1093"/>
      <c r="E25" s="641">
        <f>SUM(E22:E24)</f>
        <v>379148808</v>
      </c>
      <c r="F25" s="641">
        <f>SUM(F22:F24)</f>
        <v>801274993</v>
      </c>
      <c r="G25" s="645" t="s">
        <v>136</v>
      </c>
      <c r="H25" s="646" t="s">
        <v>136</v>
      </c>
    </row>
    <row r="26" spans="1:6" s="632" customFormat="1" ht="19.5" customHeight="1">
      <c r="A26" s="630" t="s">
        <v>63</v>
      </c>
      <c r="B26" s="640" t="s">
        <v>559</v>
      </c>
      <c r="C26" s="1093" t="s">
        <v>609</v>
      </c>
      <c r="D26" s="1093"/>
      <c r="E26" s="641">
        <v>26407514</v>
      </c>
      <c r="F26" s="641">
        <v>8131187</v>
      </c>
    </row>
    <row r="27" spans="1:6" s="632" customFormat="1" ht="19.5" customHeight="1">
      <c r="A27" s="630" t="s">
        <v>64</v>
      </c>
      <c r="B27" s="640" t="s">
        <v>561</v>
      </c>
      <c r="C27" s="1093" t="s">
        <v>610</v>
      </c>
      <c r="D27" s="1093"/>
      <c r="E27" s="641">
        <v>0</v>
      </c>
      <c r="F27" s="641">
        <v>0</v>
      </c>
    </row>
    <row r="28" spans="1:7" s="632" customFormat="1" ht="21.75" customHeight="1" thickBot="1">
      <c r="A28" s="630" t="s">
        <v>65</v>
      </c>
      <c r="B28" s="1094" t="s">
        <v>611</v>
      </c>
      <c r="C28" s="1095"/>
      <c r="D28" s="1095"/>
      <c r="E28" s="647">
        <f>E13+E16+E21+E25+E26+E27</f>
        <v>20341998721</v>
      </c>
      <c r="F28" s="647">
        <f>F13+F16+F21+F25+F26+F27</f>
        <v>20298274783</v>
      </c>
      <c r="G28" s="642" t="s">
        <v>136</v>
      </c>
    </row>
    <row r="29" spans="1:6" s="632" customFormat="1" ht="16.5" thickBot="1">
      <c r="A29" s="630"/>
      <c r="B29" s="624"/>
      <c r="C29" s="625"/>
      <c r="D29" s="648"/>
      <c r="E29" s="622"/>
      <c r="F29" s="622"/>
    </row>
    <row r="30" spans="1:6" s="632" customFormat="1" ht="26.25" customHeight="1">
      <c r="A30" s="630"/>
      <c r="B30" s="1096" t="s">
        <v>612</v>
      </c>
      <c r="C30" s="1096"/>
      <c r="D30" s="1097"/>
      <c r="E30" s="634" t="s">
        <v>578</v>
      </c>
      <c r="F30" s="634" t="s">
        <v>578</v>
      </c>
    </row>
    <row r="31" spans="1:6" s="632" customFormat="1" ht="21.75" customHeight="1">
      <c r="A31" s="630" t="s">
        <v>66</v>
      </c>
      <c r="B31" s="1098"/>
      <c r="C31" s="635" t="s">
        <v>613</v>
      </c>
      <c r="D31" s="636" t="s">
        <v>614</v>
      </c>
      <c r="E31" s="637">
        <f>15212974836+200054864+198993343+124843829+362365023+50255460+0+0</f>
        <v>16149487355</v>
      </c>
      <c r="F31" s="637">
        <f>15212974836+200054864+198993343+124843829+362365023+50255460+0+0</f>
        <v>16149487355</v>
      </c>
    </row>
    <row r="32" spans="1:7" s="632" customFormat="1" ht="21.75" customHeight="1">
      <c r="A32" s="630" t="s">
        <v>68</v>
      </c>
      <c r="B32" s="1099"/>
      <c r="C32" s="635" t="s">
        <v>615</v>
      </c>
      <c r="D32" s="636" t="s">
        <v>616</v>
      </c>
      <c r="E32" s="637">
        <v>835331734</v>
      </c>
      <c r="F32" s="637">
        <v>835331734</v>
      </c>
      <c r="G32" s="642"/>
    </row>
    <row r="33" spans="1:6" s="632" customFormat="1" ht="21.75" customHeight="1">
      <c r="A33" s="630" t="s">
        <v>71</v>
      </c>
      <c r="B33" s="1099"/>
      <c r="C33" s="635" t="s">
        <v>617</v>
      </c>
      <c r="D33" s="636" t="s">
        <v>618</v>
      </c>
      <c r="E33" s="637">
        <v>1233423530</v>
      </c>
      <c r="F33" s="637">
        <v>1233423530</v>
      </c>
    </row>
    <row r="34" spans="1:6" s="632" customFormat="1" ht="21.75" customHeight="1">
      <c r="A34" s="630" t="s">
        <v>73</v>
      </c>
      <c r="B34" s="1099"/>
      <c r="C34" s="635" t="s">
        <v>619</v>
      </c>
      <c r="D34" s="636" t="s">
        <v>620</v>
      </c>
      <c r="E34" s="637">
        <v>421199481</v>
      </c>
      <c r="F34" s="637">
        <v>459310271</v>
      </c>
    </row>
    <row r="35" spans="1:6" s="632" customFormat="1" ht="21.75" customHeight="1">
      <c r="A35" s="630" t="s">
        <v>75</v>
      </c>
      <c r="B35" s="1099"/>
      <c r="C35" s="635" t="s">
        <v>621</v>
      </c>
      <c r="D35" s="636" t="s">
        <v>622</v>
      </c>
      <c r="E35" s="637"/>
      <c r="F35" s="637"/>
    </row>
    <row r="36" spans="1:6" s="632" customFormat="1" ht="21.75" customHeight="1">
      <c r="A36" s="630" t="s">
        <v>77</v>
      </c>
      <c r="B36" s="1100"/>
      <c r="C36" s="635" t="s">
        <v>623</v>
      </c>
      <c r="D36" s="636" t="s">
        <v>624</v>
      </c>
      <c r="E36" s="637">
        <v>38110790</v>
      </c>
      <c r="F36" s="637">
        <v>-302463450</v>
      </c>
    </row>
    <row r="37" spans="1:6" s="632" customFormat="1" ht="24.75" customHeight="1">
      <c r="A37" s="630" t="s">
        <v>78</v>
      </c>
      <c r="B37" s="640" t="s">
        <v>563</v>
      </c>
      <c r="C37" s="1101" t="s">
        <v>625</v>
      </c>
      <c r="D37" s="1101"/>
      <c r="E37" s="641">
        <f>SUM(E31:E36)</f>
        <v>18677552890</v>
      </c>
      <c r="F37" s="641">
        <f>SUM(F31:F36)</f>
        <v>18375089440</v>
      </c>
    </row>
    <row r="38" spans="1:6" s="632" customFormat="1" ht="24.75" customHeight="1">
      <c r="A38" s="630" t="s">
        <v>79</v>
      </c>
      <c r="B38" s="640"/>
      <c r="C38" s="644" t="s">
        <v>626</v>
      </c>
      <c r="D38" s="643" t="s">
        <v>627</v>
      </c>
      <c r="E38" s="641">
        <v>12072175</v>
      </c>
      <c r="F38" s="641">
        <v>4689420</v>
      </c>
    </row>
    <row r="39" spans="1:6" s="632" customFormat="1" ht="24.75" customHeight="1">
      <c r="A39" s="630" t="s">
        <v>80</v>
      </c>
      <c r="B39" s="640"/>
      <c r="C39" s="644" t="s">
        <v>628</v>
      </c>
      <c r="D39" s="643" t="s">
        <v>629</v>
      </c>
      <c r="E39" s="641">
        <v>47170372</v>
      </c>
      <c r="F39" s="641">
        <v>363286936</v>
      </c>
    </row>
    <row r="40" spans="1:6" s="632" customFormat="1" ht="24.75" customHeight="1">
      <c r="A40" s="630" t="s">
        <v>86</v>
      </c>
      <c r="B40" s="640"/>
      <c r="C40" s="644" t="s">
        <v>630</v>
      </c>
      <c r="D40" s="643" t="s">
        <v>631</v>
      </c>
      <c r="E40" s="641">
        <v>27300573</v>
      </c>
      <c r="F40" s="641">
        <v>1751908</v>
      </c>
    </row>
    <row r="41" spans="1:6" s="632" customFormat="1" ht="24.75" customHeight="1">
      <c r="A41" s="630"/>
      <c r="B41" s="640"/>
      <c r="C41" s="644" t="s">
        <v>833</v>
      </c>
      <c r="D41" s="643" t="s">
        <v>834</v>
      </c>
      <c r="E41" s="641"/>
      <c r="F41" s="641">
        <v>26000</v>
      </c>
    </row>
    <row r="42" spans="1:6" s="632" customFormat="1" ht="24.75" customHeight="1">
      <c r="A42" s="630" t="s">
        <v>204</v>
      </c>
      <c r="B42" s="640"/>
      <c r="C42" s="644" t="s">
        <v>632</v>
      </c>
      <c r="D42" s="643" t="s">
        <v>633</v>
      </c>
      <c r="E42" s="641">
        <v>1139076</v>
      </c>
      <c r="F42" s="641">
        <v>1170508</v>
      </c>
    </row>
    <row r="43" spans="1:6" s="632" customFormat="1" ht="24.75" customHeight="1">
      <c r="A43" s="630"/>
      <c r="B43" s="640"/>
      <c r="C43" s="644" t="s">
        <v>835</v>
      </c>
      <c r="D43" s="643" t="s">
        <v>836</v>
      </c>
      <c r="E43" s="641"/>
      <c r="F43" s="641">
        <v>5073549</v>
      </c>
    </row>
    <row r="44" spans="1:6" s="632" customFormat="1" ht="24.75" customHeight="1">
      <c r="A44" s="630" t="s">
        <v>111</v>
      </c>
      <c r="B44" s="640"/>
      <c r="C44" s="644" t="s">
        <v>634</v>
      </c>
      <c r="D44" s="643" t="s">
        <v>635</v>
      </c>
      <c r="E44" s="641">
        <f>SUM(E40:E43)</f>
        <v>28439649</v>
      </c>
      <c r="F44" s="641">
        <f>SUM(F40:F43)</f>
        <v>8021965</v>
      </c>
    </row>
    <row r="45" spans="1:6" s="632" customFormat="1" ht="24.75" customHeight="1">
      <c r="A45" s="630" t="s">
        <v>205</v>
      </c>
      <c r="B45" s="640" t="s">
        <v>636</v>
      </c>
      <c r="C45" s="1101" t="s">
        <v>637</v>
      </c>
      <c r="D45" s="1101"/>
      <c r="E45" s="641">
        <f>E38+E39+E40+E42</f>
        <v>87682196</v>
      </c>
      <c r="F45" s="641">
        <f>F38+F39+F44</f>
        <v>375998321</v>
      </c>
    </row>
    <row r="46" spans="1:6" s="632" customFormat="1" ht="21.75" customHeight="1">
      <c r="A46" s="630" t="s">
        <v>231</v>
      </c>
      <c r="B46" s="640" t="s">
        <v>638</v>
      </c>
      <c r="C46" s="1093" t="s">
        <v>639</v>
      </c>
      <c r="D46" s="1093"/>
      <c r="E46" s="641"/>
      <c r="F46" s="641"/>
    </row>
    <row r="47" spans="1:6" s="632" customFormat="1" ht="21.75" customHeight="1">
      <c r="A47" s="630" t="s">
        <v>112</v>
      </c>
      <c r="B47" s="640" t="s">
        <v>640</v>
      </c>
      <c r="C47" s="1093" t="s">
        <v>641</v>
      </c>
      <c r="D47" s="1093"/>
      <c r="E47" s="641"/>
      <c r="F47" s="641"/>
    </row>
    <row r="48" spans="1:6" s="632" customFormat="1" ht="24.75" customHeight="1">
      <c r="A48" s="630" t="s">
        <v>113</v>
      </c>
      <c r="B48" s="640" t="s">
        <v>642</v>
      </c>
      <c r="C48" s="1093" t="s">
        <v>643</v>
      </c>
      <c r="D48" s="1093"/>
      <c r="E48" s="641">
        <v>1576763635</v>
      </c>
      <c r="F48" s="641">
        <v>1547187022</v>
      </c>
    </row>
    <row r="49" spans="1:6" s="632" customFormat="1" ht="29.25" customHeight="1" thickBot="1">
      <c r="A49" s="630" t="s">
        <v>114</v>
      </c>
      <c r="B49" s="1094" t="s">
        <v>644</v>
      </c>
      <c r="C49" s="1095"/>
      <c r="D49" s="1095"/>
      <c r="E49" s="647">
        <f>E37+E45+E46+E47+E48</f>
        <v>20341998721</v>
      </c>
      <c r="F49" s="647">
        <f>F37+F45+F46+F47+F48</f>
        <v>20298274783</v>
      </c>
    </row>
    <row r="50" spans="1:6" ht="15">
      <c r="A50" s="623"/>
      <c r="B50" s="624"/>
      <c r="C50" s="625"/>
      <c r="D50" s="623"/>
      <c r="E50" s="623"/>
      <c r="F50" s="649">
        <f>F49-F28</f>
        <v>0</v>
      </c>
    </row>
    <row r="52" ht="15.75">
      <c r="F52" s="652"/>
    </row>
  </sheetData>
  <sheetProtection/>
  <mergeCells count="22">
    <mergeCell ref="A3:F3"/>
    <mergeCell ref="A4:F4"/>
    <mergeCell ref="B8:D8"/>
    <mergeCell ref="B9:B12"/>
    <mergeCell ref="C13:D13"/>
    <mergeCell ref="A1:F1"/>
    <mergeCell ref="B14:B15"/>
    <mergeCell ref="C16:D16"/>
    <mergeCell ref="B17:B18"/>
    <mergeCell ref="C21:D21"/>
    <mergeCell ref="C25:D25"/>
    <mergeCell ref="C26:D26"/>
    <mergeCell ref="C46:D46"/>
    <mergeCell ref="C47:D47"/>
    <mergeCell ref="C48:D48"/>
    <mergeCell ref="B49:D49"/>
    <mergeCell ref="C27:D27"/>
    <mergeCell ref="B28:D28"/>
    <mergeCell ref="B30:D30"/>
    <mergeCell ref="B31:B36"/>
    <mergeCell ref="C37:D37"/>
    <mergeCell ref="C45:D4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4.140625" style="632" customWidth="1"/>
    <col min="2" max="2" width="4.421875" style="662" customWidth="1"/>
    <col min="3" max="3" width="57.00390625" style="632" customWidth="1"/>
    <col min="4" max="4" width="19.57421875" style="632" customWidth="1"/>
    <col min="5" max="5" width="14.57421875" style="632" customWidth="1"/>
    <col min="6" max="6" width="20.28125" style="632" customWidth="1"/>
    <col min="7" max="7" width="18.421875" style="632" bestFit="1" customWidth="1"/>
    <col min="8" max="14" width="16.57421875" style="632" bestFit="1" customWidth="1"/>
    <col min="15" max="15" width="18.57421875" style="632" bestFit="1" customWidth="1"/>
    <col min="16" max="16384" width="9.140625" style="632" customWidth="1"/>
  </cols>
  <sheetData>
    <row r="1" spans="1:6" ht="14.25" customHeight="1">
      <c r="A1" s="627"/>
      <c r="B1" s="653"/>
      <c r="C1" s="1108" t="s">
        <v>870</v>
      </c>
      <c r="D1" s="1108"/>
      <c r="E1" s="1108"/>
      <c r="F1" s="1108"/>
    </row>
    <row r="2" spans="1:6" ht="14.25" customHeight="1">
      <c r="A2" s="627"/>
      <c r="B2" s="653"/>
      <c r="C2" s="627"/>
      <c r="D2" s="627"/>
      <c r="E2" s="627"/>
      <c r="F2" s="627"/>
    </row>
    <row r="3" spans="1:6" ht="20.25" customHeight="1">
      <c r="A3" s="1109" t="s">
        <v>837</v>
      </c>
      <c r="B3" s="1081"/>
      <c r="C3" s="1081"/>
      <c r="D3" s="1081"/>
      <c r="E3" s="1081"/>
      <c r="F3" s="1081"/>
    </row>
    <row r="4" spans="1:6" ht="14.25" customHeight="1">
      <c r="A4" s="627"/>
      <c r="B4" s="653"/>
      <c r="C4" s="627"/>
      <c r="D4" s="627"/>
      <c r="E4" s="627"/>
      <c r="F4" s="627"/>
    </row>
    <row r="5" spans="1:6" ht="14.25" customHeight="1">
      <c r="A5" s="654"/>
      <c r="B5" s="655" t="s">
        <v>0</v>
      </c>
      <c r="C5" s="656" t="s">
        <v>1</v>
      </c>
      <c r="D5" s="656" t="s">
        <v>2</v>
      </c>
      <c r="E5" s="656" t="s">
        <v>3</v>
      </c>
      <c r="F5" s="656" t="s">
        <v>4</v>
      </c>
    </row>
    <row r="6" spans="1:6" ht="14.25" customHeight="1">
      <c r="A6" s="657">
        <v>1</v>
      </c>
      <c r="B6" s="653"/>
      <c r="C6" s="627"/>
      <c r="D6" s="627"/>
      <c r="E6" s="627"/>
      <c r="F6" s="658"/>
    </row>
    <row r="7" spans="1:6" ht="14.25" customHeight="1">
      <c r="A7" s="657">
        <f>A6+1</f>
        <v>2</v>
      </c>
      <c r="B7" s="653"/>
      <c r="C7" s="627"/>
      <c r="D7" s="627"/>
      <c r="E7" s="627"/>
      <c r="F7" s="659" t="s">
        <v>514</v>
      </c>
    </row>
    <row r="8" spans="1:6" s="662" customFormat="1" ht="14.25" customHeight="1">
      <c r="A8" s="657">
        <f aca="true" t="shared" si="0" ref="A8:A41">A7+1</f>
        <v>3</v>
      </c>
      <c r="B8" s="660"/>
      <c r="C8" s="660" t="s">
        <v>11</v>
      </c>
      <c r="D8" s="661" t="s">
        <v>577</v>
      </c>
      <c r="E8" s="661" t="s">
        <v>645</v>
      </c>
      <c r="F8" s="661" t="s">
        <v>578</v>
      </c>
    </row>
    <row r="9" spans="1:6" s="662" customFormat="1" ht="14.25" customHeight="1">
      <c r="A9" s="657">
        <f t="shared" si="0"/>
        <v>4</v>
      </c>
      <c r="B9" s="663" t="s">
        <v>646</v>
      </c>
      <c r="C9" s="664">
        <v>2</v>
      </c>
      <c r="D9" s="665">
        <v>3</v>
      </c>
      <c r="E9" s="666">
        <v>4</v>
      </c>
      <c r="F9" s="666">
        <v>5</v>
      </c>
    </row>
    <row r="10" spans="1:6" s="662" customFormat="1" ht="14.25" customHeight="1">
      <c r="A10" s="657">
        <f t="shared" si="0"/>
        <v>5</v>
      </c>
      <c r="B10" s="663" t="s">
        <v>647</v>
      </c>
      <c r="C10" s="667" t="s">
        <v>648</v>
      </c>
      <c r="D10" s="668">
        <v>575755091</v>
      </c>
      <c r="E10" s="669"/>
      <c r="F10" s="668">
        <v>770423543</v>
      </c>
    </row>
    <row r="11" spans="1:6" s="662" customFormat="1" ht="27.75" customHeight="1">
      <c r="A11" s="657">
        <f t="shared" si="0"/>
        <v>6</v>
      </c>
      <c r="B11" s="663" t="s">
        <v>649</v>
      </c>
      <c r="C11" s="670" t="s">
        <v>650</v>
      </c>
      <c r="D11" s="668">
        <v>431906123</v>
      </c>
      <c r="E11" s="671"/>
      <c r="F11" s="668">
        <v>451270807</v>
      </c>
    </row>
    <row r="12" spans="1:14" s="677" customFormat="1" ht="14.25" customHeight="1">
      <c r="A12" s="657">
        <f t="shared" si="0"/>
        <v>7</v>
      </c>
      <c r="B12" s="672" t="s">
        <v>651</v>
      </c>
      <c r="C12" s="673" t="s">
        <v>652</v>
      </c>
      <c r="D12" s="674">
        <f>SUM(D10:D11)</f>
        <v>1007661214</v>
      </c>
      <c r="E12" s="675">
        <f>SUM(E10:E11)</f>
        <v>0</v>
      </c>
      <c r="F12" s="674">
        <f>SUM(F10:F11)</f>
        <v>1221694350</v>
      </c>
      <c r="G12" s="676"/>
      <c r="H12" s="676"/>
      <c r="I12" s="676"/>
      <c r="J12" s="676"/>
      <c r="K12" s="676"/>
      <c r="L12" s="676"/>
      <c r="M12" s="676"/>
      <c r="N12" s="676"/>
    </row>
    <row r="13" spans="1:6" s="677" customFormat="1" ht="14.25" customHeight="1">
      <c r="A13" s="657">
        <f t="shared" si="0"/>
        <v>8</v>
      </c>
      <c r="B13" s="672" t="s">
        <v>653</v>
      </c>
      <c r="C13" s="678" t="s">
        <v>654</v>
      </c>
      <c r="D13" s="565">
        <v>0</v>
      </c>
      <c r="E13" s="566"/>
      <c r="F13" s="565">
        <v>0</v>
      </c>
    </row>
    <row r="14" spans="1:9" s="677" customFormat="1" ht="14.25" customHeight="1">
      <c r="A14" s="657">
        <f t="shared" si="0"/>
        <v>9</v>
      </c>
      <c r="B14" s="672" t="s">
        <v>655</v>
      </c>
      <c r="C14" s="673" t="s">
        <v>656</v>
      </c>
      <c r="D14" s="674">
        <f>D13</f>
        <v>0</v>
      </c>
      <c r="E14" s="675">
        <f>E13</f>
        <v>0</v>
      </c>
      <c r="F14" s="674">
        <f>F13</f>
        <v>0</v>
      </c>
      <c r="G14" s="676"/>
      <c r="H14" s="676"/>
      <c r="I14" s="676"/>
    </row>
    <row r="15" spans="1:6" s="677" customFormat="1" ht="14.25" customHeight="1">
      <c r="A15" s="657">
        <f t="shared" si="0"/>
        <v>10</v>
      </c>
      <c r="B15" s="672" t="s">
        <v>657</v>
      </c>
      <c r="C15" s="679" t="s">
        <v>658</v>
      </c>
      <c r="D15" s="565">
        <v>1864344978</v>
      </c>
      <c r="E15" s="566"/>
      <c r="F15" s="565">
        <v>2023666228</v>
      </c>
    </row>
    <row r="16" spans="1:6" s="677" customFormat="1" ht="14.25" customHeight="1">
      <c r="A16" s="657">
        <f t="shared" si="0"/>
        <v>11</v>
      </c>
      <c r="B16" s="672" t="s">
        <v>659</v>
      </c>
      <c r="C16" s="679" t="s">
        <v>660</v>
      </c>
      <c r="D16" s="565">
        <v>935239078</v>
      </c>
      <c r="E16" s="566"/>
      <c r="F16" s="565">
        <v>768186742</v>
      </c>
    </row>
    <row r="17" spans="1:6" s="677" customFormat="1" ht="14.25" customHeight="1">
      <c r="A17" s="657">
        <f t="shared" si="0"/>
        <v>12</v>
      </c>
      <c r="B17" s="672" t="s">
        <v>661</v>
      </c>
      <c r="C17" s="679" t="s">
        <v>662</v>
      </c>
      <c r="D17" s="565">
        <v>557817056</v>
      </c>
      <c r="E17" s="566"/>
      <c r="F17" s="565">
        <v>394558143</v>
      </c>
    </row>
    <row r="18" spans="1:6" s="677" customFormat="1" ht="14.25" customHeight="1">
      <c r="A18" s="657">
        <f t="shared" si="0"/>
        <v>13</v>
      </c>
      <c r="B18" s="672">
        <v>10</v>
      </c>
      <c r="C18" s="679" t="s">
        <v>663</v>
      </c>
      <c r="D18" s="565">
        <v>102224797</v>
      </c>
      <c r="E18" s="566"/>
      <c r="F18" s="565">
        <v>108190747</v>
      </c>
    </row>
    <row r="19" spans="1:15" s="677" customFormat="1" ht="14.25" customHeight="1">
      <c r="A19" s="657">
        <f t="shared" si="0"/>
        <v>14</v>
      </c>
      <c r="B19" s="672">
        <v>11</v>
      </c>
      <c r="C19" s="673" t="s">
        <v>664</v>
      </c>
      <c r="D19" s="674">
        <f>SUM(D13:D18)</f>
        <v>3459625909</v>
      </c>
      <c r="E19" s="675">
        <f>SUM(E15:E18)</f>
        <v>0</v>
      </c>
      <c r="F19" s="674">
        <f>SUM(F15:F18)</f>
        <v>3294601860</v>
      </c>
      <c r="G19" s="676"/>
      <c r="H19" s="676"/>
      <c r="I19" s="676"/>
      <c r="J19" s="676"/>
      <c r="K19" s="676"/>
      <c r="L19" s="676"/>
      <c r="M19" s="676"/>
      <c r="N19" s="676"/>
      <c r="O19" s="680"/>
    </row>
    <row r="20" spans="1:6" s="677" customFormat="1" ht="14.25" customHeight="1">
      <c r="A20" s="657">
        <f t="shared" si="0"/>
        <v>15</v>
      </c>
      <c r="B20" s="672">
        <v>12</v>
      </c>
      <c r="C20" s="678" t="s">
        <v>665</v>
      </c>
      <c r="D20" s="565">
        <v>129011653</v>
      </c>
      <c r="E20" s="566"/>
      <c r="F20" s="565">
        <v>100727154</v>
      </c>
    </row>
    <row r="21" spans="1:6" s="677" customFormat="1" ht="14.25" customHeight="1">
      <c r="A21" s="657">
        <f t="shared" si="0"/>
        <v>16</v>
      </c>
      <c r="B21" s="672">
        <v>13</v>
      </c>
      <c r="C21" s="678" t="s">
        <v>666</v>
      </c>
      <c r="D21" s="565">
        <v>646923931</v>
      </c>
      <c r="E21" s="566"/>
      <c r="F21" s="565">
        <v>685348887</v>
      </c>
    </row>
    <row r="22" spans="1:6" s="677" customFormat="1" ht="14.25" customHeight="1">
      <c r="A22" s="657">
        <f t="shared" si="0"/>
        <v>17</v>
      </c>
      <c r="B22" s="672">
        <v>14</v>
      </c>
      <c r="C22" s="678" t="s">
        <v>667</v>
      </c>
      <c r="D22" s="565">
        <v>1039046</v>
      </c>
      <c r="E22" s="566"/>
      <c r="F22" s="565">
        <v>0</v>
      </c>
    </row>
    <row r="23" spans="1:6" s="677" customFormat="1" ht="14.25" customHeight="1">
      <c r="A23" s="657">
        <f t="shared" si="0"/>
        <v>18</v>
      </c>
      <c r="B23" s="672">
        <v>15</v>
      </c>
      <c r="C23" s="678" t="s">
        <v>668</v>
      </c>
      <c r="D23" s="565">
        <v>41995723</v>
      </c>
      <c r="E23" s="566"/>
      <c r="F23" s="565">
        <v>43182343</v>
      </c>
    </row>
    <row r="24" spans="1:14" s="677" customFormat="1" ht="14.25" customHeight="1">
      <c r="A24" s="657">
        <f t="shared" si="0"/>
        <v>19</v>
      </c>
      <c r="B24" s="672">
        <v>16</v>
      </c>
      <c r="C24" s="673" t="s">
        <v>669</v>
      </c>
      <c r="D24" s="674">
        <f>SUM(D20:D23)</f>
        <v>818970353</v>
      </c>
      <c r="E24" s="675">
        <f>SUM(E20:E23)</f>
        <v>0</v>
      </c>
      <c r="F24" s="674">
        <f>SUM(F20:F23)</f>
        <v>829258384</v>
      </c>
      <c r="G24" s="676"/>
      <c r="H24" s="676"/>
      <c r="I24" s="676"/>
      <c r="J24" s="676"/>
      <c r="K24" s="676"/>
      <c r="L24" s="676"/>
      <c r="M24" s="676"/>
      <c r="N24" s="676"/>
    </row>
    <row r="25" spans="1:6" s="677" customFormat="1" ht="14.25" customHeight="1">
      <c r="A25" s="657">
        <f t="shared" si="0"/>
        <v>20</v>
      </c>
      <c r="B25" s="672">
        <v>17</v>
      </c>
      <c r="C25" s="678" t="s">
        <v>670</v>
      </c>
      <c r="D25" s="565">
        <v>828409587</v>
      </c>
      <c r="E25" s="678"/>
      <c r="F25" s="565">
        <v>850313653</v>
      </c>
    </row>
    <row r="26" spans="1:6" s="677" customFormat="1" ht="14.25" customHeight="1">
      <c r="A26" s="657">
        <f t="shared" si="0"/>
        <v>21</v>
      </c>
      <c r="B26" s="672">
        <v>18</v>
      </c>
      <c r="C26" s="678" t="s">
        <v>671</v>
      </c>
      <c r="D26" s="565">
        <v>167823276</v>
      </c>
      <c r="E26" s="566"/>
      <c r="F26" s="565">
        <v>202257380</v>
      </c>
    </row>
    <row r="27" spans="1:6" s="677" customFormat="1" ht="14.25" customHeight="1">
      <c r="A27" s="657">
        <f t="shared" si="0"/>
        <v>22</v>
      </c>
      <c r="B27" s="672">
        <v>19</v>
      </c>
      <c r="C27" s="678" t="s">
        <v>672</v>
      </c>
      <c r="D27" s="565">
        <v>183773713</v>
      </c>
      <c r="E27" s="566"/>
      <c r="F27" s="565">
        <v>189576904</v>
      </c>
    </row>
    <row r="28" spans="1:14" s="677" customFormat="1" ht="14.25" customHeight="1">
      <c r="A28" s="657">
        <f t="shared" si="0"/>
        <v>23</v>
      </c>
      <c r="B28" s="672">
        <v>20</v>
      </c>
      <c r="C28" s="673" t="s">
        <v>673</v>
      </c>
      <c r="D28" s="674">
        <f>SUM(D25:D27)</f>
        <v>1180006576</v>
      </c>
      <c r="E28" s="675">
        <f>SUM(E25:E27)</f>
        <v>0</v>
      </c>
      <c r="F28" s="674">
        <f>SUM(F25:F27)</f>
        <v>1242147937</v>
      </c>
      <c r="G28" s="676"/>
      <c r="H28" s="676"/>
      <c r="I28" s="676"/>
      <c r="J28" s="676"/>
      <c r="K28" s="676"/>
      <c r="L28" s="676"/>
      <c r="M28" s="676"/>
      <c r="N28" s="676"/>
    </row>
    <row r="29" spans="1:14" s="677" customFormat="1" ht="14.25" customHeight="1">
      <c r="A29" s="657">
        <f t="shared" si="0"/>
        <v>24</v>
      </c>
      <c r="B29" s="672">
        <v>21</v>
      </c>
      <c r="C29" s="673" t="s">
        <v>674</v>
      </c>
      <c r="D29" s="674">
        <v>438859219</v>
      </c>
      <c r="E29" s="566"/>
      <c r="F29" s="674">
        <v>454163293</v>
      </c>
      <c r="G29" s="676"/>
      <c r="H29" s="676"/>
      <c r="I29" s="676"/>
      <c r="J29" s="676"/>
      <c r="K29" s="676"/>
      <c r="L29" s="676"/>
      <c r="M29" s="676"/>
      <c r="N29" s="676"/>
    </row>
    <row r="30" spans="1:6" s="677" customFormat="1" ht="14.25" customHeight="1">
      <c r="A30" s="657">
        <f t="shared" si="0"/>
        <v>25</v>
      </c>
      <c r="B30" s="672">
        <v>22</v>
      </c>
      <c r="C30" s="673" t="s">
        <v>675</v>
      </c>
      <c r="D30" s="674">
        <v>1991807537</v>
      </c>
      <c r="E30" s="566"/>
      <c r="F30" s="674">
        <v>2295703698</v>
      </c>
    </row>
    <row r="31" spans="1:19" s="677" customFormat="1" ht="14.25" customHeight="1">
      <c r="A31" s="657">
        <f t="shared" si="0"/>
        <v>26</v>
      </c>
      <c r="B31" s="672">
        <v>23</v>
      </c>
      <c r="C31" s="673" t="s">
        <v>676</v>
      </c>
      <c r="D31" s="674">
        <f>D12+D14+D19-D24-D28-D29-D30</f>
        <v>37643438</v>
      </c>
      <c r="E31" s="675">
        <f>E12+E14+E19-E24-E28-E29-E30</f>
        <v>0</v>
      </c>
      <c r="F31" s="674">
        <f>F12+F14+F19-F24-F28-F29-F30</f>
        <v>-304977102</v>
      </c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</row>
    <row r="32" spans="1:6" s="677" customFormat="1" ht="14.25" customHeight="1">
      <c r="A32" s="657">
        <f t="shared" si="0"/>
        <v>27</v>
      </c>
      <c r="B32" s="672">
        <v>24</v>
      </c>
      <c r="C32" s="678" t="s">
        <v>677</v>
      </c>
      <c r="D32" s="565">
        <v>0</v>
      </c>
      <c r="E32" s="566"/>
      <c r="F32" s="565">
        <v>0</v>
      </c>
    </row>
    <row r="33" spans="1:6" s="677" customFormat="1" ht="27" customHeight="1">
      <c r="A33" s="657">
        <f t="shared" si="0"/>
        <v>28</v>
      </c>
      <c r="B33" s="672">
        <v>25</v>
      </c>
      <c r="C33" s="679" t="s">
        <v>678</v>
      </c>
      <c r="D33" s="565">
        <v>493062</v>
      </c>
      <c r="E33" s="566"/>
      <c r="F33" s="565">
        <v>206863</v>
      </c>
    </row>
    <row r="34" spans="1:6" s="677" customFormat="1" ht="27" customHeight="1">
      <c r="A34" s="657">
        <f t="shared" si="0"/>
        <v>29</v>
      </c>
      <c r="B34" s="672">
        <v>26</v>
      </c>
      <c r="C34" s="679" t="s">
        <v>679</v>
      </c>
      <c r="D34" s="565">
        <v>18544</v>
      </c>
      <c r="E34" s="566"/>
      <c r="F34" s="565">
        <v>3816912</v>
      </c>
    </row>
    <row r="35" spans="1:16" s="677" customFormat="1" ht="27" customHeight="1">
      <c r="A35" s="657">
        <f t="shared" si="0"/>
        <v>30</v>
      </c>
      <c r="B35" s="672">
        <v>27</v>
      </c>
      <c r="C35" s="681" t="s">
        <v>680</v>
      </c>
      <c r="D35" s="674">
        <f>SUM(D32:D34)</f>
        <v>511606</v>
      </c>
      <c r="E35" s="675">
        <f>SUM(E32:E34)</f>
        <v>0</v>
      </c>
      <c r="F35" s="674">
        <f>SUM(F32:F34)</f>
        <v>4023775</v>
      </c>
      <c r="G35" s="676"/>
      <c r="H35" s="676"/>
      <c r="I35" s="676"/>
      <c r="J35" s="676"/>
      <c r="K35" s="676"/>
      <c r="L35" s="676"/>
      <c r="M35" s="676"/>
      <c r="N35" s="676"/>
      <c r="O35" s="676"/>
      <c r="P35" s="676"/>
    </row>
    <row r="36" spans="1:6" s="677" customFormat="1" ht="14.25" customHeight="1">
      <c r="A36" s="657">
        <f t="shared" si="0"/>
        <v>31</v>
      </c>
      <c r="B36" s="672">
        <v>28</v>
      </c>
      <c r="C36" s="678" t="s">
        <v>681</v>
      </c>
      <c r="D36" s="565">
        <v>18803</v>
      </c>
      <c r="E36" s="566"/>
      <c r="F36" s="565">
        <v>1502832</v>
      </c>
    </row>
    <row r="37" spans="1:6" s="677" customFormat="1" ht="14.25" customHeight="1">
      <c r="A37" s="657">
        <f t="shared" si="0"/>
        <v>32</v>
      </c>
      <c r="B37" s="672">
        <v>29</v>
      </c>
      <c r="C37" s="678" t="s">
        <v>682</v>
      </c>
      <c r="D37" s="565">
        <v>25451</v>
      </c>
      <c r="E37" s="566"/>
      <c r="F37" s="565">
        <v>7291</v>
      </c>
    </row>
    <row r="38" spans="1:6" s="677" customFormat="1" ht="30" customHeight="1">
      <c r="A38" s="657">
        <f t="shared" si="0"/>
        <v>33</v>
      </c>
      <c r="B38" s="672">
        <v>30</v>
      </c>
      <c r="C38" s="679" t="s">
        <v>683</v>
      </c>
      <c r="D38" s="565"/>
      <c r="E38" s="566"/>
      <c r="F38" s="565">
        <v>7291</v>
      </c>
    </row>
    <row r="39" spans="1:14" s="677" customFormat="1" ht="14.25" customHeight="1">
      <c r="A39" s="657">
        <f t="shared" si="0"/>
        <v>34</v>
      </c>
      <c r="B39" s="672">
        <v>31</v>
      </c>
      <c r="C39" s="673" t="s">
        <v>684</v>
      </c>
      <c r="D39" s="674">
        <f>SUM(D36:D37)</f>
        <v>44254</v>
      </c>
      <c r="E39" s="675">
        <f>SUM(E36:E37)</f>
        <v>0</v>
      </c>
      <c r="F39" s="674">
        <f>F36+F37</f>
        <v>1510123</v>
      </c>
      <c r="G39" s="676"/>
      <c r="H39" s="676"/>
      <c r="I39" s="676"/>
      <c r="J39" s="676"/>
      <c r="K39" s="676"/>
      <c r="L39" s="676"/>
      <c r="M39" s="676"/>
      <c r="N39" s="676"/>
    </row>
    <row r="40" spans="1:19" s="677" customFormat="1" ht="14.25" customHeight="1">
      <c r="A40" s="657">
        <f t="shared" si="0"/>
        <v>35</v>
      </c>
      <c r="B40" s="672">
        <v>32</v>
      </c>
      <c r="C40" s="673" t="s">
        <v>685</v>
      </c>
      <c r="D40" s="674">
        <f>D35-D39</f>
        <v>467352</v>
      </c>
      <c r="E40" s="675">
        <f>E35-E39</f>
        <v>0</v>
      </c>
      <c r="F40" s="674">
        <f>F35-F39</f>
        <v>2513652</v>
      </c>
      <c r="G40" s="676"/>
      <c r="H40" s="676"/>
      <c r="I40" s="676"/>
      <c r="J40" s="676"/>
      <c r="K40" s="676"/>
      <c r="L40" s="676"/>
      <c r="M40" s="676"/>
      <c r="N40" s="676"/>
      <c r="O40" s="676"/>
      <c r="P40" s="676"/>
      <c r="Q40" s="676"/>
      <c r="R40" s="676"/>
      <c r="S40" s="676"/>
    </row>
    <row r="41" spans="1:15" s="677" customFormat="1" ht="14.25" customHeight="1">
      <c r="A41" s="657">
        <f t="shared" si="0"/>
        <v>36</v>
      </c>
      <c r="B41" s="672">
        <v>33</v>
      </c>
      <c r="C41" s="673" t="s">
        <v>686</v>
      </c>
      <c r="D41" s="674">
        <f>D31+D40</f>
        <v>38110790</v>
      </c>
      <c r="E41" s="675">
        <f>E31+E40</f>
        <v>0</v>
      </c>
      <c r="F41" s="674">
        <f>F31+F40</f>
        <v>-302463450</v>
      </c>
      <c r="G41" s="676"/>
      <c r="H41" s="676"/>
      <c r="I41" s="676"/>
      <c r="J41" s="676"/>
      <c r="K41" s="676"/>
      <c r="L41" s="676"/>
      <c r="M41" s="676"/>
      <c r="N41" s="676"/>
      <c r="O41" s="680"/>
    </row>
  </sheetData>
  <sheetProtection/>
  <mergeCells count="2">
    <mergeCell ref="C1:F1"/>
    <mergeCell ref="A3:F3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94"/>
  <sheetViews>
    <sheetView zoomScale="110" zoomScaleNormal="110" zoomScalePageLayoutView="0" workbookViewId="0" topLeftCell="A1">
      <pane xSplit="5" ySplit="7" topLeftCell="F29" activePane="bottomRight" state="frozen"/>
      <selection pane="topLeft" activeCell="G10" sqref="G1:J16384"/>
      <selection pane="topRight" activeCell="G10" sqref="G1:J16384"/>
      <selection pane="bottomLeft" activeCell="G10" sqref="G1:J16384"/>
      <selection pane="bottomRight" activeCell="A50" sqref="A50:K50"/>
    </sheetView>
  </sheetViews>
  <sheetFormatPr defaultColWidth="9.140625" defaultRowHeight="12.75"/>
  <cols>
    <col min="1" max="2" width="3.8515625" style="683" customWidth="1"/>
    <col min="3" max="3" width="4.7109375" style="683" customWidth="1"/>
    <col min="4" max="4" width="47.28125" style="683" customWidth="1"/>
    <col min="5" max="6" width="19.421875" style="683" customWidth="1"/>
    <col min="7" max="7" width="15.57421875" style="683" customWidth="1"/>
    <col min="8" max="8" width="14.8515625" style="683" customWidth="1"/>
    <col min="9" max="9" width="15.421875" style="683" customWidth="1"/>
    <col min="10" max="10" width="14.28125" style="683" customWidth="1"/>
    <col min="11" max="11" width="15.28125" style="683" customWidth="1"/>
    <col min="12" max="12" width="21.421875" style="683" hidden="1" customWidth="1"/>
    <col min="13" max="13" width="15.7109375" style="683" bestFit="1" customWidth="1"/>
    <col min="14" max="16384" width="9.140625" style="683" customWidth="1"/>
  </cols>
  <sheetData>
    <row r="1" spans="1:11" ht="12.75">
      <c r="A1" s="682"/>
      <c r="B1" s="682"/>
      <c r="C1" s="682"/>
      <c r="D1" s="1144" t="s">
        <v>871</v>
      </c>
      <c r="E1" s="1144"/>
      <c r="F1" s="1144"/>
      <c r="G1" s="1144"/>
      <c r="H1" s="1144"/>
      <c r="I1" s="1144"/>
      <c r="J1" s="1144"/>
      <c r="K1" s="1144"/>
    </row>
    <row r="3" spans="1:11" ht="15.75" customHeight="1">
      <c r="A3" s="1145" t="s">
        <v>838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</row>
    <row r="4" spans="1:250" ht="12.75">
      <c r="A4" s="1123" t="s">
        <v>687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685"/>
      <c r="M4" s="685"/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685"/>
      <c r="BK4" s="685"/>
      <c r="BL4" s="685"/>
      <c r="BM4" s="685"/>
      <c r="BN4" s="685"/>
      <c r="BO4" s="685"/>
      <c r="BP4" s="685"/>
      <c r="BQ4" s="685"/>
      <c r="BR4" s="685"/>
      <c r="BS4" s="685"/>
      <c r="BT4" s="685"/>
      <c r="BU4" s="685"/>
      <c r="BV4" s="685"/>
      <c r="BW4" s="685"/>
      <c r="BX4" s="685"/>
      <c r="BY4" s="685"/>
      <c r="BZ4" s="685"/>
      <c r="CA4" s="685"/>
      <c r="CB4" s="685"/>
      <c r="CC4" s="685"/>
      <c r="CD4" s="685"/>
      <c r="CE4" s="685"/>
      <c r="CF4" s="685"/>
      <c r="CG4" s="685"/>
      <c r="CH4" s="685"/>
      <c r="CI4" s="685"/>
      <c r="CJ4" s="685"/>
      <c r="CK4" s="685"/>
      <c r="CL4" s="685"/>
      <c r="CM4" s="685"/>
      <c r="CN4" s="685"/>
      <c r="CO4" s="685"/>
      <c r="CP4" s="685"/>
      <c r="CQ4" s="685"/>
      <c r="CR4" s="685"/>
      <c r="CS4" s="685"/>
      <c r="CT4" s="685"/>
      <c r="CU4" s="685"/>
      <c r="CV4" s="685"/>
      <c r="CW4" s="685"/>
      <c r="CX4" s="685"/>
      <c r="CY4" s="685"/>
      <c r="CZ4" s="685"/>
      <c r="DA4" s="685"/>
      <c r="DB4" s="685"/>
      <c r="DC4" s="685"/>
      <c r="DD4" s="685"/>
      <c r="DE4" s="685"/>
      <c r="DF4" s="685"/>
      <c r="DG4" s="685"/>
      <c r="DH4" s="685"/>
      <c r="DI4" s="685"/>
      <c r="DJ4" s="685"/>
      <c r="DK4" s="685"/>
      <c r="DL4" s="685"/>
      <c r="DM4" s="685"/>
      <c r="DN4" s="685"/>
      <c r="DO4" s="685"/>
      <c r="DP4" s="685"/>
      <c r="DQ4" s="685"/>
      <c r="DR4" s="685"/>
      <c r="DS4" s="685"/>
      <c r="DT4" s="685"/>
      <c r="DU4" s="685"/>
      <c r="DV4" s="685"/>
      <c r="DW4" s="685"/>
      <c r="DX4" s="685"/>
      <c r="DY4" s="685"/>
      <c r="DZ4" s="685"/>
      <c r="EA4" s="685"/>
      <c r="EB4" s="685"/>
      <c r="EC4" s="685"/>
      <c r="ED4" s="685"/>
      <c r="EE4" s="685"/>
      <c r="EF4" s="685"/>
      <c r="EG4" s="685"/>
      <c r="EH4" s="685"/>
      <c r="EI4" s="685"/>
      <c r="EJ4" s="685"/>
      <c r="EK4" s="685"/>
      <c r="EL4" s="685"/>
      <c r="EM4" s="685"/>
      <c r="EN4" s="685"/>
      <c r="EO4" s="685"/>
      <c r="EP4" s="685"/>
      <c r="EQ4" s="685"/>
      <c r="ER4" s="685"/>
      <c r="ES4" s="685"/>
      <c r="ET4" s="685"/>
      <c r="EU4" s="685"/>
      <c r="EV4" s="685"/>
      <c r="EW4" s="685"/>
      <c r="EX4" s="685"/>
      <c r="EY4" s="685"/>
      <c r="EZ4" s="685"/>
      <c r="FA4" s="685"/>
      <c r="FB4" s="685"/>
      <c r="FC4" s="685"/>
      <c r="FD4" s="685"/>
      <c r="FE4" s="685"/>
      <c r="FF4" s="685"/>
      <c r="FG4" s="685"/>
      <c r="FH4" s="685"/>
      <c r="FI4" s="685"/>
      <c r="FJ4" s="685"/>
      <c r="FK4" s="685"/>
      <c r="FL4" s="685"/>
      <c r="FM4" s="685"/>
      <c r="FN4" s="685"/>
      <c r="FO4" s="685"/>
      <c r="FP4" s="685"/>
      <c r="FQ4" s="685"/>
      <c r="FR4" s="685"/>
      <c r="FS4" s="685"/>
      <c r="FT4" s="685"/>
      <c r="FU4" s="685"/>
      <c r="FV4" s="685"/>
      <c r="FW4" s="685"/>
      <c r="FX4" s="685"/>
      <c r="FY4" s="685"/>
      <c r="FZ4" s="685"/>
      <c r="GA4" s="685"/>
      <c r="GB4" s="685"/>
      <c r="GC4" s="685"/>
      <c r="GD4" s="685"/>
      <c r="GE4" s="685"/>
      <c r="GF4" s="685"/>
      <c r="GG4" s="685"/>
      <c r="GH4" s="685"/>
      <c r="GI4" s="685"/>
      <c r="GJ4" s="685"/>
      <c r="GK4" s="685"/>
      <c r="GL4" s="685"/>
      <c r="GM4" s="685"/>
      <c r="GN4" s="685"/>
      <c r="GO4" s="685"/>
      <c r="GP4" s="685"/>
      <c r="GQ4" s="685"/>
      <c r="GR4" s="685"/>
      <c r="GS4" s="685"/>
      <c r="GT4" s="685"/>
      <c r="GU4" s="685"/>
      <c r="GV4" s="685"/>
      <c r="GW4" s="685"/>
      <c r="GX4" s="685"/>
      <c r="GY4" s="685"/>
      <c r="GZ4" s="685"/>
      <c r="HA4" s="685"/>
      <c r="HB4" s="685"/>
      <c r="HC4" s="685"/>
      <c r="HD4" s="685"/>
      <c r="HE4" s="685"/>
      <c r="HF4" s="685"/>
      <c r="HG4" s="685"/>
      <c r="HH4" s="685"/>
      <c r="HI4" s="685"/>
      <c r="HJ4" s="685"/>
      <c r="HK4" s="685"/>
      <c r="HL4" s="685"/>
      <c r="HM4" s="685"/>
      <c r="HN4" s="685"/>
      <c r="HO4" s="685"/>
      <c r="HP4" s="685"/>
      <c r="HQ4" s="685"/>
      <c r="HR4" s="685"/>
      <c r="HS4" s="685"/>
      <c r="HT4" s="685"/>
      <c r="HU4" s="685"/>
      <c r="HV4" s="685"/>
      <c r="HW4" s="685"/>
      <c r="HX4" s="685"/>
      <c r="HY4" s="685"/>
      <c r="HZ4" s="685"/>
      <c r="IA4" s="685"/>
      <c r="IB4" s="685"/>
      <c r="IC4" s="685"/>
      <c r="ID4" s="685"/>
      <c r="IE4" s="685"/>
      <c r="IF4" s="685"/>
      <c r="IG4" s="685"/>
      <c r="IH4" s="685"/>
      <c r="II4" s="685"/>
      <c r="IJ4" s="685"/>
      <c r="IK4" s="685"/>
      <c r="IL4" s="685"/>
      <c r="IM4" s="685"/>
      <c r="IN4" s="685"/>
      <c r="IO4" s="685"/>
      <c r="IP4" s="685"/>
    </row>
    <row r="5" spans="1:250" ht="9" customHeight="1" thickBot="1">
      <c r="A5" s="685"/>
      <c r="B5" s="685"/>
      <c r="C5" s="685"/>
      <c r="D5" s="684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  <c r="BA5" s="685"/>
      <c r="BB5" s="685"/>
      <c r="BC5" s="685"/>
      <c r="BD5" s="685"/>
      <c r="BE5" s="685"/>
      <c r="BF5" s="685"/>
      <c r="BG5" s="685"/>
      <c r="BH5" s="685"/>
      <c r="BI5" s="685"/>
      <c r="BJ5" s="685"/>
      <c r="BK5" s="685"/>
      <c r="BL5" s="685"/>
      <c r="BM5" s="685"/>
      <c r="BN5" s="685"/>
      <c r="BO5" s="685"/>
      <c r="BP5" s="685"/>
      <c r="BQ5" s="685"/>
      <c r="BR5" s="685"/>
      <c r="BS5" s="685"/>
      <c r="BT5" s="685"/>
      <c r="BU5" s="685"/>
      <c r="BV5" s="685"/>
      <c r="BW5" s="685"/>
      <c r="BX5" s="685"/>
      <c r="BY5" s="685"/>
      <c r="BZ5" s="685"/>
      <c r="CA5" s="685"/>
      <c r="CB5" s="685"/>
      <c r="CC5" s="685"/>
      <c r="CD5" s="685"/>
      <c r="CE5" s="685"/>
      <c r="CF5" s="685"/>
      <c r="CG5" s="685"/>
      <c r="CH5" s="685"/>
      <c r="CI5" s="685"/>
      <c r="CJ5" s="685"/>
      <c r="CK5" s="685"/>
      <c r="CL5" s="685"/>
      <c r="CM5" s="685"/>
      <c r="CN5" s="685"/>
      <c r="CO5" s="685"/>
      <c r="CP5" s="685"/>
      <c r="CQ5" s="685"/>
      <c r="CR5" s="685"/>
      <c r="CS5" s="685"/>
      <c r="CT5" s="685"/>
      <c r="CU5" s="685"/>
      <c r="CV5" s="685"/>
      <c r="CW5" s="685"/>
      <c r="CX5" s="685"/>
      <c r="CY5" s="685"/>
      <c r="CZ5" s="685"/>
      <c r="DA5" s="685"/>
      <c r="DB5" s="685"/>
      <c r="DC5" s="685"/>
      <c r="DD5" s="685"/>
      <c r="DE5" s="685"/>
      <c r="DF5" s="685"/>
      <c r="DG5" s="685"/>
      <c r="DH5" s="685"/>
      <c r="DI5" s="685"/>
      <c r="DJ5" s="685"/>
      <c r="DK5" s="685"/>
      <c r="DL5" s="685"/>
      <c r="DM5" s="685"/>
      <c r="DN5" s="685"/>
      <c r="DO5" s="685"/>
      <c r="DP5" s="685"/>
      <c r="DQ5" s="685"/>
      <c r="DR5" s="685"/>
      <c r="DS5" s="685"/>
      <c r="DT5" s="685"/>
      <c r="DU5" s="685"/>
      <c r="DV5" s="685"/>
      <c r="DW5" s="685"/>
      <c r="DX5" s="685"/>
      <c r="DY5" s="685"/>
      <c r="DZ5" s="685"/>
      <c r="EA5" s="685"/>
      <c r="EB5" s="685"/>
      <c r="EC5" s="685"/>
      <c r="ED5" s="685"/>
      <c r="EE5" s="685"/>
      <c r="EF5" s="685"/>
      <c r="EG5" s="685"/>
      <c r="EH5" s="685"/>
      <c r="EI5" s="685"/>
      <c r="EJ5" s="685"/>
      <c r="EK5" s="685"/>
      <c r="EL5" s="685"/>
      <c r="EM5" s="685"/>
      <c r="EN5" s="685"/>
      <c r="EO5" s="685"/>
      <c r="EP5" s="685"/>
      <c r="EQ5" s="685"/>
      <c r="ER5" s="685"/>
      <c r="ES5" s="685"/>
      <c r="ET5" s="685"/>
      <c r="EU5" s="685"/>
      <c r="EV5" s="685"/>
      <c r="EW5" s="685"/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5"/>
      <c r="FI5" s="685"/>
      <c r="FJ5" s="685"/>
      <c r="FK5" s="685"/>
      <c r="FL5" s="685"/>
      <c r="FM5" s="685"/>
      <c r="FN5" s="685"/>
      <c r="FO5" s="685"/>
      <c r="FP5" s="685"/>
      <c r="FQ5" s="685"/>
      <c r="FR5" s="685"/>
      <c r="FS5" s="685"/>
      <c r="FT5" s="685"/>
      <c r="FU5" s="685"/>
      <c r="FV5" s="685"/>
      <c r="FW5" s="685"/>
      <c r="FX5" s="685"/>
      <c r="FY5" s="685"/>
      <c r="FZ5" s="685"/>
      <c r="GA5" s="685"/>
      <c r="GB5" s="685"/>
      <c r="GC5" s="685"/>
      <c r="GD5" s="685"/>
      <c r="GE5" s="685"/>
      <c r="GF5" s="685"/>
      <c r="GG5" s="685"/>
      <c r="GH5" s="685"/>
      <c r="GI5" s="685"/>
      <c r="GJ5" s="685"/>
      <c r="GK5" s="685"/>
      <c r="GL5" s="685"/>
      <c r="GM5" s="685"/>
      <c r="GN5" s="685"/>
      <c r="GO5" s="685"/>
      <c r="GP5" s="685"/>
      <c r="GQ5" s="685"/>
      <c r="GR5" s="685"/>
      <c r="GS5" s="685"/>
      <c r="GT5" s="685"/>
      <c r="GU5" s="685"/>
      <c r="GV5" s="685"/>
      <c r="GW5" s="685"/>
      <c r="GX5" s="685"/>
      <c r="GY5" s="685"/>
      <c r="GZ5" s="685"/>
      <c r="HA5" s="685"/>
      <c r="HB5" s="685"/>
      <c r="HC5" s="685"/>
      <c r="HD5" s="685"/>
      <c r="HE5" s="685"/>
      <c r="HF5" s="685"/>
      <c r="HG5" s="685"/>
      <c r="HH5" s="685"/>
      <c r="HI5" s="685"/>
      <c r="HJ5" s="685"/>
      <c r="HK5" s="685"/>
      <c r="HL5" s="685"/>
      <c r="HM5" s="685"/>
      <c r="HN5" s="685"/>
      <c r="HO5" s="685"/>
      <c r="HP5" s="685"/>
      <c r="HQ5" s="685"/>
      <c r="HR5" s="685"/>
      <c r="HS5" s="685"/>
      <c r="HT5" s="685"/>
      <c r="HU5" s="685"/>
      <c r="HV5" s="685"/>
      <c r="HW5" s="685"/>
      <c r="HX5" s="685"/>
      <c r="HY5" s="685"/>
      <c r="HZ5" s="685"/>
      <c r="IA5" s="685"/>
      <c r="IB5" s="685"/>
      <c r="IC5" s="685"/>
      <c r="ID5" s="685"/>
      <c r="IE5" s="685"/>
      <c r="IF5" s="685"/>
      <c r="IG5" s="685"/>
      <c r="IH5" s="685"/>
      <c r="II5" s="685"/>
      <c r="IJ5" s="685"/>
      <c r="IK5" s="685"/>
      <c r="IL5" s="685"/>
      <c r="IM5" s="685"/>
      <c r="IN5" s="685"/>
      <c r="IO5" s="685"/>
      <c r="IP5" s="685"/>
    </row>
    <row r="6" spans="1:250" ht="22.5" customHeight="1" thickBot="1">
      <c r="A6" s="788"/>
      <c r="B6" s="789" t="s">
        <v>544</v>
      </c>
      <c r="C6" s="789" t="s">
        <v>1</v>
      </c>
      <c r="D6" s="790" t="s">
        <v>2</v>
      </c>
      <c r="E6" s="791" t="s">
        <v>3</v>
      </c>
      <c r="F6" s="792" t="s">
        <v>4</v>
      </c>
      <c r="G6" s="793" t="s">
        <v>5</v>
      </c>
      <c r="H6" s="793" t="s">
        <v>529</v>
      </c>
      <c r="I6" s="793" t="s">
        <v>7</v>
      </c>
      <c r="J6" s="793" t="s">
        <v>39</v>
      </c>
      <c r="K6" s="793" t="s">
        <v>8</v>
      </c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5"/>
      <c r="AM6" s="685"/>
      <c r="AN6" s="685"/>
      <c r="AO6" s="685"/>
      <c r="AP6" s="685"/>
      <c r="AQ6" s="685"/>
      <c r="AR6" s="685"/>
      <c r="AS6" s="685"/>
      <c r="AT6" s="685"/>
      <c r="AU6" s="685"/>
      <c r="AV6" s="685"/>
      <c r="AW6" s="685"/>
      <c r="AX6" s="685"/>
      <c r="AY6" s="685"/>
      <c r="AZ6" s="685"/>
      <c r="BA6" s="685"/>
      <c r="BB6" s="685"/>
      <c r="BC6" s="685"/>
      <c r="BD6" s="685"/>
      <c r="BE6" s="685"/>
      <c r="BF6" s="685"/>
      <c r="BG6" s="685"/>
      <c r="BH6" s="685"/>
      <c r="BI6" s="685"/>
      <c r="BJ6" s="685"/>
      <c r="BK6" s="685"/>
      <c r="BL6" s="685"/>
      <c r="BM6" s="685"/>
      <c r="BN6" s="685"/>
      <c r="BO6" s="685"/>
      <c r="BP6" s="685"/>
      <c r="BQ6" s="685"/>
      <c r="BR6" s="685"/>
      <c r="BS6" s="685"/>
      <c r="BT6" s="685"/>
      <c r="BU6" s="685"/>
      <c r="BV6" s="685"/>
      <c r="BW6" s="685"/>
      <c r="BX6" s="685"/>
      <c r="BY6" s="685"/>
      <c r="BZ6" s="685"/>
      <c r="CA6" s="685"/>
      <c r="CB6" s="685"/>
      <c r="CC6" s="685"/>
      <c r="CD6" s="685"/>
      <c r="CE6" s="685"/>
      <c r="CF6" s="685"/>
      <c r="CG6" s="685"/>
      <c r="CH6" s="685"/>
      <c r="CI6" s="685"/>
      <c r="CJ6" s="685"/>
      <c r="CK6" s="685"/>
      <c r="CL6" s="685"/>
      <c r="CM6" s="685"/>
      <c r="CN6" s="685"/>
      <c r="CO6" s="685"/>
      <c r="CP6" s="685"/>
      <c r="CQ6" s="685"/>
      <c r="CR6" s="685"/>
      <c r="CS6" s="685"/>
      <c r="CT6" s="685"/>
      <c r="CU6" s="685"/>
      <c r="CV6" s="685"/>
      <c r="CW6" s="685"/>
      <c r="CX6" s="685"/>
      <c r="CY6" s="685"/>
      <c r="CZ6" s="685"/>
      <c r="DA6" s="685"/>
      <c r="DB6" s="685"/>
      <c r="DC6" s="685"/>
      <c r="DD6" s="685"/>
      <c r="DE6" s="685"/>
      <c r="DF6" s="685"/>
      <c r="DG6" s="685"/>
      <c r="DH6" s="685"/>
      <c r="DI6" s="685"/>
      <c r="DJ6" s="685"/>
      <c r="DK6" s="685"/>
      <c r="DL6" s="685"/>
      <c r="DM6" s="685"/>
      <c r="DN6" s="685"/>
      <c r="DO6" s="685"/>
      <c r="DP6" s="685"/>
      <c r="DQ6" s="685"/>
      <c r="DR6" s="685"/>
      <c r="DS6" s="685"/>
      <c r="DT6" s="685"/>
      <c r="DU6" s="685"/>
      <c r="DV6" s="685"/>
      <c r="DW6" s="685"/>
      <c r="DX6" s="685"/>
      <c r="DY6" s="685"/>
      <c r="DZ6" s="685"/>
      <c r="EA6" s="685"/>
      <c r="EB6" s="685"/>
      <c r="EC6" s="685"/>
      <c r="ED6" s="685"/>
      <c r="EE6" s="685"/>
      <c r="EF6" s="685"/>
      <c r="EG6" s="685"/>
      <c r="EH6" s="685"/>
      <c r="EI6" s="685"/>
      <c r="EJ6" s="685"/>
      <c r="EK6" s="685"/>
      <c r="EL6" s="685"/>
      <c r="EM6" s="685"/>
      <c r="EN6" s="685"/>
      <c r="EO6" s="685"/>
      <c r="EP6" s="685"/>
      <c r="EQ6" s="685"/>
      <c r="ER6" s="685"/>
      <c r="ES6" s="685"/>
      <c r="ET6" s="685"/>
      <c r="EU6" s="685"/>
      <c r="EV6" s="685"/>
      <c r="EW6" s="685"/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5"/>
      <c r="FL6" s="685"/>
      <c r="FM6" s="685"/>
      <c r="FN6" s="685"/>
      <c r="FO6" s="685"/>
      <c r="FP6" s="685"/>
      <c r="FQ6" s="685"/>
      <c r="FR6" s="685"/>
      <c r="FS6" s="685"/>
      <c r="FT6" s="685"/>
      <c r="FU6" s="685"/>
      <c r="FV6" s="685"/>
      <c r="FW6" s="685"/>
      <c r="FX6" s="685"/>
      <c r="FY6" s="685"/>
      <c r="FZ6" s="685"/>
      <c r="GA6" s="685"/>
      <c r="GB6" s="685"/>
      <c r="GC6" s="685"/>
      <c r="GD6" s="685"/>
      <c r="GE6" s="685"/>
      <c r="GF6" s="685"/>
      <c r="GG6" s="685"/>
      <c r="GH6" s="685"/>
      <c r="GI6" s="685"/>
      <c r="GJ6" s="685"/>
      <c r="GK6" s="685"/>
      <c r="GL6" s="685"/>
      <c r="GM6" s="685"/>
      <c r="GN6" s="685"/>
      <c r="GO6" s="685"/>
      <c r="GP6" s="685"/>
      <c r="GQ6" s="685"/>
      <c r="GR6" s="685"/>
      <c r="GS6" s="685"/>
      <c r="GT6" s="685"/>
      <c r="GU6" s="685"/>
      <c r="GV6" s="685"/>
      <c r="GW6" s="685"/>
      <c r="GX6" s="685"/>
      <c r="GY6" s="685"/>
      <c r="GZ6" s="685"/>
      <c r="HA6" s="685"/>
      <c r="HB6" s="685"/>
      <c r="HC6" s="685"/>
      <c r="HD6" s="685"/>
      <c r="HE6" s="685"/>
      <c r="HF6" s="685"/>
      <c r="HG6" s="685"/>
      <c r="HH6" s="685"/>
      <c r="HI6" s="685"/>
      <c r="HJ6" s="685"/>
      <c r="HK6" s="685"/>
      <c r="HL6" s="685"/>
      <c r="HM6" s="685"/>
      <c r="HN6" s="685"/>
      <c r="HO6" s="685"/>
      <c r="HP6" s="685"/>
      <c r="HQ6" s="685"/>
      <c r="HR6" s="685"/>
      <c r="HS6" s="685"/>
      <c r="HT6" s="685"/>
      <c r="HU6" s="685"/>
      <c r="HV6" s="685"/>
      <c r="HW6" s="685"/>
      <c r="HX6" s="685"/>
      <c r="HY6" s="685"/>
      <c r="HZ6" s="685"/>
      <c r="IA6" s="685"/>
      <c r="IB6" s="685"/>
      <c r="IC6" s="685"/>
      <c r="ID6" s="685"/>
      <c r="IE6" s="685"/>
      <c r="IF6" s="685"/>
      <c r="IG6" s="685"/>
      <c r="IH6" s="685"/>
      <c r="II6" s="685"/>
      <c r="IJ6" s="685"/>
      <c r="IK6" s="685"/>
      <c r="IL6" s="685"/>
      <c r="IM6" s="685"/>
      <c r="IN6" s="685"/>
      <c r="IO6" s="685"/>
      <c r="IP6" s="685"/>
    </row>
    <row r="7" spans="1:11" ht="27.75" customHeight="1">
      <c r="A7" s="686" t="s">
        <v>10</v>
      </c>
      <c r="B7" s="1146" t="s">
        <v>576</v>
      </c>
      <c r="C7" s="1147"/>
      <c r="D7" s="1147"/>
      <c r="E7" s="703" t="s">
        <v>99</v>
      </c>
      <c r="F7" s="845" t="s">
        <v>104</v>
      </c>
      <c r="G7" s="688" t="s">
        <v>688</v>
      </c>
      <c r="H7" s="688" t="s">
        <v>529</v>
      </c>
      <c r="I7" s="688" t="s">
        <v>102</v>
      </c>
      <c r="J7" s="688" t="s">
        <v>392</v>
      </c>
      <c r="K7" s="843" t="s">
        <v>391</v>
      </c>
    </row>
    <row r="8" spans="1:13" s="796" customFormat="1" ht="24.75" customHeight="1">
      <c r="A8" s="787" t="s">
        <v>15</v>
      </c>
      <c r="B8" s="689" t="s">
        <v>544</v>
      </c>
      <c r="C8" s="1132" t="s">
        <v>587</v>
      </c>
      <c r="D8" s="1133"/>
      <c r="E8" s="705">
        <f aca="true" t="shared" si="0" ref="E8:E14">SUM(F8:K8)</f>
        <v>17574538582</v>
      </c>
      <c r="F8" s="846">
        <f>SUM(F9+F10+F28+F32)</f>
        <v>16961333639</v>
      </c>
      <c r="G8" s="794">
        <f>G9+G10+G28+G32</f>
        <v>112291225</v>
      </c>
      <c r="H8" s="794">
        <f>H9+H10+H28+H32</f>
        <v>177409793</v>
      </c>
      <c r="I8" s="794">
        <f>I9+I10+I28+I32</f>
        <v>188247813</v>
      </c>
      <c r="J8" s="794">
        <f>J9+J10+J28+J32</f>
        <v>24424551</v>
      </c>
      <c r="K8" s="836">
        <f>K9+K10+K28+K32</f>
        <v>110831561</v>
      </c>
      <c r="L8" s="795"/>
      <c r="M8" s="795"/>
    </row>
    <row r="9" spans="1:11" ht="18" customHeight="1">
      <c r="A9" s="686" t="s">
        <v>22</v>
      </c>
      <c r="B9" s="1134"/>
      <c r="C9" s="691" t="s">
        <v>424</v>
      </c>
      <c r="D9" s="692" t="s">
        <v>580</v>
      </c>
      <c r="E9" s="705">
        <f t="shared" si="0"/>
        <v>8240209</v>
      </c>
      <c r="F9" s="800">
        <v>8226361</v>
      </c>
      <c r="G9" s="797">
        <v>13848</v>
      </c>
      <c r="H9" s="797">
        <v>0</v>
      </c>
      <c r="I9" s="566"/>
      <c r="J9" s="566"/>
      <c r="K9" s="781"/>
    </row>
    <row r="10" spans="1:11" ht="17.25" customHeight="1">
      <c r="A10" s="686" t="s">
        <v>23</v>
      </c>
      <c r="B10" s="1148"/>
      <c r="C10" s="691" t="s">
        <v>83</v>
      </c>
      <c r="D10" s="692" t="s">
        <v>689</v>
      </c>
      <c r="E10" s="705">
        <f t="shared" si="0"/>
        <v>17393030861</v>
      </c>
      <c r="F10" s="847">
        <f>SUM(F11+F15+F19+F23+F27)</f>
        <v>16779839766</v>
      </c>
      <c r="G10" s="837">
        <f>SUM(G11+G15+G19+G23+G27)</f>
        <v>112277377</v>
      </c>
      <c r="H10" s="837">
        <f>SUM(H11+H15+H23+H27)</f>
        <v>177409793</v>
      </c>
      <c r="I10" s="837">
        <f>SUM(I11+I15+I19+I23+I27)</f>
        <v>188247813</v>
      </c>
      <c r="J10" s="837">
        <f>SUM(J11+J15+J19+J23+J27)</f>
        <v>24424551</v>
      </c>
      <c r="K10" s="838">
        <f>SUM(K11+K15+K19+K23+K27)</f>
        <v>110831561</v>
      </c>
    </row>
    <row r="11" spans="1:11" ht="15.75" customHeight="1">
      <c r="A11" s="686" t="s">
        <v>52</v>
      </c>
      <c r="B11" s="1138"/>
      <c r="C11" s="1140"/>
      <c r="D11" s="692" t="s">
        <v>690</v>
      </c>
      <c r="E11" s="705">
        <f t="shared" si="0"/>
        <v>15578145444</v>
      </c>
      <c r="F11" s="846">
        <f>SUM(F12:F14)</f>
        <v>14996872413</v>
      </c>
      <c r="G11" s="794">
        <f>SUM(G12:G14)</f>
        <v>107591153</v>
      </c>
      <c r="H11" s="794">
        <v>156763361</v>
      </c>
      <c r="I11" s="794">
        <v>184299998</v>
      </c>
      <c r="J11" s="794">
        <v>24050557</v>
      </c>
      <c r="K11" s="836">
        <v>108567962</v>
      </c>
    </row>
    <row r="12" spans="1:12" ht="16.5" customHeight="1">
      <c r="A12" s="686" t="s">
        <v>54</v>
      </c>
      <c r="B12" s="1138"/>
      <c r="C12" s="1140"/>
      <c r="D12" s="693" t="s">
        <v>691</v>
      </c>
      <c r="E12" s="850">
        <f t="shared" si="0"/>
        <v>7703331647</v>
      </c>
      <c r="F12" s="835">
        <v>7182618824</v>
      </c>
      <c r="G12" s="833">
        <v>47031055</v>
      </c>
      <c r="H12" s="833">
        <v>156763361</v>
      </c>
      <c r="I12" s="833">
        <v>184299998</v>
      </c>
      <c r="J12" s="833">
        <v>24050447</v>
      </c>
      <c r="K12" s="839">
        <v>108567962</v>
      </c>
      <c r="L12" s="798">
        <f>SUM(F12:F14)</f>
        <v>14996872413</v>
      </c>
    </row>
    <row r="13" spans="1:12" ht="15" customHeight="1">
      <c r="A13" s="686" t="s">
        <v>48</v>
      </c>
      <c r="B13" s="1138"/>
      <c r="C13" s="1140"/>
      <c r="D13" s="693" t="s">
        <v>692</v>
      </c>
      <c r="E13" s="850">
        <f t="shared" si="0"/>
        <v>6952881874</v>
      </c>
      <c r="F13" s="835">
        <v>6893914206</v>
      </c>
      <c r="G13" s="833">
        <v>58967668</v>
      </c>
      <c r="H13" s="833"/>
      <c r="I13" s="833"/>
      <c r="J13" s="833"/>
      <c r="K13" s="839"/>
      <c r="L13" s="798"/>
    </row>
    <row r="14" spans="1:12" ht="14.25" customHeight="1">
      <c r="A14" s="686" t="s">
        <v>24</v>
      </c>
      <c r="B14" s="1138"/>
      <c r="C14" s="1140"/>
      <c r="D14" s="693" t="s">
        <v>693</v>
      </c>
      <c r="E14" s="850">
        <f t="shared" si="0"/>
        <v>921931813</v>
      </c>
      <c r="F14" s="835">
        <v>920339383</v>
      </c>
      <c r="G14" s="833">
        <v>1592430</v>
      </c>
      <c r="H14" s="833"/>
      <c r="I14" s="833"/>
      <c r="J14" s="833"/>
      <c r="K14" s="839"/>
      <c r="L14" s="798"/>
    </row>
    <row r="15" spans="1:11" ht="15" customHeight="1">
      <c r="A15" s="686" t="s">
        <v>26</v>
      </c>
      <c r="B15" s="1138"/>
      <c r="C15" s="1140"/>
      <c r="D15" s="692" t="s">
        <v>694</v>
      </c>
      <c r="E15" s="705">
        <f>SUM(F15:K15)</f>
        <v>381205097</v>
      </c>
      <c r="F15" s="847">
        <f aca="true" t="shared" si="1" ref="F15:K15">SUM(F16:F18)</f>
        <v>351884883</v>
      </c>
      <c r="G15" s="837">
        <f t="shared" si="1"/>
        <v>2088374</v>
      </c>
      <c r="H15" s="837">
        <f t="shared" si="1"/>
        <v>20646432</v>
      </c>
      <c r="I15" s="837">
        <f t="shared" si="1"/>
        <v>3947815</v>
      </c>
      <c r="J15" s="837">
        <f t="shared" si="1"/>
        <v>373994</v>
      </c>
      <c r="K15" s="838">
        <f t="shared" si="1"/>
        <v>2263599</v>
      </c>
    </row>
    <row r="16" spans="1:11" ht="12.75">
      <c r="A16" s="686" t="s">
        <v>28</v>
      </c>
      <c r="B16" s="1138"/>
      <c r="C16" s="1140"/>
      <c r="D16" s="693" t="s">
        <v>695</v>
      </c>
      <c r="E16" s="850">
        <f>SUM(F16:K16)</f>
        <v>0</v>
      </c>
      <c r="F16" s="835"/>
      <c r="G16" s="833"/>
      <c r="H16" s="833"/>
      <c r="I16" s="833"/>
      <c r="J16" s="833"/>
      <c r="K16" s="839"/>
    </row>
    <row r="17" spans="1:12" ht="12.75">
      <c r="A17" s="686" t="s">
        <v>31</v>
      </c>
      <c r="B17" s="1138"/>
      <c r="C17" s="1140"/>
      <c r="D17" s="693" t="s">
        <v>696</v>
      </c>
      <c r="E17" s="850">
        <f>SUM(F17:K17)</f>
        <v>342230913</v>
      </c>
      <c r="F17" s="835">
        <v>337583353</v>
      </c>
      <c r="G17" s="833">
        <v>418744</v>
      </c>
      <c r="H17" s="833">
        <v>567001</v>
      </c>
      <c r="I17" s="833">
        <v>3617815</v>
      </c>
      <c r="J17" s="833">
        <v>44000</v>
      </c>
      <c r="K17" s="839"/>
      <c r="L17" s="798"/>
    </row>
    <row r="18" spans="1:11" ht="12.75">
      <c r="A18" s="686" t="s">
        <v>49</v>
      </c>
      <c r="B18" s="1138"/>
      <c r="C18" s="1140"/>
      <c r="D18" s="693" t="s">
        <v>697</v>
      </c>
      <c r="E18" s="850">
        <f>SUM(F18:K18)</f>
        <v>38974184</v>
      </c>
      <c r="F18" s="835">
        <v>14301530</v>
      </c>
      <c r="G18" s="833">
        <v>1669630</v>
      </c>
      <c r="H18" s="833">
        <v>20079431</v>
      </c>
      <c r="I18" s="833">
        <v>330000</v>
      </c>
      <c r="J18" s="833">
        <v>329994</v>
      </c>
      <c r="K18" s="839">
        <v>2263599</v>
      </c>
    </row>
    <row r="19" spans="1:11" ht="12.75">
      <c r="A19" s="686" t="s">
        <v>33</v>
      </c>
      <c r="B19" s="1138"/>
      <c r="C19" s="1140"/>
      <c r="D19" s="692" t="s">
        <v>698</v>
      </c>
      <c r="E19" s="705">
        <f>SUM(F19:K19)</f>
        <v>0</v>
      </c>
      <c r="F19" s="847">
        <f aca="true" t="shared" si="2" ref="F19:K19">SUM(F20:F22)</f>
        <v>0</v>
      </c>
      <c r="G19" s="837">
        <f t="shared" si="2"/>
        <v>0</v>
      </c>
      <c r="H19" s="837">
        <f t="shared" si="2"/>
        <v>0</v>
      </c>
      <c r="I19" s="837">
        <f t="shared" si="2"/>
        <v>0</v>
      </c>
      <c r="J19" s="837">
        <f t="shared" si="2"/>
        <v>0</v>
      </c>
      <c r="K19" s="838">
        <f t="shared" si="2"/>
        <v>0</v>
      </c>
    </row>
    <row r="20" spans="1:11" ht="12.75">
      <c r="A20" s="686" t="s">
        <v>35</v>
      </c>
      <c r="B20" s="1138"/>
      <c r="C20" s="1140"/>
      <c r="D20" s="693" t="s">
        <v>699</v>
      </c>
      <c r="E20" s="850">
        <f>SUM(F19:K19)</f>
        <v>0</v>
      </c>
      <c r="F20" s="835"/>
      <c r="G20" s="833"/>
      <c r="H20" s="833"/>
      <c r="I20" s="834"/>
      <c r="J20" s="834"/>
      <c r="K20" s="840"/>
    </row>
    <row r="21" spans="1:11" ht="12.75">
      <c r="A21" s="686" t="s">
        <v>59</v>
      </c>
      <c r="B21" s="1138"/>
      <c r="C21" s="1140"/>
      <c r="D21" s="693" t="s">
        <v>700</v>
      </c>
      <c r="E21" s="850"/>
      <c r="F21" s="835"/>
      <c r="G21" s="833"/>
      <c r="H21" s="833"/>
      <c r="I21" s="834"/>
      <c r="J21" s="834"/>
      <c r="K21" s="840"/>
    </row>
    <row r="22" spans="1:11" ht="12.75">
      <c r="A22" s="686" t="s">
        <v>60</v>
      </c>
      <c r="B22" s="1138"/>
      <c r="C22" s="1140"/>
      <c r="D22" s="693" t="s">
        <v>701</v>
      </c>
      <c r="E22" s="850">
        <f>SUM(F21:K21)</f>
        <v>0</v>
      </c>
      <c r="F22" s="835">
        <v>0</v>
      </c>
      <c r="G22" s="833"/>
      <c r="H22" s="833"/>
      <c r="I22" s="834"/>
      <c r="J22" s="834"/>
      <c r="K22" s="840"/>
    </row>
    <row r="23" spans="1:11" ht="12.75">
      <c r="A23" s="686" t="s">
        <v>61</v>
      </c>
      <c r="B23" s="1138"/>
      <c r="C23" s="1140"/>
      <c r="D23" s="692" t="s">
        <v>702</v>
      </c>
      <c r="E23" s="705">
        <f>SUM(F23:K23)</f>
        <v>1433680320</v>
      </c>
      <c r="F23" s="847">
        <f aca="true" t="shared" si="3" ref="F23:K23">SUM(F24:F27)</f>
        <v>1431082470</v>
      </c>
      <c r="G23" s="837">
        <f t="shared" si="3"/>
        <v>2597850</v>
      </c>
      <c r="H23" s="837">
        <f t="shared" si="3"/>
        <v>0</v>
      </c>
      <c r="I23" s="837">
        <f t="shared" si="3"/>
        <v>0</v>
      </c>
      <c r="J23" s="837">
        <f t="shared" si="3"/>
        <v>0</v>
      </c>
      <c r="K23" s="838">
        <f t="shared" si="3"/>
        <v>0</v>
      </c>
    </row>
    <row r="24" spans="1:11" ht="12.75">
      <c r="A24" s="686" t="s">
        <v>62</v>
      </c>
      <c r="B24" s="1138"/>
      <c r="C24" s="1140"/>
      <c r="D24" s="693" t="s">
        <v>703</v>
      </c>
      <c r="E24" s="850">
        <f aca="true" t="shared" si="4" ref="E24:E48">SUM(F24:K24)</f>
        <v>0</v>
      </c>
      <c r="F24" s="835"/>
      <c r="G24" s="833"/>
      <c r="H24" s="833"/>
      <c r="I24" s="833"/>
      <c r="J24" s="833"/>
      <c r="K24" s="839"/>
    </row>
    <row r="25" spans="1:11" ht="12.75">
      <c r="A25" s="686" t="s">
        <v>63</v>
      </c>
      <c r="B25" s="1138"/>
      <c r="C25" s="1140"/>
      <c r="D25" s="693" t="s">
        <v>704</v>
      </c>
      <c r="E25" s="850">
        <f t="shared" si="4"/>
        <v>1433680320</v>
      </c>
      <c r="F25" s="835">
        <v>1431082470</v>
      </c>
      <c r="G25" s="833">
        <v>2597850</v>
      </c>
      <c r="H25" s="833"/>
      <c r="I25" s="834"/>
      <c r="J25" s="834"/>
      <c r="K25" s="840"/>
    </row>
    <row r="26" spans="1:11" ht="12.75">
      <c r="A26" s="686" t="s">
        <v>64</v>
      </c>
      <c r="B26" s="1138"/>
      <c r="C26" s="1140"/>
      <c r="D26" s="693" t="s">
        <v>705</v>
      </c>
      <c r="E26" s="850">
        <f t="shared" si="4"/>
        <v>0</v>
      </c>
      <c r="F26" s="835"/>
      <c r="G26" s="833"/>
      <c r="H26" s="833"/>
      <c r="I26" s="834"/>
      <c r="J26" s="834"/>
      <c r="K26" s="840"/>
    </row>
    <row r="27" spans="1:11" ht="12.75">
      <c r="A27" s="686" t="s">
        <v>65</v>
      </c>
      <c r="B27" s="1139"/>
      <c r="C27" s="1140"/>
      <c r="D27" s="692" t="s">
        <v>706</v>
      </c>
      <c r="E27" s="850">
        <f t="shared" si="4"/>
        <v>0</v>
      </c>
      <c r="F27" s="848"/>
      <c r="G27" s="834">
        <v>0</v>
      </c>
      <c r="H27" s="834">
        <v>0</v>
      </c>
      <c r="I27" s="834">
        <v>0</v>
      </c>
      <c r="J27" s="834">
        <v>0</v>
      </c>
      <c r="K27" s="840">
        <v>0</v>
      </c>
    </row>
    <row r="28" spans="1:11" ht="12.75">
      <c r="A28" s="686" t="s">
        <v>66</v>
      </c>
      <c r="B28" s="799"/>
      <c r="C28" s="575" t="s">
        <v>84</v>
      </c>
      <c r="D28" s="692" t="s">
        <v>584</v>
      </c>
      <c r="E28" s="850">
        <f t="shared" si="4"/>
        <v>173267512</v>
      </c>
      <c r="F28" s="847">
        <f aca="true" t="shared" si="5" ref="F28:K28">SUM(F29:F31)</f>
        <v>173267512</v>
      </c>
      <c r="G28" s="837">
        <f t="shared" si="5"/>
        <v>0</v>
      </c>
      <c r="H28" s="837">
        <f t="shared" si="5"/>
        <v>0</v>
      </c>
      <c r="I28" s="837">
        <f t="shared" si="5"/>
        <v>0</v>
      </c>
      <c r="J28" s="837">
        <f t="shared" si="5"/>
        <v>0</v>
      </c>
      <c r="K28" s="838">
        <f t="shared" si="5"/>
        <v>0</v>
      </c>
    </row>
    <row r="29" spans="1:11" ht="12.75">
      <c r="A29" s="686" t="s">
        <v>68</v>
      </c>
      <c r="B29" s="1137"/>
      <c r="C29" s="1140"/>
      <c r="D29" s="693" t="s">
        <v>707</v>
      </c>
      <c r="E29" s="850">
        <f t="shared" si="4"/>
        <v>173267512</v>
      </c>
      <c r="F29" s="835">
        <v>173267512</v>
      </c>
      <c r="G29" s="833"/>
      <c r="H29" s="833"/>
      <c r="I29" s="833"/>
      <c r="J29" s="833"/>
      <c r="K29" s="839"/>
    </row>
    <row r="30" spans="1:11" ht="12.75">
      <c r="A30" s="686" t="s">
        <v>71</v>
      </c>
      <c r="B30" s="1138"/>
      <c r="C30" s="1140"/>
      <c r="D30" s="693" t="s">
        <v>708</v>
      </c>
      <c r="E30" s="850">
        <f t="shared" si="4"/>
        <v>0</v>
      </c>
      <c r="F30" s="848"/>
      <c r="G30" s="834"/>
      <c r="H30" s="834"/>
      <c r="I30" s="834"/>
      <c r="J30" s="834"/>
      <c r="K30" s="840"/>
    </row>
    <row r="31" spans="1:11" ht="12.75">
      <c r="A31" s="686" t="s">
        <v>73</v>
      </c>
      <c r="B31" s="1139"/>
      <c r="C31" s="1140"/>
      <c r="D31" s="693" t="s">
        <v>709</v>
      </c>
      <c r="E31" s="850">
        <f t="shared" si="4"/>
        <v>0</v>
      </c>
      <c r="F31" s="848">
        <v>0</v>
      </c>
      <c r="G31" s="834">
        <v>0</v>
      </c>
      <c r="H31" s="834">
        <v>0</v>
      </c>
      <c r="I31" s="834">
        <v>0</v>
      </c>
      <c r="J31" s="834">
        <v>0</v>
      </c>
      <c r="K31" s="840">
        <v>0</v>
      </c>
    </row>
    <row r="32" spans="1:11" ht="12.75">
      <c r="A32" s="686" t="s">
        <v>75</v>
      </c>
      <c r="B32" s="694"/>
      <c r="C32" s="691" t="s">
        <v>428</v>
      </c>
      <c r="D32" s="692" t="s">
        <v>710</v>
      </c>
      <c r="E32" s="850">
        <f t="shared" si="4"/>
        <v>0</v>
      </c>
      <c r="F32" s="800"/>
      <c r="G32" s="797"/>
      <c r="H32" s="797"/>
      <c r="I32" s="566"/>
      <c r="J32" s="566"/>
      <c r="K32" s="781"/>
    </row>
    <row r="33" spans="1:11" s="796" customFormat="1" ht="12.75">
      <c r="A33" s="787" t="s">
        <v>77</v>
      </c>
      <c r="B33" s="689" t="s">
        <v>553</v>
      </c>
      <c r="C33" s="1132" t="s">
        <v>711</v>
      </c>
      <c r="D33" s="1133"/>
      <c r="E33" s="705">
        <f t="shared" si="4"/>
        <v>10221823</v>
      </c>
      <c r="F33" s="847">
        <f aca="true" t="shared" si="6" ref="F33:K33">SUM(F34:F35)</f>
        <v>0</v>
      </c>
      <c r="G33" s="837">
        <f t="shared" si="6"/>
        <v>498035</v>
      </c>
      <c r="H33" s="837">
        <f t="shared" si="6"/>
        <v>9723788</v>
      </c>
      <c r="I33" s="837">
        <f t="shared" si="6"/>
        <v>0</v>
      </c>
      <c r="J33" s="837">
        <f t="shared" si="6"/>
        <v>0</v>
      </c>
      <c r="K33" s="838">
        <f t="shared" si="6"/>
        <v>0</v>
      </c>
    </row>
    <row r="34" spans="1:11" ht="12.75">
      <c r="A34" s="686" t="s">
        <v>78</v>
      </c>
      <c r="B34" s="1141"/>
      <c r="C34" s="691" t="s">
        <v>424</v>
      </c>
      <c r="D34" s="692" t="s">
        <v>589</v>
      </c>
      <c r="E34" s="850">
        <f t="shared" si="4"/>
        <v>10221823</v>
      </c>
      <c r="F34" s="800">
        <v>0</v>
      </c>
      <c r="G34" s="797">
        <v>498035</v>
      </c>
      <c r="H34" s="797">
        <v>9723788</v>
      </c>
      <c r="I34" s="797"/>
      <c r="J34" s="797"/>
      <c r="K34" s="841"/>
    </row>
    <row r="35" spans="1:11" ht="12.75">
      <c r="A35" s="686" t="s">
        <v>79</v>
      </c>
      <c r="B35" s="1142"/>
      <c r="C35" s="691" t="s">
        <v>83</v>
      </c>
      <c r="D35" s="692" t="s">
        <v>591</v>
      </c>
      <c r="E35" s="850">
        <f t="shared" si="4"/>
        <v>0</v>
      </c>
      <c r="F35" s="848">
        <v>0</v>
      </c>
      <c r="G35" s="834">
        <v>0</v>
      </c>
      <c r="H35" s="834">
        <v>0</v>
      </c>
      <c r="I35" s="834">
        <v>0</v>
      </c>
      <c r="J35" s="834">
        <v>0</v>
      </c>
      <c r="K35" s="840">
        <v>0</v>
      </c>
    </row>
    <row r="36" spans="1:11" s="796" customFormat="1" ht="12.75">
      <c r="A36" s="787" t="s">
        <v>80</v>
      </c>
      <c r="B36" s="689" t="s">
        <v>555</v>
      </c>
      <c r="C36" s="1132" t="s">
        <v>712</v>
      </c>
      <c r="D36" s="1133"/>
      <c r="E36" s="705">
        <f t="shared" si="4"/>
        <v>1904108198</v>
      </c>
      <c r="F36" s="846">
        <f aca="true" t="shared" si="7" ref="F36:K36">F37+F38+F39+F40+F41</f>
        <v>1767776635</v>
      </c>
      <c r="G36" s="794">
        <f t="shared" si="7"/>
        <v>7839746</v>
      </c>
      <c r="H36" s="794">
        <f t="shared" si="7"/>
        <v>99680231</v>
      </c>
      <c r="I36" s="794">
        <f t="shared" si="7"/>
        <v>14755719</v>
      </c>
      <c r="J36" s="794">
        <f t="shared" si="7"/>
        <v>10700416</v>
      </c>
      <c r="K36" s="836">
        <f t="shared" si="7"/>
        <v>3355451</v>
      </c>
    </row>
    <row r="37" spans="1:11" ht="12.75">
      <c r="A37" s="686" t="s">
        <v>86</v>
      </c>
      <c r="B37" s="1141"/>
      <c r="C37" s="575" t="s">
        <v>424</v>
      </c>
      <c r="D37" s="693" t="s">
        <v>713</v>
      </c>
      <c r="E37" s="850">
        <f t="shared" si="4"/>
        <v>0</v>
      </c>
      <c r="F37" s="800"/>
      <c r="G37" s="797"/>
      <c r="H37" s="797"/>
      <c r="I37" s="566"/>
      <c r="J37" s="566"/>
      <c r="K37" s="781"/>
    </row>
    <row r="38" spans="1:11" ht="12.75">
      <c r="A38" s="686" t="s">
        <v>204</v>
      </c>
      <c r="B38" s="1142"/>
      <c r="C38" s="575" t="s">
        <v>83</v>
      </c>
      <c r="D38" s="696" t="s">
        <v>714</v>
      </c>
      <c r="E38" s="850">
        <f t="shared" si="4"/>
        <v>6835635</v>
      </c>
      <c r="F38" s="800">
        <v>1727150</v>
      </c>
      <c r="G38" s="797">
        <v>492005</v>
      </c>
      <c r="H38" s="797">
        <v>2834915</v>
      </c>
      <c r="I38" s="797">
        <v>1247950</v>
      </c>
      <c r="J38" s="797">
        <v>90665</v>
      </c>
      <c r="K38" s="841">
        <v>442950</v>
      </c>
    </row>
    <row r="39" spans="1:11" ht="12.75">
      <c r="A39" s="686" t="s">
        <v>111</v>
      </c>
      <c r="B39" s="1142"/>
      <c r="C39" s="575" t="s">
        <v>84</v>
      </c>
      <c r="D39" s="696" t="s">
        <v>715</v>
      </c>
      <c r="E39" s="850">
        <f t="shared" si="4"/>
        <v>1876599079</v>
      </c>
      <c r="F39" s="800">
        <v>1745376001</v>
      </c>
      <c r="G39" s="797">
        <v>7347741</v>
      </c>
      <c r="H39" s="797">
        <v>96845316</v>
      </c>
      <c r="I39" s="566">
        <v>13507769</v>
      </c>
      <c r="J39" s="566">
        <v>10609751</v>
      </c>
      <c r="K39" s="781">
        <v>2912501</v>
      </c>
    </row>
    <row r="40" spans="1:11" ht="12.75">
      <c r="A40" s="686" t="s">
        <v>205</v>
      </c>
      <c r="B40" s="1142"/>
      <c r="C40" s="575" t="s">
        <v>428</v>
      </c>
      <c r="D40" s="696" t="s">
        <v>716</v>
      </c>
      <c r="E40" s="850">
        <f t="shared" si="4"/>
        <v>20673484</v>
      </c>
      <c r="F40" s="848">
        <v>20673484</v>
      </c>
      <c r="G40" s="834">
        <v>0</v>
      </c>
      <c r="H40" s="834">
        <v>0</v>
      </c>
      <c r="I40" s="834">
        <v>0</v>
      </c>
      <c r="J40" s="834">
        <v>0</v>
      </c>
      <c r="K40" s="840">
        <v>0</v>
      </c>
    </row>
    <row r="41" spans="1:11" ht="12.75">
      <c r="A41" s="686" t="s">
        <v>231</v>
      </c>
      <c r="B41" s="1143"/>
      <c r="C41" s="575" t="s">
        <v>717</v>
      </c>
      <c r="D41" s="696" t="s">
        <v>600</v>
      </c>
      <c r="E41" s="850">
        <f t="shared" si="4"/>
        <v>0</v>
      </c>
      <c r="F41" s="848">
        <v>0</v>
      </c>
      <c r="G41" s="834">
        <v>0</v>
      </c>
      <c r="H41" s="834">
        <v>0</v>
      </c>
      <c r="I41" s="834">
        <v>0</v>
      </c>
      <c r="J41" s="834">
        <v>0</v>
      </c>
      <c r="K41" s="840">
        <v>0</v>
      </c>
    </row>
    <row r="42" spans="1:13" ht="12.75">
      <c r="A42" s="686" t="s">
        <v>112</v>
      </c>
      <c r="B42" s="689" t="s">
        <v>557</v>
      </c>
      <c r="C42" s="1132" t="s">
        <v>718</v>
      </c>
      <c r="D42" s="1133"/>
      <c r="E42" s="850">
        <f t="shared" si="4"/>
        <v>801274993</v>
      </c>
      <c r="F42" s="847">
        <f aca="true" t="shared" si="8" ref="F42:K42">SUM(F43+F44+F45)</f>
        <v>783443330</v>
      </c>
      <c r="G42" s="837">
        <f t="shared" si="8"/>
        <v>8826498</v>
      </c>
      <c r="H42" s="837">
        <f t="shared" si="8"/>
        <v>3983224</v>
      </c>
      <c r="I42" s="837">
        <f t="shared" si="8"/>
        <v>3413063</v>
      </c>
      <c r="J42" s="837">
        <f t="shared" si="8"/>
        <v>0</v>
      </c>
      <c r="K42" s="838">
        <f t="shared" si="8"/>
        <v>1608878</v>
      </c>
      <c r="M42" s="798"/>
    </row>
    <row r="43" spans="1:11" ht="12.75">
      <c r="A43" s="686" t="s">
        <v>113</v>
      </c>
      <c r="B43" s="1134"/>
      <c r="C43" s="575" t="s">
        <v>424</v>
      </c>
      <c r="D43" s="697" t="s">
        <v>603</v>
      </c>
      <c r="E43" s="850">
        <f t="shared" si="4"/>
        <v>506106294</v>
      </c>
      <c r="F43" s="800">
        <v>490007964</v>
      </c>
      <c r="G43" s="797">
        <v>7761498</v>
      </c>
      <c r="H43" s="797">
        <v>3758224</v>
      </c>
      <c r="I43" s="566">
        <v>2969730</v>
      </c>
      <c r="J43" s="566"/>
      <c r="K43" s="781">
        <v>1608878</v>
      </c>
    </row>
    <row r="44" spans="1:11" ht="12.75">
      <c r="A44" s="686" t="s">
        <v>114</v>
      </c>
      <c r="B44" s="1135"/>
      <c r="C44" s="698" t="s">
        <v>83</v>
      </c>
      <c r="D44" s="697" t="s">
        <v>719</v>
      </c>
      <c r="E44" s="850">
        <f t="shared" si="4"/>
        <v>67082781</v>
      </c>
      <c r="F44" s="800">
        <v>66042781</v>
      </c>
      <c r="G44" s="797">
        <v>1040000</v>
      </c>
      <c r="H44" s="797"/>
      <c r="I44" s="797"/>
      <c r="J44" s="797"/>
      <c r="K44" s="841"/>
    </row>
    <row r="45" spans="1:11" ht="12.75">
      <c r="A45" s="686" t="s">
        <v>115</v>
      </c>
      <c r="B45" s="690"/>
      <c r="C45" s="698" t="s">
        <v>84</v>
      </c>
      <c r="D45" s="697" t="s">
        <v>607</v>
      </c>
      <c r="E45" s="850">
        <f t="shared" si="4"/>
        <v>228085918</v>
      </c>
      <c r="F45" s="800">
        <v>227392585</v>
      </c>
      <c r="G45" s="797">
        <v>25000</v>
      </c>
      <c r="H45" s="797">
        <v>225000</v>
      </c>
      <c r="I45" s="566">
        <v>443333</v>
      </c>
      <c r="J45" s="566"/>
      <c r="K45" s="781"/>
    </row>
    <row r="46" spans="1:11" s="796" customFormat="1" ht="12.75">
      <c r="A46" s="787" t="s">
        <v>232</v>
      </c>
      <c r="B46" s="695" t="s">
        <v>559</v>
      </c>
      <c r="C46" s="1132" t="s">
        <v>720</v>
      </c>
      <c r="D46" s="1133"/>
      <c r="E46" s="705">
        <f t="shared" si="4"/>
        <v>8131187</v>
      </c>
      <c r="F46" s="846">
        <v>5581187</v>
      </c>
      <c r="G46" s="794">
        <v>3601000</v>
      </c>
      <c r="H46" s="794">
        <v>-644000</v>
      </c>
      <c r="I46" s="675">
        <v>-1415000</v>
      </c>
      <c r="J46" s="675">
        <v>550000</v>
      </c>
      <c r="K46" s="842">
        <v>458000</v>
      </c>
    </row>
    <row r="47" spans="1:11" s="796" customFormat="1" ht="12.75">
      <c r="A47" s="787" t="s">
        <v>116</v>
      </c>
      <c r="B47" s="695" t="s">
        <v>561</v>
      </c>
      <c r="C47" s="1132" t="s">
        <v>721</v>
      </c>
      <c r="D47" s="1133"/>
      <c r="E47" s="705">
        <f t="shared" si="4"/>
        <v>0</v>
      </c>
      <c r="F47" s="846">
        <v>0</v>
      </c>
      <c r="G47" s="794"/>
      <c r="H47" s="794"/>
      <c r="I47" s="675"/>
      <c r="J47" s="675"/>
      <c r="K47" s="842"/>
    </row>
    <row r="48" spans="1:11" ht="13.5" thickBot="1">
      <c r="A48" s="686" t="s">
        <v>233</v>
      </c>
      <c r="B48" s="1121" t="s">
        <v>722</v>
      </c>
      <c r="C48" s="1122"/>
      <c r="D48" s="1122"/>
      <c r="E48" s="707">
        <f t="shared" si="4"/>
        <v>20298274783</v>
      </c>
      <c r="F48" s="849">
        <f aca="true" t="shared" si="9" ref="F48:K48">F8+F33+F36+F42+F46+F47</f>
        <v>19518134791</v>
      </c>
      <c r="G48" s="801">
        <f t="shared" si="9"/>
        <v>133056504</v>
      </c>
      <c r="H48" s="801">
        <f t="shared" si="9"/>
        <v>290153036</v>
      </c>
      <c r="I48" s="801">
        <f t="shared" si="9"/>
        <v>205001595</v>
      </c>
      <c r="J48" s="801">
        <f t="shared" si="9"/>
        <v>35674967</v>
      </c>
      <c r="K48" s="844">
        <f t="shared" si="9"/>
        <v>116253890</v>
      </c>
    </row>
    <row r="49" spans="1:11" ht="12.75">
      <c r="A49" s="699"/>
      <c r="B49" s="699"/>
      <c r="C49" s="699"/>
      <c r="D49" s="700"/>
      <c r="E49" s="802"/>
      <c r="F49" s="803"/>
      <c r="G49" s="803"/>
      <c r="H49" s="803"/>
      <c r="I49" s="804"/>
      <c r="J49" s="804"/>
      <c r="K49" s="805"/>
    </row>
    <row r="50" spans="1:11" ht="15.75" customHeight="1">
      <c r="A50" s="1136" t="s">
        <v>872</v>
      </c>
      <c r="B50" s="1136"/>
      <c r="C50" s="1136"/>
      <c r="D50" s="1136"/>
      <c r="E50" s="1136"/>
      <c r="F50" s="1136"/>
      <c r="G50" s="1136"/>
      <c r="H50" s="1136"/>
      <c r="I50" s="1136"/>
      <c r="J50" s="1136"/>
      <c r="K50" s="1136"/>
    </row>
    <row r="51" spans="1:11" ht="13.5" thickBot="1">
      <c r="A51" s="699"/>
      <c r="B51" s="699"/>
      <c r="C51" s="699"/>
      <c r="D51" s="806"/>
      <c r="F51" s="803"/>
      <c r="G51" s="803"/>
      <c r="H51" s="803"/>
      <c r="I51" s="804"/>
      <c r="J51" s="804"/>
      <c r="K51" s="805"/>
    </row>
    <row r="52" spans="1:11" ht="55.5" customHeight="1">
      <c r="A52" s="702"/>
      <c r="B52" s="1124" t="s">
        <v>612</v>
      </c>
      <c r="C52" s="1125"/>
      <c r="D52" s="1125"/>
      <c r="E52" s="703" t="s">
        <v>99</v>
      </c>
      <c r="F52" s="687" t="s">
        <v>104</v>
      </c>
      <c r="G52" s="688" t="s">
        <v>688</v>
      </c>
      <c r="H52" s="688" t="s">
        <v>529</v>
      </c>
      <c r="I52" s="688" t="s">
        <v>102</v>
      </c>
      <c r="J52" s="688" t="s">
        <v>392</v>
      </c>
      <c r="K52" s="688" t="s">
        <v>391</v>
      </c>
    </row>
    <row r="53" spans="1:11" ht="12.75">
      <c r="A53" s="704" t="s">
        <v>237</v>
      </c>
      <c r="B53" s="689" t="s">
        <v>563</v>
      </c>
      <c r="C53" s="1132" t="s">
        <v>723</v>
      </c>
      <c r="D53" s="1133"/>
      <c r="E53" s="705">
        <f aca="true" t="shared" si="10" ref="E53:E69">SUM(F53:K53)</f>
        <v>18375089440</v>
      </c>
      <c r="F53" s="807">
        <f aca="true" t="shared" si="11" ref="F53:K53">SUM(F54:F59)</f>
        <v>17680801577</v>
      </c>
      <c r="G53" s="675">
        <f t="shared" si="11"/>
        <v>106837217</v>
      </c>
      <c r="H53" s="675">
        <f t="shared" si="11"/>
        <v>253603120</v>
      </c>
      <c r="I53" s="675">
        <f t="shared" si="11"/>
        <v>187858522</v>
      </c>
      <c r="J53" s="675">
        <f t="shared" si="11"/>
        <v>31344810</v>
      </c>
      <c r="K53" s="675">
        <f t="shared" si="11"/>
        <v>114644194</v>
      </c>
    </row>
    <row r="54" spans="1:11" ht="12.75">
      <c r="A54" s="704" t="s">
        <v>238</v>
      </c>
      <c r="B54" s="694"/>
      <c r="C54" s="564" t="s">
        <v>424</v>
      </c>
      <c r="D54" s="693" t="s">
        <v>614</v>
      </c>
      <c r="E54" s="705">
        <f t="shared" si="10"/>
        <v>16149487355</v>
      </c>
      <c r="F54" s="808">
        <v>15212974836</v>
      </c>
      <c r="G54" s="566">
        <v>200054864</v>
      </c>
      <c r="H54" s="566">
        <v>362365023</v>
      </c>
      <c r="I54" s="566">
        <v>198993343</v>
      </c>
      <c r="J54" s="566">
        <v>50255460</v>
      </c>
      <c r="K54" s="566">
        <v>124843829</v>
      </c>
    </row>
    <row r="55" spans="1:11" ht="12.75">
      <c r="A55" s="704" t="s">
        <v>239</v>
      </c>
      <c r="B55" s="694"/>
      <c r="C55" s="564" t="s">
        <v>83</v>
      </c>
      <c r="D55" s="693" t="s">
        <v>724</v>
      </c>
      <c r="E55" s="705">
        <f t="shared" si="10"/>
        <v>835331734</v>
      </c>
      <c r="F55" s="808">
        <v>835331734</v>
      </c>
      <c r="G55" s="566"/>
      <c r="H55" s="566"/>
      <c r="I55" s="566"/>
      <c r="J55" s="566"/>
      <c r="K55" s="566"/>
    </row>
    <row r="56" spans="1:11" ht="12.75">
      <c r="A56" s="704" t="s">
        <v>240</v>
      </c>
      <c r="B56" s="694"/>
      <c r="C56" s="564" t="s">
        <v>84</v>
      </c>
      <c r="D56" s="693" t="s">
        <v>618</v>
      </c>
      <c r="E56" s="705">
        <f t="shared" si="10"/>
        <v>1233423530</v>
      </c>
      <c r="F56" s="808">
        <v>1126550820</v>
      </c>
      <c r="G56" s="566">
        <v>16555911</v>
      </c>
      <c r="H56" s="566">
        <v>51708743</v>
      </c>
      <c r="I56" s="566">
        <v>33633230</v>
      </c>
      <c r="J56" s="566">
        <v>4085484</v>
      </c>
      <c r="K56" s="566">
        <v>889342</v>
      </c>
    </row>
    <row r="57" spans="1:11" ht="12.75">
      <c r="A57" s="704" t="s">
        <v>241</v>
      </c>
      <c r="B57" s="694"/>
      <c r="C57" s="564" t="s">
        <v>428</v>
      </c>
      <c r="D57" s="693" t="s">
        <v>725</v>
      </c>
      <c r="E57" s="705">
        <f t="shared" si="10"/>
        <v>459310271</v>
      </c>
      <c r="F57" s="808">
        <v>741400060</v>
      </c>
      <c r="G57" s="566">
        <v>-111751373</v>
      </c>
      <c r="H57" s="566">
        <v>-151779564</v>
      </c>
      <c r="I57" s="566">
        <v>1153448</v>
      </c>
      <c r="J57" s="566">
        <v>-10574365</v>
      </c>
      <c r="K57" s="566">
        <v>-9137935</v>
      </c>
    </row>
    <row r="58" spans="1:11" ht="12.75">
      <c r="A58" s="704" t="s">
        <v>242</v>
      </c>
      <c r="B58" s="694"/>
      <c r="C58" s="564" t="s">
        <v>717</v>
      </c>
      <c r="D58" s="693" t="s">
        <v>726</v>
      </c>
      <c r="E58" s="705">
        <f t="shared" si="10"/>
        <v>0</v>
      </c>
      <c r="F58" s="808"/>
      <c r="G58" s="566"/>
      <c r="H58" s="566"/>
      <c r="I58" s="566"/>
      <c r="J58" s="566"/>
      <c r="K58" s="566"/>
    </row>
    <row r="59" spans="1:11" ht="12.75">
      <c r="A59" s="704" t="s">
        <v>243</v>
      </c>
      <c r="B59" s="694"/>
      <c r="C59" s="564" t="s">
        <v>727</v>
      </c>
      <c r="D59" s="693" t="s">
        <v>728</v>
      </c>
      <c r="E59" s="705">
        <f t="shared" si="10"/>
        <v>-302463450</v>
      </c>
      <c r="F59" s="808">
        <v>-235455873</v>
      </c>
      <c r="G59" s="566">
        <v>1977815</v>
      </c>
      <c r="H59" s="566">
        <v>-8691082</v>
      </c>
      <c r="I59" s="566">
        <v>-45921499</v>
      </c>
      <c r="J59" s="566">
        <v>-12421769</v>
      </c>
      <c r="K59" s="566">
        <v>-1951042</v>
      </c>
    </row>
    <row r="60" spans="1:11" ht="12.75">
      <c r="A60" s="704" t="s">
        <v>244</v>
      </c>
      <c r="B60" s="689" t="s">
        <v>636</v>
      </c>
      <c r="C60" s="1132" t="s">
        <v>729</v>
      </c>
      <c r="D60" s="1133"/>
      <c r="E60" s="705">
        <f t="shared" si="10"/>
        <v>375998321</v>
      </c>
      <c r="F60" s="807">
        <f>SUM(F61:F66)</f>
        <v>369807466</v>
      </c>
      <c r="G60" s="675">
        <f>SUM(G61:G65)</f>
        <v>3582082</v>
      </c>
      <c r="H60" s="675">
        <f>SUM(H61:H65)</f>
        <v>1998997</v>
      </c>
      <c r="I60" s="675">
        <f>SUM(I61:I65)</f>
        <v>598288</v>
      </c>
      <c r="J60" s="675">
        <f>SUM(J61:J65)</f>
        <v>11488</v>
      </c>
      <c r="K60" s="675">
        <f>SUM(K61:K65)</f>
        <v>0</v>
      </c>
    </row>
    <row r="61" spans="1:11" ht="12.75">
      <c r="A61" s="704" t="s">
        <v>256</v>
      </c>
      <c r="B61" s="694"/>
      <c r="C61" s="564" t="s">
        <v>424</v>
      </c>
      <c r="D61" s="693" t="s">
        <v>627</v>
      </c>
      <c r="E61" s="705">
        <f t="shared" si="10"/>
        <v>4689420</v>
      </c>
      <c r="F61" s="808">
        <v>0</v>
      </c>
      <c r="G61" s="566">
        <v>2080647</v>
      </c>
      <c r="H61" s="566">
        <v>1998997</v>
      </c>
      <c r="I61" s="566">
        <v>598288</v>
      </c>
      <c r="J61" s="566">
        <v>11488</v>
      </c>
      <c r="K61" s="566">
        <v>0</v>
      </c>
    </row>
    <row r="62" spans="1:11" ht="12.75">
      <c r="A62" s="704" t="s">
        <v>257</v>
      </c>
      <c r="B62" s="694"/>
      <c r="C62" s="564" t="s">
        <v>83</v>
      </c>
      <c r="D62" s="693" t="s">
        <v>629</v>
      </c>
      <c r="E62" s="705">
        <f t="shared" si="10"/>
        <v>363286936</v>
      </c>
      <c r="F62" s="808">
        <v>363286936</v>
      </c>
      <c r="G62" s="566"/>
      <c r="H62" s="566"/>
      <c r="I62" s="566"/>
      <c r="J62" s="566"/>
      <c r="K62" s="566"/>
    </row>
    <row r="63" spans="1:11" ht="12.75">
      <c r="A63" s="704" t="s">
        <v>338</v>
      </c>
      <c r="B63" s="694"/>
      <c r="C63" s="564" t="s">
        <v>730</v>
      </c>
      <c r="D63" s="693" t="s">
        <v>631</v>
      </c>
      <c r="E63" s="705">
        <f t="shared" si="10"/>
        <v>1751908</v>
      </c>
      <c r="F63" s="808">
        <v>250473</v>
      </c>
      <c r="G63" s="566">
        <v>1501435</v>
      </c>
      <c r="H63" s="566"/>
      <c r="I63" s="566"/>
      <c r="J63" s="566"/>
      <c r="K63" s="566"/>
    </row>
    <row r="64" spans="1:11" ht="25.5">
      <c r="A64" s="704"/>
      <c r="B64" s="694"/>
      <c r="C64" s="564" t="s">
        <v>731</v>
      </c>
      <c r="D64" s="706" t="s">
        <v>839</v>
      </c>
      <c r="E64" s="705">
        <f t="shared" si="10"/>
        <v>26000</v>
      </c>
      <c r="F64" s="808">
        <v>26000</v>
      </c>
      <c r="G64" s="566"/>
      <c r="H64" s="566"/>
      <c r="I64" s="566"/>
      <c r="J64" s="566"/>
      <c r="K64" s="566"/>
    </row>
    <row r="65" spans="1:11" ht="12.75">
      <c r="A65" s="704" t="s">
        <v>339</v>
      </c>
      <c r="B65" s="694"/>
      <c r="C65" s="564" t="s">
        <v>840</v>
      </c>
      <c r="D65" s="706" t="s">
        <v>732</v>
      </c>
      <c r="E65" s="705">
        <f t="shared" si="10"/>
        <v>1170508</v>
      </c>
      <c r="F65" s="808">
        <v>1170508</v>
      </c>
      <c r="G65" s="566"/>
      <c r="H65" s="566"/>
      <c r="I65" s="566"/>
      <c r="J65" s="566"/>
      <c r="K65" s="566"/>
    </row>
    <row r="66" spans="1:11" ht="25.5">
      <c r="A66" s="704"/>
      <c r="B66" s="694"/>
      <c r="C66" s="564" t="s">
        <v>841</v>
      </c>
      <c r="D66" s="706" t="s">
        <v>842</v>
      </c>
      <c r="E66" s="705">
        <f t="shared" si="10"/>
        <v>5073549</v>
      </c>
      <c r="F66" s="808">
        <v>5073549</v>
      </c>
      <c r="G66" s="566"/>
      <c r="H66" s="566"/>
      <c r="I66" s="566"/>
      <c r="J66" s="566"/>
      <c r="K66" s="566"/>
    </row>
    <row r="67" spans="1:11" s="796" customFormat="1" ht="12.75">
      <c r="A67" s="819" t="s">
        <v>341</v>
      </c>
      <c r="B67" s="689" t="s">
        <v>638</v>
      </c>
      <c r="C67" s="1132" t="s">
        <v>733</v>
      </c>
      <c r="D67" s="1133"/>
      <c r="E67" s="705">
        <f t="shared" si="10"/>
        <v>0</v>
      </c>
      <c r="F67" s="807"/>
      <c r="G67" s="675"/>
      <c r="H67" s="675"/>
      <c r="I67" s="675"/>
      <c r="J67" s="675"/>
      <c r="K67" s="675"/>
    </row>
    <row r="68" spans="1:11" s="796" customFormat="1" ht="12.75">
      <c r="A68" s="819" t="s">
        <v>342</v>
      </c>
      <c r="B68" s="689" t="s">
        <v>640</v>
      </c>
      <c r="C68" s="1132" t="s">
        <v>734</v>
      </c>
      <c r="D68" s="1133"/>
      <c r="E68" s="705">
        <f t="shared" si="10"/>
        <v>1547187022</v>
      </c>
      <c r="F68" s="807">
        <v>1467525748</v>
      </c>
      <c r="G68" s="675">
        <v>22637205</v>
      </c>
      <c r="H68" s="675">
        <v>34550919</v>
      </c>
      <c r="I68" s="675">
        <v>16544785</v>
      </c>
      <c r="J68" s="675">
        <v>4318669</v>
      </c>
      <c r="K68" s="675">
        <v>1609696</v>
      </c>
    </row>
    <row r="69" spans="1:11" ht="13.5" thickBot="1">
      <c r="A69" s="704" t="s">
        <v>258</v>
      </c>
      <c r="B69" s="1121" t="s">
        <v>735</v>
      </c>
      <c r="C69" s="1122"/>
      <c r="D69" s="1122"/>
      <c r="E69" s="707">
        <f t="shared" si="10"/>
        <v>20298274783</v>
      </c>
      <c r="F69" s="809">
        <f aca="true" t="shared" si="12" ref="F69:K69">F53+F60+F67+F68</f>
        <v>19518134791</v>
      </c>
      <c r="G69" s="809">
        <f t="shared" si="12"/>
        <v>133056504</v>
      </c>
      <c r="H69" s="809">
        <f t="shared" si="12"/>
        <v>290153036</v>
      </c>
      <c r="I69" s="809">
        <f t="shared" si="12"/>
        <v>205001595</v>
      </c>
      <c r="J69" s="809">
        <f t="shared" si="12"/>
        <v>35674967</v>
      </c>
      <c r="K69" s="809">
        <f t="shared" si="12"/>
        <v>116253890</v>
      </c>
    </row>
    <row r="70" spans="1:11" ht="12.75">
      <c r="A70" s="708"/>
      <c r="B70" s="708"/>
      <c r="C70" s="708"/>
      <c r="D70" s="709"/>
      <c r="E70" s="805">
        <f aca="true" t="shared" si="13" ref="E70:K70">E69-E48</f>
        <v>0</v>
      </c>
      <c r="F70" s="805">
        <f t="shared" si="13"/>
        <v>0</v>
      </c>
      <c r="G70" s="805">
        <f t="shared" si="13"/>
        <v>0</v>
      </c>
      <c r="H70" s="805">
        <f t="shared" si="13"/>
        <v>0</v>
      </c>
      <c r="I70" s="805">
        <f t="shared" si="13"/>
        <v>0</v>
      </c>
      <c r="J70" s="805">
        <f t="shared" si="13"/>
        <v>0</v>
      </c>
      <c r="K70" s="805">
        <f t="shared" si="13"/>
        <v>0</v>
      </c>
    </row>
    <row r="71" spans="1:11" ht="12.75">
      <c r="A71" s="1123" t="s">
        <v>736</v>
      </c>
      <c r="B71" s="1123"/>
      <c r="C71" s="1123"/>
      <c r="D71" s="1123"/>
      <c r="E71" s="1123"/>
      <c r="F71" s="1123"/>
      <c r="G71" s="1123"/>
      <c r="H71" s="1123"/>
      <c r="I71" s="1123"/>
      <c r="J71" s="1123"/>
      <c r="K71" s="1123"/>
    </row>
    <row r="72" spans="1:11" ht="12.75">
      <c r="A72" s="684"/>
      <c r="B72" s="684"/>
      <c r="C72" s="684"/>
      <c r="D72" s="684"/>
      <c r="E72" s="684"/>
      <c r="F72" s="805"/>
      <c r="G72" s="805"/>
      <c r="H72" s="805"/>
      <c r="I72" s="805"/>
      <c r="J72" s="805"/>
      <c r="K72" s="805"/>
    </row>
    <row r="73" spans="1:11" ht="12.75">
      <c r="A73" s="685"/>
      <c r="B73" s="1112" t="s">
        <v>737</v>
      </c>
      <c r="C73" s="1112"/>
      <c r="D73" s="1112"/>
      <c r="E73" s="684"/>
      <c r="F73" s="805"/>
      <c r="G73" s="805"/>
      <c r="H73" s="805"/>
      <c r="I73" s="805"/>
      <c r="J73" s="805"/>
      <c r="K73" s="805"/>
    </row>
    <row r="74" spans="1:11" ht="13.5" thickBot="1">
      <c r="A74" s="685"/>
      <c r="B74" s="810"/>
      <c r="C74" s="810"/>
      <c r="D74" s="810"/>
      <c r="F74" s="805"/>
      <c r="G74" s="805"/>
      <c r="H74" s="805"/>
      <c r="I74" s="805"/>
      <c r="J74" s="805"/>
      <c r="K74" s="805"/>
    </row>
    <row r="75" spans="1:11" ht="52.5" customHeight="1">
      <c r="A75" s="710"/>
      <c r="B75" s="1124" t="s">
        <v>11</v>
      </c>
      <c r="C75" s="1125"/>
      <c r="D75" s="1126"/>
      <c r="E75" s="711" t="s">
        <v>99</v>
      </c>
      <c r="F75" s="687" t="s">
        <v>104</v>
      </c>
      <c r="G75" s="688" t="s">
        <v>688</v>
      </c>
      <c r="H75" s="688" t="s">
        <v>529</v>
      </c>
      <c r="I75" s="688" t="s">
        <v>102</v>
      </c>
      <c r="J75" s="688" t="s">
        <v>392</v>
      </c>
      <c r="K75" s="688" t="s">
        <v>391</v>
      </c>
    </row>
    <row r="76" spans="1:11" ht="12.75">
      <c r="A76" s="712" t="s">
        <v>259</v>
      </c>
      <c r="B76" s="1127" t="s">
        <v>738</v>
      </c>
      <c r="C76" s="1128"/>
      <c r="D76" s="1128"/>
      <c r="E76" s="696">
        <f>SUM(F76:K76)</f>
        <v>943587279</v>
      </c>
      <c r="F76" s="808">
        <v>609117650</v>
      </c>
      <c r="G76" s="566">
        <v>65400398</v>
      </c>
      <c r="H76" s="566">
        <v>135058726</v>
      </c>
      <c r="I76" s="566">
        <v>39347461</v>
      </c>
      <c r="J76" s="566">
        <v>81555812</v>
      </c>
      <c r="K76" s="566">
        <v>13107232</v>
      </c>
    </row>
    <row r="77" spans="1:11" ht="12.75">
      <c r="A77" s="712"/>
      <c r="B77" s="1129" t="s">
        <v>739</v>
      </c>
      <c r="C77" s="1130"/>
      <c r="D77" s="1131"/>
      <c r="E77" s="696">
        <f>SUM(F77:K77)</f>
        <v>0</v>
      </c>
      <c r="F77" s="808"/>
      <c r="G77" s="566"/>
      <c r="H77" s="566"/>
      <c r="I77" s="566"/>
      <c r="J77" s="566"/>
      <c r="K77" s="566"/>
    </row>
    <row r="78" spans="1:11" ht="12.75">
      <c r="A78" s="712" t="s">
        <v>260</v>
      </c>
      <c r="B78" s="1117" t="s">
        <v>740</v>
      </c>
      <c r="C78" s="1118"/>
      <c r="D78" s="1118"/>
      <c r="E78" s="696"/>
      <c r="F78" s="808"/>
      <c r="G78" s="566"/>
      <c r="H78" s="566"/>
      <c r="I78" s="566"/>
      <c r="J78" s="566"/>
      <c r="K78" s="566"/>
    </row>
    <row r="79" spans="1:11" ht="12.75">
      <c r="A79" s="712" t="s">
        <v>261</v>
      </c>
      <c r="B79" s="860"/>
      <c r="C79" s="1119" t="s">
        <v>741</v>
      </c>
      <c r="D79" s="1119"/>
      <c r="E79" s="696">
        <f>SUM(F79:K79)</f>
        <v>356000</v>
      </c>
      <c r="F79" s="808"/>
      <c r="G79" s="566"/>
      <c r="H79" s="566"/>
      <c r="I79" s="566">
        <v>330000</v>
      </c>
      <c r="J79" s="566">
        <v>26000</v>
      </c>
      <c r="K79" s="566"/>
    </row>
    <row r="80" spans="1:11" ht="12.75">
      <c r="A80" s="712" t="s">
        <v>262</v>
      </c>
      <c r="B80" s="860"/>
      <c r="C80" s="1119" t="s">
        <v>742</v>
      </c>
      <c r="D80" s="1119"/>
      <c r="E80" s="696">
        <f>SUM(F80:K80)</f>
        <v>0</v>
      </c>
      <c r="F80" s="808"/>
      <c r="G80" s="566"/>
      <c r="H80" s="566"/>
      <c r="I80" s="566"/>
      <c r="J80" s="566"/>
      <c r="K80" s="566"/>
    </row>
    <row r="81" spans="1:11" ht="12.75">
      <c r="A81" s="712" t="s">
        <v>263</v>
      </c>
      <c r="B81" s="860"/>
      <c r="C81" s="1119" t="s">
        <v>743</v>
      </c>
      <c r="D81" s="1119"/>
      <c r="E81" s="696">
        <f>SUM(F81:K81)</f>
        <v>0</v>
      </c>
      <c r="F81" s="808"/>
      <c r="G81" s="566"/>
      <c r="H81" s="566"/>
      <c r="I81" s="566"/>
      <c r="J81" s="566"/>
      <c r="K81" s="566"/>
    </row>
    <row r="82" spans="1:11" ht="12.75">
      <c r="A82" s="712" t="s">
        <v>264</v>
      </c>
      <c r="B82" s="860"/>
      <c r="C82" s="1119" t="s">
        <v>744</v>
      </c>
      <c r="D82" s="1119"/>
      <c r="E82" s="696">
        <f>SUM(F82:K82)</f>
        <v>0</v>
      </c>
      <c r="F82" s="808"/>
      <c r="G82" s="566"/>
      <c r="H82" s="566"/>
      <c r="I82" s="566"/>
      <c r="J82" s="566"/>
      <c r="K82" s="566"/>
    </row>
    <row r="83" spans="1:11" ht="13.5" thickBot="1">
      <c r="A83" s="712" t="s">
        <v>265</v>
      </c>
      <c r="B83" s="861"/>
      <c r="C83" s="1120" t="s">
        <v>745</v>
      </c>
      <c r="D83" s="1120"/>
      <c r="E83" s="811">
        <v>0</v>
      </c>
      <c r="F83" s="812"/>
      <c r="G83" s="813"/>
      <c r="H83" s="813"/>
      <c r="I83" s="813"/>
      <c r="J83" s="813"/>
      <c r="K83" s="813"/>
    </row>
    <row r="84" spans="1:11" ht="12.75">
      <c r="A84" s="685"/>
      <c r="B84" s="685"/>
      <c r="C84" s="1111"/>
      <c r="D84" s="1111"/>
      <c r="E84" s="804"/>
      <c r="F84" s="805"/>
      <c r="G84" s="805"/>
      <c r="H84" s="805"/>
      <c r="I84" s="805"/>
      <c r="J84" s="805"/>
      <c r="K84" s="805"/>
    </row>
    <row r="85" spans="1:11" ht="12.75">
      <c r="A85" s="685"/>
      <c r="B85" s="1112" t="s">
        <v>746</v>
      </c>
      <c r="C85" s="1112"/>
      <c r="D85" s="1112"/>
      <c r="E85" s="804"/>
      <c r="F85" s="805"/>
      <c r="G85" s="805"/>
      <c r="H85" s="805"/>
      <c r="I85" s="805"/>
      <c r="J85" s="805"/>
      <c r="K85" s="805"/>
    </row>
    <row r="86" spans="1:11" ht="13.5" thickBot="1">
      <c r="A86" s="685"/>
      <c r="B86" s="685"/>
      <c r="C86" s="1113"/>
      <c r="D86" s="1113"/>
      <c r="F86" s="805"/>
      <c r="G86" s="805"/>
      <c r="H86" s="805"/>
      <c r="I86" s="805"/>
      <c r="J86" s="805"/>
      <c r="K86" s="805"/>
    </row>
    <row r="87" spans="1:11" ht="12.75">
      <c r="A87" s="713" t="s">
        <v>266</v>
      </c>
      <c r="B87" s="714"/>
      <c r="C87" s="1114" t="s">
        <v>747</v>
      </c>
      <c r="D87" s="1114"/>
      <c r="E87" s="814">
        <v>0</v>
      </c>
      <c r="F87" s="815"/>
      <c r="G87" s="816"/>
      <c r="H87" s="816"/>
      <c r="I87" s="816"/>
      <c r="J87" s="816"/>
      <c r="K87" s="816"/>
    </row>
    <row r="88" spans="1:11" ht="12.75">
      <c r="A88" s="713" t="s">
        <v>267</v>
      </c>
      <c r="B88" s="715"/>
      <c r="C88" s="1115" t="s">
        <v>748</v>
      </c>
      <c r="D88" s="1115"/>
      <c r="E88" s="817">
        <v>0</v>
      </c>
      <c r="F88" s="808"/>
      <c r="G88" s="566"/>
      <c r="H88" s="566"/>
      <c r="I88" s="566"/>
      <c r="J88" s="566"/>
      <c r="K88" s="566"/>
    </row>
    <row r="89" spans="1:11" ht="12.75">
      <c r="A89" s="713" t="s">
        <v>268</v>
      </c>
      <c r="B89" s="715"/>
      <c r="C89" s="1116" t="s">
        <v>749</v>
      </c>
      <c r="D89" s="1116"/>
      <c r="E89" s="817">
        <v>0</v>
      </c>
      <c r="F89" s="808"/>
      <c r="G89" s="566"/>
      <c r="H89" s="566"/>
      <c r="I89" s="566"/>
      <c r="J89" s="566"/>
      <c r="K89" s="566"/>
    </row>
    <row r="90" spans="1:11" ht="13.5" thickBot="1">
      <c r="A90" s="713" t="s">
        <v>269</v>
      </c>
      <c r="B90" s="716"/>
      <c r="C90" s="1110" t="s">
        <v>750</v>
      </c>
      <c r="D90" s="1110"/>
      <c r="E90" s="818">
        <v>0</v>
      </c>
      <c r="F90" s="812"/>
      <c r="G90" s="813"/>
      <c r="H90" s="813"/>
      <c r="I90" s="813"/>
      <c r="J90" s="813"/>
      <c r="K90" s="813"/>
    </row>
    <row r="91" spans="1:3" ht="12.75">
      <c r="A91" s="717"/>
      <c r="B91" s="717"/>
      <c r="C91" s="717"/>
    </row>
    <row r="92" spans="1:3" ht="12.75">
      <c r="A92" s="717"/>
      <c r="B92" s="717"/>
      <c r="C92" s="717"/>
    </row>
    <row r="93" spans="1:3" ht="12.75">
      <c r="A93" s="717"/>
      <c r="B93" s="717"/>
      <c r="C93" s="717"/>
    </row>
    <row r="94" spans="1:3" ht="12.75">
      <c r="A94" s="717"/>
      <c r="B94" s="717"/>
      <c r="C94" s="717"/>
    </row>
  </sheetData>
  <sheetProtection/>
  <mergeCells count="43">
    <mergeCell ref="D1:K1"/>
    <mergeCell ref="A3:K3"/>
    <mergeCell ref="A4:K4"/>
    <mergeCell ref="B7:D7"/>
    <mergeCell ref="C8:D8"/>
    <mergeCell ref="B9:B27"/>
    <mergeCell ref="C11:C27"/>
    <mergeCell ref="A50:K50"/>
    <mergeCell ref="B29:B31"/>
    <mergeCell ref="C29:C31"/>
    <mergeCell ref="C33:D33"/>
    <mergeCell ref="B34:B35"/>
    <mergeCell ref="C36:D36"/>
    <mergeCell ref="B37:B41"/>
    <mergeCell ref="B52:D52"/>
    <mergeCell ref="C53:D53"/>
    <mergeCell ref="C60:D60"/>
    <mergeCell ref="C67:D67"/>
    <mergeCell ref="C68:D68"/>
    <mergeCell ref="C42:D42"/>
    <mergeCell ref="B43:B44"/>
    <mergeCell ref="C46:D46"/>
    <mergeCell ref="C47:D47"/>
    <mergeCell ref="B48:D48"/>
    <mergeCell ref="B69:D69"/>
    <mergeCell ref="A71:K71"/>
    <mergeCell ref="B73:D73"/>
    <mergeCell ref="B75:D75"/>
    <mergeCell ref="B76:D76"/>
    <mergeCell ref="B77:D77"/>
    <mergeCell ref="B78:D78"/>
    <mergeCell ref="C79:D79"/>
    <mergeCell ref="C80:D80"/>
    <mergeCell ref="C81:D81"/>
    <mergeCell ref="C82:D82"/>
    <mergeCell ref="C83:D83"/>
    <mergeCell ref="C90:D90"/>
    <mergeCell ref="C84:D84"/>
    <mergeCell ref="B85:D85"/>
    <mergeCell ref="C86:D86"/>
    <mergeCell ref="C87:D87"/>
    <mergeCell ref="C88:D88"/>
    <mergeCell ref="C89:D8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00390625" style="864" customWidth="1"/>
    <col min="2" max="2" width="4.421875" style="864" customWidth="1"/>
    <col min="3" max="3" width="50.28125" style="864" customWidth="1"/>
    <col min="4" max="4" width="13.421875" style="864" customWidth="1"/>
    <col min="5" max="5" width="12.8515625" style="864" customWidth="1"/>
    <col min="6" max="16384" width="9.140625" style="864" customWidth="1"/>
  </cols>
  <sheetData>
    <row r="1" spans="1:5" ht="18" customHeight="1">
      <c r="A1" s="1149" t="s">
        <v>873</v>
      </c>
      <c r="B1" s="1150"/>
      <c r="C1" s="1150"/>
      <c r="D1" s="1150"/>
      <c r="E1" s="1151"/>
    </row>
    <row r="2" spans="1:5" ht="18" customHeight="1">
      <c r="A2" s="862"/>
      <c r="B2" s="863"/>
      <c r="C2" s="863"/>
      <c r="D2" s="863"/>
      <c r="E2" s="865"/>
    </row>
    <row r="3" spans="1:5" ht="18" customHeight="1">
      <c r="A3" s="1152" t="s">
        <v>751</v>
      </c>
      <c r="B3" s="1153"/>
      <c r="C3" s="1153"/>
      <c r="D3" s="1153"/>
      <c r="E3" s="1154"/>
    </row>
    <row r="4" spans="1:5" ht="18" customHeight="1">
      <c r="A4" s="1152" t="s">
        <v>843</v>
      </c>
      <c r="B4" s="1153"/>
      <c r="C4" s="1153"/>
      <c r="D4" s="1153"/>
      <c r="E4" s="1154"/>
    </row>
    <row r="5" spans="6:9" ht="18" customHeight="1">
      <c r="F5" s="866"/>
      <c r="G5" s="866"/>
      <c r="H5" s="866"/>
      <c r="I5" s="866"/>
    </row>
    <row r="6" spans="1:5" ht="18" customHeight="1">
      <c r="A6" s="867"/>
      <c r="B6" s="867" t="s">
        <v>0</v>
      </c>
      <c r="C6" s="867" t="s">
        <v>1</v>
      </c>
      <c r="D6" s="868" t="s">
        <v>2</v>
      </c>
      <c r="E6" s="876" t="s">
        <v>3</v>
      </c>
    </row>
    <row r="7" spans="1:5" ht="18" customHeight="1">
      <c r="A7" s="867">
        <v>1</v>
      </c>
      <c r="B7" s="877"/>
      <c r="C7" s="877"/>
      <c r="D7" s="878"/>
      <c r="E7" s="879" t="s">
        <v>514</v>
      </c>
    </row>
    <row r="8" spans="1:5" ht="46.5" customHeight="1">
      <c r="A8" s="867">
        <f aca="true" t="shared" si="0" ref="A8:A23">A7+1</f>
        <v>2</v>
      </c>
      <c r="B8" s="869"/>
      <c r="C8" s="870" t="s">
        <v>11</v>
      </c>
      <c r="D8" s="870" t="s">
        <v>752</v>
      </c>
      <c r="E8" s="870" t="s">
        <v>753</v>
      </c>
    </row>
    <row r="9" spans="1:5" ht="18" customHeight="1">
      <c r="A9" s="871">
        <f t="shared" si="0"/>
        <v>3</v>
      </c>
      <c r="B9" s="872" t="s">
        <v>10</v>
      </c>
      <c r="C9" s="869" t="s">
        <v>754</v>
      </c>
      <c r="D9" s="873">
        <v>2012</v>
      </c>
      <c r="E9" s="873"/>
    </row>
    <row r="10" spans="1:5" ht="18" customHeight="1">
      <c r="A10" s="867">
        <f t="shared" si="0"/>
        <v>4</v>
      </c>
      <c r="B10" s="872" t="s">
        <v>15</v>
      </c>
      <c r="C10" s="869" t="s">
        <v>755</v>
      </c>
      <c r="D10" s="873">
        <v>100000</v>
      </c>
      <c r="E10" s="873"/>
    </row>
    <row r="11" spans="1:5" ht="18" customHeight="1">
      <c r="A11" s="867">
        <f t="shared" si="0"/>
        <v>5</v>
      </c>
      <c r="B11" s="872" t="s">
        <v>22</v>
      </c>
      <c r="C11" s="869" t="s">
        <v>756</v>
      </c>
      <c r="D11" s="874">
        <v>3600000</v>
      </c>
      <c r="E11" s="873"/>
    </row>
    <row r="12" spans="1:5" ht="18" customHeight="1">
      <c r="A12" s="867">
        <f t="shared" si="0"/>
        <v>6</v>
      </c>
      <c r="B12" s="872" t="s">
        <v>23</v>
      </c>
      <c r="C12" s="869" t="s">
        <v>757</v>
      </c>
      <c r="D12" s="873">
        <v>20000</v>
      </c>
      <c r="E12" s="873"/>
    </row>
    <row r="13" spans="1:5" ht="18" customHeight="1">
      <c r="A13" s="867">
        <f t="shared" si="0"/>
        <v>7</v>
      </c>
      <c r="B13" s="872" t="s">
        <v>52</v>
      </c>
      <c r="C13" s="869" t="s">
        <v>758</v>
      </c>
      <c r="D13" s="873">
        <v>132426000</v>
      </c>
      <c r="E13" s="873"/>
    </row>
    <row r="14" spans="1:5" ht="18" customHeight="1">
      <c r="A14" s="867">
        <f t="shared" si="0"/>
        <v>8</v>
      </c>
      <c r="B14" s="872" t="s">
        <v>54</v>
      </c>
      <c r="C14" s="869" t="s">
        <v>759</v>
      </c>
      <c r="D14" s="873">
        <v>500000</v>
      </c>
      <c r="E14" s="873"/>
    </row>
    <row r="15" spans="1:5" ht="18" customHeight="1">
      <c r="A15" s="867">
        <f t="shared" si="0"/>
        <v>9</v>
      </c>
      <c r="B15" s="872" t="s">
        <v>48</v>
      </c>
      <c r="C15" s="869" t="s">
        <v>760</v>
      </c>
      <c r="D15" s="873">
        <v>600000</v>
      </c>
      <c r="E15" s="873"/>
    </row>
    <row r="16" spans="1:5" ht="18" customHeight="1">
      <c r="A16" s="867">
        <f t="shared" si="0"/>
        <v>10</v>
      </c>
      <c r="B16" s="872" t="s">
        <v>24</v>
      </c>
      <c r="C16" s="869" t="s">
        <v>761</v>
      </c>
      <c r="D16" s="873">
        <v>3900000</v>
      </c>
      <c r="E16" s="873"/>
    </row>
    <row r="17" spans="1:5" ht="18" customHeight="1">
      <c r="A17" s="867">
        <f t="shared" si="0"/>
        <v>11</v>
      </c>
      <c r="B17" s="872" t="s">
        <v>26</v>
      </c>
      <c r="C17" s="869" t="s">
        <v>762</v>
      </c>
      <c r="D17" s="873">
        <v>1546500</v>
      </c>
      <c r="E17" s="873"/>
    </row>
    <row r="18" spans="1:5" ht="18" customHeight="1">
      <c r="A18" s="867">
        <f t="shared" si="0"/>
        <v>12</v>
      </c>
      <c r="B18" s="872" t="s">
        <v>28</v>
      </c>
      <c r="C18" s="869" t="s">
        <v>763</v>
      </c>
      <c r="D18" s="873">
        <v>10000</v>
      </c>
      <c r="E18" s="873"/>
    </row>
    <row r="19" spans="1:5" ht="18" customHeight="1">
      <c r="A19" s="867">
        <f t="shared" si="0"/>
        <v>13</v>
      </c>
      <c r="B19" s="872" t="s">
        <v>31</v>
      </c>
      <c r="C19" s="869" t="s">
        <v>764</v>
      </c>
      <c r="D19" s="873">
        <v>60000</v>
      </c>
      <c r="E19" s="873"/>
    </row>
    <row r="20" spans="1:5" ht="18" customHeight="1">
      <c r="A20" s="867">
        <f t="shared" si="0"/>
        <v>14</v>
      </c>
      <c r="B20" s="872" t="s">
        <v>49</v>
      </c>
      <c r="C20" s="869" t="s">
        <v>765</v>
      </c>
      <c r="D20" s="873">
        <v>30000000</v>
      </c>
      <c r="E20" s="873"/>
    </row>
    <row r="21" spans="1:5" ht="18" customHeight="1">
      <c r="A21" s="867">
        <f t="shared" si="0"/>
        <v>15</v>
      </c>
      <c r="B21" s="872" t="s">
        <v>33</v>
      </c>
      <c r="C21" s="869" t="s">
        <v>766</v>
      </c>
      <c r="D21" s="873">
        <v>103000</v>
      </c>
      <c r="E21" s="873"/>
    </row>
    <row r="22" spans="1:5" ht="18" customHeight="1">
      <c r="A22" s="867">
        <f t="shared" si="0"/>
        <v>16</v>
      </c>
      <c r="B22" s="872" t="s">
        <v>35</v>
      </c>
      <c r="C22" s="869" t="s">
        <v>767</v>
      </c>
      <c r="D22" s="873">
        <v>400000</v>
      </c>
      <c r="E22" s="873"/>
    </row>
    <row r="23" spans="1:5" ht="18" customHeight="1">
      <c r="A23" s="867">
        <f t="shared" si="0"/>
        <v>17</v>
      </c>
      <c r="B23" s="869"/>
      <c r="C23" s="718" t="s">
        <v>504</v>
      </c>
      <c r="D23" s="875">
        <f>SUM(D9:D22)</f>
        <v>173267512</v>
      </c>
      <c r="E23" s="875">
        <f>SUM(E9:E22)</f>
        <v>0</v>
      </c>
    </row>
    <row r="24" ht="18" customHeight="1">
      <c r="A24" s="866"/>
    </row>
    <row r="25" ht="18" customHeight="1">
      <c r="A25" s="866"/>
    </row>
    <row r="26" ht="18" customHeight="1">
      <c r="A26" s="866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PageLayoutView="0" workbookViewId="0" topLeftCell="A1">
      <selection activeCell="C1" sqref="C1:G1"/>
    </sheetView>
  </sheetViews>
  <sheetFormatPr defaultColWidth="9.140625" defaultRowHeight="12.75"/>
  <cols>
    <col min="1" max="1" width="5.8515625" style="719" customWidth="1"/>
    <col min="2" max="2" width="36.28125" style="719" customWidth="1"/>
    <col min="3" max="3" width="17.8515625" style="719" customWidth="1"/>
    <col min="4" max="4" width="18.7109375" style="719" customWidth="1"/>
    <col min="5" max="5" width="17.421875" style="719" customWidth="1"/>
    <col min="6" max="6" width="18.7109375" style="719" customWidth="1"/>
    <col min="7" max="7" width="16.140625" style="719" customWidth="1"/>
    <col min="8" max="8" width="21.00390625" style="719" hidden="1" customWidth="1"/>
    <col min="9" max="9" width="17.28125" style="719" hidden="1" customWidth="1"/>
    <col min="10" max="16384" width="9.140625" style="719" customWidth="1"/>
  </cols>
  <sheetData>
    <row r="1" spans="3:7" ht="12.75">
      <c r="C1" s="1108" t="s">
        <v>874</v>
      </c>
      <c r="D1" s="1108"/>
      <c r="E1" s="1108"/>
      <c r="F1" s="1108"/>
      <c r="G1" s="1108"/>
    </row>
    <row r="4" spans="1:7" s="721" customFormat="1" ht="44.25" customHeight="1">
      <c r="A4" s="1155" t="s">
        <v>844</v>
      </c>
      <c r="B4" s="1155"/>
      <c r="C4" s="1155"/>
      <c r="D4" s="1155"/>
      <c r="E4" s="1155"/>
      <c r="F4" s="1155"/>
      <c r="G4" s="1155"/>
    </row>
    <row r="5" spans="1:7" s="721" customFormat="1" ht="25.5" customHeight="1">
      <c r="A5" s="720"/>
      <c r="B5" s="720"/>
      <c r="C5" s="720"/>
      <c r="D5" s="720"/>
      <c r="E5" s="720"/>
      <c r="F5" s="720"/>
      <c r="G5" s="720"/>
    </row>
    <row r="6" spans="1:7" s="721" customFormat="1" ht="27.75" customHeight="1">
      <c r="A6" s="1156" t="s">
        <v>768</v>
      </c>
      <c r="B6" s="1156"/>
      <c r="C6" s="1156"/>
      <c r="D6" s="1156"/>
      <c r="E6" s="1156"/>
      <c r="F6" s="1156"/>
      <c r="G6" s="1156"/>
    </row>
    <row r="7" spans="1:7" ht="12.75">
      <c r="A7" s="1157"/>
      <c r="B7" s="1157"/>
      <c r="C7" s="1157"/>
      <c r="D7" s="1157"/>
      <c r="E7" s="1157"/>
      <c r="F7" s="1157"/>
      <c r="G7" s="1157"/>
    </row>
    <row r="8" ht="12.75">
      <c r="G8" s="722" t="s">
        <v>514</v>
      </c>
    </row>
    <row r="9" spans="1:7" ht="17.25" customHeight="1">
      <c r="A9" s="723"/>
      <c r="B9" s="724" t="s">
        <v>0</v>
      </c>
      <c r="C9" s="724" t="s">
        <v>1</v>
      </c>
      <c r="D9" s="724"/>
      <c r="E9" s="724" t="s">
        <v>2</v>
      </c>
      <c r="F9" s="724" t="s">
        <v>3</v>
      </c>
      <c r="G9" s="724" t="s">
        <v>4</v>
      </c>
    </row>
    <row r="10" spans="1:7" ht="17.25" customHeight="1">
      <c r="A10" s="723"/>
      <c r="B10" s="725"/>
      <c r="C10" s="1158" t="s">
        <v>828</v>
      </c>
      <c r="D10" s="1159"/>
      <c r="E10" s="1160" t="s">
        <v>769</v>
      </c>
      <c r="F10" s="1160" t="s">
        <v>770</v>
      </c>
      <c r="G10" s="1160" t="s">
        <v>846</v>
      </c>
    </row>
    <row r="11" spans="1:8" s="729" customFormat="1" ht="39.75" customHeight="1">
      <c r="A11" s="726" t="s">
        <v>10</v>
      </c>
      <c r="B11" s="727" t="s">
        <v>11</v>
      </c>
      <c r="C11" s="728" t="s">
        <v>845</v>
      </c>
      <c r="D11" s="728" t="s">
        <v>96</v>
      </c>
      <c r="E11" s="1161"/>
      <c r="F11" s="1161"/>
      <c r="G11" s="1161"/>
      <c r="H11" s="851" t="s">
        <v>849</v>
      </c>
    </row>
    <row r="12" spans="1:8" s="730" customFormat="1" ht="28.5" customHeight="1">
      <c r="A12" s="726" t="s">
        <v>15</v>
      </c>
      <c r="B12" s="734" t="s">
        <v>16</v>
      </c>
      <c r="C12" s="337">
        <f>1!J17</f>
        <v>588577446</v>
      </c>
      <c r="D12" s="337">
        <f>1!K17</f>
        <v>477980169</v>
      </c>
      <c r="E12" s="337">
        <f>1031587000-580041000</f>
        <v>451546000</v>
      </c>
      <c r="F12" s="337">
        <f>1050000000-580041000</f>
        <v>469959000</v>
      </c>
      <c r="G12" s="337">
        <v>469959000</v>
      </c>
      <c r="H12" s="851" t="s">
        <v>850</v>
      </c>
    </row>
    <row r="13" spans="1:7" s="730" customFormat="1" ht="24.75" customHeight="1">
      <c r="A13" s="726" t="s">
        <v>22</v>
      </c>
      <c r="B13" s="734" t="s">
        <v>17</v>
      </c>
      <c r="C13" s="337">
        <f>1!G17</f>
        <v>580041000</v>
      </c>
      <c r="D13" s="337">
        <f>1!H17</f>
        <v>592577388</v>
      </c>
      <c r="E13" s="337">
        <v>580041000</v>
      </c>
      <c r="F13" s="337">
        <v>580041000</v>
      </c>
      <c r="G13" s="337">
        <v>580041000</v>
      </c>
    </row>
    <row r="14" spans="1:7" s="730" customFormat="1" ht="24.75" customHeight="1">
      <c r="A14" s="726" t="s">
        <v>23</v>
      </c>
      <c r="B14" s="734" t="s">
        <v>18</v>
      </c>
      <c r="C14" s="337">
        <f>1!D17</f>
        <v>1415629974</v>
      </c>
      <c r="D14" s="337">
        <f>1!E17</f>
        <v>1415629974</v>
      </c>
      <c r="E14" s="337">
        <v>1347227038</v>
      </c>
      <c r="F14" s="337">
        <v>1400000000</v>
      </c>
      <c r="G14" s="337">
        <v>1400000000</v>
      </c>
    </row>
    <row r="15" spans="1:7" s="730" customFormat="1" ht="24.75" customHeight="1">
      <c r="A15" s="726" t="s">
        <v>52</v>
      </c>
      <c r="B15" s="734" t="s">
        <v>19</v>
      </c>
      <c r="C15" s="337">
        <f>1!M17</f>
        <v>817074032</v>
      </c>
      <c r="D15" s="337">
        <f>1!N17</f>
        <v>795059702</v>
      </c>
      <c r="E15" s="337">
        <v>755520985</v>
      </c>
      <c r="F15" s="337">
        <v>750000000</v>
      </c>
      <c r="G15" s="337">
        <v>750000000</v>
      </c>
    </row>
    <row r="16" spans="1:7" s="883" customFormat="1" ht="31.5" customHeight="1">
      <c r="A16" s="882" t="s">
        <v>54</v>
      </c>
      <c r="B16" s="734" t="s">
        <v>771</v>
      </c>
      <c r="C16" s="337">
        <f>1!P17</f>
        <v>694465400</v>
      </c>
      <c r="D16" s="337">
        <v>694465400</v>
      </c>
      <c r="E16" s="337">
        <v>121590879</v>
      </c>
      <c r="F16" s="337">
        <v>100000000</v>
      </c>
      <c r="G16" s="337">
        <v>100000000</v>
      </c>
    </row>
    <row r="17" spans="1:9" s="730" customFormat="1" ht="35.25" customHeight="1">
      <c r="A17" s="726"/>
      <c r="B17" s="734" t="s">
        <v>293</v>
      </c>
      <c r="C17" s="337">
        <v>0</v>
      </c>
      <c r="D17" s="337">
        <v>53889082</v>
      </c>
      <c r="E17" s="337"/>
      <c r="F17" s="337"/>
      <c r="G17" s="337"/>
      <c r="H17" s="731">
        <f>SUM(F12:F17)</f>
        <v>3300000000</v>
      </c>
      <c r="I17" s="731">
        <f>H17-H29</f>
        <v>117800000</v>
      </c>
    </row>
    <row r="18" spans="1:7" s="730" customFormat="1" ht="24.75" customHeight="1">
      <c r="A18" s="726" t="s">
        <v>48</v>
      </c>
      <c r="B18" s="734" t="s">
        <v>20</v>
      </c>
      <c r="C18" s="337">
        <f>1!Y17</f>
        <v>420418625</v>
      </c>
      <c r="D18" s="337">
        <f>1!Z17</f>
        <v>394008723</v>
      </c>
      <c r="E18" s="337">
        <v>73295925</v>
      </c>
      <c r="F18" s="337">
        <v>25000000</v>
      </c>
      <c r="G18" s="337">
        <v>25000000</v>
      </c>
    </row>
    <row r="19" spans="1:7" s="730" customFormat="1" ht="24.75" customHeight="1">
      <c r="A19" s="726" t="s">
        <v>24</v>
      </c>
      <c r="B19" s="734" t="s">
        <v>772</v>
      </c>
      <c r="C19" s="337">
        <f>1!AB17</f>
        <v>76688623</v>
      </c>
      <c r="D19" s="337">
        <f>1!AC17</f>
        <v>27753476</v>
      </c>
      <c r="E19" s="337">
        <v>40500000</v>
      </c>
      <c r="F19" s="337">
        <v>10000000</v>
      </c>
      <c r="G19" s="337">
        <v>10000000</v>
      </c>
    </row>
    <row r="20" spans="1:7" s="883" customFormat="1" ht="31.5" customHeight="1">
      <c r="A20" s="882" t="s">
        <v>26</v>
      </c>
      <c r="B20" s="734" t="s">
        <v>773</v>
      </c>
      <c r="C20" s="337">
        <f>1!AH17</f>
        <v>2648658331</v>
      </c>
      <c r="D20" s="337">
        <f>1!AI17</f>
        <v>2648658331</v>
      </c>
      <c r="E20" s="337">
        <f>1653149499-121590879</f>
        <v>1531558620</v>
      </c>
      <c r="F20" s="337">
        <v>1200000000</v>
      </c>
      <c r="G20" s="337">
        <v>600000000</v>
      </c>
    </row>
    <row r="21" spans="1:9" s="730" customFormat="1" ht="24.75" customHeight="1">
      <c r="A21" s="726" t="s">
        <v>28</v>
      </c>
      <c r="B21" s="734" t="s">
        <v>774</v>
      </c>
      <c r="C21" s="337">
        <f>1!AE17</f>
        <v>250000000</v>
      </c>
      <c r="D21" s="337">
        <f>1!AF17</f>
        <v>246937240</v>
      </c>
      <c r="E21" s="337"/>
      <c r="F21" s="337"/>
      <c r="G21" s="337"/>
      <c r="H21" s="731">
        <f>SUM(F18:F21)</f>
        <v>1235000000</v>
      </c>
      <c r="I21" s="731">
        <f>H21-H34</f>
        <v>-117800000</v>
      </c>
    </row>
    <row r="22" spans="1:7" s="730" customFormat="1" ht="24.75" customHeight="1">
      <c r="A22" s="726" t="s">
        <v>31</v>
      </c>
      <c r="B22" s="880" t="s">
        <v>14</v>
      </c>
      <c r="C22" s="136">
        <f>SUM(C12:C21)</f>
        <v>7491553431</v>
      </c>
      <c r="D22" s="136">
        <f>SUM(D12:D21)</f>
        <v>7346959485</v>
      </c>
      <c r="E22" s="136">
        <f>SUM(E12:E21)</f>
        <v>4901280447</v>
      </c>
      <c r="F22" s="136">
        <f>SUM(F12:F21)</f>
        <v>4535000000</v>
      </c>
      <c r="G22" s="136">
        <f>SUM(G12:G21)</f>
        <v>3935000000</v>
      </c>
    </row>
    <row r="23" spans="1:9" s="730" customFormat="1" ht="24.75" customHeight="1">
      <c r="A23" s="732"/>
      <c r="B23" s="881"/>
      <c r="C23" s="733">
        <f>C22-1!AN17</f>
        <v>0</v>
      </c>
      <c r="D23" s="733">
        <f>D22-1!AO17</f>
        <v>0</v>
      </c>
      <c r="E23" s="733"/>
      <c r="F23" s="733"/>
      <c r="G23" s="733"/>
      <c r="I23" s="731">
        <f>SUM(I17:I21)</f>
        <v>0</v>
      </c>
    </row>
    <row r="24" spans="1:7" s="730" customFormat="1" ht="24.75" customHeight="1">
      <c r="A24" s="726" t="s">
        <v>49</v>
      </c>
      <c r="B24" s="734" t="s">
        <v>42</v>
      </c>
      <c r="C24" s="337">
        <f>2!D17</f>
        <v>1170682156</v>
      </c>
      <c r="D24" s="337">
        <f>2!E17</f>
        <v>1046521998</v>
      </c>
      <c r="E24" s="337">
        <v>1030626249</v>
      </c>
      <c r="F24" s="337">
        <v>1035000000</v>
      </c>
      <c r="G24" s="337">
        <v>1035000000</v>
      </c>
    </row>
    <row r="25" spans="1:7" s="730" customFormat="1" ht="36" customHeight="1">
      <c r="A25" s="726" t="s">
        <v>33</v>
      </c>
      <c r="B25" s="734" t="s">
        <v>775</v>
      </c>
      <c r="C25" s="337">
        <f>2!G17</f>
        <v>214887689</v>
      </c>
      <c r="D25" s="337">
        <f>2!H17</f>
        <v>189175296</v>
      </c>
      <c r="E25" s="337">
        <v>177340125</v>
      </c>
      <c r="F25" s="337">
        <v>180000000</v>
      </c>
      <c r="G25" s="337">
        <v>180000000</v>
      </c>
    </row>
    <row r="26" spans="1:7" s="730" customFormat="1" ht="24.75" customHeight="1">
      <c r="A26" s="726" t="s">
        <v>35</v>
      </c>
      <c r="B26" s="734" t="s">
        <v>776</v>
      </c>
      <c r="C26" s="337">
        <f>2!J17</f>
        <v>1346845672</v>
      </c>
      <c r="D26" s="337">
        <f>2!K17</f>
        <v>1201796205</v>
      </c>
      <c r="E26" s="337">
        <v>810319680</v>
      </c>
      <c r="F26" s="337">
        <v>810000000</v>
      </c>
      <c r="G26" s="337">
        <v>810000000</v>
      </c>
    </row>
    <row r="27" spans="1:7" s="730" customFormat="1" ht="24.75" customHeight="1">
      <c r="A27" s="726" t="s">
        <v>59</v>
      </c>
      <c r="B27" s="734" t="s">
        <v>777</v>
      </c>
      <c r="C27" s="337">
        <f>2!M17</f>
        <v>142455000</v>
      </c>
      <c r="D27" s="337">
        <f>2!N17</f>
        <v>92725714</v>
      </c>
      <c r="E27" s="337">
        <v>115700000</v>
      </c>
      <c r="F27" s="337">
        <v>116200000</v>
      </c>
      <c r="G27" s="337">
        <v>116200000</v>
      </c>
    </row>
    <row r="28" spans="1:7" s="730" customFormat="1" ht="24.75" customHeight="1">
      <c r="A28" s="726" t="s">
        <v>60</v>
      </c>
      <c r="B28" s="734" t="s">
        <v>124</v>
      </c>
      <c r="C28" s="337">
        <f>2!P17</f>
        <v>1064363229</v>
      </c>
      <c r="D28" s="337">
        <f>2!Q17</f>
        <v>1049629728</v>
      </c>
      <c r="E28" s="337">
        <v>1018137642</v>
      </c>
      <c r="F28" s="337">
        <v>995000000</v>
      </c>
      <c r="G28" s="337">
        <v>995000000</v>
      </c>
    </row>
    <row r="29" spans="1:8" s="730" customFormat="1" ht="24.75" customHeight="1">
      <c r="A29" s="726" t="s">
        <v>61</v>
      </c>
      <c r="B29" s="734" t="s">
        <v>45</v>
      </c>
      <c r="C29" s="337">
        <f>2!S17</f>
        <v>109382861</v>
      </c>
      <c r="D29" s="337">
        <f>2!T17</f>
        <v>0</v>
      </c>
      <c r="E29" s="337">
        <v>48539585</v>
      </c>
      <c r="F29" s="337">
        <v>46000000</v>
      </c>
      <c r="G29" s="337">
        <v>46000000</v>
      </c>
      <c r="H29" s="731">
        <f>SUM(F24:F29)</f>
        <v>3182200000</v>
      </c>
    </row>
    <row r="30" spans="1:7" s="730" customFormat="1" ht="26.25" customHeight="1">
      <c r="A30" s="726" t="s">
        <v>63</v>
      </c>
      <c r="B30" s="734" t="s">
        <v>46</v>
      </c>
      <c r="C30" s="337">
        <f>2!AB17</f>
        <v>2808062553</v>
      </c>
      <c r="D30" s="337">
        <f>2!AC17</f>
        <v>1490481879</v>
      </c>
      <c r="E30" s="337">
        <v>104777000</v>
      </c>
      <c r="F30" s="337">
        <v>50000000</v>
      </c>
      <c r="G30" s="337">
        <v>50000000</v>
      </c>
    </row>
    <row r="31" spans="1:7" s="730" customFormat="1" ht="27" customHeight="1">
      <c r="A31" s="726" t="s">
        <v>64</v>
      </c>
      <c r="B31" s="734" t="s">
        <v>106</v>
      </c>
      <c r="C31" s="337">
        <f>2!AE17</f>
        <v>44200000</v>
      </c>
      <c r="D31" s="337">
        <f>2!AF17</f>
        <v>12950000</v>
      </c>
      <c r="E31" s="337">
        <v>17200000</v>
      </c>
      <c r="F31" s="337"/>
      <c r="G31" s="337"/>
    </row>
    <row r="32" spans="1:7" s="730" customFormat="1" ht="27" customHeight="1">
      <c r="A32" s="726" t="s">
        <v>65</v>
      </c>
      <c r="B32" s="734" t="s">
        <v>778</v>
      </c>
      <c r="C32" s="337">
        <v>0</v>
      </c>
      <c r="D32" s="337">
        <v>0</v>
      </c>
      <c r="E32" s="337">
        <v>27778000</v>
      </c>
      <c r="F32" s="337">
        <v>28000000</v>
      </c>
      <c r="G32" s="337">
        <v>28000000</v>
      </c>
    </row>
    <row r="33" spans="1:7" s="730" customFormat="1" ht="27" customHeight="1">
      <c r="A33" s="726" t="s">
        <v>66</v>
      </c>
      <c r="B33" s="734" t="s">
        <v>47</v>
      </c>
      <c r="C33" s="337">
        <f>2!AH17</f>
        <v>543503899</v>
      </c>
      <c r="D33" s="337">
        <f>2!AI17</f>
        <v>0</v>
      </c>
      <c r="E33" s="337">
        <v>1496973084</v>
      </c>
      <c r="F33" s="337">
        <f>1266800000-46000000</f>
        <v>1220800000</v>
      </c>
      <c r="G33" s="337">
        <f>661800000-46000000</f>
        <v>615800000</v>
      </c>
    </row>
    <row r="34" spans="1:8" s="730" customFormat="1" ht="34.5" customHeight="1">
      <c r="A34" s="726" t="s">
        <v>68</v>
      </c>
      <c r="B34" s="734" t="s">
        <v>293</v>
      </c>
      <c r="C34" s="337">
        <f>2!V17</f>
        <v>47170372</v>
      </c>
      <c r="D34" s="337">
        <f>2!W17</f>
        <v>47170372</v>
      </c>
      <c r="E34" s="337">
        <v>53889082</v>
      </c>
      <c r="F34" s="337">
        <v>54000000</v>
      </c>
      <c r="G34" s="337">
        <v>59000000</v>
      </c>
      <c r="H34" s="731">
        <f>SUM(F30:F34)</f>
        <v>1352800000</v>
      </c>
    </row>
    <row r="35" spans="1:7" s="730" customFormat="1" ht="27" customHeight="1">
      <c r="A35" s="726" t="s">
        <v>68</v>
      </c>
      <c r="B35" s="880" t="s">
        <v>41</v>
      </c>
      <c r="C35" s="136">
        <f>SUM(C24:C34)</f>
        <v>7491553431</v>
      </c>
      <c r="D35" s="136">
        <f>SUM(D24:D34)</f>
        <v>5130451192</v>
      </c>
      <c r="E35" s="136">
        <f>SUM(E24:E34)</f>
        <v>4901280447</v>
      </c>
      <c r="F35" s="136">
        <f>SUM(F24:F34)</f>
        <v>4535000000</v>
      </c>
      <c r="G35" s="136">
        <f>SUM(G24:G34)</f>
        <v>3935000000</v>
      </c>
    </row>
    <row r="36" spans="3:7" ht="12.75">
      <c r="C36" s="735">
        <f>C35-2!AN17</f>
        <v>0</v>
      </c>
      <c r="D36" s="735">
        <f>D35-2!AO17</f>
        <v>0</v>
      </c>
      <c r="E36" s="735">
        <f>E35-E22</f>
        <v>0</v>
      </c>
      <c r="F36" s="735">
        <f>F35-F22</f>
        <v>0</v>
      </c>
      <c r="G36" s="735">
        <f>G35-G22</f>
        <v>0</v>
      </c>
    </row>
  </sheetData>
  <sheetProtection/>
  <mergeCells count="8">
    <mergeCell ref="C1:G1"/>
    <mergeCell ref="A4:G4"/>
    <mergeCell ref="A6:G6"/>
    <mergeCell ref="A7:G7"/>
    <mergeCell ref="C10:D10"/>
    <mergeCell ref="E10:E11"/>
    <mergeCell ref="F10:F11"/>
    <mergeCell ref="G10:G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" sqref="B1:C1"/>
    </sheetView>
  </sheetViews>
  <sheetFormatPr defaultColWidth="4.8515625" defaultRowHeight="12.75"/>
  <cols>
    <col min="1" max="1" width="4.8515625" style="820" customWidth="1"/>
    <col min="2" max="2" width="64.28125" style="820" customWidth="1"/>
    <col min="3" max="3" width="17.7109375" style="820" customWidth="1"/>
    <col min="4" max="4" width="9.140625" style="820" customWidth="1"/>
    <col min="5" max="5" width="15.28125" style="820" hidden="1" customWidth="1"/>
    <col min="6" max="6" width="11.421875" style="820" customWidth="1"/>
    <col min="7" max="7" width="22.8515625" style="820" customWidth="1"/>
    <col min="8" max="8" width="9.140625" style="820" customWidth="1"/>
    <col min="9" max="9" width="15.28125" style="820" customWidth="1"/>
    <col min="10" max="251" width="9.140625" style="820" customWidth="1"/>
    <col min="252" max="16384" width="4.8515625" style="820" customWidth="1"/>
  </cols>
  <sheetData>
    <row r="1" spans="2:3" ht="15.75">
      <c r="B1" s="1075" t="s">
        <v>875</v>
      </c>
      <c r="C1" s="1075"/>
    </row>
    <row r="3" spans="1:3" ht="15.75">
      <c r="A3" s="1162" t="s">
        <v>847</v>
      </c>
      <c r="B3" s="1162"/>
      <c r="C3" s="1162"/>
    </row>
    <row r="4" spans="1:3" ht="21" customHeight="1">
      <c r="A4" s="1162" t="s">
        <v>779</v>
      </c>
      <c r="B4" s="1162"/>
      <c r="C4" s="1162"/>
    </row>
    <row r="5" spans="1:3" ht="16.5" customHeight="1">
      <c r="A5" s="1162"/>
      <c r="B5" s="1162"/>
      <c r="C5" s="1162"/>
    </row>
    <row r="6" spans="1:3" ht="15.75">
      <c r="A6" s="1078" t="s">
        <v>780</v>
      </c>
      <c r="B6" s="1078"/>
      <c r="C6" s="1078"/>
    </row>
    <row r="7" spans="1:2" ht="18.75">
      <c r="A7" s="821"/>
      <c r="B7" s="821"/>
    </row>
    <row r="8" spans="1:3" ht="12.75">
      <c r="A8" s="822"/>
      <c r="B8" s="823" t="s">
        <v>0</v>
      </c>
      <c r="C8" s="824" t="s">
        <v>1</v>
      </c>
    </row>
    <row r="9" ht="12.75">
      <c r="A9" s="737">
        <v>1</v>
      </c>
    </row>
    <row r="10" spans="1:3" ht="13.5" thickBot="1">
      <c r="A10" s="737">
        <v>2</v>
      </c>
      <c r="C10" s="825" t="s">
        <v>514</v>
      </c>
    </row>
    <row r="11" spans="1:7" ht="31.5">
      <c r="A11" s="737">
        <v>3</v>
      </c>
      <c r="B11" s="738" t="s">
        <v>781</v>
      </c>
      <c r="C11" s="739" t="s">
        <v>434</v>
      </c>
      <c r="G11" s="826"/>
    </row>
    <row r="12" spans="1:10" ht="15.75">
      <c r="A12" s="737">
        <v>4</v>
      </c>
      <c r="B12" s="740" t="s">
        <v>782</v>
      </c>
      <c r="C12" s="827">
        <v>588637958</v>
      </c>
      <c r="E12" s="828">
        <f>SUM(C12:C15)</f>
        <v>592577388</v>
      </c>
      <c r="G12" s="826"/>
      <c r="I12" s="741"/>
      <c r="J12" s="741"/>
    </row>
    <row r="13" spans="1:10" ht="15.75">
      <c r="A13" s="737">
        <v>5</v>
      </c>
      <c r="B13" s="742" t="s">
        <v>783</v>
      </c>
      <c r="C13" s="827">
        <v>1911063</v>
      </c>
      <c r="E13" s="828"/>
      <c r="G13" s="826"/>
      <c r="I13" s="741"/>
      <c r="J13" s="741"/>
    </row>
    <row r="14" spans="1:10" ht="15.75">
      <c r="A14" s="737">
        <v>6</v>
      </c>
      <c r="B14" s="743" t="s">
        <v>784</v>
      </c>
      <c r="C14" s="827">
        <v>91280</v>
      </c>
      <c r="E14" s="828"/>
      <c r="F14" s="828"/>
      <c r="G14" s="826"/>
      <c r="I14" s="741"/>
      <c r="J14" s="741"/>
    </row>
    <row r="15" spans="1:10" ht="15.75">
      <c r="A15" s="737">
        <v>7</v>
      </c>
      <c r="B15" s="742" t="s">
        <v>785</v>
      </c>
      <c r="C15" s="827">
        <v>1937087</v>
      </c>
      <c r="E15" s="828"/>
      <c r="G15" s="826"/>
      <c r="I15" s="741"/>
      <c r="J15" s="741"/>
    </row>
    <row r="16" spans="1:10" ht="31.5">
      <c r="A16" s="737">
        <v>8</v>
      </c>
      <c r="B16" s="740" t="s">
        <v>786</v>
      </c>
      <c r="C16" s="827">
        <f>12718917+27753476</f>
        <v>40472393</v>
      </c>
      <c r="E16" s="828"/>
      <c r="F16" s="828"/>
      <c r="G16" s="826"/>
      <c r="I16" s="744"/>
      <c r="J16" s="741"/>
    </row>
    <row r="17" spans="1:10" ht="15.75">
      <c r="A17" s="737">
        <v>9</v>
      </c>
      <c r="B17" s="742" t="s">
        <v>787</v>
      </c>
      <c r="C17" s="827">
        <v>429601</v>
      </c>
      <c r="G17" s="826"/>
      <c r="I17" s="741"/>
      <c r="J17" s="741"/>
    </row>
    <row r="18" spans="1:10" ht="31.5">
      <c r="A18" s="737">
        <v>10</v>
      </c>
      <c r="B18" s="740" t="s">
        <v>788</v>
      </c>
      <c r="C18" s="540"/>
      <c r="G18" s="826"/>
      <c r="I18" s="741"/>
      <c r="J18" s="741"/>
    </row>
    <row r="19" spans="1:7" ht="15.75">
      <c r="A19" s="737">
        <v>11</v>
      </c>
      <c r="B19" s="743" t="s">
        <v>789</v>
      </c>
      <c r="C19" s="827">
        <v>0</v>
      </c>
      <c r="G19" s="826"/>
    </row>
    <row r="20" spans="1:7" ht="15.75">
      <c r="A20" s="737">
        <v>12</v>
      </c>
      <c r="B20" s="745" t="s">
        <v>790</v>
      </c>
      <c r="C20" s="746">
        <f>SUM(C12:C19)</f>
        <v>633479382</v>
      </c>
      <c r="G20" s="826"/>
    </row>
    <row r="21" spans="1:7" ht="16.5" thickBot="1">
      <c r="A21" s="737">
        <v>13</v>
      </c>
      <c r="B21" s="747" t="s">
        <v>791</v>
      </c>
      <c r="C21" s="748">
        <f>C20/2</f>
        <v>316739691</v>
      </c>
      <c r="G21" s="826"/>
    </row>
    <row r="22" spans="1:7" ht="16.5" thickBot="1">
      <c r="A22" s="737">
        <v>14</v>
      </c>
      <c r="B22" s="524"/>
      <c r="G22" s="826"/>
    </row>
    <row r="23" spans="1:7" ht="31.5">
      <c r="A23" s="737">
        <v>15</v>
      </c>
      <c r="B23" s="738" t="s">
        <v>792</v>
      </c>
      <c r="C23" s="739" t="s">
        <v>434</v>
      </c>
      <c r="G23" s="826"/>
    </row>
    <row r="24" spans="1:7" ht="15.75">
      <c r="A24" s="737">
        <v>16</v>
      </c>
      <c r="B24" s="743" t="s">
        <v>793</v>
      </c>
      <c r="C24" s="829"/>
      <c r="G24" s="826"/>
    </row>
    <row r="25" spans="1:7" ht="15.75">
      <c r="A25" s="737">
        <v>17</v>
      </c>
      <c r="B25" s="743" t="s">
        <v>794</v>
      </c>
      <c r="C25" s="829"/>
      <c r="G25" s="826"/>
    </row>
    <row r="26" spans="1:3" ht="15.75">
      <c r="A26" s="737">
        <v>18</v>
      </c>
      <c r="B26" s="743" t="s">
        <v>795</v>
      </c>
      <c r="C26" s="827">
        <v>246937240</v>
      </c>
    </row>
    <row r="27" spans="1:3" ht="16.5" thickBot="1">
      <c r="A27" s="737">
        <v>19</v>
      </c>
      <c r="B27" s="749" t="s">
        <v>796</v>
      </c>
      <c r="C27" s="746">
        <f>SUM(C24:C26)</f>
        <v>246937240</v>
      </c>
    </row>
  </sheetData>
  <sheetProtection/>
  <mergeCells count="5">
    <mergeCell ref="B1:C1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1" customWidth="1"/>
    <col min="2" max="2" width="30.00390625" style="1" customWidth="1"/>
    <col min="3" max="3" width="42.57421875" style="1" customWidth="1"/>
    <col min="4" max="4" width="19.140625" style="701" customWidth="1"/>
    <col min="5" max="5" width="37.140625" style="1" customWidth="1"/>
    <col min="6" max="16384" width="9.140625" style="1" customWidth="1"/>
  </cols>
  <sheetData>
    <row r="1" spans="1:4" ht="15.75">
      <c r="A1" s="1056" t="s">
        <v>876</v>
      </c>
      <c r="B1" s="1056"/>
      <c r="C1" s="1056"/>
      <c r="D1" s="1056"/>
    </row>
    <row r="2" ht="12.75">
      <c r="D2" s="750"/>
    </row>
    <row r="3" spans="1:4" ht="47.25" customHeight="1">
      <c r="A3" s="1163" t="s">
        <v>848</v>
      </c>
      <c r="B3" s="1163"/>
      <c r="C3" s="1163"/>
      <c r="D3" s="1163"/>
    </row>
    <row r="4" spans="1:4" ht="47.25" customHeight="1">
      <c r="A4" s="751"/>
      <c r="B4" s="751"/>
      <c r="C4" s="751"/>
      <c r="D4" s="752"/>
    </row>
    <row r="5" spans="1:4" ht="22.5">
      <c r="A5" s="753"/>
      <c r="B5" s="753"/>
      <c r="C5" s="753"/>
      <c r="D5" s="754"/>
    </row>
    <row r="6" spans="1:4" ht="12.75">
      <c r="A6" s="755"/>
      <c r="B6" s="756" t="s">
        <v>0</v>
      </c>
      <c r="C6" s="757" t="s">
        <v>1</v>
      </c>
      <c r="D6" s="758" t="s">
        <v>2</v>
      </c>
    </row>
    <row r="7" spans="1:4" ht="22.5">
      <c r="A7" s="755">
        <v>1</v>
      </c>
      <c r="B7" s="753"/>
      <c r="C7" s="759"/>
      <c r="D7" s="760" t="s">
        <v>514</v>
      </c>
    </row>
    <row r="8" spans="1:4" ht="28.5" customHeight="1">
      <c r="A8" s="755">
        <v>2</v>
      </c>
      <c r="B8" s="1061" t="s">
        <v>797</v>
      </c>
      <c r="C8" s="1061"/>
      <c r="D8" s="761" t="s">
        <v>99</v>
      </c>
    </row>
    <row r="9" spans="1:5" ht="29.25" customHeight="1">
      <c r="A9" s="755">
        <v>3</v>
      </c>
      <c r="B9" s="762" t="s">
        <v>798</v>
      </c>
      <c r="C9" s="762" t="s">
        <v>799</v>
      </c>
      <c r="D9" s="763">
        <v>413754071</v>
      </c>
      <c r="E9" s="764"/>
    </row>
    <row r="10" spans="1:5" ht="29.25" customHeight="1">
      <c r="A10" s="755">
        <v>4</v>
      </c>
      <c r="B10" s="762" t="s">
        <v>800</v>
      </c>
      <c r="C10" s="762" t="s">
        <v>801</v>
      </c>
      <c r="D10" s="763">
        <v>21736449</v>
      </c>
      <c r="E10" s="764"/>
    </row>
    <row r="11" spans="1:5" ht="29.25" customHeight="1">
      <c r="A11" s="755">
        <v>5</v>
      </c>
      <c r="B11" s="762" t="s">
        <v>802</v>
      </c>
      <c r="C11" s="762" t="s">
        <v>803</v>
      </c>
      <c r="D11" s="763">
        <v>96124595</v>
      </c>
      <c r="E11" s="764"/>
    </row>
    <row r="12" spans="1:5" ht="29.25" customHeight="1">
      <c r="A12" s="755">
        <v>6</v>
      </c>
      <c r="B12" s="762" t="s">
        <v>804</v>
      </c>
      <c r="C12" s="762" t="s">
        <v>805</v>
      </c>
      <c r="D12" s="763">
        <v>186711340</v>
      </c>
      <c r="E12" s="764"/>
    </row>
    <row r="13" spans="1:5" ht="29.25" customHeight="1">
      <c r="A13" s="755">
        <v>7</v>
      </c>
      <c r="B13" s="762" t="s">
        <v>806</v>
      </c>
      <c r="C13" s="762" t="s">
        <v>807</v>
      </c>
      <c r="D13" s="763">
        <v>0</v>
      </c>
      <c r="E13" s="764"/>
    </row>
    <row r="14" spans="1:5" ht="29.25" customHeight="1">
      <c r="A14" s="755">
        <v>8</v>
      </c>
      <c r="B14" s="762" t="s">
        <v>808</v>
      </c>
      <c r="C14" s="762" t="s">
        <v>809</v>
      </c>
      <c r="D14" s="763">
        <v>37859603</v>
      </c>
      <c r="E14" s="764"/>
    </row>
    <row r="15" spans="1:4" ht="29.25" customHeight="1">
      <c r="A15" s="755">
        <v>9</v>
      </c>
      <c r="B15" s="762" t="s">
        <v>810</v>
      </c>
      <c r="C15" s="765" t="s">
        <v>811</v>
      </c>
      <c r="D15" s="763">
        <v>144666278</v>
      </c>
    </row>
    <row r="16" spans="1:4" ht="29.25" customHeight="1">
      <c r="A16" s="755">
        <v>10</v>
      </c>
      <c r="B16" s="765" t="s">
        <v>853</v>
      </c>
      <c r="C16" s="762" t="s">
        <v>812</v>
      </c>
      <c r="D16" s="763">
        <v>23107576</v>
      </c>
    </row>
    <row r="17" spans="1:4" ht="29.25" customHeight="1">
      <c r="A17" s="755">
        <v>11</v>
      </c>
      <c r="B17" s="762" t="s">
        <v>813</v>
      </c>
      <c r="C17" s="762" t="s">
        <v>814</v>
      </c>
      <c r="D17" s="763">
        <v>67007788</v>
      </c>
    </row>
    <row r="18" spans="1:4" ht="29.25" customHeight="1">
      <c r="A18" s="755">
        <v>12</v>
      </c>
      <c r="B18" s="762" t="s">
        <v>800</v>
      </c>
      <c r="C18" s="765" t="s">
        <v>852</v>
      </c>
      <c r="D18" s="763">
        <v>84545</v>
      </c>
    </row>
    <row r="19" spans="1:4" ht="29.25" customHeight="1">
      <c r="A19" s="755">
        <v>13</v>
      </c>
      <c r="B19" s="765" t="s">
        <v>815</v>
      </c>
      <c r="C19" s="765" t="s">
        <v>816</v>
      </c>
      <c r="D19" s="763">
        <v>6561969</v>
      </c>
    </row>
    <row r="20" spans="1:4" ht="29.25" customHeight="1">
      <c r="A20" s="755">
        <v>14</v>
      </c>
      <c r="B20" s="765" t="s">
        <v>854</v>
      </c>
      <c r="C20" s="762"/>
      <c r="D20" s="763">
        <v>137279573</v>
      </c>
    </row>
    <row r="21" spans="1:4" ht="29.25" customHeight="1">
      <c r="A21" s="755">
        <v>15</v>
      </c>
      <c r="B21" s="765" t="s">
        <v>855</v>
      </c>
      <c r="C21" s="762"/>
      <c r="D21" s="763">
        <v>874000</v>
      </c>
    </row>
    <row r="22" spans="1:4" ht="29.25" customHeight="1">
      <c r="A22" s="755">
        <v>16</v>
      </c>
      <c r="B22" s="762" t="s">
        <v>817</v>
      </c>
      <c r="C22" s="765" t="s">
        <v>818</v>
      </c>
      <c r="D22" s="763">
        <v>33435397</v>
      </c>
    </row>
    <row r="23" spans="1:4" ht="29.25" customHeight="1">
      <c r="A23" s="755">
        <v>17</v>
      </c>
      <c r="B23" s="762" t="s">
        <v>819</v>
      </c>
      <c r="C23" s="765" t="s">
        <v>820</v>
      </c>
      <c r="D23" s="763">
        <v>23076308</v>
      </c>
    </row>
    <row r="24" spans="1:4" ht="29.25" customHeight="1">
      <c r="A24" s="755">
        <v>18</v>
      </c>
      <c r="B24" s="762" t="s">
        <v>821</v>
      </c>
      <c r="C24" s="765" t="s">
        <v>822</v>
      </c>
      <c r="D24" s="763">
        <v>13600600</v>
      </c>
    </row>
    <row r="25" spans="1:4" ht="29.25" customHeight="1">
      <c r="A25" s="755">
        <v>19</v>
      </c>
      <c r="B25" s="762" t="s">
        <v>823</v>
      </c>
      <c r="C25" s="765" t="s">
        <v>824</v>
      </c>
      <c r="D25" s="763">
        <v>63216331</v>
      </c>
    </row>
    <row r="26" spans="1:4" ht="29.25" customHeight="1">
      <c r="A26" s="755">
        <v>20</v>
      </c>
      <c r="B26" s="762" t="s">
        <v>825</v>
      </c>
      <c r="C26" s="765" t="s">
        <v>826</v>
      </c>
      <c r="D26" s="763">
        <v>37080152</v>
      </c>
    </row>
  </sheetData>
  <sheetProtection/>
  <mergeCells count="3">
    <mergeCell ref="A1:D1"/>
    <mergeCell ref="A3:D3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zoomScale="80" zoomScaleNormal="80" zoomScaleSheetLayoutView="80" zoomScalePageLayoutView="0" workbookViewId="0" topLeftCell="A1">
      <pane xSplit="2" ySplit="9" topLeftCell="I10" activePane="bottomRight" state="frozen"/>
      <selection pane="topLeft" activeCell="E149" sqref="E149"/>
      <selection pane="topRight" activeCell="E149" sqref="E149"/>
      <selection pane="bottomLeft" activeCell="E149" sqref="E149"/>
      <selection pane="bottomRight" activeCell="Z1" sqref="Z1"/>
    </sheetView>
  </sheetViews>
  <sheetFormatPr defaultColWidth="9.140625" defaultRowHeight="12.75"/>
  <cols>
    <col min="1" max="1" width="4.28125" style="52" customWidth="1"/>
    <col min="2" max="2" width="22.28125" style="52" customWidth="1"/>
    <col min="3" max="3" width="15.421875" style="52" customWidth="1"/>
    <col min="4" max="5" width="16.140625" style="52" customWidth="1"/>
    <col min="6" max="6" width="15.421875" style="52" customWidth="1"/>
    <col min="7" max="7" width="14.28125" style="52" customWidth="1"/>
    <col min="8" max="8" width="15.28125" style="52" customWidth="1"/>
    <col min="9" max="9" width="15.00390625" style="52" bestFit="1" customWidth="1"/>
    <col min="10" max="10" width="15.7109375" style="52" customWidth="1"/>
    <col min="11" max="11" width="17.00390625" style="52" customWidth="1"/>
    <col min="12" max="12" width="15.140625" style="52" customWidth="1"/>
    <col min="13" max="13" width="14.57421875" style="52" customWidth="1"/>
    <col min="14" max="14" width="13.140625" style="52" customWidth="1"/>
    <col min="15" max="15" width="15.00390625" style="52" bestFit="1" customWidth="1"/>
    <col min="16" max="17" width="16.7109375" style="52" customWidth="1"/>
    <col min="18" max="18" width="16.8515625" style="52" customWidth="1"/>
    <col min="19" max="19" width="17.57421875" style="52" customWidth="1"/>
    <col min="20" max="20" width="6.8515625" style="52" customWidth="1"/>
    <col min="21" max="21" width="14.8515625" style="52" customWidth="1"/>
    <col min="22" max="22" width="14.7109375" style="52" customWidth="1"/>
    <col min="23" max="23" width="13.57421875" style="52" customWidth="1"/>
    <col min="24" max="25" width="18.140625" style="5" customWidth="1"/>
    <col min="26" max="26" width="18.00390625" style="5" customWidth="1"/>
    <col min="27" max="27" width="15.57421875" style="52" customWidth="1"/>
    <col min="28" max="28" width="17.7109375" style="52" bestFit="1" customWidth="1"/>
    <col min="29" max="29" width="16.421875" style="52" customWidth="1"/>
    <col min="30" max="30" width="14.7109375" style="52" bestFit="1" customWidth="1"/>
    <col min="31" max="32" width="14.28125" style="52" customWidth="1"/>
    <col min="33" max="34" width="17.7109375" style="52" bestFit="1" customWidth="1"/>
    <col min="35" max="35" width="16.140625" style="52" customWidth="1"/>
    <col min="36" max="37" width="17.7109375" style="5" customWidth="1"/>
    <col min="38" max="38" width="15.8515625" style="5" customWidth="1"/>
    <col min="39" max="39" width="24.8515625" style="52" customWidth="1"/>
    <col min="40" max="40" width="24.00390625" style="52" customWidth="1"/>
    <col min="41" max="41" width="17.8515625" style="52" customWidth="1"/>
    <col min="42" max="44" width="20.421875" style="52" customWidth="1"/>
    <col min="45" max="45" width="14.28125" style="52" hidden="1" customWidth="1"/>
    <col min="46" max="46" width="14.7109375" style="52" hidden="1" customWidth="1"/>
    <col min="47" max="47" width="9.140625" style="52" hidden="1" customWidth="1"/>
    <col min="48" max="48" width="26.7109375" style="52" hidden="1" customWidth="1"/>
    <col min="49" max="49" width="14.57421875" style="52" hidden="1" customWidth="1"/>
    <col min="50" max="52" width="0" style="52" hidden="1" customWidth="1"/>
    <col min="53" max="16384" width="9.140625" style="52" customWidth="1"/>
  </cols>
  <sheetData>
    <row r="1" spans="14:44" s="111" customFormat="1" ht="15.75" customHeight="1">
      <c r="N1" s="119" t="s">
        <v>859</v>
      </c>
      <c r="Z1" s="119" t="s">
        <v>859</v>
      </c>
      <c r="AL1" s="119" t="s">
        <v>859</v>
      </c>
      <c r="AR1" s="119" t="s">
        <v>859</v>
      </c>
    </row>
    <row r="2" spans="3:56" s="111" customFormat="1" ht="21.75" customHeight="1">
      <c r="C2" s="885" t="s">
        <v>483</v>
      </c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138"/>
      <c r="O2" s="885" t="s">
        <v>484</v>
      </c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 t="s">
        <v>483</v>
      </c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  <c r="AM2" s="885" t="s">
        <v>483</v>
      </c>
      <c r="AN2" s="885"/>
      <c r="AO2" s="885"/>
      <c r="AP2" s="885"/>
      <c r="AQ2" s="885"/>
      <c r="AR2" s="885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</row>
    <row r="3" spans="14:44" s="111" customFormat="1" ht="15.75" customHeight="1">
      <c r="N3" s="66" t="s">
        <v>203</v>
      </c>
      <c r="Z3" s="66" t="s">
        <v>203</v>
      </c>
      <c r="AL3" s="66" t="s">
        <v>203</v>
      </c>
      <c r="AP3" s="66"/>
      <c r="AQ3" s="66"/>
      <c r="AR3" s="109" t="s">
        <v>203</v>
      </c>
    </row>
    <row r="4" s="111" customFormat="1" ht="15.75" customHeight="1"/>
    <row r="5" spans="1:44" ht="16.5" thickBot="1">
      <c r="A5" s="53"/>
      <c r="B5" s="54" t="s">
        <v>0</v>
      </c>
      <c r="C5" s="55" t="s">
        <v>1</v>
      </c>
      <c r="D5" s="55" t="s">
        <v>2</v>
      </c>
      <c r="E5" s="55" t="s">
        <v>3</v>
      </c>
      <c r="F5" s="55" t="s">
        <v>294</v>
      </c>
      <c r="G5" s="55" t="s">
        <v>5</v>
      </c>
      <c r="H5" s="55" t="s">
        <v>81</v>
      </c>
      <c r="I5" s="55" t="s">
        <v>6</v>
      </c>
      <c r="J5" s="55" t="s">
        <v>7</v>
      </c>
      <c r="K5" s="55" t="s">
        <v>39</v>
      </c>
      <c r="L5" s="55" t="s">
        <v>8</v>
      </c>
      <c r="M5" s="55" t="s">
        <v>94</v>
      </c>
      <c r="N5" s="55" t="s">
        <v>40</v>
      </c>
      <c r="O5" s="55" t="s">
        <v>1</v>
      </c>
      <c r="P5" s="55" t="s">
        <v>2</v>
      </c>
      <c r="Q5" s="55" t="s">
        <v>3</v>
      </c>
      <c r="R5" s="55" t="s">
        <v>294</v>
      </c>
      <c r="S5" s="55" t="s">
        <v>5</v>
      </c>
      <c r="T5" s="55" t="s">
        <v>81</v>
      </c>
      <c r="U5" s="55" t="s">
        <v>6</v>
      </c>
      <c r="V5" s="55" t="s">
        <v>7</v>
      </c>
      <c r="W5" s="360" t="s">
        <v>39</v>
      </c>
      <c r="X5" s="360" t="s">
        <v>8</v>
      </c>
      <c r="Y5" s="360" t="s">
        <v>94</v>
      </c>
      <c r="Z5" s="360" t="s">
        <v>40</v>
      </c>
      <c r="AA5" s="55" t="s">
        <v>333</v>
      </c>
      <c r="AB5" s="55" t="s">
        <v>2</v>
      </c>
      <c r="AC5" s="55" t="s">
        <v>3</v>
      </c>
      <c r="AD5" s="55" t="s">
        <v>294</v>
      </c>
      <c r="AE5" s="55" t="s">
        <v>5</v>
      </c>
      <c r="AF5" s="55" t="s">
        <v>81</v>
      </c>
      <c r="AG5" s="55" t="s">
        <v>6</v>
      </c>
      <c r="AH5" s="55" t="s">
        <v>7</v>
      </c>
      <c r="AI5" s="358" t="s">
        <v>39</v>
      </c>
      <c r="AJ5" s="359" t="s">
        <v>8</v>
      </c>
      <c r="AK5" s="360" t="s">
        <v>94</v>
      </c>
      <c r="AL5" s="361" t="s">
        <v>40</v>
      </c>
      <c r="AM5" s="356" t="s">
        <v>1</v>
      </c>
      <c r="AN5" s="55" t="s">
        <v>2</v>
      </c>
      <c r="AO5" s="357" t="s">
        <v>3</v>
      </c>
      <c r="AP5" s="182" t="s">
        <v>4</v>
      </c>
      <c r="AQ5" s="148" t="s">
        <v>856</v>
      </c>
      <c r="AR5" s="156" t="s">
        <v>81</v>
      </c>
    </row>
    <row r="6" spans="1:44" ht="16.5" customHeight="1">
      <c r="A6" s="886" t="s">
        <v>10</v>
      </c>
      <c r="B6" s="947" t="s">
        <v>11</v>
      </c>
      <c r="C6" s="901" t="s">
        <v>37</v>
      </c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41" t="s">
        <v>56</v>
      </c>
      <c r="Y6" s="942"/>
      <c r="Z6" s="943"/>
      <c r="AA6" s="901" t="s">
        <v>38</v>
      </c>
      <c r="AB6" s="901"/>
      <c r="AC6" s="901"/>
      <c r="AD6" s="901"/>
      <c r="AE6" s="901"/>
      <c r="AF6" s="901"/>
      <c r="AG6" s="901"/>
      <c r="AH6" s="901"/>
      <c r="AI6" s="901"/>
      <c r="AJ6" s="928" t="s">
        <v>70</v>
      </c>
      <c r="AK6" s="929"/>
      <c r="AL6" s="930"/>
      <c r="AM6" s="934" t="s">
        <v>41</v>
      </c>
      <c r="AN6" s="935"/>
      <c r="AO6" s="936"/>
      <c r="AP6" s="914" t="s">
        <v>311</v>
      </c>
      <c r="AQ6" s="915"/>
      <c r="AR6" s="916"/>
    </row>
    <row r="7" spans="1:44" ht="36.75" customHeight="1">
      <c r="A7" s="887"/>
      <c r="B7" s="951"/>
      <c r="C7" s="900" t="s">
        <v>297</v>
      </c>
      <c r="D7" s="891"/>
      <c r="E7" s="891"/>
      <c r="F7" s="892" t="s">
        <v>298</v>
      </c>
      <c r="G7" s="893"/>
      <c r="H7" s="894"/>
      <c r="I7" s="892" t="s">
        <v>299</v>
      </c>
      <c r="J7" s="893"/>
      <c r="K7" s="894"/>
      <c r="L7" s="892" t="s">
        <v>300</v>
      </c>
      <c r="M7" s="893"/>
      <c r="N7" s="894"/>
      <c r="O7" s="892" t="s">
        <v>481</v>
      </c>
      <c r="P7" s="893"/>
      <c r="Q7" s="894"/>
      <c r="R7" s="892" t="s">
        <v>45</v>
      </c>
      <c r="S7" s="893"/>
      <c r="T7" s="894"/>
      <c r="U7" s="899" t="s">
        <v>316</v>
      </c>
      <c r="V7" s="899"/>
      <c r="W7" s="899"/>
      <c r="X7" s="944"/>
      <c r="Y7" s="945"/>
      <c r="Z7" s="946"/>
      <c r="AA7" s="893" t="s">
        <v>302</v>
      </c>
      <c r="AB7" s="893"/>
      <c r="AC7" s="894"/>
      <c r="AD7" s="892" t="s">
        <v>301</v>
      </c>
      <c r="AE7" s="893"/>
      <c r="AF7" s="894"/>
      <c r="AG7" s="892" t="s">
        <v>47</v>
      </c>
      <c r="AH7" s="893"/>
      <c r="AI7" s="893"/>
      <c r="AJ7" s="931"/>
      <c r="AK7" s="932"/>
      <c r="AL7" s="933"/>
      <c r="AM7" s="937"/>
      <c r="AN7" s="921"/>
      <c r="AO7" s="938"/>
      <c r="AP7" s="952" t="s">
        <v>313</v>
      </c>
      <c r="AQ7" s="891" t="s">
        <v>314</v>
      </c>
      <c r="AR7" s="927" t="s">
        <v>99</v>
      </c>
    </row>
    <row r="8" spans="1:44" ht="27" customHeight="1">
      <c r="A8" s="887"/>
      <c r="B8" s="951"/>
      <c r="C8" s="900"/>
      <c r="D8" s="891"/>
      <c r="E8" s="891"/>
      <c r="F8" s="911"/>
      <c r="G8" s="912"/>
      <c r="H8" s="913"/>
      <c r="I8" s="911"/>
      <c r="J8" s="912"/>
      <c r="K8" s="913"/>
      <c r="L8" s="911"/>
      <c r="M8" s="912"/>
      <c r="N8" s="913"/>
      <c r="O8" s="911"/>
      <c r="P8" s="912"/>
      <c r="Q8" s="913"/>
      <c r="R8" s="911"/>
      <c r="S8" s="912"/>
      <c r="T8" s="913"/>
      <c r="U8" s="898" t="s">
        <v>315</v>
      </c>
      <c r="V8" s="899"/>
      <c r="W8" s="899"/>
      <c r="X8" s="944"/>
      <c r="Y8" s="945"/>
      <c r="Z8" s="946"/>
      <c r="AA8" s="912"/>
      <c r="AB8" s="912"/>
      <c r="AC8" s="913"/>
      <c r="AD8" s="911" t="s">
        <v>175</v>
      </c>
      <c r="AE8" s="912"/>
      <c r="AF8" s="913"/>
      <c r="AG8" s="911"/>
      <c r="AH8" s="912"/>
      <c r="AI8" s="912"/>
      <c r="AJ8" s="931"/>
      <c r="AK8" s="932"/>
      <c r="AL8" s="933"/>
      <c r="AM8" s="939"/>
      <c r="AN8" s="922"/>
      <c r="AO8" s="940"/>
      <c r="AP8" s="952"/>
      <c r="AQ8" s="891"/>
      <c r="AR8" s="927"/>
    </row>
    <row r="9" spans="1:44" ht="78.75" customHeight="1">
      <c r="A9" s="888"/>
      <c r="B9" s="949"/>
      <c r="C9" s="147" t="s">
        <v>127</v>
      </c>
      <c r="D9" s="137" t="s">
        <v>141</v>
      </c>
      <c r="E9" s="137" t="s">
        <v>96</v>
      </c>
      <c r="F9" s="137" t="s">
        <v>127</v>
      </c>
      <c r="G9" s="137" t="s">
        <v>141</v>
      </c>
      <c r="H9" s="137" t="s">
        <v>96</v>
      </c>
      <c r="I9" s="137" t="s">
        <v>127</v>
      </c>
      <c r="J9" s="137" t="s">
        <v>141</v>
      </c>
      <c r="K9" s="137" t="s">
        <v>96</v>
      </c>
      <c r="L9" s="137" t="s">
        <v>127</v>
      </c>
      <c r="M9" s="137" t="s">
        <v>141</v>
      </c>
      <c r="N9" s="137" t="s">
        <v>96</v>
      </c>
      <c r="O9" s="137" t="s">
        <v>127</v>
      </c>
      <c r="P9" s="137" t="s">
        <v>141</v>
      </c>
      <c r="Q9" s="137" t="s">
        <v>96</v>
      </c>
      <c r="R9" s="137" t="s">
        <v>127</v>
      </c>
      <c r="S9" s="137" t="s">
        <v>141</v>
      </c>
      <c r="T9" s="104" t="s">
        <v>96</v>
      </c>
      <c r="U9" s="137" t="s">
        <v>127</v>
      </c>
      <c r="V9" s="137" t="s">
        <v>141</v>
      </c>
      <c r="W9" s="144" t="s">
        <v>96</v>
      </c>
      <c r="X9" s="306" t="s">
        <v>127</v>
      </c>
      <c r="Y9" s="307" t="s">
        <v>141</v>
      </c>
      <c r="Z9" s="308" t="s">
        <v>96</v>
      </c>
      <c r="AA9" s="147" t="s">
        <v>127</v>
      </c>
      <c r="AB9" s="137" t="s">
        <v>141</v>
      </c>
      <c r="AC9" s="137" t="s">
        <v>96</v>
      </c>
      <c r="AD9" s="137" t="s">
        <v>127</v>
      </c>
      <c r="AE9" s="137" t="s">
        <v>141</v>
      </c>
      <c r="AF9" s="137" t="s">
        <v>96</v>
      </c>
      <c r="AG9" s="137" t="s">
        <v>127</v>
      </c>
      <c r="AH9" s="137" t="s">
        <v>141</v>
      </c>
      <c r="AI9" s="144" t="s">
        <v>96</v>
      </c>
      <c r="AJ9" s="306" t="s">
        <v>127</v>
      </c>
      <c r="AK9" s="307" t="s">
        <v>141</v>
      </c>
      <c r="AL9" s="308" t="s">
        <v>96</v>
      </c>
      <c r="AM9" s="145" t="s">
        <v>127</v>
      </c>
      <c r="AN9" s="137" t="s">
        <v>141</v>
      </c>
      <c r="AO9" s="146" t="s">
        <v>96</v>
      </c>
      <c r="AP9" s="952"/>
      <c r="AQ9" s="891"/>
      <c r="AR9" s="927"/>
    </row>
    <row r="10" spans="1:48" s="66" customFormat="1" ht="62.25" customHeight="1">
      <c r="A10" s="29" t="s">
        <v>15</v>
      </c>
      <c r="B10" s="186" t="s">
        <v>173</v>
      </c>
      <c r="C10" s="67">
        <v>340389469</v>
      </c>
      <c r="D10" s="69">
        <v>432873573</v>
      </c>
      <c r="E10" s="69">
        <v>357714139</v>
      </c>
      <c r="F10" s="68">
        <v>66016000</v>
      </c>
      <c r="G10" s="68">
        <v>82285671</v>
      </c>
      <c r="H10" s="68">
        <v>73452585</v>
      </c>
      <c r="I10" s="68">
        <v>194161000</v>
      </c>
      <c r="J10" s="68">
        <v>253229109</v>
      </c>
      <c r="K10" s="68">
        <v>233730449</v>
      </c>
      <c r="L10" s="68">
        <v>0</v>
      </c>
      <c r="M10" s="68">
        <v>0</v>
      </c>
      <c r="N10" s="68">
        <v>0</v>
      </c>
      <c r="O10" s="68">
        <v>3500000</v>
      </c>
      <c r="P10" s="68">
        <v>4420000</v>
      </c>
      <c r="Q10" s="68">
        <v>4219864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70">
        <v>0</v>
      </c>
      <c r="X10" s="340">
        <f aca="true" t="shared" si="0" ref="X10:Z13">C10+F10+I10+L10+O10+R10+U10</f>
        <v>604066469</v>
      </c>
      <c r="Y10" s="337">
        <f t="shared" si="0"/>
        <v>772808353</v>
      </c>
      <c r="Z10" s="341">
        <f t="shared" si="0"/>
        <v>669117037</v>
      </c>
      <c r="AA10" s="69">
        <v>0</v>
      </c>
      <c r="AB10" s="69">
        <v>11621624</v>
      </c>
      <c r="AC10" s="69">
        <v>11621624</v>
      </c>
      <c r="AD10" s="68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340">
        <f aca="true" t="shared" si="1" ref="AJ10:AL13">AA10+AD10+AG10</f>
        <v>0</v>
      </c>
      <c r="AK10" s="337">
        <f t="shared" si="1"/>
        <v>11621624</v>
      </c>
      <c r="AL10" s="341">
        <f t="shared" si="1"/>
        <v>11621624</v>
      </c>
      <c r="AM10" s="67">
        <f aca="true" t="shared" si="2" ref="AM10:AO13">X10+AJ10</f>
        <v>604066469</v>
      </c>
      <c r="AN10" s="68">
        <f t="shared" si="2"/>
        <v>784429977</v>
      </c>
      <c r="AO10" s="344">
        <f t="shared" si="2"/>
        <v>680738661</v>
      </c>
      <c r="AP10" s="173">
        <f aca="true" t="shared" si="3" ref="AP10:AP17">Z10/Y10</f>
        <v>0.8658253167198879</v>
      </c>
      <c r="AQ10" s="176">
        <f>AL10/AK10</f>
        <v>1</v>
      </c>
      <c r="AR10" s="177">
        <f aca="true" t="shared" si="4" ref="AR10:AR17">AO10/AN10</f>
        <v>0.8678131649219214</v>
      </c>
      <c r="AS10" s="152">
        <f>AM10-1!AM10</f>
        <v>0</v>
      </c>
      <c r="AT10" s="152">
        <f>AN10-1!AN10</f>
        <v>0</v>
      </c>
      <c r="AV10" s="205"/>
    </row>
    <row r="11" spans="1:48" s="66" customFormat="1" ht="44.25" customHeight="1">
      <c r="A11" s="29" t="s">
        <v>22</v>
      </c>
      <c r="B11" s="186" t="s">
        <v>25</v>
      </c>
      <c r="C11" s="67">
        <v>51164500</v>
      </c>
      <c r="D11" s="69">
        <v>90249413</v>
      </c>
      <c r="E11" s="69">
        <v>80277142</v>
      </c>
      <c r="F11" s="68">
        <v>9921130</v>
      </c>
      <c r="G11" s="68">
        <v>16553627</v>
      </c>
      <c r="H11" s="68">
        <v>13584105</v>
      </c>
      <c r="I11" s="68">
        <v>51692000</v>
      </c>
      <c r="J11" s="68">
        <v>119062729</v>
      </c>
      <c r="K11" s="68">
        <v>98972775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0">
        <v>0</v>
      </c>
      <c r="X11" s="340">
        <f t="shared" si="0"/>
        <v>112777630</v>
      </c>
      <c r="Y11" s="337">
        <f t="shared" si="0"/>
        <v>225865769</v>
      </c>
      <c r="Z11" s="341">
        <f t="shared" si="0"/>
        <v>192834022</v>
      </c>
      <c r="AA11" s="69">
        <v>0</v>
      </c>
      <c r="AB11" s="69">
        <v>2912977</v>
      </c>
      <c r="AC11" s="69">
        <v>2912977</v>
      </c>
      <c r="AD11" s="68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340">
        <f t="shared" si="1"/>
        <v>0</v>
      </c>
      <c r="AK11" s="337">
        <f t="shared" si="1"/>
        <v>2912977</v>
      </c>
      <c r="AL11" s="341">
        <f t="shared" si="1"/>
        <v>2912977</v>
      </c>
      <c r="AM11" s="67">
        <f t="shared" si="2"/>
        <v>112777630</v>
      </c>
      <c r="AN11" s="68">
        <f t="shared" si="2"/>
        <v>228778746</v>
      </c>
      <c r="AO11" s="344">
        <f t="shared" si="2"/>
        <v>195746999</v>
      </c>
      <c r="AP11" s="173">
        <f t="shared" si="3"/>
        <v>0.8537549662959331</v>
      </c>
      <c r="AQ11" s="176">
        <f>AL11/AK11</f>
        <v>1</v>
      </c>
      <c r="AR11" s="177">
        <f t="shared" si="4"/>
        <v>0.8556170641830514</v>
      </c>
      <c r="AS11" s="152">
        <f>AM11-1!AM11</f>
        <v>0</v>
      </c>
      <c r="AT11" s="152">
        <f>AN11-1!AN11</f>
        <v>0</v>
      </c>
      <c r="AV11" s="205"/>
    </row>
    <row r="12" spans="1:48" s="66" customFormat="1" ht="48" customHeight="1">
      <c r="A12" s="29" t="s">
        <v>23</v>
      </c>
      <c r="B12" s="186" t="s">
        <v>29</v>
      </c>
      <c r="C12" s="67">
        <v>23157648</v>
      </c>
      <c r="D12" s="69">
        <v>35072277</v>
      </c>
      <c r="E12" s="69">
        <v>30975226</v>
      </c>
      <c r="F12" s="68">
        <v>4469000</v>
      </c>
      <c r="G12" s="68">
        <v>7287070</v>
      </c>
      <c r="H12" s="68">
        <v>5307540</v>
      </c>
      <c r="I12" s="68">
        <v>6700000</v>
      </c>
      <c r="J12" s="68">
        <v>12320423</v>
      </c>
      <c r="K12" s="68">
        <v>6787200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0">
        <v>0</v>
      </c>
      <c r="X12" s="340">
        <f t="shared" si="0"/>
        <v>34326648</v>
      </c>
      <c r="Y12" s="337">
        <f t="shared" si="0"/>
        <v>54679770</v>
      </c>
      <c r="Z12" s="341">
        <f t="shared" si="0"/>
        <v>43069966</v>
      </c>
      <c r="AA12" s="69">
        <v>0</v>
      </c>
      <c r="AB12" s="69">
        <v>3172501</v>
      </c>
      <c r="AC12" s="69">
        <v>3172501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70">
        <v>0</v>
      </c>
      <c r="AJ12" s="340">
        <f t="shared" si="1"/>
        <v>0</v>
      </c>
      <c r="AK12" s="337">
        <f t="shared" si="1"/>
        <v>3172501</v>
      </c>
      <c r="AL12" s="341">
        <f t="shared" si="1"/>
        <v>3172501</v>
      </c>
      <c r="AM12" s="67">
        <f t="shared" si="2"/>
        <v>34326648</v>
      </c>
      <c r="AN12" s="68">
        <f t="shared" si="2"/>
        <v>57852271</v>
      </c>
      <c r="AO12" s="344">
        <f t="shared" si="2"/>
        <v>46242467</v>
      </c>
      <c r="AP12" s="173">
        <f t="shared" si="3"/>
        <v>0.7876764295094877</v>
      </c>
      <c r="AQ12" s="176">
        <f>AL12/AK12</f>
        <v>1</v>
      </c>
      <c r="AR12" s="177">
        <f t="shared" si="4"/>
        <v>0.7993198227257146</v>
      </c>
      <c r="AS12" s="152">
        <f>AM12-1!AM12</f>
        <v>0</v>
      </c>
      <c r="AT12" s="152">
        <f>AN12-1!AN12</f>
        <v>0</v>
      </c>
      <c r="AV12" s="205"/>
    </row>
    <row r="13" spans="1:48" s="66" customFormat="1" ht="40.5" customHeight="1" thickBot="1">
      <c r="A13" s="157" t="s">
        <v>52</v>
      </c>
      <c r="B13" s="65" t="s">
        <v>27</v>
      </c>
      <c r="C13" s="71">
        <v>13983500</v>
      </c>
      <c r="D13" s="142">
        <v>20119297</v>
      </c>
      <c r="E13" s="142">
        <v>15495956</v>
      </c>
      <c r="F13" s="72">
        <v>2631000</v>
      </c>
      <c r="G13" s="72">
        <v>4554881</v>
      </c>
      <c r="H13" s="72">
        <v>2764476</v>
      </c>
      <c r="I13" s="72">
        <v>5707000</v>
      </c>
      <c r="J13" s="72">
        <v>9165039</v>
      </c>
      <c r="K13" s="72">
        <v>8033806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3">
        <v>0</v>
      </c>
      <c r="X13" s="343">
        <f t="shared" si="0"/>
        <v>22321500</v>
      </c>
      <c r="Y13" s="76">
        <f t="shared" si="0"/>
        <v>33839217</v>
      </c>
      <c r="Z13" s="323">
        <f t="shared" si="0"/>
        <v>26294238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355">
        <v>0</v>
      </c>
      <c r="AJ13" s="340">
        <f t="shared" si="1"/>
        <v>0</v>
      </c>
      <c r="AK13" s="337">
        <f t="shared" si="1"/>
        <v>0</v>
      </c>
      <c r="AL13" s="341">
        <f t="shared" si="1"/>
        <v>0</v>
      </c>
      <c r="AM13" s="67">
        <f t="shared" si="2"/>
        <v>22321500</v>
      </c>
      <c r="AN13" s="68">
        <f t="shared" si="2"/>
        <v>33839217</v>
      </c>
      <c r="AO13" s="344">
        <f t="shared" si="2"/>
        <v>26294238</v>
      </c>
      <c r="AP13" s="174">
        <f t="shared" si="3"/>
        <v>0.777034468616694</v>
      </c>
      <c r="AQ13" s="178"/>
      <c r="AR13" s="179">
        <f t="shared" si="4"/>
        <v>0.777034468616694</v>
      </c>
      <c r="AS13" s="152">
        <f>AM13-1!AM13</f>
        <v>0</v>
      </c>
      <c r="AT13" s="152">
        <f>AN13-1!AN13</f>
        <v>0</v>
      </c>
      <c r="AV13" s="205"/>
    </row>
    <row r="14" spans="1:49" ht="46.5" customHeight="1" thickBot="1">
      <c r="A14" s="160" t="s">
        <v>54</v>
      </c>
      <c r="B14" s="184" t="s">
        <v>312</v>
      </c>
      <c r="C14" s="164">
        <f>SUM(C10:C13)</f>
        <v>428695117</v>
      </c>
      <c r="D14" s="166">
        <f>SUM(D10:D13)</f>
        <v>578314560</v>
      </c>
      <c r="E14" s="166">
        <f aca="true" t="shared" si="5" ref="E14:AA14">SUM(E10:E13)</f>
        <v>484462463</v>
      </c>
      <c r="F14" s="166">
        <f t="shared" si="5"/>
        <v>83037130</v>
      </c>
      <c r="G14" s="166">
        <f t="shared" si="5"/>
        <v>110681249</v>
      </c>
      <c r="H14" s="166">
        <f t="shared" si="5"/>
        <v>95108706</v>
      </c>
      <c r="I14" s="166">
        <f t="shared" si="5"/>
        <v>258260000</v>
      </c>
      <c r="J14" s="166">
        <f t="shared" si="5"/>
        <v>393777300</v>
      </c>
      <c r="K14" s="166">
        <f t="shared" si="5"/>
        <v>347524230</v>
      </c>
      <c r="L14" s="162">
        <f t="shared" si="5"/>
        <v>0</v>
      </c>
      <c r="M14" s="166">
        <f t="shared" si="5"/>
        <v>0</v>
      </c>
      <c r="N14" s="166">
        <f t="shared" si="5"/>
        <v>0</v>
      </c>
      <c r="O14" s="166">
        <f t="shared" si="5"/>
        <v>3500000</v>
      </c>
      <c r="P14" s="166">
        <f t="shared" si="5"/>
        <v>4420000</v>
      </c>
      <c r="Q14" s="166">
        <f t="shared" si="5"/>
        <v>4219864</v>
      </c>
      <c r="R14" s="166">
        <f t="shared" si="5"/>
        <v>0</v>
      </c>
      <c r="S14" s="166">
        <f t="shared" si="5"/>
        <v>0</v>
      </c>
      <c r="T14" s="166">
        <f t="shared" si="5"/>
        <v>0</v>
      </c>
      <c r="U14" s="166">
        <f t="shared" si="5"/>
        <v>0</v>
      </c>
      <c r="V14" s="166">
        <f t="shared" si="5"/>
        <v>0</v>
      </c>
      <c r="W14" s="167">
        <f t="shared" si="5"/>
        <v>0</v>
      </c>
      <c r="X14" s="342">
        <f>SUM(X10:X13)</f>
        <v>773492247</v>
      </c>
      <c r="Y14" s="326">
        <f>SUM(Y10:Y13)</f>
        <v>1087193109</v>
      </c>
      <c r="Z14" s="353">
        <f>SUM(Z10:Z13)</f>
        <v>931315263</v>
      </c>
      <c r="AA14" s="166">
        <f t="shared" si="5"/>
        <v>0</v>
      </c>
      <c r="AB14" s="162">
        <f>SUM(AB10:AB13)</f>
        <v>17707102</v>
      </c>
      <c r="AC14" s="162">
        <f>SUM(AC10:AC13)</f>
        <v>17707102</v>
      </c>
      <c r="AD14" s="162">
        <f aca="true" t="shared" si="6" ref="AD14:AI14">SUM(AD10:AD13)</f>
        <v>0</v>
      </c>
      <c r="AE14" s="162">
        <f t="shared" si="6"/>
        <v>0</v>
      </c>
      <c r="AF14" s="162">
        <f t="shared" si="6"/>
        <v>0</v>
      </c>
      <c r="AG14" s="162">
        <f t="shared" si="6"/>
        <v>0</v>
      </c>
      <c r="AH14" s="162">
        <f t="shared" si="6"/>
        <v>0</v>
      </c>
      <c r="AI14" s="163">
        <f t="shared" si="6"/>
        <v>0</v>
      </c>
      <c r="AJ14" s="342">
        <f aca="true" t="shared" si="7" ref="AJ14:AO14">SUM(AJ10:AJ13)</f>
        <v>0</v>
      </c>
      <c r="AK14" s="338">
        <f t="shared" si="7"/>
        <v>17707102</v>
      </c>
      <c r="AL14" s="309">
        <f t="shared" si="7"/>
        <v>17707102</v>
      </c>
      <c r="AM14" s="164">
        <f t="shared" si="7"/>
        <v>773492247</v>
      </c>
      <c r="AN14" s="162">
        <f t="shared" si="7"/>
        <v>1104900211</v>
      </c>
      <c r="AO14" s="165">
        <f t="shared" si="7"/>
        <v>949022365</v>
      </c>
      <c r="AP14" s="175">
        <f t="shared" si="3"/>
        <v>0.8566235890297572</v>
      </c>
      <c r="AQ14" s="180">
        <f>AL14/AK14</f>
        <v>1</v>
      </c>
      <c r="AR14" s="181">
        <f t="shared" si="4"/>
        <v>0.8589213356571619</v>
      </c>
      <c r="AS14" s="152">
        <f>AM14-1!AM14</f>
        <v>0</v>
      </c>
      <c r="AT14" s="152">
        <f>AN14-1!AN14</f>
        <v>0</v>
      </c>
      <c r="AV14" s="205" t="s">
        <v>486</v>
      </c>
      <c r="AW14" s="52" t="s">
        <v>487</v>
      </c>
    </row>
    <row r="15" spans="1:50" s="15" customFormat="1" ht="51" customHeight="1">
      <c r="A15" s="362" t="s">
        <v>48</v>
      </c>
      <c r="B15" s="64" t="s">
        <v>32</v>
      </c>
      <c r="C15" s="372">
        <v>276365064</v>
      </c>
      <c r="D15" s="364">
        <v>279105408</v>
      </c>
      <c r="E15" s="364">
        <v>269932109</v>
      </c>
      <c r="F15" s="363">
        <v>61345000</v>
      </c>
      <c r="G15" s="363">
        <v>61345000</v>
      </c>
      <c r="H15" s="363">
        <v>54035900</v>
      </c>
      <c r="I15" s="363">
        <v>241634000</v>
      </c>
      <c r="J15" s="501">
        <v>244675825</v>
      </c>
      <c r="K15" s="363">
        <v>237922225</v>
      </c>
      <c r="L15" s="363">
        <v>0</v>
      </c>
      <c r="M15" s="365">
        <v>0</v>
      </c>
      <c r="N15" s="363">
        <v>0</v>
      </c>
      <c r="O15" s="365">
        <v>0</v>
      </c>
      <c r="P15" s="500">
        <v>416124</v>
      </c>
      <c r="Q15" s="365">
        <v>0</v>
      </c>
      <c r="R15" s="365">
        <v>0</v>
      </c>
      <c r="S15" s="365">
        <v>0</v>
      </c>
      <c r="T15" s="365">
        <v>0</v>
      </c>
      <c r="U15" s="365">
        <v>0</v>
      </c>
      <c r="V15" s="365">
        <v>0</v>
      </c>
      <c r="W15" s="365">
        <v>0</v>
      </c>
      <c r="X15" s="373">
        <f aca="true" t="shared" si="8" ref="X15:Z16">C15+F15+I15+L15+O15+R15+U15</f>
        <v>579344064</v>
      </c>
      <c r="Y15" s="365">
        <f t="shared" si="8"/>
        <v>585542357</v>
      </c>
      <c r="Z15" s="366">
        <f t="shared" si="8"/>
        <v>561890234</v>
      </c>
      <c r="AA15" s="364">
        <f>'[1]PH'!D42</f>
        <v>0</v>
      </c>
      <c r="AB15" s="364">
        <f>6210124+560258</f>
        <v>6770382</v>
      </c>
      <c r="AC15" s="364">
        <f>6210124+560258</f>
        <v>6770382</v>
      </c>
      <c r="AD15" s="363">
        <v>0</v>
      </c>
      <c r="AE15" s="363">
        <v>0</v>
      </c>
      <c r="AF15" s="363">
        <v>0</v>
      </c>
      <c r="AG15" s="363">
        <v>0</v>
      </c>
      <c r="AH15" s="363">
        <v>0</v>
      </c>
      <c r="AI15" s="365">
        <v>0</v>
      </c>
      <c r="AJ15" s="340">
        <f aca="true" t="shared" si="9" ref="AJ15:AL16">AA15+AD15+AG15</f>
        <v>0</v>
      </c>
      <c r="AK15" s="337">
        <f t="shared" si="9"/>
        <v>6770382</v>
      </c>
      <c r="AL15" s="341">
        <f t="shared" si="9"/>
        <v>6770382</v>
      </c>
      <c r="AM15" s="340">
        <f aca="true" t="shared" si="10" ref="AM15:AO16">X15+AJ15</f>
        <v>579344064</v>
      </c>
      <c r="AN15" s="337">
        <f t="shared" si="10"/>
        <v>592312739</v>
      </c>
      <c r="AO15" s="341">
        <f t="shared" si="10"/>
        <v>568660616</v>
      </c>
      <c r="AP15" s="374">
        <f t="shared" si="3"/>
        <v>0.9596064695965283</v>
      </c>
      <c r="AQ15" s="370">
        <f>AL15/AK15</f>
        <v>1</v>
      </c>
      <c r="AR15" s="375">
        <f t="shared" si="4"/>
        <v>0.96006818452034</v>
      </c>
      <c r="AS15" s="195">
        <f>AM15-1!AM15</f>
        <v>0</v>
      </c>
      <c r="AT15" s="195">
        <f>AN15-1!AN15</f>
        <v>0</v>
      </c>
      <c r="AV15" s="197">
        <v>244675825</v>
      </c>
      <c r="AW15" s="197">
        <v>245091949</v>
      </c>
      <c r="AX15" s="195">
        <f>AV15-AW15</f>
        <v>-416124</v>
      </c>
    </row>
    <row r="16" spans="1:48" s="66" customFormat="1" ht="36" customHeight="1" thickBot="1">
      <c r="A16" s="157" t="s">
        <v>24</v>
      </c>
      <c r="B16" s="65" t="s">
        <v>50</v>
      </c>
      <c r="C16" s="71">
        <v>236904500</v>
      </c>
      <c r="D16" s="142">
        <v>313262188</v>
      </c>
      <c r="E16" s="142">
        <v>292127426</v>
      </c>
      <c r="F16" s="72">
        <v>31170200</v>
      </c>
      <c r="G16" s="72">
        <v>42861440</v>
      </c>
      <c r="H16" s="72">
        <v>40030690</v>
      </c>
      <c r="I16" s="72">
        <v>456310768</v>
      </c>
      <c r="J16" s="72">
        <v>708392547</v>
      </c>
      <c r="K16" s="72">
        <v>616349750</v>
      </c>
      <c r="L16" s="76">
        <v>135700000</v>
      </c>
      <c r="M16" s="143">
        <v>142455000</v>
      </c>
      <c r="N16" s="76">
        <v>92725714</v>
      </c>
      <c r="O16" s="102">
        <v>938286461</v>
      </c>
      <c r="P16" s="102">
        <v>1059527105</v>
      </c>
      <c r="Q16" s="143">
        <v>1045409864</v>
      </c>
      <c r="R16" s="143">
        <v>82529439</v>
      </c>
      <c r="S16" s="143">
        <v>109382861</v>
      </c>
      <c r="T16" s="102">
        <v>0</v>
      </c>
      <c r="U16" s="102">
        <v>47170372</v>
      </c>
      <c r="V16" s="102">
        <v>47170372</v>
      </c>
      <c r="W16" s="102">
        <v>47170372</v>
      </c>
      <c r="X16" s="310">
        <f t="shared" si="8"/>
        <v>1928071740</v>
      </c>
      <c r="Y16" s="143">
        <f t="shared" si="8"/>
        <v>2423051513</v>
      </c>
      <c r="Z16" s="323">
        <f t="shared" si="8"/>
        <v>2133813816</v>
      </c>
      <c r="AA16" s="77">
        <v>310321999</v>
      </c>
      <c r="AB16" s="77">
        <v>2783585069</v>
      </c>
      <c r="AC16" s="77">
        <v>1466004395</v>
      </c>
      <c r="AD16" s="72">
        <v>39200000</v>
      </c>
      <c r="AE16" s="73">
        <v>44200000</v>
      </c>
      <c r="AF16" s="73">
        <v>12950000</v>
      </c>
      <c r="AG16" s="143">
        <v>2714793518</v>
      </c>
      <c r="AH16" s="143">
        <v>543503899</v>
      </c>
      <c r="AI16" s="73">
        <v>0</v>
      </c>
      <c r="AJ16" s="340">
        <f t="shared" si="9"/>
        <v>3064315517</v>
      </c>
      <c r="AK16" s="337">
        <f t="shared" si="9"/>
        <v>3371288968</v>
      </c>
      <c r="AL16" s="341">
        <f t="shared" si="9"/>
        <v>1478954395</v>
      </c>
      <c r="AM16" s="67">
        <f t="shared" si="10"/>
        <v>4992387257</v>
      </c>
      <c r="AN16" s="68">
        <f t="shared" si="10"/>
        <v>5794340481</v>
      </c>
      <c r="AO16" s="344">
        <f t="shared" si="10"/>
        <v>3612768211</v>
      </c>
      <c r="AP16" s="174">
        <f t="shared" si="3"/>
        <v>0.8806308097668578</v>
      </c>
      <c r="AQ16" s="178">
        <f>AL16/AK16</f>
        <v>0.4386910790021605</v>
      </c>
      <c r="AR16" s="179">
        <f t="shared" si="4"/>
        <v>0.6234994686360751</v>
      </c>
      <c r="AS16" s="152">
        <f>AM16-1!AM16</f>
        <v>0</v>
      </c>
      <c r="AT16" s="152">
        <f>AN16-1!AN16</f>
        <v>0</v>
      </c>
      <c r="AV16" s="205"/>
    </row>
    <row r="17" spans="1:48" ht="47.25" customHeight="1" thickBot="1">
      <c r="A17" s="160" t="s">
        <v>26</v>
      </c>
      <c r="B17" s="184" t="s">
        <v>36</v>
      </c>
      <c r="C17" s="164">
        <f aca="true" t="shared" si="11" ref="C17:AO17">SUM(C14:C16)</f>
        <v>941964681</v>
      </c>
      <c r="D17" s="166">
        <f t="shared" si="11"/>
        <v>1170682156</v>
      </c>
      <c r="E17" s="166">
        <f t="shared" si="11"/>
        <v>1046521998</v>
      </c>
      <c r="F17" s="166">
        <f t="shared" si="11"/>
        <v>175552330</v>
      </c>
      <c r="G17" s="166">
        <f t="shared" si="11"/>
        <v>214887689</v>
      </c>
      <c r="H17" s="166">
        <f t="shared" si="11"/>
        <v>189175296</v>
      </c>
      <c r="I17" s="166">
        <f t="shared" si="11"/>
        <v>956204768</v>
      </c>
      <c r="J17" s="166">
        <f t="shared" si="11"/>
        <v>1346845672</v>
      </c>
      <c r="K17" s="166">
        <f t="shared" si="11"/>
        <v>1201796205</v>
      </c>
      <c r="L17" s="162">
        <f t="shared" si="11"/>
        <v>135700000</v>
      </c>
      <c r="M17" s="166">
        <f t="shared" si="11"/>
        <v>142455000</v>
      </c>
      <c r="N17" s="166">
        <f t="shared" si="11"/>
        <v>92725714</v>
      </c>
      <c r="O17" s="166">
        <f t="shared" si="11"/>
        <v>941786461</v>
      </c>
      <c r="P17" s="166">
        <f t="shared" si="11"/>
        <v>1064363229</v>
      </c>
      <c r="Q17" s="166">
        <f t="shared" si="11"/>
        <v>1049629728</v>
      </c>
      <c r="R17" s="166">
        <f t="shared" si="11"/>
        <v>82529439</v>
      </c>
      <c r="S17" s="166">
        <f t="shared" si="11"/>
        <v>109382861</v>
      </c>
      <c r="T17" s="166">
        <f t="shared" si="11"/>
        <v>0</v>
      </c>
      <c r="U17" s="166">
        <f t="shared" si="11"/>
        <v>47170372</v>
      </c>
      <c r="V17" s="166">
        <f t="shared" si="11"/>
        <v>47170372</v>
      </c>
      <c r="W17" s="167">
        <f t="shared" si="11"/>
        <v>47170372</v>
      </c>
      <c r="X17" s="342">
        <f t="shared" si="11"/>
        <v>3280908051</v>
      </c>
      <c r="Y17" s="342">
        <f t="shared" si="11"/>
        <v>4095786979</v>
      </c>
      <c r="Z17" s="354">
        <f t="shared" si="11"/>
        <v>3627019313</v>
      </c>
      <c r="AA17" s="166">
        <f t="shared" si="11"/>
        <v>310321999</v>
      </c>
      <c r="AB17" s="162">
        <f t="shared" si="11"/>
        <v>2808062553</v>
      </c>
      <c r="AC17" s="162">
        <f t="shared" si="11"/>
        <v>1490481879</v>
      </c>
      <c r="AD17" s="162">
        <f t="shared" si="11"/>
        <v>39200000</v>
      </c>
      <c r="AE17" s="162">
        <f t="shared" si="11"/>
        <v>44200000</v>
      </c>
      <c r="AF17" s="162">
        <f t="shared" si="11"/>
        <v>12950000</v>
      </c>
      <c r="AG17" s="162">
        <f t="shared" si="11"/>
        <v>2714793518</v>
      </c>
      <c r="AH17" s="162">
        <f t="shared" si="11"/>
        <v>543503899</v>
      </c>
      <c r="AI17" s="163">
        <f t="shared" si="11"/>
        <v>0</v>
      </c>
      <c r="AJ17" s="342">
        <f t="shared" si="11"/>
        <v>3064315517</v>
      </c>
      <c r="AK17" s="338">
        <f t="shared" si="11"/>
        <v>3395766452</v>
      </c>
      <c r="AL17" s="309">
        <f t="shared" si="11"/>
        <v>1503431879</v>
      </c>
      <c r="AM17" s="164">
        <f t="shared" si="11"/>
        <v>6345223568</v>
      </c>
      <c r="AN17" s="162">
        <f t="shared" si="11"/>
        <v>7491553431</v>
      </c>
      <c r="AO17" s="165">
        <f t="shared" si="11"/>
        <v>5130451192</v>
      </c>
      <c r="AP17" s="175">
        <f t="shared" si="3"/>
        <v>0.8855488167711175</v>
      </c>
      <c r="AQ17" s="180">
        <f>AL17/AK17</f>
        <v>0.4427371258451905</v>
      </c>
      <c r="AR17" s="181">
        <f t="shared" si="4"/>
        <v>0.6848314223816686</v>
      </c>
      <c r="AS17" s="152">
        <f>AM17-1!AM17</f>
        <v>0</v>
      </c>
      <c r="AT17" s="152">
        <f>AN17-1!AN17</f>
        <v>0</v>
      </c>
      <c r="AV17" s="205">
        <f>AN17-AM17</f>
        <v>1146329863</v>
      </c>
    </row>
    <row r="18" spans="24:44" ht="15.75" hidden="1">
      <c r="X18" s="346"/>
      <c r="Y18" s="346"/>
      <c r="Z18" s="346"/>
      <c r="AJ18" s="346">
        <f>AA17+AD17+AG17-AJ17</f>
        <v>0</v>
      </c>
      <c r="AK18" s="346">
        <f>AB17+AE17+AH17-AK17</f>
        <v>0</v>
      </c>
      <c r="AL18" s="346">
        <f>AC17+AF17+AI17-AL17</f>
        <v>0</v>
      </c>
      <c r="AM18" s="150">
        <f>X17+AJ17-AM17</f>
        <v>0</v>
      </c>
      <c r="AN18" s="150">
        <f>Y17+AK17-AN17</f>
        <v>0</v>
      </c>
      <c r="AO18" s="150">
        <f>Z17+AL17-AO17</f>
        <v>0</v>
      </c>
      <c r="AP18" s="150"/>
      <c r="AQ18" s="150"/>
      <c r="AR18" s="150"/>
    </row>
    <row r="19" spans="1:41" s="268" customFormat="1" ht="20.25" customHeight="1" hidden="1">
      <c r="A19" s="268" t="s">
        <v>307</v>
      </c>
      <c r="C19" s="268">
        <v>941964681</v>
      </c>
      <c r="D19" s="268">
        <v>1170682156</v>
      </c>
      <c r="E19" s="268">
        <v>1046521998</v>
      </c>
      <c r="F19" s="268">
        <v>175552330</v>
      </c>
      <c r="G19" s="268">
        <v>214887689</v>
      </c>
      <c r="H19" s="268">
        <v>189175296</v>
      </c>
      <c r="I19" s="268">
        <v>956204768</v>
      </c>
      <c r="J19" s="268">
        <v>1346845672</v>
      </c>
      <c r="K19" s="268">
        <v>1201796205</v>
      </c>
      <c r="L19" s="268">
        <v>135700000</v>
      </c>
      <c r="M19" s="268">
        <v>142455000</v>
      </c>
      <c r="N19" s="268">
        <v>92725714</v>
      </c>
      <c r="O19" s="268">
        <f>3739109418-R19</f>
        <v>941786461</v>
      </c>
      <c r="P19" s="268">
        <f>1717249989-S19</f>
        <v>1064363229</v>
      </c>
      <c r="Q19" s="268">
        <v>1049629728</v>
      </c>
      <c r="R19" s="268">
        <v>2797322957</v>
      </c>
      <c r="S19" s="268">
        <v>652886760</v>
      </c>
      <c r="T19" s="268">
        <v>0</v>
      </c>
      <c r="U19" s="268">
        <v>47170372</v>
      </c>
      <c r="V19" s="268">
        <v>47170372</v>
      </c>
      <c r="W19" s="268">
        <v>47170372</v>
      </c>
      <c r="X19" s="347"/>
      <c r="Y19" s="347"/>
      <c r="Z19" s="347"/>
      <c r="AA19" s="268">
        <f>250000000+60321999</f>
        <v>310321999</v>
      </c>
      <c r="AB19" s="268">
        <f>1502825001+1305237552</f>
        <v>2808062553</v>
      </c>
      <c r="AC19" s="268">
        <v>1490481879</v>
      </c>
      <c r="AD19" s="268">
        <v>39200000</v>
      </c>
      <c r="AE19" s="268">
        <v>44200000</v>
      </c>
      <c r="AF19" s="268">
        <v>12950000</v>
      </c>
      <c r="AJ19" s="347"/>
      <c r="AK19" s="347"/>
      <c r="AL19" s="347"/>
      <c r="AM19" s="268">
        <f>6298053196+47170372</f>
        <v>6345223568</v>
      </c>
      <c r="AN19" s="268">
        <f>7444383059+47170372</f>
        <v>7491553431</v>
      </c>
      <c r="AO19" s="268">
        <v>5130451192</v>
      </c>
    </row>
    <row r="20" spans="3:42" s="268" customFormat="1" ht="16.5" customHeight="1" hidden="1" thickBot="1">
      <c r="C20" s="268">
        <f aca="true" t="shared" si="12" ref="C20:Q20">C19-C17</f>
        <v>0</v>
      </c>
      <c r="D20" s="268">
        <f t="shared" si="12"/>
        <v>0</v>
      </c>
      <c r="E20" s="268">
        <f t="shared" si="12"/>
        <v>0</v>
      </c>
      <c r="F20" s="268">
        <f t="shared" si="12"/>
        <v>0</v>
      </c>
      <c r="G20" s="268">
        <f t="shared" si="12"/>
        <v>0</v>
      </c>
      <c r="H20" s="268">
        <f t="shared" si="12"/>
        <v>0</v>
      </c>
      <c r="I20" s="268">
        <f t="shared" si="12"/>
        <v>0</v>
      </c>
      <c r="J20" s="268">
        <f t="shared" si="12"/>
        <v>0</v>
      </c>
      <c r="K20" s="268">
        <f t="shared" si="12"/>
        <v>0</v>
      </c>
      <c r="L20" s="268">
        <f t="shared" si="12"/>
        <v>0</v>
      </c>
      <c r="M20" s="268">
        <f t="shared" si="12"/>
        <v>0</v>
      </c>
      <c r="N20" s="268">
        <f t="shared" si="12"/>
        <v>0</v>
      </c>
      <c r="O20" s="268">
        <f t="shared" si="12"/>
        <v>0</v>
      </c>
      <c r="P20" s="268">
        <f t="shared" si="12"/>
        <v>0</v>
      </c>
      <c r="Q20" s="268">
        <f t="shared" si="12"/>
        <v>0</v>
      </c>
      <c r="R20" s="268">
        <f>R19-R17-AG16</f>
        <v>0</v>
      </c>
      <c r="S20" s="268">
        <f>S19-S17-AH16</f>
        <v>0</v>
      </c>
      <c r="T20" s="268">
        <f aca="true" t="shared" si="13" ref="T20:AF20">T19-T17</f>
        <v>0</v>
      </c>
      <c r="U20" s="268">
        <f t="shared" si="13"/>
        <v>0</v>
      </c>
      <c r="V20" s="268">
        <f t="shared" si="13"/>
        <v>0</v>
      </c>
      <c r="W20" s="268">
        <f t="shared" si="13"/>
        <v>0</v>
      </c>
      <c r="X20" s="347"/>
      <c r="Y20" s="347"/>
      <c r="Z20" s="347"/>
      <c r="AA20" s="268">
        <f t="shared" si="13"/>
        <v>0</v>
      </c>
      <c r="AB20" s="268">
        <f t="shared" si="13"/>
        <v>0</v>
      </c>
      <c r="AC20" s="268">
        <f t="shared" si="13"/>
        <v>0</v>
      </c>
      <c r="AD20" s="268">
        <f t="shared" si="13"/>
        <v>0</v>
      </c>
      <c r="AE20" s="268">
        <f t="shared" si="13"/>
        <v>0</v>
      </c>
      <c r="AF20" s="268">
        <f t="shared" si="13"/>
        <v>0</v>
      </c>
      <c r="AJ20" s="347"/>
      <c r="AK20" s="347"/>
      <c r="AL20" s="347"/>
      <c r="AM20" s="268">
        <f>AM19-AM17</f>
        <v>0</v>
      </c>
      <c r="AN20" s="268">
        <f>AN19-AN17</f>
        <v>0</v>
      </c>
      <c r="AO20" s="268">
        <f>AO19-AO17</f>
        <v>0</v>
      </c>
      <c r="AP20" s="268">
        <f>AN16-AM16</f>
        <v>801953224</v>
      </c>
    </row>
    <row r="21" spans="1:41" ht="36" customHeight="1" hidden="1">
      <c r="A21" s="886" t="s">
        <v>10</v>
      </c>
      <c r="B21" s="947" t="s">
        <v>11</v>
      </c>
      <c r="C21" s="950" t="s">
        <v>37</v>
      </c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  <c r="T21" s="901"/>
      <c r="U21" s="901"/>
      <c r="V21" s="901"/>
      <c r="W21" s="901"/>
      <c r="X21" s="941" t="s">
        <v>56</v>
      </c>
      <c r="Y21" s="942"/>
      <c r="Z21" s="943"/>
      <c r="AA21" s="901" t="s">
        <v>38</v>
      </c>
      <c r="AB21" s="901"/>
      <c r="AC21" s="901"/>
      <c r="AD21" s="901"/>
      <c r="AE21" s="901"/>
      <c r="AF21" s="901"/>
      <c r="AG21" s="901"/>
      <c r="AH21" s="901"/>
      <c r="AI21" s="901"/>
      <c r="AJ21" s="941" t="s">
        <v>70</v>
      </c>
      <c r="AK21" s="942"/>
      <c r="AL21" s="943"/>
      <c r="AM21" s="953" t="s">
        <v>41</v>
      </c>
      <c r="AN21" s="954"/>
      <c r="AO21" s="955"/>
    </row>
    <row r="22" spans="1:41" ht="15.75" customHeight="1" hidden="1">
      <c r="A22" s="887"/>
      <c r="B22" s="948"/>
      <c r="C22" s="892" t="s">
        <v>297</v>
      </c>
      <c r="D22" s="893"/>
      <c r="E22" s="894"/>
      <c r="F22" s="892" t="s">
        <v>298</v>
      </c>
      <c r="G22" s="893"/>
      <c r="H22" s="894"/>
      <c r="I22" s="892" t="s">
        <v>299</v>
      </c>
      <c r="J22" s="893"/>
      <c r="K22" s="894"/>
      <c r="L22" s="892" t="s">
        <v>300</v>
      </c>
      <c r="M22" s="893"/>
      <c r="N22" s="894"/>
      <c r="O22" s="892" t="s">
        <v>174</v>
      </c>
      <c r="P22" s="893"/>
      <c r="Q22" s="894"/>
      <c r="R22" s="892" t="s">
        <v>45</v>
      </c>
      <c r="S22" s="893"/>
      <c r="T22" s="894"/>
      <c r="U22" s="899"/>
      <c r="V22" s="899"/>
      <c r="W22" s="899"/>
      <c r="X22" s="944"/>
      <c r="Y22" s="945"/>
      <c r="Z22" s="946"/>
      <c r="AA22" s="892" t="s">
        <v>302</v>
      </c>
      <c r="AB22" s="893"/>
      <c r="AC22" s="894"/>
      <c r="AD22" s="892" t="s">
        <v>301</v>
      </c>
      <c r="AE22" s="893"/>
      <c r="AF22" s="894"/>
      <c r="AG22" s="892" t="s">
        <v>47</v>
      </c>
      <c r="AH22" s="893"/>
      <c r="AI22" s="894"/>
      <c r="AJ22" s="944"/>
      <c r="AK22" s="945"/>
      <c r="AL22" s="946"/>
      <c r="AM22" s="918"/>
      <c r="AN22" s="896"/>
      <c r="AO22" s="924"/>
    </row>
    <row r="23" spans="1:41" ht="53.25" customHeight="1" hidden="1">
      <c r="A23" s="887"/>
      <c r="B23" s="948"/>
      <c r="C23" s="911"/>
      <c r="D23" s="912"/>
      <c r="E23" s="913"/>
      <c r="F23" s="911"/>
      <c r="G23" s="912"/>
      <c r="H23" s="913"/>
      <c r="I23" s="911"/>
      <c r="J23" s="912"/>
      <c r="K23" s="913"/>
      <c r="L23" s="911"/>
      <c r="M23" s="912"/>
      <c r="N23" s="913"/>
      <c r="O23" s="911"/>
      <c r="P23" s="912"/>
      <c r="Q23" s="913"/>
      <c r="R23" s="911"/>
      <c r="S23" s="912"/>
      <c r="T23" s="913"/>
      <c r="U23" s="898" t="s">
        <v>293</v>
      </c>
      <c r="V23" s="899"/>
      <c r="W23" s="899"/>
      <c r="X23" s="944"/>
      <c r="Y23" s="945"/>
      <c r="Z23" s="946"/>
      <c r="AA23" s="911"/>
      <c r="AB23" s="912"/>
      <c r="AC23" s="913"/>
      <c r="AD23" s="911" t="s">
        <v>175</v>
      </c>
      <c r="AE23" s="912"/>
      <c r="AF23" s="913"/>
      <c r="AG23" s="911"/>
      <c r="AH23" s="912"/>
      <c r="AI23" s="913"/>
      <c r="AJ23" s="944"/>
      <c r="AK23" s="945"/>
      <c r="AL23" s="946"/>
      <c r="AM23" s="919"/>
      <c r="AN23" s="912"/>
      <c r="AO23" s="925"/>
    </row>
    <row r="24" spans="1:41" ht="28.5" hidden="1">
      <c r="A24" s="888"/>
      <c r="B24" s="949"/>
      <c r="C24" s="137"/>
      <c r="D24" s="137"/>
      <c r="E24" s="137" t="s">
        <v>96</v>
      </c>
      <c r="F24" s="137"/>
      <c r="G24" s="137"/>
      <c r="H24" s="137" t="s">
        <v>96</v>
      </c>
      <c r="I24" s="137"/>
      <c r="J24" s="137"/>
      <c r="K24" s="137" t="s">
        <v>96</v>
      </c>
      <c r="L24" s="137"/>
      <c r="M24" s="137"/>
      <c r="N24" s="137" t="s">
        <v>96</v>
      </c>
      <c r="O24" s="137"/>
      <c r="P24" s="137"/>
      <c r="Q24" s="137" t="s">
        <v>96</v>
      </c>
      <c r="R24" s="137"/>
      <c r="S24" s="137"/>
      <c r="T24" s="137" t="s">
        <v>96</v>
      </c>
      <c r="U24" s="137"/>
      <c r="V24" s="137"/>
      <c r="W24" s="144" t="s">
        <v>96</v>
      </c>
      <c r="X24" s="306"/>
      <c r="Y24" s="307"/>
      <c r="Z24" s="308" t="s">
        <v>96</v>
      </c>
      <c r="AA24" s="147"/>
      <c r="AB24" s="137"/>
      <c r="AC24" s="137" t="s">
        <v>96</v>
      </c>
      <c r="AD24" s="137" t="s">
        <v>127</v>
      </c>
      <c r="AE24" s="137" t="s">
        <v>141</v>
      </c>
      <c r="AF24" s="137" t="s">
        <v>96</v>
      </c>
      <c r="AG24" s="137" t="s">
        <v>127</v>
      </c>
      <c r="AH24" s="137" t="s">
        <v>141</v>
      </c>
      <c r="AI24" s="137" t="s">
        <v>96</v>
      </c>
      <c r="AJ24" s="306" t="s">
        <v>127</v>
      </c>
      <c r="AK24" s="307" t="s">
        <v>141</v>
      </c>
      <c r="AL24" s="308" t="s">
        <v>96</v>
      </c>
      <c r="AM24" s="145" t="s">
        <v>127</v>
      </c>
      <c r="AN24" s="137" t="s">
        <v>141</v>
      </c>
      <c r="AO24" s="146" t="s">
        <v>96</v>
      </c>
    </row>
    <row r="25" spans="1:41" ht="66" customHeight="1" hidden="1">
      <c r="A25" s="29" t="s">
        <v>15</v>
      </c>
      <c r="B25" s="63" t="s">
        <v>173</v>
      </c>
      <c r="C25" s="67"/>
      <c r="D25" s="272"/>
      <c r="E25" s="271">
        <f>E10/D10</f>
        <v>0.8263709344067535</v>
      </c>
      <c r="F25" s="270"/>
      <c r="G25" s="270"/>
      <c r="H25" s="271">
        <f>H10/G10</f>
        <v>0.8926534122812221</v>
      </c>
      <c r="I25" s="270"/>
      <c r="J25" s="270"/>
      <c r="K25" s="271">
        <f>K10/J10</f>
        <v>0.9229999265210856</v>
      </c>
      <c r="L25" s="270"/>
      <c r="M25" s="270"/>
      <c r="N25" s="271"/>
      <c r="O25" s="270"/>
      <c r="P25" s="270"/>
      <c r="Q25" s="271">
        <f>Q10/P10</f>
        <v>0.9547203619909502</v>
      </c>
      <c r="R25" s="270"/>
      <c r="S25" s="270"/>
      <c r="T25" s="271"/>
      <c r="U25" s="270"/>
      <c r="V25" s="270"/>
      <c r="W25" s="271"/>
      <c r="X25" s="327"/>
      <c r="Y25" s="328"/>
      <c r="Z25" s="329">
        <f>Z10/Y10</f>
        <v>0.8658253167198879</v>
      </c>
      <c r="AA25" s="272"/>
      <c r="AB25" s="272"/>
      <c r="AC25" s="271">
        <f>AC10/AB10</f>
        <v>1</v>
      </c>
      <c r="AD25" s="270"/>
      <c r="AE25" s="274"/>
      <c r="AF25" s="271"/>
      <c r="AG25" s="274"/>
      <c r="AH25" s="274"/>
      <c r="AI25" s="271"/>
      <c r="AJ25" s="327"/>
      <c r="AK25" s="328"/>
      <c r="AL25" s="315">
        <f>AL10/AK10</f>
        <v>1</v>
      </c>
      <c r="AM25" s="290"/>
      <c r="AN25" s="270"/>
      <c r="AO25" s="271">
        <f>AO10/AN10</f>
        <v>0.8678131649219214</v>
      </c>
    </row>
    <row r="26" spans="1:41" ht="61.5" customHeight="1" hidden="1">
      <c r="A26" s="29" t="s">
        <v>22</v>
      </c>
      <c r="B26" s="63" t="s">
        <v>25</v>
      </c>
      <c r="C26" s="67"/>
      <c r="D26" s="272"/>
      <c r="E26" s="271">
        <f>E11/D11</f>
        <v>0.8895032037493695</v>
      </c>
      <c r="F26" s="270"/>
      <c r="G26" s="270"/>
      <c r="H26" s="271">
        <f aca="true" t="shared" si="14" ref="H26:H32">H11/G11</f>
        <v>0.820612002433062</v>
      </c>
      <c r="I26" s="270"/>
      <c r="J26" s="270"/>
      <c r="K26" s="271">
        <f aca="true" t="shared" si="15" ref="K26:K32">K11/J11</f>
        <v>0.8312658027517579</v>
      </c>
      <c r="L26" s="270"/>
      <c r="M26" s="270"/>
      <c r="N26" s="271"/>
      <c r="O26" s="270"/>
      <c r="P26" s="270"/>
      <c r="Q26" s="271"/>
      <c r="R26" s="270"/>
      <c r="S26" s="270"/>
      <c r="T26" s="271"/>
      <c r="U26" s="270"/>
      <c r="V26" s="270"/>
      <c r="W26" s="271"/>
      <c r="X26" s="327"/>
      <c r="Y26" s="328"/>
      <c r="Z26" s="329">
        <f aca="true" t="shared" si="16" ref="Z26:Z32">Z11/Y11</f>
        <v>0.8537549662959331</v>
      </c>
      <c r="AA26" s="272"/>
      <c r="AB26" s="272"/>
      <c r="AC26" s="271">
        <f>AC11/AB11</f>
        <v>1</v>
      </c>
      <c r="AD26" s="270"/>
      <c r="AE26" s="274"/>
      <c r="AF26" s="271"/>
      <c r="AG26" s="274"/>
      <c r="AH26" s="274"/>
      <c r="AI26" s="271"/>
      <c r="AJ26" s="327"/>
      <c r="AK26" s="328"/>
      <c r="AL26" s="315">
        <f>AL11/AK11</f>
        <v>1</v>
      </c>
      <c r="AM26" s="290"/>
      <c r="AN26" s="270"/>
      <c r="AO26" s="271">
        <f aca="true" t="shared" si="17" ref="AO26:AO32">AO11/AN11</f>
        <v>0.8556170641830514</v>
      </c>
    </row>
    <row r="27" spans="1:41" ht="36.75" customHeight="1" hidden="1">
      <c r="A27" s="29" t="s">
        <v>23</v>
      </c>
      <c r="B27" s="63" t="s">
        <v>29</v>
      </c>
      <c r="C27" s="67"/>
      <c r="D27" s="272"/>
      <c r="E27" s="271">
        <f aca="true" t="shared" si="18" ref="E27:E32">E12/D12</f>
        <v>0.8831826345349634</v>
      </c>
      <c r="F27" s="270"/>
      <c r="G27" s="270"/>
      <c r="H27" s="271">
        <f t="shared" si="14"/>
        <v>0.7283503520619399</v>
      </c>
      <c r="I27" s="270"/>
      <c r="J27" s="270"/>
      <c r="K27" s="271">
        <f t="shared" si="15"/>
        <v>0.5508901764168325</v>
      </c>
      <c r="L27" s="270"/>
      <c r="M27" s="270"/>
      <c r="N27" s="271"/>
      <c r="O27" s="270"/>
      <c r="P27" s="270"/>
      <c r="Q27" s="271"/>
      <c r="R27" s="270"/>
      <c r="S27" s="270"/>
      <c r="T27" s="271"/>
      <c r="U27" s="270"/>
      <c r="V27" s="270"/>
      <c r="W27" s="271"/>
      <c r="X27" s="327"/>
      <c r="Y27" s="328"/>
      <c r="Z27" s="329">
        <f t="shared" si="16"/>
        <v>0.7876764295094877</v>
      </c>
      <c r="AA27" s="272"/>
      <c r="AB27" s="272"/>
      <c r="AC27" s="271">
        <f>AC12/AB12</f>
        <v>1</v>
      </c>
      <c r="AD27" s="270"/>
      <c r="AE27" s="270"/>
      <c r="AF27" s="271"/>
      <c r="AG27" s="270"/>
      <c r="AH27" s="270"/>
      <c r="AI27" s="271"/>
      <c r="AJ27" s="327"/>
      <c r="AK27" s="328"/>
      <c r="AL27" s="315">
        <f>AL12/AK12</f>
        <v>1</v>
      </c>
      <c r="AM27" s="290"/>
      <c r="AN27" s="270"/>
      <c r="AO27" s="271">
        <f t="shared" si="17"/>
        <v>0.7993198227257146</v>
      </c>
    </row>
    <row r="28" spans="1:41" ht="39" customHeight="1" hidden="1" thickBot="1">
      <c r="A28" s="157" t="s">
        <v>52</v>
      </c>
      <c r="B28" s="183" t="s">
        <v>27</v>
      </c>
      <c r="C28" s="71"/>
      <c r="D28" s="277"/>
      <c r="E28" s="271">
        <f t="shared" si="18"/>
        <v>0.7702036507538012</v>
      </c>
      <c r="F28" s="276"/>
      <c r="G28" s="276"/>
      <c r="H28" s="271">
        <f t="shared" si="14"/>
        <v>0.6069260645887345</v>
      </c>
      <c r="I28" s="276"/>
      <c r="J28" s="276"/>
      <c r="K28" s="271">
        <f t="shared" si="15"/>
        <v>0.8765708471071427</v>
      </c>
      <c r="L28" s="276"/>
      <c r="M28" s="276"/>
      <c r="N28" s="271"/>
      <c r="O28" s="276"/>
      <c r="P28" s="276"/>
      <c r="Q28" s="271"/>
      <c r="R28" s="276"/>
      <c r="S28" s="276"/>
      <c r="T28" s="271"/>
      <c r="U28" s="276"/>
      <c r="V28" s="276"/>
      <c r="W28" s="271"/>
      <c r="X28" s="330"/>
      <c r="Y28" s="295"/>
      <c r="Z28" s="329">
        <f t="shared" si="16"/>
        <v>0.777034468616694</v>
      </c>
      <c r="AA28" s="277"/>
      <c r="AB28" s="277"/>
      <c r="AC28" s="271"/>
      <c r="AD28" s="277"/>
      <c r="AE28" s="277"/>
      <c r="AF28" s="271"/>
      <c r="AG28" s="277"/>
      <c r="AH28" s="277"/>
      <c r="AI28" s="271"/>
      <c r="AJ28" s="330"/>
      <c r="AK28" s="295"/>
      <c r="AL28" s="315"/>
      <c r="AM28" s="291"/>
      <c r="AN28" s="276"/>
      <c r="AO28" s="271">
        <f t="shared" si="17"/>
        <v>0.777034468616694</v>
      </c>
    </row>
    <row r="29" spans="1:41" ht="32.25" customHeight="1" hidden="1" thickBot="1">
      <c r="A29" s="160" t="s">
        <v>54</v>
      </c>
      <c r="B29" s="184" t="s">
        <v>30</v>
      </c>
      <c r="C29" s="164"/>
      <c r="D29" s="281"/>
      <c r="E29" s="180">
        <f t="shared" si="18"/>
        <v>0.8377144490361785</v>
      </c>
      <c r="F29" s="281"/>
      <c r="G29" s="281"/>
      <c r="H29" s="180">
        <f t="shared" si="14"/>
        <v>0.8593027894002172</v>
      </c>
      <c r="I29" s="281"/>
      <c r="J29" s="281"/>
      <c r="K29" s="180">
        <f t="shared" si="15"/>
        <v>0.8825400296055664</v>
      </c>
      <c r="L29" s="281"/>
      <c r="M29" s="281"/>
      <c r="N29" s="180"/>
      <c r="O29" s="281"/>
      <c r="P29" s="281"/>
      <c r="Q29" s="180">
        <f>Q14/P14</f>
        <v>0.9547203619909502</v>
      </c>
      <c r="R29" s="281"/>
      <c r="S29" s="281"/>
      <c r="T29" s="180"/>
      <c r="U29" s="281"/>
      <c r="V29" s="281"/>
      <c r="W29" s="180"/>
      <c r="X29" s="331"/>
      <c r="Y29" s="348"/>
      <c r="Z29" s="333">
        <f t="shared" si="16"/>
        <v>0.8566235890297572</v>
      </c>
      <c r="AA29" s="281"/>
      <c r="AB29" s="281"/>
      <c r="AC29" s="180">
        <f>AC14/AB14</f>
        <v>1</v>
      </c>
      <c r="AD29" s="281"/>
      <c r="AE29" s="281"/>
      <c r="AF29" s="180"/>
      <c r="AG29" s="281"/>
      <c r="AH29" s="281"/>
      <c r="AI29" s="180"/>
      <c r="AJ29" s="331"/>
      <c r="AK29" s="348"/>
      <c r="AL29" s="319">
        <f>AL14/AK14</f>
        <v>1</v>
      </c>
      <c r="AM29" s="292"/>
      <c r="AN29" s="281"/>
      <c r="AO29" s="180">
        <f t="shared" si="17"/>
        <v>0.8589213356571619</v>
      </c>
    </row>
    <row r="30" spans="1:41" ht="37.5" customHeight="1" hidden="1">
      <c r="A30" s="155" t="s">
        <v>48</v>
      </c>
      <c r="B30" s="64" t="s">
        <v>32</v>
      </c>
      <c r="C30" s="75"/>
      <c r="D30" s="285"/>
      <c r="E30" s="293">
        <f t="shared" si="18"/>
        <v>0.9671332094002277</v>
      </c>
      <c r="F30" s="284"/>
      <c r="G30" s="284"/>
      <c r="H30" s="293">
        <f t="shared" si="14"/>
        <v>0.8808525552204743</v>
      </c>
      <c r="I30" s="284"/>
      <c r="J30" s="284"/>
      <c r="K30" s="293">
        <f t="shared" si="15"/>
        <v>0.9723977634488409</v>
      </c>
      <c r="L30" s="284"/>
      <c r="M30" s="286"/>
      <c r="N30" s="293"/>
      <c r="O30" s="286"/>
      <c r="P30" s="286"/>
      <c r="Q30" s="293"/>
      <c r="R30" s="286"/>
      <c r="S30" s="286"/>
      <c r="T30" s="293"/>
      <c r="U30" s="286"/>
      <c r="V30" s="286"/>
      <c r="W30" s="293"/>
      <c r="X30" s="349"/>
      <c r="Y30" s="321"/>
      <c r="Z30" s="350">
        <f t="shared" si="16"/>
        <v>0.9596064695965283</v>
      </c>
      <c r="AA30" s="285"/>
      <c r="AB30" s="285"/>
      <c r="AC30" s="293">
        <f>AC15/AB15</f>
        <v>1</v>
      </c>
      <c r="AD30" s="284"/>
      <c r="AE30" s="284"/>
      <c r="AF30" s="293"/>
      <c r="AG30" s="284"/>
      <c r="AH30" s="284"/>
      <c r="AI30" s="293"/>
      <c r="AJ30" s="320"/>
      <c r="AK30" s="321"/>
      <c r="AL30" s="352">
        <f>AL15/AK15</f>
        <v>1</v>
      </c>
      <c r="AM30" s="294"/>
      <c r="AN30" s="286"/>
      <c r="AO30" s="293">
        <f t="shared" si="17"/>
        <v>0.96006818452034</v>
      </c>
    </row>
    <row r="31" spans="1:41" ht="35.25" customHeight="1" hidden="1" thickBot="1">
      <c r="A31" s="157" t="s">
        <v>24</v>
      </c>
      <c r="B31" s="65" t="s">
        <v>50</v>
      </c>
      <c r="C31" s="71"/>
      <c r="D31" s="277"/>
      <c r="E31" s="271">
        <f t="shared" si="18"/>
        <v>0.932533312957643</v>
      </c>
      <c r="F31" s="276"/>
      <c r="G31" s="276"/>
      <c r="H31" s="271">
        <f t="shared" si="14"/>
        <v>0.9339557886995864</v>
      </c>
      <c r="I31" s="276"/>
      <c r="J31" s="276"/>
      <c r="K31" s="271">
        <f t="shared" si="15"/>
        <v>0.870068089522122</v>
      </c>
      <c r="L31" s="295"/>
      <c r="M31" s="296"/>
      <c r="N31" s="271">
        <f>N16/M16</f>
        <v>0.6509123161700187</v>
      </c>
      <c r="O31" s="297"/>
      <c r="P31" s="297"/>
      <c r="Q31" s="271">
        <f>Q16/P16</f>
        <v>0.9866759038693965</v>
      </c>
      <c r="R31" s="297"/>
      <c r="S31" s="297"/>
      <c r="T31" s="271">
        <f>T16/S16</f>
        <v>0</v>
      </c>
      <c r="U31" s="297"/>
      <c r="V31" s="297"/>
      <c r="W31" s="271">
        <f>W16/V16</f>
        <v>1</v>
      </c>
      <c r="X31" s="316"/>
      <c r="Y31" s="296"/>
      <c r="Z31" s="329">
        <f t="shared" si="16"/>
        <v>0.8806308097668578</v>
      </c>
      <c r="AA31" s="288"/>
      <c r="AB31" s="288"/>
      <c r="AC31" s="271">
        <f>AC16/AB16</f>
        <v>0.5266605326082815</v>
      </c>
      <c r="AD31" s="276"/>
      <c r="AE31" s="279"/>
      <c r="AF31" s="271">
        <f>AF16/AE16</f>
        <v>0.29298642533936653</v>
      </c>
      <c r="AG31" s="279"/>
      <c r="AH31" s="279"/>
      <c r="AI31" s="271">
        <f>AI16/AH16</f>
        <v>0</v>
      </c>
      <c r="AJ31" s="316"/>
      <c r="AK31" s="296"/>
      <c r="AL31" s="315">
        <f>AL16/AK16</f>
        <v>0.4386910790021605</v>
      </c>
      <c r="AM31" s="298"/>
      <c r="AN31" s="297"/>
      <c r="AO31" s="271">
        <f t="shared" si="17"/>
        <v>0.6234994686360751</v>
      </c>
    </row>
    <row r="32" spans="1:41" ht="32.25" hidden="1" thickBot="1">
      <c r="A32" s="160" t="s">
        <v>26</v>
      </c>
      <c r="B32" s="184" t="s">
        <v>36</v>
      </c>
      <c r="C32" s="164"/>
      <c r="D32" s="281"/>
      <c r="E32" s="180">
        <f t="shared" si="18"/>
        <v>0.8939420427964565</v>
      </c>
      <c r="F32" s="281"/>
      <c r="G32" s="281"/>
      <c r="H32" s="180">
        <f t="shared" si="14"/>
        <v>0.8803449694133013</v>
      </c>
      <c r="I32" s="281"/>
      <c r="J32" s="281"/>
      <c r="K32" s="180">
        <f t="shared" si="15"/>
        <v>0.8923043151747233</v>
      </c>
      <c r="L32" s="281"/>
      <c r="M32" s="281"/>
      <c r="N32" s="180">
        <f>N17/M17</f>
        <v>0.6509123161700187</v>
      </c>
      <c r="O32" s="281"/>
      <c r="P32" s="281"/>
      <c r="Q32" s="180">
        <f>Q17/P17</f>
        <v>0.9861574502025567</v>
      </c>
      <c r="R32" s="281"/>
      <c r="S32" s="281"/>
      <c r="T32" s="180">
        <f>T17/S17</f>
        <v>0</v>
      </c>
      <c r="U32" s="281"/>
      <c r="V32" s="281"/>
      <c r="W32" s="180">
        <f>W17/V17</f>
        <v>1</v>
      </c>
      <c r="X32" s="331"/>
      <c r="Y32" s="348"/>
      <c r="Z32" s="333">
        <f t="shared" si="16"/>
        <v>0.8855488167711175</v>
      </c>
      <c r="AA32" s="281"/>
      <c r="AB32" s="281"/>
      <c r="AC32" s="180">
        <f>AC17/AB17</f>
        <v>0.5307865657791848</v>
      </c>
      <c r="AD32" s="281"/>
      <c r="AE32" s="281"/>
      <c r="AF32" s="180">
        <f>AF17/AE17</f>
        <v>0.29298642533936653</v>
      </c>
      <c r="AG32" s="281"/>
      <c r="AH32" s="281"/>
      <c r="AI32" s="180">
        <f>AI17/AH17</f>
        <v>0</v>
      </c>
      <c r="AJ32" s="331"/>
      <c r="AK32" s="348"/>
      <c r="AL32" s="319">
        <f>AL17/AK17</f>
        <v>0.4427371258451905</v>
      </c>
      <c r="AM32" s="292"/>
      <c r="AN32" s="281"/>
      <c r="AO32" s="180">
        <f t="shared" si="17"/>
        <v>0.6848314223816686</v>
      </c>
    </row>
    <row r="33" spans="38:40" ht="15.75" hidden="1">
      <c r="AL33" s="5" t="s">
        <v>368</v>
      </c>
      <c r="AM33" s="52">
        <f>1!AM19</f>
        <v>6345223568</v>
      </c>
      <c r="AN33" s="52">
        <f>1!AN19</f>
        <v>7539580053</v>
      </c>
    </row>
    <row r="34" spans="2:40" ht="15.75" hidden="1">
      <c r="B34" s="261" t="s">
        <v>357</v>
      </c>
      <c r="AM34" s="188">
        <f>AM19-AM33</f>
        <v>0</v>
      </c>
      <c r="AN34" s="188">
        <f>AN19-AN33</f>
        <v>-48026622</v>
      </c>
    </row>
    <row r="35" spans="2:39" s="259" customFormat="1" ht="24" customHeight="1" hidden="1">
      <c r="B35" s="259" t="s">
        <v>99</v>
      </c>
      <c r="K35" s="153">
        <f>(50-46.69)/100*J17</f>
        <v>44580591.743200034</v>
      </c>
      <c r="R35" s="150"/>
      <c r="S35" s="150"/>
      <c r="X35" s="351"/>
      <c r="Y35" s="351"/>
      <c r="Z35" s="351"/>
      <c r="AJ35" s="351"/>
      <c r="AK35" s="351"/>
      <c r="AL35" s="351"/>
      <c r="AM35" s="153"/>
    </row>
    <row r="36" spans="2:40" s="259" customFormat="1" ht="24" customHeight="1" hidden="1">
      <c r="B36" s="259" t="s">
        <v>355</v>
      </c>
      <c r="E36" s="153">
        <f>(50-46)/100*D16</f>
        <v>12530487.52</v>
      </c>
      <c r="H36" s="153">
        <f>(50-45)/100*G16</f>
        <v>2143072</v>
      </c>
      <c r="K36" s="153">
        <f>(50-44)/100*J16</f>
        <v>42503552.82</v>
      </c>
      <c r="X36" s="351"/>
      <c r="Y36" s="351"/>
      <c r="Z36" s="351"/>
      <c r="AJ36" s="351"/>
      <c r="AK36" s="351"/>
      <c r="AL36" s="5" t="s">
        <v>356</v>
      </c>
      <c r="AM36" s="205">
        <f>1!AM16</f>
        <v>4992387257</v>
      </c>
      <c r="AN36" s="205">
        <f>1!AN16</f>
        <v>5794340481</v>
      </c>
    </row>
    <row r="37" spans="2:40" ht="15.75" hidden="1">
      <c r="B37" s="188">
        <v>-131625326</v>
      </c>
      <c r="AM37" s="205">
        <f>AM16-AM36</f>
        <v>0</v>
      </c>
      <c r="AN37" s="205">
        <f>AN16-AN36</f>
        <v>0</v>
      </c>
    </row>
    <row r="38" ht="15.75" hidden="1">
      <c r="B38" s="188">
        <v>-394051437</v>
      </c>
    </row>
    <row r="39" ht="15.75" hidden="1">
      <c r="B39" s="188">
        <v>-172165386</v>
      </c>
    </row>
    <row r="40" ht="15.75" hidden="1">
      <c r="B40" s="188">
        <v>-14959283</v>
      </c>
    </row>
    <row r="41" ht="15.75" hidden="1">
      <c r="B41" s="188">
        <v>-29219616</v>
      </c>
    </row>
    <row r="42" ht="15.75" hidden="1">
      <c r="B42" s="188">
        <v>-84545</v>
      </c>
    </row>
    <row r="43" ht="15.75" hidden="1">
      <c r="B43" s="188">
        <v>-12039600</v>
      </c>
    </row>
    <row r="44" ht="15.75" hidden="1">
      <c r="B44" s="188">
        <v>-63216332</v>
      </c>
    </row>
    <row r="45" ht="15.75" hidden="1">
      <c r="B45" s="188">
        <v>-2402162</v>
      </c>
    </row>
    <row r="46" ht="15.75" hidden="1">
      <c r="B46" s="188">
        <v>-13970000</v>
      </c>
    </row>
    <row r="47" ht="15.75" hidden="1">
      <c r="B47" s="188">
        <v>-30312344</v>
      </c>
    </row>
    <row r="48" ht="15.75" hidden="1">
      <c r="B48" s="188">
        <v>-3874897</v>
      </c>
    </row>
    <row r="49" ht="15.75" hidden="1">
      <c r="B49" s="188">
        <v>-1149697</v>
      </c>
    </row>
    <row r="50" ht="15.75" hidden="1">
      <c r="B50" s="188">
        <v>-17616970</v>
      </c>
    </row>
    <row r="51" ht="15.75" hidden="1">
      <c r="B51" s="188">
        <v>1149697</v>
      </c>
    </row>
    <row r="52" ht="15.75" hidden="1">
      <c r="B52" s="188">
        <v>-7225665</v>
      </c>
    </row>
    <row r="53" ht="15.75" hidden="1">
      <c r="B53" s="188">
        <v>-6741084</v>
      </c>
    </row>
    <row r="54" ht="15.75" hidden="1">
      <c r="B54" s="188">
        <v>-19898</v>
      </c>
    </row>
    <row r="55" ht="15.75" hidden="1">
      <c r="B55" s="188">
        <v>-1016100</v>
      </c>
    </row>
    <row r="56" ht="15.75" hidden="1">
      <c r="B56" s="188">
        <v>-34343762</v>
      </c>
    </row>
    <row r="57" ht="15.75" hidden="1">
      <c r="B57" s="188">
        <v>-99060</v>
      </c>
    </row>
    <row r="58" ht="15.75" hidden="1">
      <c r="B58" s="188">
        <v>-381000</v>
      </c>
    </row>
    <row r="59" ht="15.75" hidden="1">
      <c r="B59" s="188">
        <v>-12028200</v>
      </c>
    </row>
    <row r="60" ht="15.75" hidden="1">
      <c r="B60" s="188">
        <v>-30215411</v>
      </c>
    </row>
    <row r="61" ht="15.75" hidden="1">
      <c r="B61" s="188">
        <v>-6741084</v>
      </c>
    </row>
    <row r="62" ht="15.75" hidden="1">
      <c r="B62" s="188">
        <v>5821748</v>
      </c>
    </row>
    <row r="63" ht="15.75" hidden="1">
      <c r="B63" s="188">
        <f>SUM(B37:B62)</f>
        <v>-978527414</v>
      </c>
    </row>
    <row r="64" ht="15.75" hidden="1"/>
    <row r="65" ht="15.75" hidden="1"/>
    <row r="66" ht="15.75" hidden="1"/>
    <row r="67" spans="39:41" ht="15.75" hidden="1">
      <c r="AM67" s="205">
        <v>6298053196</v>
      </c>
      <c r="AN67" s="205">
        <v>7085135996</v>
      </c>
      <c r="AO67" s="205">
        <v>2628454845</v>
      </c>
    </row>
    <row r="68" spans="39:41" ht="15.75" hidden="1">
      <c r="AM68" s="205">
        <v>661008514</v>
      </c>
      <c r="AN68" s="205">
        <v>666983728</v>
      </c>
      <c r="AO68" s="205">
        <v>341849212</v>
      </c>
    </row>
    <row r="69" spans="39:41" ht="15.75" hidden="1">
      <c r="AM69" s="205">
        <f>SUM(AM67:AM68)</f>
        <v>6959061710</v>
      </c>
      <c r="AN69" s="205">
        <f>SUM(AN67:AN68)</f>
        <v>7752119724</v>
      </c>
      <c r="AO69" s="205">
        <f>SUM(AO67:AO68)</f>
        <v>2970304057</v>
      </c>
    </row>
    <row r="70" spans="39:41" ht="15.75" hidden="1">
      <c r="AM70" s="205">
        <f>AM69-AM17</f>
        <v>613838142</v>
      </c>
      <c r="AN70" s="205">
        <f>AN69-AN17</f>
        <v>260566293</v>
      </c>
      <c r="AO70" s="205">
        <f>AO69-AO17</f>
        <v>-2160147135</v>
      </c>
    </row>
  </sheetData>
  <sheetProtection/>
  <mergeCells count="44">
    <mergeCell ref="AP7:AP9"/>
    <mergeCell ref="AQ7:AQ9"/>
    <mergeCell ref="AA22:AC23"/>
    <mergeCell ref="AD22:AF23"/>
    <mergeCell ref="AG22:AI23"/>
    <mergeCell ref="AJ21:AL23"/>
    <mergeCell ref="AM21:AO23"/>
    <mergeCell ref="U22:W22"/>
    <mergeCell ref="F22:H23"/>
    <mergeCell ref="I22:K23"/>
    <mergeCell ref="L22:N23"/>
    <mergeCell ref="O22:Q23"/>
    <mergeCell ref="R22:T23"/>
    <mergeCell ref="U23:W23"/>
    <mergeCell ref="A21:A24"/>
    <mergeCell ref="B21:B24"/>
    <mergeCell ref="C21:W21"/>
    <mergeCell ref="X21:Z23"/>
    <mergeCell ref="AA21:AI21"/>
    <mergeCell ref="U7:W7"/>
    <mergeCell ref="A6:A9"/>
    <mergeCell ref="B6:B9"/>
    <mergeCell ref="L7:N8"/>
    <mergeCell ref="C22:E23"/>
    <mergeCell ref="AP6:AR6"/>
    <mergeCell ref="I7:K8"/>
    <mergeCell ref="O7:Q8"/>
    <mergeCell ref="R7:T8"/>
    <mergeCell ref="AD7:AF8"/>
    <mergeCell ref="AG7:AI8"/>
    <mergeCell ref="AA6:AI6"/>
    <mergeCell ref="C6:W6"/>
    <mergeCell ref="U8:W8"/>
    <mergeCell ref="AR7:AR9"/>
    <mergeCell ref="C2:M2"/>
    <mergeCell ref="O2:Z2"/>
    <mergeCell ref="AA2:AL2"/>
    <mergeCell ref="AM2:AR2"/>
    <mergeCell ref="AJ6:AL8"/>
    <mergeCell ref="AM6:AO8"/>
    <mergeCell ref="X6:Z8"/>
    <mergeCell ref="AA7:AC8"/>
    <mergeCell ref="C7:E8"/>
    <mergeCell ref="F7:H8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60" r:id="rId1"/>
  <colBreaks count="3" manualBreakCount="3">
    <brk id="14" max="16" man="1"/>
    <brk id="26" max="16" man="1"/>
    <brk id="38" max="1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="80" zoomScaleNormal="80" zoomScalePageLayoutView="0" workbookViewId="0" topLeftCell="A1">
      <pane xSplit="2" ySplit="10" topLeftCell="H11" activePane="bottomRight" state="frozen"/>
      <selection pane="topLeft" activeCell="G10" sqref="G1:J16384"/>
      <selection pane="topRight" activeCell="G10" sqref="G1:J16384"/>
      <selection pane="bottomLeft" activeCell="G10" sqref="G1:J16384"/>
      <selection pane="bottomRight" activeCell="P1" sqref="P1"/>
    </sheetView>
  </sheetViews>
  <sheetFormatPr defaultColWidth="9.140625" defaultRowHeight="12.75"/>
  <cols>
    <col min="1" max="1" width="4.00390625" style="209" customWidth="1"/>
    <col min="2" max="2" width="22.7109375" style="209" customWidth="1"/>
    <col min="3" max="3" width="12.28125" style="209" customWidth="1"/>
    <col min="4" max="4" width="12.7109375" style="209" customWidth="1"/>
    <col min="5" max="5" width="10.57421875" style="209" customWidth="1"/>
    <col min="6" max="8" width="13.8515625" style="209" customWidth="1"/>
    <col min="9" max="9" width="15.140625" style="209" customWidth="1"/>
    <col min="10" max="10" width="15.7109375" style="209" customWidth="1"/>
    <col min="11" max="11" width="14.8515625" style="209" customWidth="1"/>
    <col min="12" max="13" width="16.8515625" style="209" customWidth="1"/>
    <col min="14" max="14" width="15.421875" style="209" customWidth="1"/>
    <col min="15" max="15" width="13.57421875" style="209" customWidth="1"/>
    <col min="16" max="16" width="13.7109375" style="209" customWidth="1"/>
    <col min="17" max="17" width="12.57421875" style="209" customWidth="1"/>
    <col min="18" max="18" width="14.28125" style="209" bestFit="1" customWidth="1"/>
    <col min="19" max="20" width="14.28125" style="209" customWidth="1"/>
    <col min="21" max="21" width="14.28125" style="209" bestFit="1" customWidth="1"/>
    <col min="22" max="25" width="14.28125" style="209" customWidth="1"/>
    <col min="26" max="26" width="14.28125" style="209" bestFit="1" customWidth="1"/>
    <col min="27" max="27" width="11.7109375" style="212" hidden="1" customWidth="1"/>
    <col min="28" max="28" width="13.8515625" style="212" hidden="1" customWidth="1"/>
    <col min="29" max="29" width="13.57421875" style="212" hidden="1" customWidth="1"/>
    <col min="30" max="30" width="11.7109375" style="212" hidden="1" customWidth="1"/>
    <col min="31" max="32" width="14.57421875" style="212" hidden="1" customWidth="1"/>
    <col min="33" max="16384" width="9.140625" style="209" customWidth="1"/>
  </cols>
  <sheetData>
    <row r="1" spans="1:26" ht="23.25" customHeight="1">
      <c r="A1" s="208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 t="s">
        <v>877</v>
      </c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1" t="s">
        <v>877</v>
      </c>
    </row>
    <row r="2" spans="1:26" ht="21.75" customHeight="1">
      <c r="A2" s="208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4"/>
    </row>
    <row r="3" spans="2:32" s="215" customFormat="1" ht="42" customHeight="1">
      <c r="B3" s="216"/>
      <c r="C3" s="1165" t="s">
        <v>235</v>
      </c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 t="s">
        <v>235</v>
      </c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217"/>
      <c r="AB3" s="217"/>
      <c r="AC3" s="217"/>
      <c r="AD3" s="217"/>
      <c r="AE3" s="217"/>
      <c r="AF3" s="217"/>
    </row>
    <row r="4" spans="1:26" ht="15" customHeight="1">
      <c r="A4" s="218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7" ht="21.75" customHeight="1">
      <c r="A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 t="s">
        <v>203</v>
      </c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20" t="s">
        <v>203</v>
      </c>
      <c r="AA5" s="221"/>
    </row>
    <row r="6" spans="1:27" ht="16.5" customHeight="1">
      <c r="A6" s="222"/>
      <c r="B6" s="223" t="s">
        <v>0</v>
      </c>
      <c r="C6" s="223" t="s">
        <v>1</v>
      </c>
      <c r="D6" s="223" t="s">
        <v>2</v>
      </c>
      <c r="E6" s="223" t="s">
        <v>3</v>
      </c>
      <c r="F6" s="223" t="s">
        <v>294</v>
      </c>
      <c r="G6" s="223" t="s">
        <v>5</v>
      </c>
      <c r="H6" s="223" t="s">
        <v>81</v>
      </c>
      <c r="I6" s="223" t="s">
        <v>6</v>
      </c>
      <c r="J6" s="223" t="s">
        <v>7</v>
      </c>
      <c r="K6" s="223" t="s">
        <v>39</v>
      </c>
      <c r="L6" s="223" t="s">
        <v>8</v>
      </c>
      <c r="M6" s="223" t="s">
        <v>94</v>
      </c>
      <c r="N6" s="223" t="s">
        <v>40</v>
      </c>
      <c r="O6" s="223" t="s">
        <v>1</v>
      </c>
      <c r="P6" s="223" t="s">
        <v>2</v>
      </c>
      <c r="Q6" s="223" t="s">
        <v>3</v>
      </c>
      <c r="R6" s="223" t="s">
        <v>294</v>
      </c>
      <c r="S6" s="223" t="s">
        <v>5</v>
      </c>
      <c r="T6" s="223" t="s">
        <v>81</v>
      </c>
      <c r="U6" s="223" t="s">
        <v>6</v>
      </c>
      <c r="V6" s="223" t="s">
        <v>7</v>
      </c>
      <c r="W6" s="223" t="s">
        <v>39</v>
      </c>
      <c r="X6" s="223" t="s">
        <v>8</v>
      </c>
      <c r="Y6" s="223" t="s">
        <v>94</v>
      </c>
      <c r="Z6" s="223" t="s">
        <v>40</v>
      </c>
      <c r="AA6" s="224"/>
    </row>
    <row r="7" spans="1:26" ht="15.75" customHeight="1">
      <c r="A7" s="1178" t="s">
        <v>10</v>
      </c>
      <c r="B7" s="1176" t="s">
        <v>11</v>
      </c>
      <c r="C7" s="1170" t="s">
        <v>181</v>
      </c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2"/>
      <c r="O7" s="1170" t="s">
        <v>182</v>
      </c>
      <c r="P7" s="1171"/>
      <c r="Q7" s="1171"/>
      <c r="R7" s="1171"/>
      <c r="S7" s="1171"/>
      <c r="T7" s="1171"/>
      <c r="U7" s="1171"/>
      <c r="V7" s="1171"/>
      <c r="W7" s="1171"/>
      <c r="X7" s="1171"/>
      <c r="Y7" s="1171"/>
      <c r="Z7" s="1172"/>
    </row>
    <row r="8" spans="1:26" ht="19.5" customHeight="1">
      <c r="A8" s="1178"/>
      <c r="B8" s="1176"/>
      <c r="C8" s="1173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5"/>
      <c r="O8" s="1173"/>
      <c r="P8" s="1174"/>
      <c r="Q8" s="1174"/>
      <c r="R8" s="1174"/>
      <c r="S8" s="1174"/>
      <c r="T8" s="1174"/>
      <c r="U8" s="1174"/>
      <c r="V8" s="1174"/>
      <c r="W8" s="1174"/>
      <c r="X8" s="1174"/>
      <c r="Y8" s="1174"/>
      <c r="Z8" s="1175"/>
    </row>
    <row r="9" spans="1:32" ht="51.75" customHeight="1">
      <c r="A9" s="1179"/>
      <c r="B9" s="1177"/>
      <c r="C9" s="1166" t="s">
        <v>119</v>
      </c>
      <c r="D9" s="1167"/>
      <c r="E9" s="1168"/>
      <c r="F9" s="1166" t="s">
        <v>120</v>
      </c>
      <c r="G9" s="1167"/>
      <c r="H9" s="1168"/>
      <c r="I9" s="1166" t="s">
        <v>121</v>
      </c>
      <c r="J9" s="1167"/>
      <c r="K9" s="1168"/>
      <c r="L9" s="1166" t="s">
        <v>99</v>
      </c>
      <c r="M9" s="1167"/>
      <c r="N9" s="1168"/>
      <c r="O9" s="1166" t="s">
        <v>119</v>
      </c>
      <c r="P9" s="1167"/>
      <c r="Q9" s="1168"/>
      <c r="R9" s="1166" t="s">
        <v>120</v>
      </c>
      <c r="S9" s="1167"/>
      <c r="T9" s="1168"/>
      <c r="U9" s="1166" t="s">
        <v>121</v>
      </c>
      <c r="V9" s="1167"/>
      <c r="W9" s="1168"/>
      <c r="X9" s="1166" t="s">
        <v>99</v>
      </c>
      <c r="Y9" s="1167"/>
      <c r="Z9" s="1168"/>
      <c r="AA9" s="1169" t="s">
        <v>334</v>
      </c>
      <c r="AB9" s="1164"/>
      <c r="AC9" s="1164"/>
      <c r="AD9" s="1164" t="s">
        <v>336</v>
      </c>
      <c r="AE9" s="1164"/>
      <c r="AF9" s="1164"/>
    </row>
    <row r="10" spans="1:32" ht="32.25" customHeight="1">
      <c r="A10" s="225">
        <v>2</v>
      </c>
      <c r="B10" s="226"/>
      <c r="C10" s="137" t="s">
        <v>127</v>
      </c>
      <c r="D10" s="137" t="s">
        <v>287</v>
      </c>
      <c r="E10" s="137" t="s">
        <v>96</v>
      </c>
      <c r="F10" s="147" t="s">
        <v>127</v>
      </c>
      <c r="G10" s="137" t="s">
        <v>287</v>
      </c>
      <c r="H10" s="137" t="s">
        <v>96</v>
      </c>
      <c r="I10" s="147" t="s">
        <v>127</v>
      </c>
      <c r="J10" s="137" t="s">
        <v>287</v>
      </c>
      <c r="K10" s="137" t="s">
        <v>96</v>
      </c>
      <c r="L10" s="147" t="s">
        <v>127</v>
      </c>
      <c r="M10" s="137" t="s">
        <v>287</v>
      </c>
      <c r="N10" s="137" t="s">
        <v>96</v>
      </c>
      <c r="O10" s="147" t="s">
        <v>127</v>
      </c>
      <c r="P10" s="137" t="s">
        <v>287</v>
      </c>
      <c r="Q10" s="137" t="s">
        <v>96</v>
      </c>
      <c r="R10" s="147" t="s">
        <v>127</v>
      </c>
      <c r="S10" s="137" t="s">
        <v>287</v>
      </c>
      <c r="T10" s="137" t="s">
        <v>96</v>
      </c>
      <c r="U10" s="147" t="s">
        <v>127</v>
      </c>
      <c r="V10" s="137" t="s">
        <v>287</v>
      </c>
      <c r="W10" s="137" t="s">
        <v>96</v>
      </c>
      <c r="X10" s="147" t="s">
        <v>127</v>
      </c>
      <c r="Y10" s="137" t="s">
        <v>287</v>
      </c>
      <c r="Z10" s="137" t="s">
        <v>96</v>
      </c>
      <c r="AA10" s="206" t="s">
        <v>127</v>
      </c>
      <c r="AB10" s="207" t="s">
        <v>287</v>
      </c>
      <c r="AC10" s="207" t="s">
        <v>96</v>
      </c>
      <c r="AD10" s="206" t="s">
        <v>127</v>
      </c>
      <c r="AE10" s="207" t="s">
        <v>287</v>
      </c>
      <c r="AF10" s="207" t="s">
        <v>96</v>
      </c>
    </row>
    <row r="11" spans="1:32" ht="31.5" customHeight="1">
      <c r="A11" s="223">
        <v>3</v>
      </c>
      <c r="B11" s="227" t="s">
        <v>135</v>
      </c>
      <c r="C11" s="233"/>
      <c r="D11" s="228"/>
      <c r="E11" s="228"/>
      <c r="F11" s="228"/>
      <c r="G11" s="228"/>
      <c r="H11" s="228"/>
      <c r="I11" s="229">
        <f>1!AM10</f>
        <v>604066469</v>
      </c>
      <c r="J11" s="229">
        <f>1!AN10</f>
        <v>784429977</v>
      </c>
      <c r="K11" s="229">
        <f>1!AO10</f>
        <v>780643892</v>
      </c>
      <c r="L11" s="229">
        <f aca="true" t="shared" si="0" ref="L11:N14">F11+I11</f>
        <v>604066469</v>
      </c>
      <c r="M11" s="229">
        <f t="shared" si="0"/>
        <v>784429977</v>
      </c>
      <c r="N11" s="229">
        <f t="shared" si="0"/>
        <v>780643892</v>
      </c>
      <c r="O11" s="228"/>
      <c r="P11" s="228"/>
      <c r="Q11" s="228"/>
      <c r="R11" s="229">
        <v>0</v>
      </c>
      <c r="S11" s="229"/>
      <c r="T11" s="229"/>
      <c r="U11" s="229">
        <v>604066469</v>
      </c>
      <c r="V11" s="229">
        <f>2!AN10</f>
        <v>784429977</v>
      </c>
      <c r="W11" s="229">
        <f>2!AO10</f>
        <v>680738661</v>
      </c>
      <c r="X11" s="229">
        <f aca="true" t="shared" si="1" ref="X11:Z14">O11+R11+U11</f>
        <v>604066469</v>
      </c>
      <c r="Y11" s="229">
        <f t="shared" si="1"/>
        <v>784429977</v>
      </c>
      <c r="Z11" s="229">
        <f t="shared" si="1"/>
        <v>680738661</v>
      </c>
      <c r="AA11" s="230">
        <f>L11-1!AM10</f>
        <v>0</v>
      </c>
      <c r="AB11" s="230">
        <f>M11-1!AN10</f>
        <v>0</v>
      </c>
      <c r="AC11" s="230">
        <f>N11-1!AO10</f>
        <v>0</v>
      </c>
      <c r="AD11" s="230">
        <f>X11-2!AM10</f>
        <v>0</v>
      </c>
      <c r="AE11" s="230">
        <f>Y11-2!AN10</f>
        <v>0</v>
      </c>
      <c r="AF11" s="230">
        <f>Z11-2!AO10</f>
        <v>0</v>
      </c>
    </row>
    <row r="12" spans="1:32" ht="21" customHeight="1">
      <c r="A12" s="223">
        <v>4</v>
      </c>
      <c r="B12" s="231" t="s">
        <v>102</v>
      </c>
      <c r="C12" s="232"/>
      <c r="D12" s="232"/>
      <c r="E12" s="232"/>
      <c r="F12" s="232">
        <v>61259350</v>
      </c>
      <c r="G12" s="233">
        <v>154454459</v>
      </c>
      <c r="H12" s="233">
        <v>150464162</v>
      </c>
      <c r="I12" s="233">
        <v>51518280</v>
      </c>
      <c r="J12" s="233">
        <v>74324287</v>
      </c>
      <c r="K12" s="233">
        <v>60481889</v>
      </c>
      <c r="L12" s="229">
        <f t="shared" si="0"/>
        <v>112777630</v>
      </c>
      <c r="M12" s="229">
        <f t="shared" si="0"/>
        <v>228778746</v>
      </c>
      <c r="N12" s="229">
        <f t="shared" si="0"/>
        <v>210946051</v>
      </c>
      <c r="O12" s="232">
        <v>0</v>
      </c>
      <c r="P12" s="232"/>
      <c r="Q12" s="232"/>
      <c r="R12" s="232">
        <v>63652850</v>
      </c>
      <c r="S12" s="232">
        <v>155934865</v>
      </c>
      <c r="T12" s="232">
        <v>124076932</v>
      </c>
      <c r="U12" s="233">
        <v>49124780</v>
      </c>
      <c r="V12" s="233">
        <v>72843881</v>
      </c>
      <c r="W12" s="233">
        <v>71670067</v>
      </c>
      <c r="X12" s="229">
        <f t="shared" si="1"/>
        <v>112777630</v>
      </c>
      <c r="Y12" s="229">
        <f t="shared" si="1"/>
        <v>228778746</v>
      </c>
      <c r="Z12" s="229">
        <f t="shared" si="1"/>
        <v>195746999</v>
      </c>
      <c r="AA12" s="230">
        <f>L12-1!AM11</f>
        <v>0</v>
      </c>
      <c r="AB12" s="230">
        <f>M12-1!AN11</f>
        <v>0</v>
      </c>
      <c r="AC12" s="230">
        <f>N12-1!AO11</f>
        <v>0</v>
      </c>
      <c r="AD12" s="230">
        <f>X12-2!AM11</f>
        <v>0</v>
      </c>
      <c r="AE12" s="230">
        <f>Y12-2!AN11</f>
        <v>0</v>
      </c>
      <c r="AF12" s="230">
        <f>Z12-2!AO11</f>
        <v>0</v>
      </c>
    </row>
    <row r="13" spans="1:32" ht="21.75" customHeight="1">
      <c r="A13" s="223">
        <v>5</v>
      </c>
      <c r="B13" s="231" t="s">
        <v>29</v>
      </c>
      <c r="C13" s="233"/>
      <c r="D13" s="233"/>
      <c r="E13" s="233"/>
      <c r="F13" s="233">
        <f>1!AM12</f>
        <v>34326648</v>
      </c>
      <c r="G13" s="233">
        <f>1!AN12</f>
        <v>57852271</v>
      </c>
      <c r="H13" s="233">
        <f>1!AO12</f>
        <v>56942883</v>
      </c>
      <c r="I13" s="233"/>
      <c r="J13" s="233"/>
      <c r="K13" s="233"/>
      <c r="L13" s="229">
        <f t="shared" si="0"/>
        <v>34326648</v>
      </c>
      <c r="M13" s="229">
        <f t="shared" si="0"/>
        <v>57852271</v>
      </c>
      <c r="N13" s="229">
        <f t="shared" si="0"/>
        <v>56942883</v>
      </c>
      <c r="O13" s="233">
        <v>0</v>
      </c>
      <c r="P13" s="233"/>
      <c r="Q13" s="233"/>
      <c r="R13" s="233">
        <f>2!AM12</f>
        <v>34326648</v>
      </c>
      <c r="S13" s="233">
        <f>2!AN12</f>
        <v>57852271</v>
      </c>
      <c r="T13" s="233">
        <f>2!AO12</f>
        <v>46242467</v>
      </c>
      <c r="U13" s="233">
        <v>0</v>
      </c>
      <c r="V13" s="233"/>
      <c r="W13" s="233"/>
      <c r="X13" s="229">
        <f t="shared" si="1"/>
        <v>34326648</v>
      </c>
      <c r="Y13" s="229">
        <f t="shared" si="1"/>
        <v>57852271</v>
      </c>
      <c r="Z13" s="229">
        <f t="shared" si="1"/>
        <v>46242467</v>
      </c>
      <c r="AA13" s="230">
        <f>L13-1!AM12</f>
        <v>0</v>
      </c>
      <c r="AB13" s="230">
        <f>M13-1!AN12</f>
        <v>0</v>
      </c>
      <c r="AC13" s="230">
        <f>N13-1!AO12</f>
        <v>0</v>
      </c>
      <c r="AD13" s="230">
        <f>X13-2!AM12</f>
        <v>0</v>
      </c>
      <c r="AE13" s="230">
        <f>Y13-2!AN12</f>
        <v>0</v>
      </c>
      <c r="AF13" s="230">
        <f>Z13-2!AO12</f>
        <v>0</v>
      </c>
    </row>
    <row r="14" spans="1:32" ht="27.75" customHeight="1">
      <c r="A14" s="223">
        <v>6</v>
      </c>
      <c r="B14" s="231" t="s">
        <v>27</v>
      </c>
      <c r="C14" s="233"/>
      <c r="D14" s="233"/>
      <c r="E14" s="233"/>
      <c r="F14" s="233"/>
      <c r="G14" s="233"/>
      <c r="H14" s="233"/>
      <c r="I14" s="233">
        <f>1!AM13</f>
        <v>22321500</v>
      </c>
      <c r="J14" s="233">
        <f>1!AN13</f>
        <v>33839217</v>
      </c>
      <c r="K14" s="233">
        <f>1!AO13</f>
        <v>29649689</v>
      </c>
      <c r="L14" s="229">
        <f t="shared" si="0"/>
        <v>22321500</v>
      </c>
      <c r="M14" s="229">
        <f t="shared" si="0"/>
        <v>33839217</v>
      </c>
      <c r="N14" s="229">
        <f t="shared" si="0"/>
        <v>29649689</v>
      </c>
      <c r="O14" s="233">
        <v>0</v>
      </c>
      <c r="P14" s="233"/>
      <c r="Q14" s="233"/>
      <c r="R14" s="233">
        <v>0</v>
      </c>
      <c r="S14" s="233"/>
      <c r="T14" s="233"/>
      <c r="U14" s="233">
        <f>2!AM13</f>
        <v>22321500</v>
      </c>
      <c r="V14" s="233">
        <f>2!AN13</f>
        <v>33839217</v>
      </c>
      <c r="W14" s="233">
        <f>2!AO13</f>
        <v>26294238</v>
      </c>
      <c r="X14" s="229">
        <f t="shared" si="1"/>
        <v>22321500</v>
      </c>
      <c r="Y14" s="229">
        <f t="shared" si="1"/>
        <v>33839217</v>
      </c>
      <c r="Z14" s="229">
        <f t="shared" si="1"/>
        <v>26294238</v>
      </c>
      <c r="AA14" s="230">
        <f>L14-1!AM13</f>
        <v>0</v>
      </c>
      <c r="AB14" s="230">
        <f>M14-1!AN13</f>
        <v>0</v>
      </c>
      <c r="AC14" s="230">
        <f>N14-1!AO13</f>
        <v>0</v>
      </c>
      <c r="AD14" s="230">
        <f>X14-2!AM13</f>
        <v>0</v>
      </c>
      <c r="AE14" s="230">
        <f>Y14-2!AN13</f>
        <v>0</v>
      </c>
      <c r="AF14" s="230">
        <f>Z14-2!AO13</f>
        <v>0</v>
      </c>
    </row>
    <row r="15" spans="1:32" s="237" customFormat="1" ht="21.75" customHeight="1">
      <c r="A15" s="234">
        <v>7</v>
      </c>
      <c r="B15" s="235" t="s">
        <v>335</v>
      </c>
      <c r="C15" s="236">
        <f>SUM(C11:C14)</f>
        <v>0</v>
      </c>
      <c r="D15" s="236">
        <f aca="true" t="shared" si="2" ref="D15:Q15">SUM(D11:D14)</f>
        <v>0</v>
      </c>
      <c r="E15" s="236">
        <f t="shared" si="2"/>
        <v>0</v>
      </c>
      <c r="F15" s="236">
        <f t="shared" si="2"/>
        <v>95585998</v>
      </c>
      <c r="G15" s="236">
        <f t="shared" si="2"/>
        <v>212306730</v>
      </c>
      <c r="H15" s="236">
        <f t="shared" si="2"/>
        <v>207407045</v>
      </c>
      <c r="I15" s="236">
        <f t="shared" si="2"/>
        <v>677906249</v>
      </c>
      <c r="J15" s="236">
        <f t="shared" si="2"/>
        <v>892593481</v>
      </c>
      <c r="K15" s="236">
        <f t="shared" si="2"/>
        <v>870775470</v>
      </c>
      <c r="L15" s="236">
        <f t="shared" si="2"/>
        <v>773492247</v>
      </c>
      <c r="M15" s="236">
        <f t="shared" si="2"/>
        <v>1104900211</v>
      </c>
      <c r="N15" s="236">
        <f t="shared" si="2"/>
        <v>1078182515</v>
      </c>
      <c r="O15" s="236">
        <f t="shared" si="2"/>
        <v>0</v>
      </c>
      <c r="P15" s="236">
        <f t="shared" si="2"/>
        <v>0</v>
      </c>
      <c r="Q15" s="236">
        <f t="shared" si="2"/>
        <v>0</v>
      </c>
      <c r="R15" s="236">
        <f aca="true" t="shared" si="3" ref="R15:W15">SUM(R11:R14)</f>
        <v>97979498</v>
      </c>
      <c r="S15" s="236">
        <f t="shared" si="3"/>
        <v>213787136</v>
      </c>
      <c r="T15" s="236">
        <f t="shared" si="3"/>
        <v>170319399</v>
      </c>
      <c r="U15" s="236">
        <f t="shared" si="3"/>
        <v>675512749</v>
      </c>
      <c r="V15" s="236">
        <f t="shared" si="3"/>
        <v>891113075</v>
      </c>
      <c r="W15" s="236">
        <f t="shared" si="3"/>
        <v>778702966</v>
      </c>
      <c r="X15" s="236">
        <f>SUM(X11:X14)</f>
        <v>773492247</v>
      </c>
      <c r="Y15" s="236">
        <f>SUM(Y11:Y14)</f>
        <v>1104900211</v>
      </c>
      <c r="Z15" s="236">
        <f>SUM(Z11:Z14)</f>
        <v>949022365</v>
      </c>
      <c r="AA15" s="230">
        <f>L15-1!AM14</f>
        <v>0</v>
      </c>
      <c r="AB15" s="230">
        <f>M15-1!AN14</f>
        <v>0</v>
      </c>
      <c r="AC15" s="230">
        <f>N15-1!AO14</f>
        <v>0</v>
      </c>
      <c r="AD15" s="230">
        <f>X15-2!AM14</f>
        <v>0</v>
      </c>
      <c r="AE15" s="230">
        <f>Y15-2!AN14</f>
        <v>0</v>
      </c>
      <c r="AF15" s="230">
        <f>Z15-2!AO14</f>
        <v>0</v>
      </c>
    </row>
    <row r="16" spans="1:32" ht="23.25" customHeight="1">
      <c r="A16" s="223">
        <v>8</v>
      </c>
      <c r="B16" s="231" t="s">
        <v>32</v>
      </c>
      <c r="C16" s="233">
        <v>600000</v>
      </c>
      <c r="D16" s="233">
        <v>600000</v>
      </c>
      <c r="E16" s="233">
        <v>228600</v>
      </c>
      <c r="F16" s="233">
        <v>500119064</v>
      </c>
      <c r="G16" s="233">
        <v>508464140</v>
      </c>
      <c r="H16" s="233">
        <v>518437456</v>
      </c>
      <c r="I16" s="233">
        <v>79225000</v>
      </c>
      <c r="J16" s="233">
        <v>83848599</v>
      </c>
      <c r="K16" s="233">
        <v>56586183</v>
      </c>
      <c r="L16" s="229">
        <f aca="true" t="shared" si="4" ref="L16:N17">F16+I16</f>
        <v>579344064</v>
      </c>
      <c r="M16" s="229">
        <f t="shared" si="4"/>
        <v>592312739</v>
      </c>
      <c r="N16" s="229">
        <f t="shared" si="4"/>
        <v>575023639</v>
      </c>
      <c r="O16" s="233">
        <v>93000</v>
      </c>
      <c r="P16" s="233">
        <v>93000</v>
      </c>
      <c r="Q16" s="233">
        <v>0</v>
      </c>
      <c r="R16" s="233">
        <v>499174064</v>
      </c>
      <c r="S16" s="233">
        <v>505620176</v>
      </c>
      <c r="T16" s="233">
        <v>506854798</v>
      </c>
      <c r="U16" s="233">
        <v>80077000</v>
      </c>
      <c r="V16" s="233">
        <f>7065000+79534563</f>
        <v>86599563</v>
      </c>
      <c r="W16" s="233">
        <f>6779555+55026263</f>
        <v>61805818</v>
      </c>
      <c r="X16" s="229">
        <f aca="true" t="shared" si="5" ref="X16:Z17">O16+R16+U16</f>
        <v>579344064</v>
      </c>
      <c r="Y16" s="229">
        <f t="shared" si="5"/>
        <v>592312739</v>
      </c>
      <c r="Z16" s="229">
        <f t="shared" si="5"/>
        <v>568660616</v>
      </c>
      <c r="AA16" s="230">
        <f>L16-1!AM15</f>
        <v>0</v>
      </c>
      <c r="AB16" s="230">
        <f>M16-1!AN15</f>
        <v>0</v>
      </c>
      <c r="AC16" s="230">
        <f>N16-1!AO15</f>
        <v>0</v>
      </c>
      <c r="AD16" s="230">
        <f>X16-2!AM15</f>
        <v>0</v>
      </c>
      <c r="AE16" s="230">
        <f>Y16-2!AN15</f>
        <v>0</v>
      </c>
      <c r="AF16" s="230">
        <f>Z16-2!AO15</f>
        <v>0</v>
      </c>
    </row>
    <row r="17" spans="1:32" ht="24" customHeight="1">
      <c r="A17" s="223">
        <v>9</v>
      </c>
      <c r="B17" s="231" t="s">
        <v>104</v>
      </c>
      <c r="C17" s="233"/>
      <c r="D17" s="233"/>
      <c r="E17" s="233"/>
      <c r="F17" s="233">
        <v>4804381696</v>
      </c>
      <c r="G17" s="233">
        <v>5208215388</v>
      </c>
      <c r="H17" s="233">
        <v>5175545027</v>
      </c>
      <c r="I17" s="233">
        <v>188005561</v>
      </c>
      <c r="J17" s="233">
        <v>586125093</v>
      </c>
      <c r="K17" s="233">
        <v>518208304</v>
      </c>
      <c r="L17" s="229">
        <f t="shared" si="4"/>
        <v>4992387257</v>
      </c>
      <c r="M17" s="229">
        <f t="shared" si="4"/>
        <v>5794340481</v>
      </c>
      <c r="N17" s="229">
        <f t="shared" si="4"/>
        <v>5693753331</v>
      </c>
      <c r="O17" s="233">
        <v>0</v>
      </c>
      <c r="P17" s="233"/>
      <c r="Q17" s="233"/>
      <c r="R17" s="229">
        <v>4813308257</v>
      </c>
      <c r="S17" s="233">
        <v>5340878857</v>
      </c>
      <c r="T17" s="233">
        <v>3471200500</v>
      </c>
      <c r="U17" s="229">
        <v>179079000</v>
      </c>
      <c r="V17" s="229">
        <v>453461624</v>
      </c>
      <c r="W17" s="229">
        <v>141567711</v>
      </c>
      <c r="X17" s="229">
        <f t="shared" si="5"/>
        <v>4992387257</v>
      </c>
      <c r="Y17" s="229">
        <f t="shared" si="5"/>
        <v>5794340481</v>
      </c>
      <c r="Z17" s="229">
        <f t="shared" si="5"/>
        <v>3612768211</v>
      </c>
      <c r="AA17" s="230">
        <f>L17-1!AM16</f>
        <v>0</v>
      </c>
      <c r="AB17" s="230">
        <f>M17-1!AN16</f>
        <v>0</v>
      </c>
      <c r="AC17" s="230">
        <f>N17-1!AO16</f>
        <v>0</v>
      </c>
      <c r="AD17" s="230">
        <f>X17-2!AM16</f>
        <v>0</v>
      </c>
      <c r="AE17" s="230">
        <f>Y17-2!AN16</f>
        <v>0</v>
      </c>
      <c r="AF17" s="230">
        <f>Z17-2!AO16</f>
        <v>0</v>
      </c>
    </row>
    <row r="18" spans="1:32" ht="33.75" customHeight="1">
      <c r="A18" s="223">
        <v>10</v>
      </c>
      <c r="B18" s="235" t="s">
        <v>122</v>
      </c>
      <c r="C18" s="236">
        <f>SUM(C15:C17)</f>
        <v>600000</v>
      </c>
      <c r="D18" s="236">
        <f aca="true" t="shared" si="6" ref="D18:N18">SUM(D15:D17)</f>
        <v>600000</v>
      </c>
      <c r="E18" s="236">
        <f t="shared" si="6"/>
        <v>228600</v>
      </c>
      <c r="F18" s="236">
        <f t="shared" si="6"/>
        <v>5400086758</v>
      </c>
      <c r="G18" s="236">
        <f t="shared" si="6"/>
        <v>5928986258</v>
      </c>
      <c r="H18" s="236">
        <f t="shared" si="6"/>
        <v>5901389528</v>
      </c>
      <c r="I18" s="236">
        <f t="shared" si="6"/>
        <v>945136810</v>
      </c>
      <c r="J18" s="236">
        <f t="shared" si="6"/>
        <v>1562567173</v>
      </c>
      <c r="K18" s="236">
        <f t="shared" si="6"/>
        <v>1445569957</v>
      </c>
      <c r="L18" s="236">
        <f t="shared" si="6"/>
        <v>6345223568</v>
      </c>
      <c r="M18" s="236">
        <f t="shared" si="6"/>
        <v>7491553431</v>
      </c>
      <c r="N18" s="236">
        <f t="shared" si="6"/>
        <v>7346959485</v>
      </c>
      <c r="O18" s="236">
        <f aca="true" t="shared" si="7" ref="O18:W18">SUM(O15:O17)</f>
        <v>93000</v>
      </c>
      <c r="P18" s="236">
        <f t="shared" si="7"/>
        <v>93000</v>
      </c>
      <c r="Q18" s="236">
        <f t="shared" si="7"/>
        <v>0</v>
      </c>
      <c r="R18" s="236">
        <f t="shared" si="7"/>
        <v>5410461819</v>
      </c>
      <c r="S18" s="236">
        <f t="shared" si="7"/>
        <v>6060286169</v>
      </c>
      <c r="T18" s="236">
        <f t="shared" si="7"/>
        <v>4148374697</v>
      </c>
      <c r="U18" s="236">
        <f t="shared" si="7"/>
        <v>934668749</v>
      </c>
      <c r="V18" s="236">
        <f t="shared" si="7"/>
        <v>1431174262</v>
      </c>
      <c r="W18" s="236">
        <f t="shared" si="7"/>
        <v>982076495</v>
      </c>
      <c r="X18" s="236">
        <f>SUM(X15:X17)</f>
        <v>6345223568</v>
      </c>
      <c r="Y18" s="236">
        <f>SUM(Y15:Y17)</f>
        <v>7491553431</v>
      </c>
      <c r="Z18" s="236">
        <f>SUM(Z15:Z17)</f>
        <v>5130451192</v>
      </c>
      <c r="AA18" s="230">
        <f>L18-1!AM17</f>
        <v>0</v>
      </c>
      <c r="AB18" s="230">
        <f>M18-1!AN17</f>
        <v>0</v>
      </c>
      <c r="AC18" s="230">
        <f>N18-1!AO17</f>
        <v>0</v>
      </c>
      <c r="AD18" s="230">
        <f>X18-2!AM17</f>
        <v>0</v>
      </c>
      <c r="AE18" s="230">
        <f>Y18-2!AN17</f>
        <v>0</v>
      </c>
      <c r="AF18" s="230">
        <f>Z18-2!AO17</f>
        <v>0</v>
      </c>
    </row>
    <row r="19" spans="1:14" ht="16.5" customHeight="1">
      <c r="A19" s="218"/>
      <c r="B19" s="238"/>
      <c r="C19" s="238"/>
      <c r="D19" s="238"/>
      <c r="E19" s="238"/>
      <c r="F19" s="239"/>
      <c r="G19" s="238"/>
      <c r="H19" s="238"/>
      <c r="I19" s="238"/>
      <c r="J19" s="238"/>
      <c r="K19" s="238"/>
      <c r="L19" s="238"/>
      <c r="M19" s="238"/>
      <c r="N19" s="239"/>
    </row>
  </sheetData>
  <sheetProtection/>
  <mergeCells count="16">
    <mergeCell ref="R9:T9"/>
    <mergeCell ref="O7:Z8"/>
    <mergeCell ref="B7:B9"/>
    <mergeCell ref="C7:N8"/>
    <mergeCell ref="A7:A9"/>
    <mergeCell ref="C9:E9"/>
    <mergeCell ref="AD9:AF9"/>
    <mergeCell ref="O3:Z3"/>
    <mergeCell ref="F9:H9"/>
    <mergeCell ref="I9:K9"/>
    <mergeCell ref="AA9:AC9"/>
    <mergeCell ref="L9:N9"/>
    <mergeCell ref="X9:Z9"/>
    <mergeCell ref="C3:N3"/>
    <mergeCell ref="O9:Q9"/>
    <mergeCell ref="U9:W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4" max="1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3">
      <selection activeCell="E46" sqref="E46"/>
    </sheetView>
  </sheetViews>
  <sheetFormatPr defaultColWidth="9.140625" defaultRowHeight="12.75"/>
  <cols>
    <col min="1" max="1" width="37.140625" style="66" customWidth="1"/>
    <col min="2" max="3" width="17.421875" style="66" customWidth="1"/>
    <col min="4" max="4" width="14.28125" style="66" customWidth="1"/>
    <col min="5" max="5" width="14.7109375" style="265" customWidth="1"/>
    <col min="6" max="6" width="16.57421875" style="66" customWidth="1"/>
    <col min="7" max="7" width="9.140625" style="66" customWidth="1"/>
    <col min="8" max="8" width="12.421875" style="66" bestFit="1" customWidth="1"/>
    <col min="9" max="10" width="9.140625" style="66" customWidth="1"/>
    <col min="11" max="11" width="12.421875" style="66" bestFit="1" customWidth="1"/>
    <col min="12" max="12" width="16.00390625" style="66" customWidth="1"/>
    <col min="13" max="13" width="15.28125" style="66" customWidth="1"/>
    <col min="14" max="16384" width="9.140625" style="66" customWidth="1"/>
  </cols>
  <sheetData>
    <row r="3" spans="1:5" s="198" customFormat="1" ht="31.5">
      <c r="A3" s="91"/>
      <c r="B3" s="91" t="s">
        <v>127</v>
      </c>
      <c r="C3" s="91" t="s">
        <v>141</v>
      </c>
      <c r="D3" s="91" t="s">
        <v>349</v>
      </c>
      <c r="E3" s="263" t="s">
        <v>350</v>
      </c>
    </row>
    <row r="4" spans="1:11" ht="21" customHeight="1">
      <c r="A4" s="200" t="s">
        <v>130</v>
      </c>
      <c r="B4" s="106">
        <v>23247000</v>
      </c>
      <c r="C4" s="106">
        <v>23247000</v>
      </c>
      <c r="D4" s="106">
        <v>18294676</v>
      </c>
      <c r="E4" s="299">
        <f aca="true" t="shared" si="0" ref="E4:E12">D4/C4</f>
        <v>0.7869693293758334</v>
      </c>
      <c r="F4" s="152"/>
      <c r="G4" s="152"/>
      <c r="H4" s="152">
        <f>SUM(D4:D8)</f>
        <v>485046809</v>
      </c>
      <c r="I4" s="152"/>
      <c r="J4" s="152"/>
      <c r="K4" s="152"/>
    </row>
    <row r="5" spans="1:11" ht="21" customHeight="1">
      <c r="A5" s="200" t="s">
        <v>343</v>
      </c>
      <c r="B5" s="106">
        <v>89207000</v>
      </c>
      <c r="C5" s="106">
        <v>89207000</v>
      </c>
      <c r="D5" s="106">
        <v>79154639</v>
      </c>
      <c r="E5" s="299">
        <f t="shared" si="0"/>
        <v>0.8873142130101898</v>
      </c>
      <c r="F5" s="152"/>
      <c r="G5" s="152"/>
      <c r="H5" s="152"/>
      <c r="I5" s="152"/>
      <c r="J5" s="152"/>
      <c r="K5" s="152"/>
    </row>
    <row r="6" spans="1:11" ht="21" customHeight="1">
      <c r="A6" s="200" t="s">
        <v>344</v>
      </c>
      <c r="B6" s="106">
        <v>413513000</v>
      </c>
      <c r="C6" s="106">
        <v>413513000</v>
      </c>
      <c r="D6" s="106">
        <v>341444042</v>
      </c>
      <c r="E6" s="299">
        <f t="shared" si="0"/>
        <v>0.825715375332819</v>
      </c>
      <c r="F6" s="152"/>
      <c r="G6" s="152"/>
      <c r="H6" s="152"/>
      <c r="I6" s="152"/>
      <c r="J6" s="152"/>
      <c r="K6" s="152"/>
    </row>
    <row r="7" spans="1:11" ht="21" customHeight="1">
      <c r="A7" s="200" t="s">
        <v>345</v>
      </c>
      <c r="B7" s="106">
        <v>50066000</v>
      </c>
      <c r="C7" s="106">
        <v>50066000</v>
      </c>
      <c r="D7" s="106">
        <v>45465952</v>
      </c>
      <c r="E7" s="299">
        <f t="shared" si="0"/>
        <v>0.9081203211760476</v>
      </c>
      <c r="F7" s="152"/>
      <c r="G7" s="152"/>
      <c r="H7" s="152"/>
      <c r="I7" s="152"/>
      <c r="J7" s="152"/>
      <c r="K7" s="152"/>
    </row>
    <row r="8" spans="1:11" ht="21" customHeight="1">
      <c r="A8" s="200" t="s">
        <v>123</v>
      </c>
      <c r="B8" s="106">
        <v>870000</v>
      </c>
      <c r="C8" s="106">
        <v>870000</v>
      </c>
      <c r="D8" s="106">
        <v>687500</v>
      </c>
      <c r="E8" s="299">
        <f t="shared" si="0"/>
        <v>0.7902298850574713</v>
      </c>
      <c r="F8" s="152"/>
      <c r="G8" s="152"/>
      <c r="H8" s="152"/>
      <c r="I8" s="152"/>
      <c r="J8" s="152"/>
      <c r="K8" s="152"/>
    </row>
    <row r="9" spans="1:11" ht="21" customHeight="1">
      <c r="A9" s="200" t="s">
        <v>346</v>
      </c>
      <c r="B9" s="106">
        <v>1412000</v>
      </c>
      <c r="C9" s="106">
        <v>1412000</v>
      </c>
      <c r="D9" s="106">
        <v>1242313</v>
      </c>
      <c r="E9" s="299">
        <f t="shared" si="0"/>
        <v>0.8798250708215297</v>
      </c>
      <c r="F9" s="152"/>
      <c r="G9" s="152"/>
      <c r="H9" s="152"/>
      <c r="I9" s="152"/>
      <c r="J9" s="152"/>
      <c r="K9" s="152"/>
    </row>
    <row r="10" spans="1:11" ht="21" customHeight="1">
      <c r="A10" s="200" t="s">
        <v>347</v>
      </c>
      <c r="B10" s="106">
        <v>1163000</v>
      </c>
      <c r="C10" s="106">
        <v>1163000</v>
      </c>
      <c r="D10" s="106">
        <f>1207372-3000</f>
        <v>1204372</v>
      </c>
      <c r="E10" s="299">
        <f t="shared" si="0"/>
        <v>1.035573516766982</v>
      </c>
      <c r="F10" s="152"/>
      <c r="G10" s="152"/>
      <c r="H10" s="152"/>
      <c r="I10" s="152"/>
      <c r="J10" s="152"/>
      <c r="K10" s="152"/>
    </row>
    <row r="11" spans="1:11" ht="21" customHeight="1">
      <c r="A11" s="200" t="s">
        <v>348</v>
      </c>
      <c r="B11" s="106">
        <v>563000</v>
      </c>
      <c r="C11" s="106">
        <v>563000</v>
      </c>
      <c r="D11" s="106">
        <v>197480</v>
      </c>
      <c r="E11" s="299">
        <f t="shared" si="0"/>
        <v>0.35076376554174066</v>
      </c>
      <c r="F11" s="152"/>
      <c r="G11" s="152"/>
      <c r="H11" s="152"/>
      <c r="I11" s="152"/>
      <c r="J11" s="152"/>
      <c r="K11" s="152"/>
    </row>
    <row r="12" spans="1:11" s="138" customFormat="1" ht="25.5" customHeight="1">
      <c r="A12" s="103"/>
      <c r="B12" s="248">
        <f>SUM(B4:B11)</f>
        <v>580041000</v>
      </c>
      <c r="C12" s="248">
        <f>SUM(C4:C11)</f>
        <v>580041000</v>
      </c>
      <c r="D12" s="248">
        <f>SUM(D4:D11)</f>
        <v>487690974</v>
      </c>
      <c r="E12" s="300">
        <f t="shared" si="0"/>
        <v>0.8407870719483622</v>
      </c>
      <c r="F12" s="254"/>
      <c r="G12" s="254"/>
      <c r="H12" s="254"/>
      <c r="I12" s="254"/>
      <c r="J12" s="254"/>
      <c r="K12" s="254"/>
    </row>
    <row r="13" spans="2:11" s="138" customFormat="1" ht="15.75">
      <c r="B13" s="254"/>
      <c r="C13" s="254"/>
      <c r="D13" s="254"/>
      <c r="E13" s="264"/>
      <c r="F13" s="254"/>
      <c r="G13" s="254"/>
      <c r="H13" s="254"/>
      <c r="I13" s="254"/>
      <c r="J13" s="254"/>
      <c r="K13" s="254"/>
    </row>
    <row r="15" spans="1:5" ht="24.75" customHeight="1">
      <c r="A15" s="1180" t="s">
        <v>375</v>
      </c>
      <c r="B15" s="1180"/>
      <c r="C15" s="1180"/>
      <c r="D15" s="1180"/>
      <c r="E15" s="1180"/>
    </row>
    <row r="16" spans="1:5" ht="31.5">
      <c r="A16" s="91"/>
      <c r="B16" s="91" t="s">
        <v>127</v>
      </c>
      <c r="C16" s="91" t="s">
        <v>141</v>
      </c>
      <c r="D16" s="91" t="s">
        <v>349</v>
      </c>
      <c r="E16" s="263" t="s">
        <v>350</v>
      </c>
    </row>
    <row r="17" spans="1:12" ht="15.75">
      <c r="A17" s="200" t="s">
        <v>130</v>
      </c>
      <c r="B17" s="106">
        <v>23247000</v>
      </c>
      <c r="C17" s="106">
        <v>23247000</v>
      </c>
      <c r="D17" s="106">
        <v>19435735</v>
      </c>
      <c r="E17" s="299">
        <f aca="true" t="shared" si="1" ref="E17:E25">D17/C17</f>
        <v>0.8360534692648514</v>
      </c>
      <c r="K17" s="152">
        <f>SUM(B17:B18)</f>
        <v>112454000</v>
      </c>
      <c r="L17" s="152">
        <f>SUM(C17:C18)</f>
        <v>112454000</v>
      </c>
    </row>
    <row r="18" spans="1:5" ht="15.75">
      <c r="A18" s="200" t="s">
        <v>343</v>
      </c>
      <c r="B18" s="106">
        <v>89207000</v>
      </c>
      <c r="C18" s="106">
        <v>89207000</v>
      </c>
      <c r="D18" s="106">
        <v>87234353</v>
      </c>
      <c r="E18" s="299">
        <f t="shared" si="1"/>
        <v>0.9778868586545899</v>
      </c>
    </row>
    <row r="19" spans="1:6" ht="15.75">
      <c r="A19" s="200" t="s">
        <v>344</v>
      </c>
      <c r="B19" s="106">
        <v>413513000</v>
      </c>
      <c r="C19" s="106">
        <v>413513000</v>
      </c>
      <c r="D19" s="106">
        <v>429529170</v>
      </c>
      <c r="E19" s="299">
        <f t="shared" si="1"/>
        <v>1.0387319624776004</v>
      </c>
      <c r="F19" s="152">
        <f>SUM(D17:D21)</f>
        <v>588637958</v>
      </c>
    </row>
    <row r="20" spans="1:5" ht="15.75">
      <c r="A20" s="200" t="s">
        <v>345</v>
      </c>
      <c r="B20" s="106">
        <v>50066000</v>
      </c>
      <c r="C20" s="106">
        <v>50066000</v>
      </c>
      <c r="D20" s="106">
        <v>51632700</v>
      </c>
      <c r="E20" s="299">
        <f t="shared" si="1"/>
        <v>1.0312926936443894</v>
      </c>
    </row>
    <row r="21" spans="1:5" ht="15.75">
      <c r="A21" s="200" t="s">
        <v>123</v>
      </c>
      <c r="B21" s="106">
        <v>870000</v>
      </c>
      <c r="C21" s="106">
        <v>870000</v>
      </c>
      <c r="D21" s="106">
        <v>806000</v>
      </c>
      <c r="E21" s="299">
        <f t="shared" si="1"/>
        <v>0.9264367816091954</v>
      </c>
    </row>
    <row r="22" spans="1:13" ht="15.75">
      <c r="A22" s="200" t="s">
        <v>346</v>
      </c>
      <c r="B22" s="106">
        <v>1412000</v>
      </c>
      <c r="C22" s="106">
        <v>1412000</v>
      </c>
      <c r="D22" s="106">
        <v>1911063</v>
      </c>
      <c r="E22" s="299">
        <f t="shared" si="1"/>
        <v>1.3534440509915013</v>
      </c>
      <c r="K22" s="152">
        <f>SUM(B22:B24)</f>
        <v>3138000</v>
      </c>
      <c r="L22" s="152">
        <f>SUM(C22:C24)</f>
        <v>3138000</v>
      </c>
      <c r="M22" s="152">
        <f>SUM(D22:D24)</f>
        <v>3939430</v>
      </c>
    </row>
    <row r="23" spans="1:5" ht="15.75">
      <c r="A23" s="200" t="s">
        <v>347</v>
      </c>
      <c r="B23" s="106">
        <v>1163000</v>
      </c>
      <c r="C23" s="106">
        <v>1163000</v>
      </c>
      <c r="D23" s="106">
        <v>1937087</v>
      </c>
      <c r="E23" s="299">
        <f t="shared" si="1"/>
        <v>1.6655950128976784</v>
      </c>
    </row>
    <row r="24" spans="1:5" ht="15.75">
      <c r="A24" s="200" t="s">
        <v>348</v>
      </c>
      <c r="B24" s="106">
        <v>563000</v>
      </c>
      <c r="C24" s="106">
        <v>563000</v>
      </c>
      <c r="D24" s="106">
        <v>91280</v>
      </c>
      <c r="E24" s="299">
        <f t="shared" si="1"/>
        <v>0.16213143872113678</v>
      </c>
    </row>
    <row r="25" spans="1:5" ht="15.75">
      <c r="A25" s="103"/>
      <c r="B25" s="248">
        <f>SUM(B17:B24)</f>
        <v>580041000</v>
      </c>
      <c r="C25" s="248">
        <f>SUM(C17:C24)</f>
        <v>580041000</v>
      </c>
      <c r="D25" s="248">
        <f>SUM(D17:D24)</f>
        <v>592577388</v>
      </c>
      <c r="E25" s="300">
        <f t="shared" si="1"/>
        <v>1.0216129342580955</v>
      </c>
    </row>
    <row r="26" ht="15.75">
      <c r="D26" s="66">
        <v>517338658</v>
      </c>
    </row>
    <row r="27" ht="15.75">
      <c r="D27" s="152">
        <f>D26-D25</f>
        <v>-75238730</v>
      </c>
    </row>
  </sheetData>
  <sheetProtection/>
  <mergeCells count="1"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6"/>
  <sheetViews>
    <sheetView zoomScale="120" zoomScaleNormal="120" zoomScalePageLayoutView="0" workbookViewId="0" topLeftCell="A1">
      <selection activeCell="B15" sqref="B15"/>
    </sheetView>
  </sheetViews>
  <sheetFormatPr defaultColWidth="9.140625" defaultRowHeight="12.75"/>
  <cols>
    <col min="1" max="1" width="59.57421875" style="1" customWidth="1"/>
    <col min="2" max="2" width="12.140625" style="1" customWidth="1"/>
    <col min="3" max="3" width="14.57421875" style="497" customWidth="1"/>
    <col min="4" max="4" width="17.140625" style="1" customWidth="1"/>
    <col min="5" max="5" width="13.140625" style="1" customWidth="1"/>
    <col min="6" max="6" width="31.57421875" style="1" customWidth="1"/>
    <col min="7" max="7" width="40.28125" style="1" customWidth="1"/>
    <col min="8" max="8" width="14.28125" style="1" bestFit="1" customWidth="1"/>
    <col min="9" max="16384" width="9.140625" style="1" customWidth="1"/>
  </cols>
  <sheetData>
    <row r="1" spans="1:2" ht="12.75">
      <c r="A1" s="255" t="s">
        <v>351</v>
      </c>
      <c r="B1" s="256">
        <f>H8</f>
        <v>149999998</v>
      </c>
    </row>
    <row r="2" spans="1:2" ht="12.75">
      <c r="A2" s="255" t="s">
        <v>353</v>
      </c>
      <c r="B2" s="256">
        <f>H21</f>
        <v>41047288</v>
      </c>
    </row>
    <row r="3" spans="1:2" ht="12.75">
      <c r="A3" s="255" t="s">
        <v>352</v>
      </c>
      <c r="B3" s="256">
        <f>H30</f>
        <v>49912479</v>
      </c>
    </row>
    <row r="4" spans="1:7" ht="12.75">
      <c r="A4" s="255" t="s">
        <v>354</v>
      </c>
      <c r="B4" s="256">
        <f>H33</f>
        <v>65280404</v>
      </c>
      <c r="C4" s="497" t="s">
        <v>433</v>
      </c>
      <c r="D4" s="1" t="s">
        <v>434</v>
      </c>
      <c r="E4" s="1" t="s">
        <v>435</v>
      </c>
      <c r="F4" s="1" t="s">
        <v>436</v>
      </c>
      <c r="G4" s="1" t="s">
        <v>437</v>
      </c>
    </row>
    <row r="5" spans="1:7" ht="12.75">
      <c r="A5" s="1" t="s">
        <v>480</v>
      </c>
      <c r="B5" s="256">
        <v>-10031</v>
      </c>
      <c r="C5" s="497" t="s">
        <v>8</v>
      </c>
      <c r="D5" s="495">
        <v>47270501</v>
      </c>
      <c r="E5" s="1" t="s">
        <v>438</v>
      </c>
      <c r="F5" s="1" t="s">
        <v>439</v>
      </c>
      <c r="G5" s="1" t="s">
        <v>440</v>
      </c>
    </row>
    <row r="6" spans="1:7" ht="12.75">
      <c r="A6" s="257"/>
      <c r="B6" s="258">
        <f>SUM(B1:B5)</f>
        <v>306230138</v>
      </c>
      <c r="C6" s="497" t="s">
        <v>8</v>
      </c>
      <c r="D6" s="495">
        <v>60614888</v>
      </c>
      <c r="E6" s="1" t="s">
        <v>441</v>
      </c>
      <c r="F6" s="1" t="s">
        <v>442</v>
      </c>
      <c r="G6" s="1" t="s">
        <v>440</v>
      </c>
    </row>
    <row r="7" spans="3:7" ht="12.75">
      <c r="C7" s="497" t="s">
        <v>8</v>
      </c>
      <c r="D7" s="495">
        <v>42114609</v>
      </c>
      <c r="E7" s="1" t="s">
        <v>443</v>
      </c>
      <c r="F7" s="1" t="s">
        <v>444</v>
      </c>
      <c r="G7" s="1" t="s">
        <v>440</v>
      </c>
    </row>
    <row r="8" spans="3:8" ht="12.75">
      <c r="C8" s="497" t="s">
        <v>295</v>
      </c>
      <c r="D8" s="495">
        <v>149999998</v>
      </c>
      <c r="E8" s="1" t="s">
        <v>445</v>
      </c>
      <c r="G8" s="1" t="s">
        <v>440</v>
      </c>
      <c r="H8" s="495">
        <f>D5+D6+D7</f>
        <v>149999998</v>
      </c>
    </row>
    <row r="9" spans="3:7" ht="12.75">
      <c r="C9" s="497" t="s">
        <v>295</v>
      </c>
      <c r="D9" s="495">
        <v>10031</v>
      </c>
      <c r="E9" s="1" t="s">
        <v>446</v>
      </c>
      <c r="F9" s="1" t="s">
        <v>447</v>
      </c>
      <c r="G9" s="1" t="s">
        <v>448</v>
      </c>
    </row>
    <row r="10" spans="3:8" ht="12.75">
      <c r="C10" s="497" t="s">
        <v>8</v>
      </c>
      <c r="D10" s="495">
        <v>10031</v>
      </c>
      <c r="E10" s="1" t="s">
        <v>445</v>
      </c>
      <c r="G10" s="1" t="s">
        <v>448</v>
      </c>
      <c r="H10" s="495">
        <v>-10031</v>
      </c>
    </row>
    <row r="11" spans="3:7" ht="12.75">
      <c r="C11" s="497" t="s">
        <v>8</v>
      </c>
      <c r="D11" s="495">
        <v>30354812</v>
      </c>
      <c r="E11" s="1" t="s">
        <v>449</v>
      </c>
      <c r="F11" s="1" t="s">
        <v>450</v>
      </c>
      <c r="G11" s="1" t="s">
        <v>451</v>
      </c>
    </row>
    <row r="12" spans="3:7" ht="12.75">
      <c r="C12" s="497" t="s">
        <v>295</v>
      </c>
      <c r="D12" s="495">
        <v>13596416</v>
      </c>
      <c r="E12" s="1" t="s">
        <v>452</v>
      </c>
      <c r="F12" s="1" t="s">
        <v>453</v>
      </c>
      <c r="G12" s="1" t="s">
        <v>451</v>
      </c>
    </row>
    <row r="13" spans="3:7" ht="12.75">
      <c r="C13" s="497" t="s">
        <v>8</v>
      </c>
      <c r="D13" s="495">
        <v>864308</v>
      </c>
      <c r="E13" s="1" t="s">
        <v>454</v>
      </c>
      <c r="F13" s="1" t="s">
        <v>455</v>
      </c>
      <c r="G13" s="1" t="s">
        <v>451</v>
      </c>
    </row>
    <row r="14" spans="3:7" ht="12.75">
      <c r="C14" s="497" t="s">
        <v>295</v>
      </c>
      <c r="D14" s="495">
        <v>855287</v>
      </c>
      <c r="E14" s="1" t="s">
        <v>456</v>
      </c>
      <c r="F14" s="1" t="s">
        <v>457</v>
      </c>
      <c r="G14" s="1" t="s">
        <v>451</v>
      </c>
    </row>
    <row r="15" spans="3:7" ht="12.75">
      <c r="C15" s="497" t="s">
        <v>8</v>
      </c>
      <c r="D15" s="495">
        <v>3966697</v>
      </c>
      <c r="E15" s="1" t="s">
        <v>458</v>
      </c>
      <c r="F15" s="1" t="s">
        <v>459</v>
      </c>
      <c r="G15" s="1" t="s">
        <v>451</v>
      </c>
    </row>
    <row r="16" spans="3:7" ht="12.75">
      <c r="C16" s="497" t="s">
        <v>295</v>
      </c>
      <c r="D16" s="495">
        <v>3736061</v>
      </c>
      <c r="E16" s="1" t="s">
        <v>460</v>
      </c>
      <c r="F16" s="1" t="s">
        <v>461</v>
      </c>
      <c r="G16" s="1" t="s">
        <v>451</v>
      </c>
    </row>
    <row r="17" spans="3:7" ht="12.75">
      <c r="C17" s="497" t="s">
        <v>8</v>
      </c>
      <c r="D17" s="495">
        <v>52648043</v>
      </c>
      <c r="E17" s="1" t="s">
        <v>462</v>
      </c>
      <c r="F17" s="1" t="s">
        <v>463</v>
      </c>
      <c r="G17" s="1" t="s">
        <v>451</v>
      </c>
    </row>
    <row r="18" spans="3:7" ht="12.75">
      <c r="C18" s="497" t="s">
        <v>295</v>
      </c>
      <c r="D18" s="495">
        <v>48981550</v>
      </c>
      <c r="E18" s="1" t="s">
        <v>464</v>
      </c>
      <c r="F18" s="1" t="s">
        <v>465</v>
      </c>
      <c r="G18" s="1" t="s">
        <v>451</v>
      </c>
    </row>
    <row r="19" spans="3:7" ht="12.75">
      <c r="C19" s="497" t="s">
        <v>8</v>
      </c>
      <c r="D19" s="495">
        <v>20382742</v>
      </c>
      <c r="E19" s="1" t="s">
        <v>445</v>
      </c>
      <c r="F19" s="1" t="s">
        <v>466</v>
      </c>
      <c r="G19" s="1" t="s">
        <v>451</v>
      </c>
    </row>
    <row r="20" spans="3:7" ht="12.75">
      <c r="C20" s="497" t="s">
        <v>295</v>
      </c>
      <c r="D20" s="495">
        <v>3906150</v>
      </c>
      <c r="E20" s="1" t="s">
        <v>445</v>
      </c>
      <c r="G20" s="1" t="s">
        <v>451</v>
      </c>
    </row>
    <row r="21" spans="3:8" ht="12.75">
      <c r="C21" s="497" t="s">
        <v>295</v>
      </c>
      <c r="D21" s="495">
        <v>37141138</v>
      </c>
      <c r="E21" s="1" t="s">
        <v>445</v>
      </c>
      <c r="G21" s="1" t="s">
        <v>451</v>
      </c>
      <c r="H21" s="495">
        <f>D11-D12+D13-D14+D15-D16+D17-D18+D19</f>
        <v>41047288</v>
      </c>
    </row>
    <row r="22" spans="3:7" ht="12.75">
      <c r="C22" s="497" t="s">
        <v>8</v>
      </c>
      <c r="D22" s="495">
        <v>3031108</v>
      </c>
      <c r="E22" s="1" t="s">
        <v>467</v>
      </c>
      <c r="F22" s="1" t="s">
        <v>468</v>
      </c>
      <c r="G22" s="1" t="s">
        <v>469</v>
      </c>
    </row>
    <row r="23" spans="3:7" ht="12.75">
      <c r="C23" s="497" t="s">
        <v>8</v>
      </c>
      <c r="D23" s="495">
        <v>20000000</v>
      </c>
      <c r="E23" s="1" t="s">
        <v>470</v>
      </c>
      <c r="F23" s="1" t="s">
        <v>468</v>
      </c>
      <c r="G23" s="1" t="s">
        <v>469</v>
      </c>
    </row>
    <row r="24" spans="3:7" ht="12.75">
      <c r="C24" s="497" t="s">
        <v>8</v>
      </c>
      <c r="D24" s="495">
        <v>480000</v>
      </c>
      <c r="E24" s="1" t="s">
        <v>471</v>
      </c>
      <c r="F24" s="1" t="s">
        <v>468</v>
      </c>
      <c r="G24" s="1" t="s">
        <v>469</v>
      </c>
    </row>
    <row r="25" spans="3:7" ht="12.75">
      <c r="C25" s="497" t="s">
        <v>8</v>
      </c>
      <c r="D25" s="495">
        <v>32522</v>
      </c>
      <c r="E25" s="1" t="s">
        <v>472</v>
      </c>
      <c r="F25" s="1" t="s">
        <v>468</v>
      </c>
      <c r="G25" s="1" t="s">
        <v>469</v>
      </c>
    </row>
    <row r="26" spans="3:7" ht="12.75">
      <c r="C26" s="497" t="s">
        <v>8</v>
      </c>
      <c r="D26" s="495">
        <v>15311322</v>
      </c>
      <c r="E26" s="1" t="s">
        <v>473</v>
      </c>
      <c r="F26" s="1" t="s">
        <v>468</v>
      </c>
      <c r="G26" s="1" t="s">
        <v>469</v>
      </c>
    </row>
    <row r="27" spans="3:7" ht="12.75">
      <c r="C27" s="497" t="s">
        <v>8</v>
      </c>
      <c r="D27" s="495">
        <v>6432555</v>
      </c>
      <c r="E27" s="1" t="s">
        <v>474</v>
      </c>
      <c r="F27" s="1" t="s">
        <v>468</v>
      </c>
      <c r="G27" s="1" t="s">
        <v>469</v>
      </c>
    </row>
    <row r="28" spans="3:7" ht="12.75">
      <c r="C28" s="497" t="s">
        <v>8</v>
      </c>
      <c r="D28" s="495">
        <v>4624972</v>
      </c>
      <c r="E28" s="1" t="s">
        <v>475</v>
      </c>
      <c r="F28" s="1" t="s">
        <v>468</v>
      </c>
      <c r="G28" s="1" t="s">
        <v>469</v>
      </c>
    </row>
    <row r="29" spans="3:7" ht="12.75">
      <c r="C29" s="497" t="s">
        <v>295</v>
      </c>
      <c r="D29" s="495">
        <v>49399957</v>
      </c>
      <c r="E29" s="1" t="s">
        <v>445</v>
      </c>
      <c r="G29" s="1" t="s">
        <v>469</v>
      </c>
    </row>
    <row r="30" spans="3:8" ht="12.75">
      <c r="C30" s="497" t="s">
        <v>295</v>
      </c>
      <c r="D30" s="495">
        <v>512522</v>
      </c>
      <c r="E30" s="1" t="s">
        <v>445</v>
      </c>
      <c r="G30" s="1" t="s">
        <v>469</v>
      </c>
      <c r="H30" s="495">
        <f>D22+D23+D24+D25+D26+D27+D28</f>
        <v>49912479</v>
      </c>
    </row>
    <row r="31" spans="3:7" ht="12.75">
      <c r="C31" s="497" t="s">
        <v>8</v>
      </c>
      <c r="D31" s="495">
        <v>39581390</v>
      </c>
      <c r="E31" s="1" t="s">
        <v>445</v>
      </c>
      <c r="F31" s="1" t="s">
        <v>476</v>
      </c>
      <c r="G31" s="1" t="s">
        <v>477</v>
      </c>
    </row>
    <row r="32" spans="3:7" ht="12.75">
      <c r="C32" s="497" t="s">
        <v>8</v>
      </c>
      <c r="D32" s="495">
        <v>25699014</v>
      </c>
      <c r="E32" s="1" t="s">
        <v>445</v>
      </c>
      <c r="F32" s="1" t="s">
        <v>478</v>
      </c>
      <c r="G32" s="1" t="s">
        <v>477</v>
      </c>
    </row>
    <row r="33" spans="3:8" ht="12.75">
      <c r="C33" s="497" t="s">
        <v>295</v>
      </c>
      <c r="D33" s="495">
        <v>65280404</v>
      </c>
      <c r="E33" s="1" t="s">
        <v>445</v>
      </c>
      <c r="G33" s="1" t="s">
        <v>477</v>
      </c>
      <c r="H33" s="495">
        <f>D31+D32</f>
        <v>65280404</v>
      </c>
    </row>
    <row r="34" spans="3:8" ht="12.75">
      <c r="C34" s="497" t="s">
        <v>295</v>
      </c>
      <c r="D34" s="495">
        <v>0</v>
      </c>
      <c r="E34" s="1" t="s">
        <v>479</v>
      </c>
      <c r="H34" s="496">
        <f>SUM(H4:H33)</f>
        <v>306230138</v>
      </c>
    </row>
    <row r="35" ht="12.75">
      <c r="H35" s="495">
        <v>306230138</v>
      </c>
    </row>
    <row r="36" ht="12.75">
      <c r="H36" s="495">
        <f>H35-H34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9"/>
  <sheetViews>
    <sheetView zoomScale="90" zoomScaleNormal="90" zoomScalePageLayoutView="0" workbookViewId="0" topLeftCell="A1">
      <selection activeCell="O9" sqref="O9"/>
    </sheetView>
  </sheetViews>
  <sheetFormatPr defaultColWidth="9.140625" defaultRowHeight="12.75"/>
  <cols>
    <col min="1" max="1" width="27.7109375" style="121" customWidth="1"/>
    <col min="2" max="2" width="11.140625" style="121" customWidth="1"/>
    <col min="3" max="3" width="10.140625" style="121" customWidth="1"/>
    <col min="4" max="4" width="15.140625" style="121" customWidth="1"/>
    <col min="5" max="5" width="13.140625" style="121" customWidth="1"/>
    <col min="6" max="6" width="13.7109375" style="121" customWidth="1"/>
    <col min="7" max="7" width="13.8515625" style="121" customWidth="1"/>
    <col min="8" max="8" width="19.57421875" style="121" customWidth="1"/>
    <col min="9" max="10" width="11.8515625" style="121" customWidth="1"/>
    <col min="11" max="11" width="15.8515625" style="121" customWidth="1"/>
    <col min="12" max="12" width="13.140625" style="121" customWidth="1"/>
    <col min="13" max="13" width="11.421875" style="121" customWidth="1"/>
    <col min="14" max="14" width="12.421875" style="121" bestFit="1" customWidth="1"/>
    <col min="15" max="16384" width="9.140625" style="121" customWidth="1"/>
  </cols>
  <sheetData>
    <row r="1" spans="1:14" ht="23.25" customHeight="1">
      <c r="A1" s="1181" t="s">
        <v>96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</row>
    <row r="2" spans="1:14" ht="13.5" thickBot="1">
      <c r="A2" s="1194" t="s">
        <v>203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</row>
    <row r="3" spans="1:14" ht="21" customHeight="1">
      <c r="A3" s="1192" t="s">
        <v>11</v>
      </c>
      <c r="B3" s="1189" t="s">
        <v>12</v>
      </c>
      <c r="C3" s="1190"/>
      <c r="D3" s="1190"/>
      <c r="E3" s="1190"/>
      <c r="F3" s="1190"/>
      <c r="G3" s="1190"/>
      <c r="H3" s="1191"/>
      <c r="I3" s="1195" t="s">
        <v>172</v>
      </c>
      <c r="J3" s="1196"/>
      <c r="K3" s="1196"/>
      <c r="L3" s="1196"/>
      <c r="M3" s="1197"/>
      <c r="N3" s="1198" t="s">
        <v>14</v>
      </c>
    </row>
    <row r="4" spans="1:18" ht="27.75" customHeight="1">
      <c r="A4" s="1193"/>
      <c r="B4" s="1182" t="s">
        <v>310</v>
      </c>
      <c r="C4" s="1182" t="s">
        <v>288</v>
      </c>
      <c r="D4" s="1182" t="s">
        <v>286</v>
      </c>
      <c r="E4" s="1182" t="s">
        <v>289</v>
      </c>
      <c r="F4" s="1182" t="s">
        <v>290</v>
      </c>
      <c r="G4" s="1182"/>
      <c r="H4" s="1188" t="s">
        <v>129</v>
      </c>
      <c r="I4" s="1183" t="s">
        <v>305</v>
      </c>
      <c r="J4" s="1185" t="s">
        <v>296</v>
      </c>
      <c r="K4" s="1182" t="s">
        <v>290</v>
      </c>
      <c r="L4" s="1182"/>
      <c r="M4" s="1188" t="s">
        <v>172</v>
      </c>
      <c r="N4" s="1199"/>
      <c r="O4" s="1187" t="s">
        <v>399</v>
      </c>
      <c r="P4" s="1181" t="s">
        <v>400</v>
      </c>
      <c r="Q4" s="1181" t="s">
        <v>401</v>
      </c>
      <c r="R4" s="1181" t="s">
        <v>401</v>
      </c>
    </row>
    <row r="5" spans="1:18" ht="69" customHeight="1">
      <c r="A5" s="1193"/>
      <c r="B5" s="1182"/>
      <c r="C5" s="1182"/>
      <c r="D5" s="1182"/>
      <c r="E5" s="1182"/>
      <c r="F5" s="389" t="s">
        <v>389</v>
      </c>
      <c r="G5" s="389" t="s">
        <v>292</v>
      </c>
      <c r="H5" s="1188"/>
      <c r="I5" s="1184"/>
      <c r="J5" s="1186"/>
      <c r="K5" s="389" t="s">
        <v>306</v>
      </c>
      <c r="L5" s="389" t="s">
        <v>183</v>
      </c>
      <c r="M5" s="1188"/>
      <c r="N5" s="1200"/>
      <c r="O5" s="1187"/>
      <c r="P5" s="1181"/>
      <c r="Q5" s="1181"/>
      <c r="R5" s="1181"/>
    </row>
    <row r="6" spans="1:21" ht="26.25" customHeight="1">
      <c r="A6" s="385" t="s">
        <v>385</v>
      </c>
      <c r="B6" s="392"/>
      <c r="C6" s="392"/>
      <c r="D6" s="392">
        <v>13913100</v>
      </c>
      <c r="E6" s="392">
        <v>493393200</v>
      </c>
      <c r="F6" s="392">
        <v>103304659</v>
      </c>
      <c r="G6" s="392">
        <v>3227388</v>
      </c>
      <c r="H6" s="392">
        <f>SUM(B6:G6)</f>
        <v>613838347</v>
      </c>
      <c r="I6" s="393"/>
      <c r="J6" s="394"/>
      <c r="K6" s="394"/>
      <c r="L6" s="394"/>
      <c r="M6" s="395">
        <f>SUM(I6:L6)</f>
        <v>0</v>
      </c>
      <c r="N6" s="392">
        <f>H6+M6</f>
        <v>613838347</v>
      </c>
      <c r="O6" s="465">
        <f>D6/$H6</f>
        <v>0.022665739388875294</v>
      </c>
      <c r="P6" s="465">
        <f aca="true" t="shared" si="0" ref="P6:R11">E6/$H6</f>
        <v>0.8037836059140828</v>
      </c>
      <c r="Q6" s="465">
        <f t="shared" si="0"/>
        <v>0.1682929382057651</v>
      </c>
      <c r="R6" s="465">
        <f t="shared" si="0"/>
        <v>0.005257716491276815</v>
      </c>
      <c r="S6" s="465">
        <f>SUM(O6:R6)</f>
        <v>1</v>
      </c>
      <c r="T6" s="465"/>
      <c r="U6" s="465"/>
    </row>
    <row r="7" spans="1:21" ht="26.25" customHeight="1">
      <c r="A7" s="385" t="s">
        <v>386</v>
      </c>
      <c r="B7" s="392"/>
      <c r="C7" s="392"/>
      <c r="D7" s="392">
        <v>27629023</v>
      </c>
      <c r="E7" s="392">
        <v>1245717</v>
      </c>
      <c r="F7" s="392">
        <v>8120168</v>
      </c>
      <c r="G7" s="392">
        <v>32870312</v>
      </c>
      <c r="H7" s="392">
        <f aca="true" t="shared" si="1" ref="H7:H19">SUM(B7:G7)</f>
        <v>69865220</v>
      </c>
      <c r="I7" s="393"/>
      <c r="J7" s="394"/>
      <c r="K7" s="394"/>
      <c r="L7" s="394"/>
      <c r="M7" s="395">
        <f aca="true" t="shared" si="2" ref="M7:M19">SUM(I7:L7)</f>
        <v>0</v>
      </c>
      <c r="N7" s="392">
        <f aca="true" t="shared" si="3" ref="N7:N19">H7+M7</f>
        <v>69865220</v>
      </c>
      <c r="O7" s="465">
        <f aca="true" t="shared" si="4" ref="O7:O15">D7/$H7</f>
        <v>0.3954617619467884</v>
      </c>
      <c r="P7" s="465">
        <f t="shared" si="0"/>
        <v>0.01783028808898047</v>
      </c>
      <c r="Q7" s="465">
        <f t="shared" si="0"/>
        <v>0.11622618521776644</v>
      </c>
      <c r="R7" s="465">
        <f t="shared" si="0"/>
        <v>0.4704817647464647</v>
      </c>
      <c r="S7" s="465">
        <f aca="true" t="shared" si="5" ref="S7:S15">SUM(O7:R7)</f>
        <v>1</v>
      </c>
      <c r="T7" s="465"/>
      <c r="U7" s="465"/>
    </row>
    <row r="8" spans="1:21" ht="26.25" customHeight="1">
      <c r="A8" s="385" t="s">
        <v>387</v>
      </c>
      <c r="B8" s="392"/>
      <c r="C8" s="392"/>
      <c r="D8" s="392">
        <v>60278876</v>
      </c>
      <c r="E8" s="392">
        <v>3901478</v>
      </c>
      <c r="F8" s="392">
        <v>0</v>
      </c>
      <c r="G8" s="392">
        <v>32759971</v>
      </c>
      <c r="H8" s="392">
        <f t="shared" si="1"/>
        <v>96940325</v>
      </c>
      <c r="I8" s="393"/>
      <c r="J8" s="394"/>
      <c r="K8" s="394"/>
      <c r="L8" s="394"/>
      <c r="M8" s="395">
        <f t="shared" si="2"/>
        <v>0</v>
      </c>
      <c r="N8" s="392">
        <f t="shared" si="3"/>
        <v>96940325</v>
      </c>
      <c r="O8" s="465">
        <f t="shared" si="4"/>
        <v>0.6218142553163506</v>
      </c>
      <c r="P8" s="465">
        <f t="shared" si="0"/>
        <v>0.04024618238075847</v>
      </c>
      <c r="Q8" s="465">
        <f t="shared" si="0"/>
        <v>0</v>
      </c>
      <c r="R8" s="465">
        <f t="shared" si="0"/>
        <v>0.33793956230289096</v>
      </c>
      <c r="S8" s="465">
        <f t="shared" si="5"/>
        <v>1</v>
      </c>
      <c r="T8" s="465"/>
      <c r="U8" s="465"/>
    </row>
    <row r="9" spans="1:21" s="464" customFormat="1" ht="26.25" customHeight="1">
      <c r="A9" s="391" t="s">
        <v>388</v>
      </c>
      <c r="B9" s="396">
        <f aca="true" t="shared" si="6" ref="B9:G9">SUM(B6:B8)</f>
        <v>0</v>
      </c>
      <c r="C9" s="396">
        <f t="shared" si="6"/>
        <v>0</v>
      </c>
      <c r="D9" s="396">
        <f t="shared" si="6"/>
        <v>101820999</v>
      </c>
      <c r="E9" s="396">
        <f t="shared" si="6"/>
        <v>498540395</v>
      </c>
      <c r="F9" s="396">
        <f t="shared" si="6"/>
        <v>111424827</v>
      </c>
      <c r="G9" s="396">
        <f t="shared" si="6"/>
        <v>68857671</v>
      </c>
      <c r="H9" s="395">
        <f t="shared" si="1"/>
        <v>780643892</v>
      </c>
      <c r="I9" s="397">
        <f>SUM(I6:I8)</f>
        <v>0</v>
      </c>
      <c r="J9" s="396">
        <f>SUM(J6:J8)</f>
        <v>0</v>
      </c>
      <c r="K9" s="396">
        <f>SUM(K6:K8)</f>
        <v>0</v>
      </c>
      <c r="L9" s="396">
        <f>SUM(L6:L8)</f>
        <v>0</v>
      </c>
      <c r="M9" s="395">
        <f t="shared" si="2"/>
        <v>0</v>
      </c>
      <c r="N9" s="395">
        <f t="shared" si="3"/>
        <v>780643892</v>
      </c>
      <c r="O9" s="466">
        <f t="shared" si="4"/>
        <v>0.1304320702992191</v>
      </c>
      <c r="P9" s="466">
        <f t="shared" si="0"/>
        <v>0.6386271642025478</v>
      </c>
      <c r="Q9" s="466">
        <f t="shared" si="0"/>
        <v>0.14273451459990416</v>
      </c>
      <c r="R9" s="466">
        <f t="shared" si="0"/>
        <v>0.08820625089832894</v>
      </c>
      <c r="S9" s="466">
        <f t="shared" si="5"/>
        <v>1</v>
      </c>
      <c r="T9" s="466"/>
      <c r="U9" s="466"/>
    </row>
    <row r="10" spans="1:21" ht="18.75" customHeight="1">
      <c r="A10" s="385" t="s">
        <v>393</v>
      </c>
      <c r="B10" s="392"/>
      <c r="C10" s="392"/>
      <c r="D10" s="392">
        <v>43056923</v>
      </c>
      <c r="E10" s="392">
        <v>20389179</v>
      </c>
      <c r="F10" s="392">
        <v>47941605</v>
      </c>
      <c r="G10" s="392">
        <f>39076455-845083</f>
        <v>38231372</v>
      </c>
      <c r="H10" s="392">
        <f>SUM(B10:G10)</f>
        <v>149619079</v>
      </c>
      <c r="I10" s="393"/>
      <c r="J10" s="394"/>
      <c r="K10" s="394"/>
      <c r="L10" s="394"/>
      <c r="M10" s="395"/>
      <c r="N10" s="392">
        <f t="shared" si="3"/>
        <v>149619079</v>
      </c>
      <c r="O10" s="465">
        <f t="shared" si="4"/>
        <v>0.28777695523710584</v>
      </c>
      <c r="P10" s="465">
        <f t="shared" si="0"/>
        <v>0.13627392399601657</v>
      </c>
      <c r="Q10" s="465">
        <f t="shared" si="0"/>
        <v>0.3204244092426207</v>
      </c>
      <c r="R10" s="465">
        <f t="shared" si="0"/>
        <v>0.2555247115242569</v>
      </c>
      <c r="S10" s="465">
        <f t="shared" si="5"/>
        <v>1</v>
      </c>
      <c r="T10" s="465"/>
      <c r="U10" s="465"/>
    </row>
    <row r="11" spans="1:21" ht="18.75" customHeight="1">
      <c r="A11" s="385" t="s">
        <v>394</v>
      </c>
      <c r="B11" s="392"/>
      <c r="C11" s="392"/>
      <c r="D11" s="392">
        <f>29459676+34000</f>
        <v>29493676</v>
      </c>
      <c r="E11" s="392">
        <v>6429958</v>
      </c>
      <c r="F11" s="392"/>
      <c r="G11" s="392"/>
      <c r="H11" s="392">
        <f>SUM(B11:G11)</f>
        <v>35923634</v>
      </c>
      <c r="I11" s="393"/>
      <c r="J11" s="394"/>
      <c r="K11" s="394"/>
      <c r="L11" s="394"/>
      <c r="M11" s="395"/>
      <c r="N11" s="392">
        <f t="shared" si="3"/>
        <v>35923634</v>
      </c>
      <c r="O11" s="465">
        <f t="shared" si="4"/>
        <v>0.8210103688284988</v>
      </c>
      <c r="P11" s="465">
        <f t="shared" si="0"/>
        <v>0.17898963117150118</v>
      </c>
      <c r="Q11" s="465">
        <f t="shared" si="0"/>
        <v>0</v>
      </c>
      <c r="R11" s="465">
        <f t="shared" si="0"/>
        <v>0</v>
      </c>
      <c r="S11" s="465">
        <f t="shared" si="5"/>
        <v>1</v>
      </c>
      <c r="T11" s="465"/>
      <c r="U11" s="465"/>
    </row>
    <row r="12" spans="1:21" ht="18.75" customHeight="1">
      <c r="A12" s="385" t="s">
        <v>398</v>
      </c>
      <c r="B12" s="392"/>
      <c r="C12" s="392"/>
      <c r="D12" s="392"/>
      <c r="E12" s="392"/>
      <c r="F12" s="392"/>
      <c r="G12" s="392"/>
      <c r="H12" s="392"/>
      <c r="I12" s="393"/>
      <c r="J12" s="394"/>
      <c r="K12" s="394"/>
      <c r="L12" s="394"/>
      <c r="M12" s="395"/>
      <c r="N12" s="392"/>
      <c r="O12" s="465"/>
      <c r="P12" s="465"/>
      <c r="Q12" s="465"/>
      <c r="R12" s="465"/>
      <c r="S12" s="465">
        <f t="shared" si="5"/>
        <v>0</v>
      </c>
      <c r="T12" s="465"/>
      <c r="U12" s="465"/>
    </row>
    <row r="13" spans="1:21" ht="18.75" customHeight="1">
      <c r="A13" s="385" t="s">
        <v>396</v>
      </c>
      <c r="B13" s="392"/>
      <c r="C13" s="392"/>
      <c r="D13" s="392">
        <v>4347750</v>
      </c>
      <c r="E13" s="392">
        <v>1566764</v>
      </c>
      <c r="F13" s="392"/>
      <c r="G13" s="392">
        <f>2692215-1221748</f>
        <v>1470467</v>
      </c>
      <c r="H13" s="392">
        <f>SUM(B13:G13)</f>
        <v>7384981</v>
      </c>
      <c r="I13" s="393"/>
      <c r="J13" s="394"/>
      <c r="K13" s="394"/>
      <c r="L13" s="394"/>
      <c r="M13" s="395">
        <f t="shared" si="2"/>
        <v>0</v>
      </c>
      <c r="N13" s="392">
        <f t="shared" si="3"/>
        <v>7384981</v>
      </c>
      <c r="O13" s="465">
        <f t="shared" si="4"/>
        <v>0.588728664298527</v>
      </c>
      <c r="P13" s="465">
        <f aca="true" t="shared" si="7" ref="P13:Q15">E13/$H13</f>
        <v>0.2121554544283865</v>
      </c>
      <c r="Q13" s="465">
        <f t="shared" si="7"/>
        <v>0</v>
      </c>
      <c r="R13" s="465">
        <f>G13/$H13</f>
        <v>0.19911588127308655</v>
      </c>
      <c r="S13" s="465">
        <f t="shared" si="5"/>
        <v>1</v>
      </c>
      <c r="T13" s="465"/>
      <c r="U13" s="465"/>
    </row>
    <row r="14" spans="1:21" ht="18.75" customHeight="1">
      <c r="A14" s="121" t="s">
        <v>395</v>
      </c>
      <c r="B14" s="392"/>
      <c r="C14" s="392"/>
      <c r="D14" s="392">
        <v>9183938</v>
      </c>
      <c r="E14" s="392"/>
      <c r="F14" s="392"/>
      <c r="G14" s="392">
        <v>8834419</v>
      </c>
      <c r="H14" s="392">
        <f>SUM(B14:G14)</f>
        <v>18018357</v>
      </c>
      <c r="I14" s="393"/>
      <c r="J14" s="394"/>
      <c r="K14" s="394"/>
      <c r="L14" s="394"/>
      <c r="M14" s="395">
        <f t="shared" si="2"/>
        <v>0</v>
      </c>
      <c r="N14" s="392">
        <f t="shared" si="3"/>
        <v>18018357</v>
      </c>
      <c r="O14" s="465">
        <f t="shared" si="4"/>
        <v>0.5096989697784321</v>
      </c>
      <c r="P14" s="465">
        <f t="shared" si="7"/>
        <v>0</v>
      </c>
      <c r="Q14" s="465">
        <f t="shared" si="7"/>
        <v>0</v>
      </c>
      <c r="R14" s="465">
        <f>G14/$H14</f>
        <v>0.4903010302215679</v>
      </c>
      <c r="S14" s="465">
        <f t="shared" si="5"/>
        <v>1</v>
      </c>
      <c r="T14" s="465"/>
      <c r="U14" s="465"/>
    </row>
    <row r="15" spans="1:21" s="464" customFormat="1" ht="26.25" customHeight="1" thickBot="1">
      <c r="A15" s="391" t="s">
        <v>397</v>
      </c>
      <c r="B15" s="396">
        <f aca="true" t="shared" si="8" ref="B15:G15">SUM(B10:B14)</f>
        <v>0</v>
      </c>
      <c r="C15" s="396">
        <f t="shared" si="8"/>
        <v>0</v>
      </c>
      <c r="D15" s="396">
        <f t="shared" si="8"/>
        <v>86082287</v>
      </c>
      <c r="E15" s="396">
        <f t="shared" si="8"/>
        <v>28385901</v>
      </c>
      <c r="F15" s="396">
        <f t="shared" si="8"/>
        <v>47941605</v>
      </c>
      <c r="G15" s="396">
        <f t="shared" si="8"/>
        <v>48536258</v>
      </c>
      <c r="H15" s="395">
        <f>SUM(B15:G15)</f>
        <v>210946051</v>
      </c>
      <c r="I15" s="397"/>
      <c r="J15" s="396"/>
      <c r="K15" s="396"/>
      <c r="L15" s="396"/>
      <c r="M15" s="395">
        <f t="shared" si="2"/>
        <v>0</v>
      </c>
      <c r="N15" s="395">
        <f t="shared" si="3"/>
        <v>210946051</v>
      </c>
      <c r="O15" s="466">
        <f t="shared" si="4"/>
        <v>0.4080772623707471</v>
      </c>
      <c r="P15" s="466">
        <f t="shared" si="7"/>
        <v>0.1345647423378407</v>
      </c>
      <c r="Q15" s="466">
        <f t="shared" si="7"/>
        <v>0.2272695069318932</v>
      </c>
      <c r="R15" s="466">
        <f>G15/$H15</f>
        <v>0.230088488359519</v>
      </c>
      <c r="S15" s="466">
        <f t="shared" si="5"/>
        <v>1</v>
      </c>
      <c r="T15" s="466"/>
      <c r="U15" s="466"/>
    </row>
    <row r="16" spans="1:14" s="464" customFormat="1" ht="26.25" customHeight="1" thickBot="1">
      <c r="A16" s="386" t="s">
        <v>30</v>
      </c>
      <c r="B16" s="398"/>
      <c r="C16" s="398"/>
      <c r="D16" s="398">
        <v>0.9584586450542428</v>
      </c>
      <c r="E16" s="398">
        <v>1</v>
      </c>
      <c r="F16" s="398">
        <v>1</v>
      </c>
      <c r="G16" s="398">
        <v>0.9021001883332335</v>
      </c>
      <c r="H16" s="399">
        <f t="shared" si="1"/>
        <v>3.860558833387476</v>
      </c>
      <c r="I16" s="400"/>
      <c r="J16" s="398"/>
      <c r="K16" s="398"/>
      <c r="L16" s="398"/>
      <c r="M16" s="399">
        <f t="shared" si="2"/>
        <v>0</v>
      </c>
      <c r="N16" s="399">
        <f t="shared" si="3"/>
        <v>3.860558833387476</v>
      </c>
    </row>
    <row r="17" spans="1:14" ht="26.25" customHeight="1">
      <c r="A17" s="387" t="s">
        <v>32</v>
      </c>
      <c r="B17" s="401"/>
      <c r="C17" s="401"/>
      <c r="D17" s="394">
        <v>0.6511333834319845</v>
      </c>
      <c r="E17" s="394">
        <v>1.0052363650291007</v>
      </c>
      <c r="F17" s="394">
        <v>1</v>
      </c>
      <c r="G17" s="394">
        <v>0.9990684015727286</v>
      </c>
      <c r="H17" s="395">
        <f t="shared" si="1"/>
        <v>3.655438150033814</v>
      </c>
      <c r="I17" s="393"/>
      <c r="J17" s="394"/>
      <c r="K17" s="394"/>
      <c r="L17" s="394"/>
      <c r="M17" s="395">
        <f t="shared" si="2"/>
        <v>0</v>
      </c>
      <c r="N17" s="395">
        <f t="shared" si="3"/>
        <v>3.655438150033814</v>
      </c>
    </row>
    <row r="18" spans="1:14" ht="26.25" customHeight="1" thickBot="1">
      <c r="A18" s="388" t="s">
        <v>34</v>
      </c>
      <c r="B18" s="394">
        <v>1</v>
      </c>
      <c r="C18" s="394">
        <v>1.0216129342580955</v>
      </c>
      <c r="D18" s="394">
        <v>0.6583001674454757</v>
      </c>
      <c r="E18" s="394">
        <v>0.9200184108039965</v>
      </c>
      <c r="F18" s="394">
        <v>1.1068104555053568</v>
      </c>
      <c r="G18" s="394"/>
      <c r="H18" s="395">
        <f t="shared" si="1"/>
        <v>4.706741968012924</v>
      </c>
      <c r="I18" s="393">
        <v>0.9371460126035683</v>
      </c>
      <c r="J18" s="394">
        <v>0.3604410832541538</v>
      </c>
      <c r="K18" s="394">
        <v>0.98774896</v>
      </c>
      <c r="L18" s="394">
        <v>1</v>
      </c>
      <c r="M18" s="395">
        <f t="shared" si="2"/>
        <v>3.285336055857722</v>
      </c>
      <c r="N18" s="395">
        <f t="shared" si="3"/>
        <v>7.992078023870646</v>
      </c>
    </row>
    <row r="19" spans="1:14" ht="26.25" customHeight="1" thickBot="1">
      <c r="A19" s="390" t="s">
        <v>36</v>
      </c>
      <c r="B19" s="402">
        <v>1</v>
      </c>
      <c r="C19" s="402">
        <v>1.0216129342580955</v>
      </c>
      <c r="D19" s="402">
        <v>0.7508280154439729</v>
      </c>
      <c r="E19" s="402">
        <v>0.9730571170569279</v>
      </c>
      <c r="F19" s="402">
        <v>1.0775979364846686</v>
      </c>
      <c r="G19" s="402"/>
      <c r="H19" s="399">
        <f t="shared" si="1"/>
        <v>4.823096003243665</v>
      </c>
      <c r="I19" s="403">
        <v>0.9371818934044609</v>
      </c>
      <c r="J19" s="402">
        <v>0.36189821794035865</v>
      </c>
      <c r="K19" s="402">
        <v>0.98774896</v>
      </c>
      <c r="L19" s="402">
        <v>1</v>
      </c>
      <c r="M19" s="399">
        <f t="shared" si="2"/>
        <v>3.28682907134482</v>
      </c>
      <c r="N19" s="399">
        <f t="shared" si="3"/>
        <v>8.109925074588485</v>
      </c>
    </row>
  </sheetData>
  <sheetProtection/>
  <mergeCells count="20">
    <mergeCell ref="E4:E5"/>
    <mergeCell ref="H4:H5"/>
    <mergeCell ref="B3:H3"/>
    <mergeCell ref="A3:A5"/>
    <mergeCell ref="A2:N2"/>
    <mergeCell ref="A1:N1"/>
    <mergeCell ref="K4:L4"/>
    <mergeCell ref="M4:M5"/>
    <mergeCell ref="I3:M3"/>
    <mergeCell ref="N3:N5"/>
    <mergeCell ref="R4:R5"/>
    <mergeCell ref="F4:G4"/>
    <mergeCell ref="I4:I5"/>
    <mergeCell ref="J4:J5"/>
    <mergeCell ref="B4:B5"/>
    <mergeCell ref="C4:C5"/>
    <mergeCell ref="D4:D5"/>
    <mergeCell ref="O4:O5"/>
    <mergeCell ref="P4:P5"/>
    <mergeCell ref="Q4:Q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2"/>
  <sheetViews>
    <sheetView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9.140625" defaultRowHeight="12.75"/>
  <cols>
    <col min="1" max="1" width="27.28125" style="443" customWidth="1"/>
    <col min="2" max="2" width="15.421875" style="443" customWidth="1"/>
    <col min="3" max="3" width="16.8515625" style="443" customWidth="1"/>
    <col min="4" max="5" width="15.421875" style="443" customWidth="1"/>
    <col min="6" max="6" width="12.8515625" style="443" customWidth="1"/>
    <col min="7" max="7" width="11.28125" style="443" customWidth="1"/>
    <col min="8" max="8" width="16.421875" style="443" customWidth="1"/>
    <col min="9" max="9" width="14.140625" style="457" customWidth="1"/>
    <col min="10" max="10" width="13.421875" style="443" customWidth="1"/>
    <col min="11" max="11" width="11.28125" style="443" bestFit="1" customWidth="1"/>
    <col min="12" max="12" width="11.140625" style="443" customWidth="1"/>
    <col min="13" max="14" width="14.28125" style="457" bestFit="1" customWidth="1"/>
    <col min="15" max="15" width="9.140625" style="443" customWidth="1"/>
    <col min="16" max="16" width="9.28125" style="443" bestFit="1" customWidth="1"/>
    <col min="17" max="16384" width="9.140625" style="443" customWidth="1"/>
  </cols>
  <sheetData>
    <row r="1" spans="5:14" s="404" customFormat="1" ht="15.75" customHeight="1">
      <c r="E1" s="405"/>
      <c r="I1" s="454"/>
      <c r="M1" s="454"/>
      <c r="N1" s="462"/>
    </row>
    <row r="2" spans="1:24" s="404" customFormat="1" ht="21.75" customHeight="1">
      <c r="A2" s="1201" t="s">
        <v>390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406"/>
      <c r="P2" s="406"/>
      <c r="Q2" s="406"/>
      <c r="R2" s="406"/>
      <c r="S2" s="406"/>
      <c r="T2" s="406"/>
      <c r="U2" s="406"/>
      <c r="V2" s="406"/>
      <c r="W2" s="406"/>
      <c r="X2" s="406"/>
    </row>
    <row r="3" spans="1:14" s="404" customFormat="1" ht="15.75" customHeight="1" thickBot="1">
      <c r="A3" s="1202" t="s">
        <v>203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</row>
    <row r="4" spans="1:14" s="407" customFormat="1" ht="24.75" customHeight="1">
      <c r="A4" s="1215" t="s">
        <v>11</v>
      </c>
      <c r="B4" s="1206" t="s">
        <v>37</v>
      </c>
      <c r="C4" s="1207"/>
      <c r="D4" s="1207"/>
      <c r="E4" s="1207"/>
      <c r="F4" s="1207"/>
      <c r="G4" s="1207"/>
      <c r="H4" s="1207"/>
      <c r="I4" s="1208"/>
      <c r="J4" s="1206" t="s">
        <v>38</v>
      </c>
      <c r="K4" s="1207"/>
      <c r="L4" s="1207"/>
      <c r="M4" s="1208"/>
      <c r="N4" s="1208" t="s">
        <v>41</v>
      </c>
    </row>
    <row r="5" spans="1:14" s="407" customFormat="1" ht="36.75" customHeight="1">
      <c r="A5" s="1216"/>
      <c r="B5" s="1211" t="s">
        <v>297</v>
      </c>
      <c r="C5" s="1213" t="s">
        <v>298</v>
      </c>
      <c r="D5" s="1213" t="s">
        <v>299</v>
      </c>
      <c r="E5" s="1213" t="s">
        <v>300</v>
      </c>
      <c r="F5" s="1213" t="s">
        <v>174</v>
      </c>
      <c r="G5" s="1203" t="s">
        <v>45</v>
      </c>
      <c r="H5" s="137" t="s">
        <v>316</v>
      </c>
      <c r="I5" s="1204" t="s">
        <v>56</v>
      </c>
      <c r="J5" s="1211" t="s">
        <v>302</v>
      </c>
      <c r="K5" s="1213" t="s">
        <v>301</v>
      </c>
      <c r="L5" s="1213" t="s">
        <v>47</v>
      </c>
      <c r="M5" s="1204" t="s">
        <v>70</v>
      </c>
      <c r="N5" s="1209"/>
    </row>
    <row r="6" spans="1:14" s="407" customFormat="1" ht="69" customHeight="1">
      <c r="A6" s="1216"/>
      <c r="B6" s="1212"/>
      <c r="C6" s="1214"/>
      <c r="D6" s="1214"/>
      <c r="E6" s="1214"/>
      <c r="F6" s="1214"/>
      <c r="G6" s="1203"/>
      <c r="H6" s="137" t="s">
        <v>315</v>
      </c>
      <c r="I6" s="1205"/>
      <c r="J6" s="1212"/>
      <c r="K6" s="1214"/>
      <c r="L6" s="1214"/>
      <c r="M6" s="1205"/>
      <c r="N6" s="1210"/>
    </row>
    <row r="7" spans="1:16" s="140" customFormat="1" ht="27" customHeight="1">
      <c r="A7" s="408" t="s">
        <v>385</v>
      </c>
      <c r="B7" s="409">
        <v>293534330</v>
      </c>
      <c r="C7" s="410">
        <v>59636345</v>
      </c>
      <c r="D7" s="410">
        <v>160198615</v>
      </c>
      <c r="E7" s="410"/>
      <c r="F7" s="410">
        <v>4219864</v>
      </c>
      <c r="G7" s="410"/>
      <c r="H7" s="411"/>
      <c r="I7" s="448">
        <f>SUM(B7:H7)</f>
        <v>517589154</v>
      </c>
      <c r="J7" s="409">
        <v>4793445</v>
      </c>
      <c r="K7" s="411">
        <v>0</v>
      </c>
      <c r="L7" s="411">
        <v>0</v>
      </c>
      <c r="M7" s="448">
        <f>J7+K7+L7</f>
        <v>4793445</v>
      </c>
      <c r="N7" s="459">
        <f aca="true" t="shared" si="0" ref="N7:N15">I7+M7</f>
        <v>522382599</v>
      </c>
      <c r="P7" s="413"/>
    </row>
    <row r="8" spans="1:16" s="140" customFormat="1" ht="27" customHeight="1">
      <c r="A8" s="408" t="s">
        <v>386</v>
      </c>
      <c r="B8" s="409">
        <v>31440369</v>
      </c>
      <c r="C8" s="410">
        <v>6585727</v>
      </c>
      <c r="D8" s="410">
        <v>22928615</v>
      </c>
      <c r="E8" s="410"/>
      <c r="F8" s="410"/>
      <c r="G8" s="410"/>
      <c r="H8" s="411"/>
      <c r="I8" s="448">
        <f aca="true" t="shared" si="1" ref="I8:I14">SUM(B8:H8)</f>
        <v>60954711</v>
      </c>
      <c r="J8" s="409">
        <v>1401041</v>
      </c>
      <c r="K8" s="411">
        <v>0</v>
      </c>
      <c r="L8" s="411">
        <v>0</v>
      </c>
      <c r="M8" s="448">
        <f>J8+K8+L8</f>
        <v>1401041</v>
      </c>
      <c r="N8" s="459">
        <f t="shared" si="0"/>
        <v>62355752</v>
      </c>
      <c r="P8" s="413"/>
    </row>
    <row r="9" spans="1:16" s="140" customFormat="1" ht="27" customHeight="1">
      <c r="A9" s="408" t="s">
        <v>387</v>
      </c>
      <c r="B9" s="409">
        <v>32739440</v>
      </c>
      <c r="C9" s="410">
        <v>7230513</v>
      </c>
      <c r="D9" s="410">
        <v>50603219</v>
      </c>
      <c r="E9" s="410"/>
      <c r="F9" s="410"/>
      <c r="G9" s="410"/>
      <c r="H9" s="411"/>
      <c r="I9" s="448">
        <f t="shared" si="1"/>
        <v>90573172</v>
      </c>
      <c r="J9" s="409">
        <v>5427138</v>
      </c>
      <c r="K9" s="410">
        <v>0</v>
      </c>
      <c r="L9" s="411">
        <v>0</v>
      </c>
      <c r="M9" s="448">
        <f>J9+K9+L9</f>
        <v>5427138</v>
      </c>
      <c r="N9" s="459">
        <f t="shared" si="0"/>
        <v>96000310</v>
      </c>
      <c r="P9" s="413"/>
    </row>
    <row r="10" spans="1:16" s="406" customFormat="1" ht="37.5" customHeight="1">
      <c r="A10" s="414" t="s">
        <v>388</v>
      </c>
      <c r="B10" s="449">
        <f>SUM(B7:B9)</f>
        <v>357714139</v>
      </c>
      <c r="C10" s="450">
        <f aca="true" t="shared" si="2" ref="C10:H10">SUM(C7:C9)</f>
        <v>73452585</v>
      </c>
      <c r="D10" s="450">
        <f t="shared" si="2"/>
        <v>233730449</v>
      </c>
      <c r="E10" s="450">
        <f t="shared" si="2"/>
        <v>0</v>
      </c>
      <c r="F10" s="450">
        <f t="shared" si="2"/>
        <v>4219864</v>
      </c>
      <c r="G10" s="450">
        <f t="shared" si="2"/>
        <v>0</v>
      </c>
      <c r="H10" s="450">
        <f t="shared" si="2"/>
        <v>0</v>
      </c>
      <c r="I10" s="448">
        <f t="shared" si="1"/>
        <v>669117037</v>
      </c>
      <c r="J10" s="445">
        <f>SUM(J7:J9)</f>
        <v>11621624</v>
      </c>
      <c r="K10" s="446">
        <f>SUM(K7:K9)</f>
        <v>0</v>
      </c>
      <c r="L10" s="447">
        <f>SUM(L7:L9)</f>
        <v>0</v>
      </c>
      <c r="M10" s="448">
        <f>J10+K10+L10</f>
        <v>11621624</v>
      </c>
      <c r="N10" s="459">
        <f t="shared" si="0"/>
        <v>680738661</v>
      </c>
      <c r="P10" s="453"/>
    </row>
    <row r="11" spans="1:16" s="140" customFormat="1" ht="21.75" customHeight="1">
      <c r="A11" s="420" t="s">
        <v>393</v>
      </c>
      <c r="B11" s="415">
        <v>48713560</v>
      </c>
      <c r="C11" s="416">
        <v>8457345</v>
      </c>
      <c r="D11" s="416">
        <f>66378820+236608</f>
        <v>66615428</v>
      </c>
      <c r="E11" s="416"/>
      <c r="F11" s="416"/>
      <c r="G11" s="416"/>
      <c r="H11" s="417"/>
      <c r="I11" s="448">
        <f t="shared" si="1"/>
        <v>123786333</v>
      </c>
      <c r="J11" s="415">
        <v>527207</v>
      </c>
      <c r="K11" s="418"/>
      <c r="L11" s="419"/>
      <c r="M11" s="448">
        <f>SUM(J11:L11)</f>
        <v>527207</v>
      </c>
      <c r="N11" s="459">
        <f t="shared" si="0"/>
        <v>124313540</v>
      </c>
      <c r="P11" s="413"/>
    </row>
    <row r="12" spans="1:16" s="140" customFormat="1" ht="21.75" customHeight="1">
      <c r="A12" s="420" t="s">
        <v>394</v>
      </c>
      <c r="B12" s="415">
        <v>18899697</v>
      </c>
      <c r="C12" s="416">
        <v>2938390</v>
      </c>
      <c r="D12" s="416">
        <v>21819263</v>
      </c>
      <c r="E12" s="416"/>
      <c r="F12" s="416"/>
      <c r="G12" s="416"/>
      <c r="H12" s="417"/>
      <c r="I12" s="448">
        <f t="shared" si="1"/>
        <v>43657350</v>
      </c>
      <c r="J12" s="415">
        <v>2372771</v>
      </c>
      <c r="K12" s="418"/>
      <c r="L12" s="419"/>
      <c r="M12" s="448">
        <f>SUM(J12:L12)</f>
        <v>2372771</v>
      </c>
      <c r="N12" s="459">
        <f t="shared" si="0"/>
        <v>46030121</v>
      </c>
      <c r="P12" s="413"/>
    </row>
    <row r="13" spans="1:16" s="140" customFormat="1" ht="21.75" customHeight="1">
      <c r="A13" s="420" t="s">
        <v>396</v>
      </c>
      <c r="B13" s="415">
        <v>1944524</v>
      </c>
      <c r="C13" s="416">
        <v>269770</v>
      </c>
      <c r="D13" s="416">
        <v>5170687</v>
      </c>
      <c r="E13" s="416"/>
      <c r="F13" s="416"/>
      <c r="G13" s="416"/>
      <c r="H13" s="417"/>
      <c r="I13" s="448">
        <f>SUM(B13:H13)</f>
        <v>7384981</v>
      </c>
      <c r="J13" s="415"/>
      <c r="K13" s="418"/>
      <c r="L13" s="419"/>
      <c r="M13" s="448">
        <f>SUM(J13:L13)</f>
        <v>0</v>
      </c>
      <c r="N13" s="459">
        <f t="shared" si="0"/>
        <v>7384981</v>
      </c>
      <c r="P13" s="413"/>
    </row>
    <row r="14" spans="1:16" s="140" customFormat="1" ht="21.75" customHeight="1">
      <c r="A14" s="420" t="s">
        <v>395</v>
      </c>
      <c r="B14" s="415">
        <v>10719361</v>
      </c>
      <c r="C14" s="416">
        <v>1918600</v>
      </c>
      <c r="D14" s="416">
        <v>5367397</v>
      </c>
      <c r="E14" s="416"/>
      <c r="F14" s="416"/>
      <c r="G14" s="416"/>
      <c r="H14" s="417"/>
      <c r="I14" s="448">
        <f t="shared" si="1"/>
        <v>18005358</v>
      </c>
      <c r="J14" s="415">
        <v>12999</v>
      </c>
      <c r="K14" s="418"/>
      <c r="L14" s="419"/>
      <c r="M14" s="448">
        <f>SUM(J14:L14)</f>
        <v>12999</v>
      </c>
      <c r="N14" s="459">
        <f t="shared" si="0"/>
        <v>18018357</v>
      </c>
      <c r="P14" s="413"/>
    </row>
    <row r="15" spans="1:16" s="406" customFormat="1" ht="21.75" customHeight="1">
      <c r="A15" s="414" t="s">
        <v>397</v>
      </c>
      <c r="B15" s="449">
        <f aca="true" t="shared" si="3" ref="B15:H15">SUM(B11:B14)</f>
        <v>80277142</v>
      </c>
      <c r="C15" s="450">
        <f t="shared" si="3"/>
        <v>13584105</v>
      </c>
      <c r="D15" s="450">
        <f t="shared" si="3"/>
        <v>98972775</v>
      </c>
      <c r="E15" s="450">
        <f t="shared" si="3"/>
        <v>0</v>
      </c>
      <c r="F15" s="450">
        <f t="shared" si="3"/>
        <v>0</v>
      </c>
      <c r="G15" s="450">
        <f t="shared" si="3"/>
        <v>0</v>
      </c>
      <c r="H15" s="450">
        <f t="shared" si="3"/>
        <v>0</v>
      </c>
      <c r="I15" s="448">
        <f>SUM(B15:H15)</f>
        <v>192834022</v>
      </c>
      <c r="J15" s="445">
        <f>SUM(J11:J14)</f>
        <v>2912977</v>
      </c>
      <c r="K15" s="446">
        <f>SUM(K11:K14)</f>
        <v>0</v>
      </c>
      <c r="L15" s="447">
        <f>SUM(L11:L14)</f>
        <v>0</v>
      </c>
      <c r="M15" s="448">
        <f>SUM(J15:L15)</f>
        <v>2912977</v>
      </c>
      <c r="N15" s="459">
        <f t="shared" si="0"/>
        <v>195746999</v>
      </c>
      <c r="P15" s="453"/>
    </row>
    <row r="16" spans="1:16" s="140" customFormat="1" ht="48" customHeight="1">
      <c r="A16" s="420"/>
      <c r="B16" s="415"/>
      <c r="C16" s="416"/>
      <c r="D16" s="416"/>
      <c r="E16" s="416"/>
      <c r="F16" s="416"/>
      <c r="G16" s="416"/>
      <c r="H16" s="417"/>
      <c r="I16" s="444"/>
      <c r="J16" s="415"/>
      <c r="K16" s="418"/>
      <c r="L16" s="419"/>
      <c r="M16" s="444"/>
      <c r="N16" s="459"/>
      <c r="P16" s="413"/>
    </row>
    <row r="17" spans="1:16" s="140" customFormat="1" ht="48" customHeight="1">
      <c r="A17" s="420"/>
      <c r="B17" s="415"/>
      <c r="C17" s="416"/>
      <c r="D17" s="416"/>
      <c r="E17" s="416"/>
      <c r="F17" s="416"/>
      <c r="G17" s="416"/>
      <c r="H17" s="417"/>
      <c r="I17" s="444"/>
      <c r="J17" s="415"/>
      <c r="K17" s="418"/>
      <c r="L17" s="419"/>
      <c r="M17" s="444"/>
      <c r="N17" s="459"/>
      <c r="P17" s="413"/>
    </row>
    <row r="18" spans="1:16" s="140" customFormat="1" ht="40.5" customHeight="1" thickBot="1">
      <c r="A18" s="420" t="s">
        <v>27</v>
      </c>
      <c r="B18" s="421">
        <v>15495956</v>
      </c>
      <c r="C18" s="422">
        <v>2764476</v>
      </c>
      <c r="D18" s="422">
        <v>8033806</v>
      </c>
      <c r="E18" s="422">
        <v>0</v>
      </c>
      <c r="F18" s="422">
        <v>0</v>
      </c>
      <c r="G18" s="422">
        <v>0</v>
      </c>
      <c r="H18" s="423">
        <v>0</v>
      </c>
      <c r="I18" s="455">
        <f>B18+C18+D18+E18+F18+G18+H18</f>
        <v>26294238</v>
      </c>
      <c r="J18" s="421">
        <v>0</v>
      </c>
      <c r="K18" s="460">
        <v>0</v>
      </c>
      <c r="L18" s="461">
        <v>0</v>
      </c>
      <c r="M18" s="455">
        <f>J18+K18+L18</f>
        <v>0</v>
      </c>
      <c r="N18" s="459">
        <f>I18+M18</f>
        <v>26294238</v>
      </c>
      <c r="P18" s="413"/>
    </row>
    <row r="19" spans="1:16" s="407" customFormat="1" ht="46.5" customHeight="1" thickBot="1">
      <c r="A19" s="424" t="s">
        <v>312</v>
      </c>
      <c r="B19" s="425">
        <f aca="true" t="shared" si="4" ref="B19:N19">SUM(B7:B18)</f>
        <v>891478518</v>
      </c>
      <c r="C19" s="425">
        <f t="shared" si="4"/>
        <v>176837856</v>
      </c>
      <c r="D19" s="425">
        <f t="shared" si="4"/>
        <v>673440254</v>
      </c>
      <c r="E19" s="425">
        <f t="shared" si="4"/>
        <v>0</v>
      </c>
      <c r="F19" s="425">
        <f t="shared" si="4"/>
        <v>8439728</v>
      </c>
      <c r="G19" s="425">
        <f t="shared" si="4"/>
        <v>0</v>
      </c>
      <c r="H19" s="425">
        <f t="shared" si="4"/>
        <v>0</v>
      </c>
      <c r="I19" s="426">
        <f t="shared" si="4"/>
        <v>1750196356</v>
      </c>
      <c r="J19" s="427">
        <f t="shared" si="4"/>
        <v>29069202</v>
      </c>
      <c r="K19" s="427">
        <f t="shared" si="4"/>
        <v>0</v>
      </c>
      <c r="L19" s="428">
        <f t="shared" si="4"/>
        <v>0</v>
      </c>
      <c r="M19" s="429">
        <f t="shared" si="4"/>
        <v>29069202</v>
      </c>
      <c r="N19" s="430">
        <f t="shared" si="4"/>
        <v>1779265558</v>
      </c>
      <c r="P19" s="413"/>
    </row>
    <row r="20" spans="1:16" s="435" customFormat="1" ht="51" customHeight="1">
      <c r="A20" s="431" t="s">
        <v>32</v>
      </c>
      <c r="B20" s="432">
        <v>269932109</v>
      </c>
      <c r="C20" s="433">
        <v>54035900</v>
      </c>
      <c r="D20" s="433">
        <v>237922225</v>
      </c>
      <c r="E20" s="433">
        <v>0</v>
      </c>
      <c r="F20" s="434">
        <v>0</v>
      </c>
      <c r="G20" s="434">
        <v>0</v>
      </c>
      <c r="H20" s="434">
        <v>0</v>
      </c>
      <c r="I20" s="456">
        <f>B20+C20+D20+E20+F20+G20+H20</f>
        <v>561890234</v>
      </c>
      <c r="J20" s="432">
        <f>6210124+560258</f>
        <v>6770382</v>
      </c>
      <c r="K20" s="433">
        <v>0</v>
      </c>
      <c r="L20" s="434">
        <v>0</v>
      </c>
      <c r="M20" s="448">
        <f>J20+K20+L20</f>
        <v>6770382</v>
      </c>
      <c r="N20" s="448">
        <f>I20+M20</f>
        <v>568660616</v>
      </c>
      <c r="P20" s="436"/>
    </row>
    <row r="21" spans="1:16" s="140" customFormat="1" ht="36" customHeight="1" thickBot="1">
      <c r="A21" s="420" t="s">
        <v>50</v>
      </c>
      <c r="B21" s="418">
        <v>292127426</v>
      </c>
      <c r="C21" s="416">
        <v>40030690</v>
      </c>
      <c r="D21" s="416">
        <v>616349750</v>
      </c>
      <c r="E21" s="437">
        <v>92725714</v>
      </c>
      <c r="F21" s="438">
        <v>1045409864</v>
      </c>
      <c r="G21" s="439">
        <v>0</v>
      </c>
      <c r="H21" s="439">
        <v>47170372</v>
      </c>
      <c r="I21" s="444">
        <f>B21+C21+D21+E21+F21+G21+H21</f>
        <v>2133813816</v>
      </c>
      <c r="J21" s="440">
        <v>1466004395</v>
      </c>
      <c r="K21" s="417">
        <v>12950000</v>
      </c>
      <c r="L21" s="417">
        <v>0</v>
      </c>
      <c r="M21" s="448">
        <f>J21+K21+L21</f>
        <v>1478954395</v>
      </c>
      <c r="N21" s="451">
        <f>I21+M21</f>
        <v>3612768211</v>
      </c>
      <c r="P21" s="413"/>
    </row>
    <row r="22" spans="1:16" s="407" customFormat="1" ht="46.5" customHeight="1" thickBot="1">
      <c r="A22" s="424" t="s">
        <v>36</v>
      </c>
      <c r="B22" s="425">
        <f aca="true" t="shared" si="5" ref="B22:N22">SUM(B19:B21)</f>
        <v>1453538053</v>
      </c>
      <c r="C22" s="425">
        <f t="shared" si="5"/>
        <v>270904446</v>
      </c>
      <c r="D22" s="425">
        <f t="shared" si="5"/>
        <v>1527712229</v>
      </c>
      <c r="E22" s="425">
        <f t="shared" si="5"/>
        <v>92725714</v>
      </c>
      <c r="F22" s="425">
        <f t="shared" si="5"/>
        <v>1053849592</v>
      </c>
      <c r="G22" s="425">
        <f t="shared" si="5"/>
        <v>0</v>
      </c>
      <c r="H22" s="441">
        <f t="shared" si="5"/>
        <v>47170372</v>
      </c>
      <c r="I22" s="442">
        <f t="shared" si="5"/>
        <v>4445900406</v>
      </c>
      <c r="J22" s="427">
        <f t="shared" si="5"/>
        <v>1501843979</v>
      </c>
      <c r="K22" s="427">
        <f t="shared" si="5"/>
        <v>12950000</v>
      </c>
      <c r="L22" s="428">
        <f t="shared" si="5"/>
        <v>0</v>
      </c>
      <c r="M22" s="429">
        <f t="shared" si="5"/>
        <v>1514793979</v>
      </c>
      <c r="N22" s="430">
        <f t="shared" si="5"/>
        <v>5960694385</v>
      </c>
      <c r="P22" s="413" t="e">
        <f>#REF!-#REF!</f>
        <v>#REF!</v>
      </c>
    </row>
  </sheetData>
  <sheetProtection/>
  <mergeCells count="17">
    <mergeCell ref="A4:A6"/>
    <mergeCell ref="L5:L6"/>
    <mergeCell ref="B5:B6"/>
    <mergeCell ref="C5:C6"/>
    <mergeCell ref="D5:D6"/>
    <mergeCell ref="E5:E6"/>
    <mergeCell ref="F5:F6"/>
    <mergeCell ref="A2:N2"/>
    <mergeCell ref="A3:N3"/>
    <mergeCell ref="G5:G6"/>
    <mergeCell ref="I5:I6"/>
    <mergeCell ref="B4:I4"/>
    <mergeCell ref="M5:M6"/>
    <mergeCell ref="N4:N6"/>
    <mergeCell ref="J4:M4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8"/>
  <sheetViews>
    <sheetView zoomScale="80" zoomScaleNormal="80" zoomScalePageLayoutView="0" workbookViewId="0" topLeftCell="A8">
      <selection activeCell="G18" sqref="G18"/>
    </sheetView>
  </sheetViews>
  <sheetFormatPr defaultColWidth="9.140625" defaultRowHeight="12.75"/>
  <cols>
    <col min="1" max="1" width="8.7109375" style="494" customWidth="1"/>
    <col min="2" max="2" width="14.57421875" style="475" customWidth="1"/>
    <col min="3" max="4" width="15.8515625" style="467" customWidth="1"/>
    <col min="5" max="6" width="13.57421875" style="467" customWidth="1"/>
    <col min="7" max="7" width="13.8515625" style="467" customWidth="1"/>
    <col min="8" max="8" width="15.421875" style="467" customWidth="1"/>
    <col min="9" max="9" width="14.57421875" style="467" customWidth="1"/>
    <col min="10" max="10" width="13.57421875" style="467" customWidth="1"/>
    <col min="11" max="11" width="15.7109375" style="467" customWidth="1"/>
    <col min="12" max="12" width="18.140625" style="467" customWidth="1"/>
    <col min="13" max="13" width="10.140625" style="467" bestFit="1" customWidth="1"/>
    <col min="14" max="14" width="13.8515625" style="467" customWidth="1"/>
    <col min="15" max="19" width="9.140625" style="467" customWidth="1"/>
    <col min="20" max="20" width="18.28125" style="467" customWidth="1"/>
    <col min="21" max="16384" width="9.140625" style="467" customWidth="1"/>
  </cols>
  <sheetData>
    <row r="1" spans="1:14" ht="15">
      <c r="A1" s="1217" t="s">
        <v>432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</row>
    <row r="2" spans="1:14" ht="15">
      <c r="A2" s="468"/>
      <c r="B2" s="46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s="472" customFormat="1" ht="30">
      <c r="A3" s="469"/>
      <c r="B3" s="470"/>
      <c r="C3" s="470" t="s">
        <v>402</v>
      </c>
      <c r="D3" s="470" t="s">
        <v>403</v>
      </c>
      <c r="E3" s="470" t="s">
        <v>404</v>
      </c>
      <c r="F3" s="470" t="s">
        <v>405</v>
      </c>
      <c r="G3" s="470" t="s">
        <v>406</v>
      </c>
      <c r="H3" s="470" t="s">
        <v>407</v>
      </c>
      <c r="I3" s="470" t="s">
        <v>408</v>
      </c>
      <c r="J3" s="470" t="s">
        <v>409</v>
      </c>
      <c r="K3" s="470" t="s">
        <v>99</v>
      </c>
      <c r="L3" s="471"/>
      <c r="M3" s="471"/>
      <c r="N3" s="471"/>
    </row>
    <row r="4" spans="1:14" ht="24.75" customHeight="1">
      <c r="A4" s="468" t="s">
        <v>410</v>
      </c>
      <c r="B4" s="470" t="s">
        <v>411</v>
      </c>
      <c r="C4" s="412">
        <v>1402080</v>
      </c>
      <c r="D4" s="412"/>
      <c r="E4" s="412">
        <v>2142439</v>
      </c>
      <c r="F4" s="412">
        <v>17073699</v>
      </c>
      <c r="G4" s="412"/>
      <c r="H4" s="412"/>
      <c r="I4" s="412">
        <v>546611</v>
      </c>
      <c r="J4" s="412">
        <v>2577846</v>
      </c>
      <c r="K4" s="412">
        <f>SUM(C4:J4)</f>
        <v>23742675</v>
      </c>
      <c r="L4" s="140"/>
      <c r="M4" s="140"/>
      <c r="N4" s="140"/>
    </row>
    <row r="5" spans="1:14" ht="30">
      <c r="A5" s="468" t="s">
        <v>54</v>
      </c>
      <c r="B5" s="470" t="s">
        <v>412</v>
      </c>
      <c r="C5" s="412">
        <v>24247187</v>
      </c>
      <c r="D5" s="412"/>
      <c r="E5" s="412">
        <v>59111700</v>
      </c>
      <c r="F5" s="412">
        <v>58517720</v>
      </c>
      <c r="G5" s="412"/>
      <c r="H5" s="412"/>
      <c r="I5" s="412">
        <v>3542935</v>
      </c>
      <c r="J5" s="412">
        <v>14590000</v>
      </c>
      <c r="K5" s="412">
        <f>SUM(C5:J5)</f>
        <v>160009542</v>
      </c>
      <c r="L5" s="140"/>
      <c r="M5" s="140"/>
      <c r="N5" s="140"/>
    </row>
    <row r="6" spans="1:14" ht="15">
      <c r="A6" s="468"/>
      <c r="B6" s="463" t="s">
        <v>413</v>
      </c>
      <c r="C6" s="412">
        <f>C5-C4</f>
        <v>22845107</v>
      </c>
      <c r="D6" s="412">
        <f aca="true" t="shared" si="0" ref="D6:J6">D5-D4</f>
        <v>0</v>
      </c>
      <c r="E6" s="412">
        <f>E5-E4</f>
        <v>56969261</v>
      </c>
      <c r="F6" s="412">
        <f>F5-F4</f>
        <v>41444021</v>
      </c>
      <c r="G6" s="412">
        <f t="shared" si="0"/>
        <v>0</v>
      </c>
      <c r="H6" s="412">
        <f t="shared" si="0"/>
        <v>0</v>
      </c>
      <c r="I6" s="412">
        <f t="shared" si="0"/>
        <v>2996324</v>
      </c>
      <c r="J6" s="412">
        <f t="shared" si="0"/>
        <v>12012154</v>
      </c>
      <c r="K6" s="412">
        <f>K5-K4</f>
        <v>136266867</v>
      </c>
      <c r="L6" s="412">
        <f>SUM(C6:J6)-K6</f>
        <v>0</v>
      </c>
      <c r="M6" s="140"/>
      <c r="N6" s="140"/>
    </row>
    <row r="7" spans="1:12" ht="22.5" customHeight="1">
      <c r="A7" s="468"/>
      <c r="B7" s="463" t="s">
        <v>414</v>
      </c>
      <c r="C7" s="473">
        <f>C6/$K$6</f>
        <v>0.16764975597479614</v>
      </c>
      <c r="D7" s="473">
        <f>D6/$K$6</f>
        <v>0</v>
      </c>
      <c r="E7" s="473">
        <f>E6/$K$6</f>
        <v>0.418071261592886</v>
      </c>
      <c r="F7" s="473">
        <f>F6/$K$6</f>
        <v>0.30413865022669084</v>
      </c>
      <c r="G7" s="473">
        <f>G6/K6</f>
        <v>0</v>
      </c>
      <c r="H7" s="473">
        <f>H6/$K$6</f>
        <v>0</v>
      </c>
      <c r="I7" s="473">
        <f>I6/$K$6</f>
        <v>0.021988646733912213</v>
      </c>
      <c r="J7" s="473">
        <f>J6/$K$6</f>
        <v>0.08815168547171486</v>
      </c>
      <c r="K7" s="473">
        <f>SUM(C7:J7)</f>
        <v>1</v>
      </c>
      <c r="L7" s="140"/>
    </row>
    <row r="8" spans="1:14" ht="24" customHeight="1">
      <c r="A8" s="468" t="s">
        <v>415</v>
      </c>
      <c r="B8" s="463"/>
      <c r="C8" s="452">
        <f aca="true" t="shared" si="1" ref="C8:J8">C7*$K$8</f>
        <v>13051285.716298549</v>
      </c>
      <c r="D8" s="452">
        <f t="shared" si="1"/>
        <v>0</v>
      </c>
      <c r="E8" s="452">
        <f t="shared" si="1"/>
        <v>32546229.80568154</v>
      </c>
      <c r="F8" s="452">
        <f t="shared" si="1"/>
        <v>23676744.403222848</v>
      </c>
      <c r="G8" s="452">
        <f t="shared" si="1"/>
        <v>0</v>
      </c>
      <c r="H8" s="452">
        <f t="shared" si="1"/>
        <v>0</v>
      </c>
      <c r="I8" s="452">
        <f t="shared" si="1"/>
        <v>1711783.649015193</v>
      </c>
      <c r="J8" s="452">
        <f t="shared" si="1"/>
        <v>6862478.425781874</v>
      </c>
      <c r="K8" s="474">
        <v>77848522</v>
      </c>
      <c r="L8" s="412">
        <f>SUM(C8:J8)-K8</f>
        <v>0</v>
      </c>
      <c r="M8" s="475" t="s">
        <v>404</v>
      </c>
      <c r="N8" s="412">
        <f>K8-N9</f>
        <v>45597515.521980084</v>
      </c>
    </row>
    <row r="9" spans="1:21" ht="15">
      <c r="A9" s="468"/>
      <c r="B9" s="463"/>
      <c r="C9" s="140"/>
      <c r="D9" s="140"/>
      <c r="E9" s="140"/>
      <c r="F9" s="140"/>
      <c r="G9" s="140"/>
      <c r="H9" s="140"/>
      <c r="I9" s="140"/>
      <c r="J9" s="140"/>
      <c r="K9" s="473"/>
      <c r="L9" s="140"/>
      <c r="M9" s="463" t="s">
        <v>416</v>
      </c>
      <c r="N9" s="412">
        <f>F8+I8+J8</f>
        <v>32251006.478019916</v>
      </c>
      <c r="T9" s="412"/>
      <c r="U9" s="412"/>
    </row>
    <row r="10" spans="1:21" ht="15">
      <c r="A10" s="468"/>
      <c r="B10" s="46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463"/>
      <c r="N10" s="140"/>
      <c r="T10" s="412">
        <v>8500000</v>
      </c>
      <c r="U10" s="412"/>
    </row>
    <row r="11" spans="1:21" ht="15">
      <c r="A11" s="468"/>
      <c r="B11" s="463" t="s">
        <v>417</v>
      </c>
      <c r="C11" s="140">
        <v>83</v>
      </c>
      <c r="D11" s="140"/>
      <c r="E11" s="140">
        <v>359</v>
      </c>
      <c r="F11" s="140">
        <v>490</v>
      </c>
      <c r="G11" s="140"/>
      <c r="H11" s="140"/>
      <c r="I11" s="140">
        <v>28</v>
      </c>
      <c r="J11" s="140">
        <v>46</v>
      </c>
      <c r="K11" s="140">
        <f>SUM(C11:J11)</f>
        <v>1006</v>
      </c>
      <c r="L11" s="140"/>
      <c r="M11" s="463"/>
      <c r="N11" s="140"/>
      <c r="T11" s="412">
        <v>22110000</v>
      </c>
      <c r="U11" s="412"/>
    </row>
    <row r="12" spans="1:21" ht="15">
      <c r="A12" s="468"/>
      <c r="B12" s="463" t="s">
        <v>414</v>
      </c>
      <c r="C12" s="473">
        <f aca="true" t="shared" si="2" ref="C12:J12">C11/$K$11</f>
        <v>0.08250497017892644</v>
      </c>
      <c r="D12" s="473">
        <f t="shared" si="2"/>
        <v>0</v>
      </c>
      <c r="E12" s="473">
        <f t="shared" si="2"/>
        <v>0.35685884691848907</v>
      </c>
      <c r="F12" s="473">
        <f t="shared" si="2"/>
        <v>0.4870775347912525</v>
      </c>
      <c r="G12" s="473">
        <f t="shared" si="2"/>
        <v>0</v>
      </c>
      <c r="H12" s="473">
        <f t="shared" si="2"/>
        <v>0</v>
      </c>
      <c r="I12" s="473">
        <f t="shared" si="2"/>
        <v>0.027833001988071572</v>
      </c>
      <c r="J12" s="473">
        <f t="shared" si="2"/>
        <v>0.04572564612326044</v>
      </c>
      <c r="K12" s="473">
        <f>SUM(C12:J12)</f>
        <v>1</v>
      </c>
      <c r="L12" s="140"/>
      <c r="M12" s="463"/>
      <c r="N12" s="140"/>
      <c r="T12" s="412">
        <v>13214432</v>
      </c>
      <c r="U12" s="412"/>
    </row>
    <row r="13" spans="1:21" ht="15">
      <c r="A13" s="468" t="s">
        <v>415</v>
      </c>
      <c r="B13" s="463"/>
      <c r="C13" s="452">
        <f aca="true" t="shared" si="3" ref="C13:J13">C12*$K$13</f>
        <v>6422889.986083499</v>
      </c>
      <c r="D13" s="452">
        <f t="shared" si="3"/>
        <v>0</v>
      </c>
      <c r="E13" s="452">
        <f t="shared" si="3"/>
        <v>27780933.79522863</v>
      </c>
      <c r="F13" s="452">
        <f t="shared" si="3"/>
        <v>37918266.18290258</v>
      </c>
      <c r="G13" s="452">
        <f t="shared" si="3"/>
        <v>0</v>
      </c>
      <c r="H13" s="452">
        <f t="shared" si="3"/>
        <v>0</v>
      </c>
      <c r="I13" s="452">
        <f t="shared" si="3"/>
        <v>2166758.0675944337</v>
      </c>
      <c r="J13" s="452">
        <f t="shared" si="3"/>
        <v>3559673.968190855</v>
      </c>
      <c r="K13" s="452">
        <v>77848522</v>
      </c>
      <c r="L13" s="412">
        <f>SUM(C13:J13)-K13</f>
        <v>0</v>
      </c>
      <c r="M13" s="463" t="s">
        <v>418</v>
      </c>
      <c r="N13" s="412">
        <f>K13-N14</f>
        <v>34203823.78131213</v>
      </c>
      <c r="T13" s="412">
        <v>525000</v>
      </c>
      <c r="U13" s="412"/>
    </row>
    <row r="14" spans="1:21" ht="15">
      <c r="A14" s="468"/>
      <c r="B14" s="463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463" t="s">
        <v>416</v>
      </c>
      <c r="N14" s="412">
        <f>F13+I13+J13</f>
        <v>43644698.21868787</v>
      </c>
      <c r="T14" s="412">
        <v>26169000</v>
      </c>
      <c r="U14" s="412"/>
    </row>
    <row r="15" spans="1:21" ht="15">
      <c r="A15" s="468"/>
      <c r="B15" s="463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T15" s="412">
        <v>17004000</v>
      </c>
      <c r="U15" s="412"/>
    </row>
    <row r="16" spans="1:21" ht="15">
      <c r="A16" s="468"/>
      <c r="B16" s="463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463"/>
      <c r="N16" s="140"/>
      <c r="T16" s="412">
        <v>17600000</v>
      </c>
      <c r="U16" s="412"/>
    </row>
    <row r="17" spans="1:21" ht="15">
      <c r="A17" s="468" t="s">
        <v>419</v>
      </c>
      <c r="B17" s="463" t="s">
        <v>99</v>
      </c>
      <c r="C17" s="140">
        <v>24.8</v>
      </c>
      <c r="D17" s="140"/>
      <c r="E17" s="473">
        <f>SUM(E18:E19)</f>
        <v>1</v>
      </c>
      <c r="F17" s="140"/>
      <c r="G17" s="140"/>
      <c r="H17" s="140"/>
      <c r="I17" s="140"/>
      <c r="J17" s="140"/>
      <c r="K17" s="452">
        <v>47120000</v>
      </c>
      <c r="L17" s="140"/>
      <c r="M17" s="463"/>
      <c r="N17" s="412"/>
      <c r="T17" s="412">
        <v>4180000</v>
      </c>
      <c r="U17" s="412"/>
    </row>
    <row r="18" spans="1:21" ht="15">
      <c r="A18" s="468"/>
      <c r="B18" s="463" t="s">
        <v>420</v>
      </c>
      <c r="C18" s="140">
        <v>9.8</v>
      </c>
      <c r="D18" s="140"/>
      <c r="E18" s="473">
        <f>C18/C17</f>
        <v>0.3951612903225807</v>
      </c>
      <c r="F18" s="140"/>
      <c r="G18" s="140"/>
      <c r="H18" s="140"/>
      <c r="I18" s="140"/>
      <c r="J18" s="140"/>
      <c r="K18" s="140"/>
      <c r="L18" s="140"/>
      <c r="M18" s="475" t="s">
        <v>404</v>
      </c>
      <c r="N18" s="412">
        <f>E18*K17</f>
        <v>18620000</v>
      </c>
      <c r="T18" s="412">
        <v>18150000</v>
      </c>
      <c r="U18" s="412"/>
    </row>
    <row r="19" spans="1:21" ht="15">
      <c r="A19" s="476"/>
      <c r="B19" s="477" t="s">
        <v>416</v>
      </c>
      <c r="C19" s="478">
        <f>C17-C18</f>
        <v>15</v>
      </c>
      <c r="D19" s="478"/>
      <c r="E19" s="479">
        <f>C19/C17</f>
        <v>0.6048387096774194</v>
      </c>
      <c r="F19" s="478"/>
      <c r="G19" s="478"/>
      <c r="H19" s="478"/>
      <c r="I19" s="478"/>
      <c r="J19" s="478"/>
      <c r="K19" s="478"/>
      <c r="L19" s="478"/>
      <c r="M19" s="477" t="s">
        <v>416</v>
      </c>
      <c r="N19" s="480">
        <f>E19*K17</f>
        <v>28500000</v>
      </c>
      <c r="T19" s="412">
        <v>4946400</v>
      </c>
      <c r="U19" s="412"/>
    </row>
    <row r="20" spans="1:21" ht="15">
      <c r="A20" s="468" t="s">
        <v>421</v>
      </c>
      <c r="B20" s="463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463"/>
      <c r="N20" s="140"/>
      <c r="T20" s="412">
        <v>25872000</v>
      </c>
      <c r="U20" s="412"/>
    </row>
    <row r="21" spans="1:21" ht="15">
      <c r="A21" s="476"/>
      <c r="B21" s="477" t="s">
        <v>416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81" t="s">
        <v>416</v>
      </c>
      <c r="N21" s="480">
        <v>6435870</v>
      </c>
      <c r="T21" s="412">
        <v>4100000</v>
      </c>
      <c r="U21" s="412"/>
    </row>
    <row r="22" spans="1:21" ht="15">
      <c r="A22" s="468"/>
      <c r="B22" s="463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463"/>
      <c r="N22" s="140"/>
      <c r="T22" s="412">
        <v>7318800</v>
      </c>
      <c r="U22" s="412"/>
    </row>
    <row r="23" spans="1:21" ht="15">
      <c r="A23" s="468"/>
      <c r="B23" s="463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458" t="s">
        <v>404</v>
      </c>
      <c r="N23" s="452">
        <f>N8+N18</f>
        <v>64217515.521980084</v>
      </c>
      <c r="T23" s="412">
        <v>3400000</v>
      </c>
      <c r="U23" s="412"/>
    </row>
    <row r="24" spans="1:21" ht="15">
      <c r="A24" s="468"/>
      <c r="B24" s="463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481" t="s">
        <v>416</v>
      </c>
      <c r="N24" s="482">
        <f>N9+N19+N21</f>
        <v>67186876.47801992</v>
      </c>
      <c r="T24" s="412">
        <v>7950000</v>
      </c>
      <c r="U24" s="412"/>
    </row>
    <row r="25" spans="1:20" s="475" customFormat="1" ht="15">
      <c r="A25" s="483"/>
      <c r="T25" s="412">
        <v>18346284</v>
      </c>
    </row>
    <row r="26" spans="1:20" ht="18" customHeight="1">
      <c r="A26" s="484"/>
      <c r="B26" s="484"/>
      <c r="C26" s="485" t="s">
        <v>99</v>
      </c>
      <c r="D26" s="486" t="s">
        <v>416</v>
      </c>
      <c r="E26" s="486" t="s">
        <v>391</v>
      </c>
      <c r="F26" s="486" t="s">
        <v>392</v>
      </c>
      <c r="G26" s="486" t="s">
        <v>422</v>
      </c>
      <c r="H26" s="486" t="s">
        <v>404</v>
      </c>
      <c r="I26" s="486" t="s">
        <v>423</v>
      </c>
      <c r="J26" s="486" t="s">
        <v>355</v>
      </c>
      <c r="K26" s="487"/>
      <c r="L26" s="484"/>
      <c r="T26" s="452">
        <f>SUM(T10:T25)</f>
        <v>199385916</v>
      </c>
    </row>
    <row r="27" spans="1:12" ht="30.75" customHeight="1">
      <c r="A27" s="484" t="s">
        <v>424</v>
      </c>
      <c r="B27" s="471" t="s">
        <v>425</v>
      </c>
      <c r="C27" s="488">
        <v>339563067</v>
      </c>
      <c r="D27" s="489">
        <v>189932600</v>
      </c>
      <c r="E27" s="489"/>
      <c r="F27" s="489"/>
      <c r="G27" s="489"/>
      <c r="H27" s="486"/>
      <c r="I27" s="486"/>
      <c r="J27" s="489">
        <v>149630467</v>
      </c>
      <c r="K27" s="489">
        <f>SUM(D27:J27)</f>
        <v>339563067</v>
      </c>
      <c r="L27" s="489">
        <f>K27-C27</f>
        <v>0</v>
      </c>
    </row>
    <row r="28" spans="1:12" ht="21.75" customHeight="1">
      <c r="A28" s="484" t="s">
        <v>83</v>
      </c>
      <c r="B28" s="484" t="s">
        <v>426</v>
      </c>
      <c r="C28" s="488">
        <v>272623006</v>
      </c>
      <c r="D28" s="484"/>
      <c r="E28" s="484"/>
      <c r="F28" s="484"/>
      <c r="G28" s="484"/>
      <c r="H28" s="489">
        <v>270897283</v>
      </c>
      <c r="I28" s="484"/>
      <c r="J28" s="489"/>
      <c r="K28" s="489">
        <f>C28-D28</f>
        <v>272623006</v>
      </c>
      <c r="L28" s="489">
        <f>K28-C28</f>
        <v>0</v>
      </c>
    </row>
    <row r="29" spans="1:12" ht="45" customHeight="1">
      <c r="A29" s="484" t="s">
        <v>84</v>
      </c>
      <c r="B29" s="471" t="s">
        <v>427</v>
      </c>
      <c r="C29" s="488">
        <v>614255108</v>
      </c>
      <c r="D29" s="489">
        <f>N24</f>
        <v>67186876.47801992</v>
      </c>
      <c r="E29" s="489"/>
      <c r="F29" s="489"/>
      <c r="G29" s="489"/>
      <c r="H29" s="489">
        <f>SUM(H30:H31)</f>
        <v>163407315.52198008</v>
      </c>
      <c r="I29" s="489">
        <f>T26</f>
        <v>199385916</v>
      </c>
      <c r="J29" s="489">
        <v>184275000</v>
      </c>
      <c r="K29" s="489">
        <f>SUM(D29:J29)</f>
        <v>614255108</v>
      </c>
      <c r="L29" s="489">
        <f>K29-C29</f>
        <v>0</v>
      </c>
    </row>
    <row r="30" spans="1:12" ht="18" customHeight="1">
      <c r="A30" s="484"/>
      <c r="B30" s="484"/>
      <c r="C30" s="488"/>
      <c r="D30" s="489"/>
      <c r="E30" s="489"/>
      <c r="F30" s="489"/>
      <c r="G30" s="489"/>
      <c r="H30" s="490">
        <f>N23</f>
        <v>64217515.521980084</v>
      </c>
      <c r="I30" s="489"/>
      <c r="J30" s="489"/>
      <c r="K30" s="489"/>
      <c r="L30" s="489"/>
    </row>
    <row r="31" spans="1:12" ht="18" customHeight="1">
      <c r="A31" s="484"/>
      <c r="B31" s="484"/>
      <c r="C31" s="488"/>
      <c r="D31" s="489"/>
      <c r="E31" s="489"/>
      <c r="F31" s="489"/>
      <c r="G31" s="489"/>
      <c r="H31" s="490">
        <f>41980500+36215300+20994000</f>
        <v>99189800</v>
      </c>
      <c r="I31" s="484"/>
      <c r="J31" s="489"/>
      <c r="K31" s="489"/>
      <c r="L31" s="489"/>
    </row>
    <row r="32" spans="1:12" ht="44.25" customHeight="1">
      <c r="A32" s="484" t="s">
        <v>428</v>
      </c>
      <c r="B32" s="471" t="s">
        <v>429</v>
      </c>
      <c r="C32" s="488">
        <v>26742620</v>
      </c>
      <c r="D32" s="489"/>
      <c r="E32" s="489">
        <v>3000000</v>
      </c>
      <c r="F32" s="489">
        <v>2412000</v>
      </c>
      <c r="G32" s="489">
        <v>21330620</v>
      </c>
      <c r="H32" s="489"/>
      <c r="I32" s="484"/>
      <c r="J32" s="484"/>
      <c r="K32" s="489">
        <f>SUM(D32:J32)</f>
        <v>26742620</v>
      </c>
      <c r="L32" s="489">
        <f>K32-C32</f>
        <v>0</v>
      </c>
    </row>
    <row r="33" spans="1:12" ht="18" customHeight="1">
      <c r="A33" s="491"/>
      <c r="B33" s="484"/>
      <c r="C33" s="488">
        <f>SUM(C27:C32)</f>
        <v>1253183801</v>
      </c>
      <c r="D33" s="488">
        <f>SUM(D27:D32)</f>
        <v>257119476.47801992</v>
      </c>
      <c r="E33" s="488">
        <f>SUM(E27:E32)</f>
        <v>3000000</v>
      </c>
      <c r="F33" s="488">
        <f>SUM(F27:F32)</f>
        <v>2412000</v>
      </c>
      <c r="G33" s="488">
        <f>SUM(G27:G32)</f>
        <v>21330620</v>
      </c>
      <c r="H33" s="488">
        <f>H27+H28+H29</f>
        <v>434304598.52198005</v>
      </c>
      <c r="I33" s="488">
        <f>SUM(I27:I32)</f>
        <v>199385916</v>
      </c>
      <c r="J33" s="488">
        <f>SUM(J27:J32)</f>
        <v>333905467</v>
      </c>
      <c r="K33" s="488">
        <f>K27+K28+K29+K32</f>
        <v>1253183801</v>
      </c>
      <c r="L33" s="489"/>
    </row>
    <row r="34" spans="1:12" ht="18" customHeight="1">
      <c r="A34" s="484" t="s">
        <v>430</v>
      </c>
      <c r="B34" s="484"/>
      <c r="C34" s="484"/>
      <c r="D34" s="489">
        <f>189932600+61009237+8909100</f>
        <v>259850937</v>
      </c>
      <c r="E34" s="489"/>
      <c r="F34" s="489"/>
      <c r="G34" s="489"/>
      <c r="H34" s="484"/>
      <c r="I34" s="484"/>
      <c r="J34" s="489"/>
      <c r="K34" s="489"/>
      <c r="L34" s="489"/>
    </row>
    <row r="35" spans="1:12" ht="18" customHeight="1">
      <c r="A35" s="484" t="s">
        <v>431</v>
      </c>
      <c r="B35" s="484"/>
      <c r="C35" s="484"/>
      <c r="D35" s="484"/>
      <c r="E35" s="484"/>
      <c r="F35" s="484"/>
      <c r="G35" s="484"/>
      <c r="H35" s="492">
        <f>'[4]Munka1'!$D$50</f>
        <v>450065435</v>
      </c>
      <c r="I35" s="492">
        <f>'[5]Munka1'!$D$51</f>
        <v>211401944</v>
      </c>
      <c r="J35" s="489"/>
      <c r="K35" s="489"/>
      <c r="L35" s="489"/>
    </row>
    <row r="36" spans="1:12" ht="18" customHeight="1">
      <c r="A36" s="484"/>
      <c r="B36" s="484"/>
      <c r="C36" s="489"/>
      <c r="D36" s="489">
        <f>D33-D34</f>
        <v>-2731460.521980077</v>
      </c>
      <c r="E36" s="489"/>
      <c r="F36" s="489"/>
      <c r="G36" s="489"/>
      <c r="H36" s="489">
        <f>H33-H35</f>
        <v>-15760836.478019953</v>
      </c>
      <c r="I36" s="489">
        <f>I33-I35</f>
        <v>-12016028</v>
      </c>
      <c r="J36" s="489">
        <f>J33-J34</f>
        <v>333905467</v>
      </c>
      <c r="K36" s="489"/>
      <c r="L36" s="489"/>
    </row>
    <row r="37" spans="1:11" ht="18" customHeight="1">
      <c r="A37" s="467"/>
      <c r="B37" s="467"/>
      <c r="H37" s="493"/>
      <c r="I37" s="493"/>
      <c r="J37" s="493"/>
      <c r="K37" s="493"/>
    </row>
    <row r="38" spans="1:11" ht="18" customHeight="1">
      <c r="A38" s="467"/>
      <c r="B38" s="467"/>
      <c r="H38" s="493"/>
      <c r="I38" s="493"/>
      <c r="J38" s="493"/>
      <c r="K38" s="493"/>
    </row>
    <row r="39" spans="1:8" ht="18" customHeight="1">
      <c r="A39" s="467"/>
      <c r="B39" s="467"/>
      <c r="H39" s="493"/>
    </row>
    <row r="40" spans="1:2" ht="15">
      <c r="A40" s="467"/>
      <c r="B40" s="467"/>
    </row>
    <row r="41" spans="1:6" ht="15">
      <c r="A41" s="467"/>
      <c r="B41" s="467"/>
      <c r="C41" s="452"/>
      <c r="D41" s="452"/>
      <c r="E41" s="452"/>
      <c r="F41" s="452"/>
    </row>
    <row r="42" spans="1:6" ht="15">
      <c r="A42" s="467"/>
      <c r="B42" s="467"/>
      <c r="C42" s="412"/>
      <c r="D42" s="412"/>
      <c r="E42" s="412"/>
      <c r="F42" s="412"/>
    </row>
    <row r="43" spans="1:6" ht="15">
      <c r="A43" s="467"/>
      <c r="B43" s="467"/>
      <c r="C43" s="493"/>
      <c r="D43" s="493"/>
      <c r="E43" s="493"/>
      <c r="F43" s="493"/>
    </row>
    <row r="44" spans="1:2" ht="15">
      <c r="A44" s="467"/>
      <c r="B44" s="467"/>
    </row>
    <row r="45" spans="1:2" ht="15">
      <c r="A45" s="467"/>
      <c r="B45" s="467"/>
    </row>
    <row r="46" spans="1:6" ht="15">
      <c r="A46" s="467"/>
      <c r="B46" s="467"/>
      <c r="C46" s="412"/>
      <c r="D46" s="412"/>
      <c r="E46" s="412"/>
      <c r="F46" s="412"/>
    </row>
    <row r="47" spans="1:6" ht="15">
      <c r="A47" s="467"/>
      <c r="B47" s="467"/>
      <c r="C47" s="412"/>
      <c r="D47" s="412"/>
      <c r="E47" s="412"/>
      <c r="F47" s="412"/>
    </row>
    <row r="48" spans="1:2" ht="15">
      <c r="A48" s="467"/>
      <c r="B48" s="46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3.8515625" style="66" bestFit="1" customWidth="1"/>
    <col min="2" max="2" width="34.00390625" style="93" bestFit="1" customWidth="1"/>
    <col min="3" max="3" width="16.140625" style="93" customWidth="1"/>
    <col min="4" max="4" width="33.28125" style="93" customWidth="1"/>
    <col min="5" max="5" width="16.140625" style="93" customWidth="1"/>
    <col min="6" max="6" width="9.140625" style="93" hidden="1" customWidth="1"/>
    <col min="7" max="7" width="18.57421875" style="93" hidden="1" customWidth="1"/>
    <col min="8" max="8" width="18.00390625" style="93" hidden="1" customWidth="1"/>
    <col min="9" max="9" width="15.140625" style="93" hidden="1" customWidth="1"/>
    <col min="10" max="16384" width="9.140625" style="93" customWidth="1"/>
  </cols>
  <sheetData>
    <row r="1" spans="1:5" ht="15.75">
      <c r="A1" s="111"/>
      <c r="B1" s="973" t="s">
        <v>860</v>
      </c>
      <c r="C1" s="973"/>
      <c r="D1" s="973"/>
      <c r="E1" s="974"/>
    </row>
    <row r="2" spans="1:5" ht="15.75">
      <c r="A2" s="111"/>
      <c r="B2" s="66"/>
      <c r="C2" s="66"/>
      <c r="D2" s="66"/>
      <c r="E2" s="66"/>
    </row>
    <row r="3" spans="1:5" ht="15.75">
      <c r="A3" s="111"/>
      <c r="B3" s="66"/>
      <c r="C3" s="66"/>
      <c r="D3" s="66"/>
      <c r="E3" s="66"/>
    </row>
    <row r="4" spans="1:5" ht="42.75" customHeight="1">
      <c r="A4" s="111"/>
      <c r="B4" s="975" t="s">
        <v>485</v>
      </c>
      <c r="C4" s="975"/>
      <c r="D4" s="975"/>
      <c r="E4" s="975"/>
    </row>
    <row r="5" spans="1:5" ht="15.75">
      <c r="A5" s="111"/>
      <c r="B5" s="66"/>
      <c r="C5" s="66"/>
      <c r="D5" s="66"/>
      <c r="E5" s="2" t="s">
        <v>203</v>
      </c>
    </row>
    <row r="6" spans="1:5" ht="16.5" thickBot="1">
      <c r="A6" s="112"/>
      <c r="B6" s="113" t="s">
        <v>0</v>
      </c>
      <c r="C6" s="114" t="s">
        <v>1</v>
      </c>
      <c r="D6" s="114" t="s">
        <v>2</v>
      </c>
      <c r="E6" s="114" t="s">
        <v>3</v>
      </c>
    </row>
    <row r="7" spans="1:5" ht="23.25" customHeight="1">
      <c r="A7" s="115" t="s">
        <v>10</v>
      </c>
      <c r="B7" s="976" t="s">
        <v>184</v>
      </c>
      <c r="C7" s="977"/>
      <c r="D7" s="977"/>
      <c r="E7" s="978"/>
    </row>
    <row r="8" spans="1:5" ht="15.75">
      <c r="A8" s="115" t="s">
        <v>15</v>
      </c>
      <c r="B8" s="968" t="s">
        <v>12</v>
      </c>
      <c r="C8" s="969"/>
      <c r="D8" s="969" t="s">
        <v>37</v>
      </c>
      <c r="E8" s="970"/>
    </row>
    <row r="9" spans="1:5" ht="25.5" customHeight="1">
      <c r="A9" s="115" t="s">
        <v>22</v>
      </c>
      <c r="B9" s="51" t="s">
        <v>51</v>
      </c>
      <c r="C9" s="49" t="s">
        <v>171</v>
      </c>
      <c r="D9" s="49" t="s">
        <v>51</v>
      </c>
      <c r="E9" s="50" t="s">
        <v>171</v>
      </c>
    </row>
    <row r="10" spans="1:5" ht="24" customHeight="1">
      <c r="A10" s="115" t="s">
        <v>23</v>
      </c>
      <c r="B10" s="56" t="s">
        <v>16</v>
      </c>
      <c r="C10" s="364">
        <f>1!J17</f>
        <v>588577446</v>
      </c>
      <c r="D10" s="57" t="s">
        <v>42</v>
      </c>
      <c r="E10" s="377">
        <f>2!D17</f>
        <v>1170682156</v>
      </c>
    </row>
    <row r="11" spans="1:5" ht="26.25" customHeight="1">
      <c r="A11" s="115" t="s">
        <v>52</v>
      </c>
      <c r="B11" s="56" t="s">
        <v>17</v>
      </c>
      <c r="C11" s="364">
        <f>1!G17</f>
        <v>580041000</v>
      </c>
      <c r="D11" s="57" t="s">
        <v>53</v>
      </c>
      <c r="E11" s="377">
        <f>2!G17</f>
        <v>214887689</v>
      </c>
    </row>
    <row r="12" spans="1:5" ht="21.75" customHeight="1">
      <c r="A12" s="115" t="s">
        <v>54</v>
      </c>
      <c r="B12" s="56" t="s">
        <v>18</v>
      </c>
      <c r="C12" s="364">
        <f>1!D17</f>
        <v>1415629974</v>
      </c>
      <c r="D12" s="57" t="s">
        <v>43</v>
      </c>
      <c r="E12" s="377">
        <f>2!J17</f>
        <v>1346845672</v>
      </c>
    </row>
    <row r="13" spans="1:5" ht="31.5" customHeight="1">
      <c r="A13" s="115" t="s">
        <v>48</v>
      </c>
      <c r="B13" s="56" t="s">
        <v>19</v>
      </c>
      <c r="C13" s="364">
        <f>1!M17</f>
        <v>817074032</v>
      </c>
      <c r="D13" s="971" t="s">
        <v>44</v>
      </c>
      <c r="E13" s="377">
        <f>2!M17</f>
        <v>142455000</v>
      </c>
    </row>
    <row r="14" spans="1:5" ht="36" customHeight="1">
      <c r="A14" s="115" t="s">
        <v>24</v>
      </c>
      <c r="B14" s="58"/>
      <c r="C14" s="59"/>
      <c r="D14" s="972"/>
      <c r="E14" s="377"/>
    </row>
    <row r="15" spans="1:5" ht="39.75" customHeight="1">
      <c r="A15" s="115" t="s">
        <v>26</v>
      </c>
      <c r="B15" s="56"/>
      <c r="C15" s="4"/>
      <c r="D15" s="57" t="s">
        <v>105</v>
      </c>
      <c r="E15" s="377">
        <f>2!P17</f>
        <v>1064363229</v>
      </c>
    </row>
    <row r="16" spans="1:5" ht="21.75" customHeight="1">
      <c r="A16" s="115" t="s">
        <v>28</v>
      </c>
      <c r="B16" s="56"/>
      <c r="C16" s="4"/>
      <c r="D16" s="57" t="s">
        <v>55</v>
      </c>
      <c r="E16" s="377">
        <f>2!S17</f>
        <v>109382861</v>
      </c>
    </row>
    <row r="17" spans="1:5" ht="42.75" customHeight="1">
      <c r="A17" s="115" t="s">
        <v>31</v>
      </c>
      <c r="B17" s="56"/>
      <c r="C17" s="4"/>
      <c r="D17" s="57" t="s">
        <v>304</v>
      </c>
      <c r="E17" s="377">
        <f>2!V17</f>
        <v>47170372</v>
      </c>
    </row>
    <row r="18" spans="1:9" ht="22.5" customHeight="1">
      <c r="A18" s="115" t="s">
        <v>49</v>
      </c>
      <c r="B18" s="58" t="s">
        <v>129</v>
      </c>
      <c r="C18" s="380">
        <f>SUM(C10:C17)</f>
        <v>3401322452</v>
      </c>
      <c r="D18" s="60" t="s">
        <v>56</v>
      </c>
      <c r="E18" s="379">
        <f>SUM(E10:E17)</f>
        <v>4095786979</v>
      </c>
      <c r="G18" s="131">
        <f>C18+E20</f>
        <v>4095787852</v>
      </c>
      <c r="H18" s="131">
        <f>G18-1!V17</f>
        <v>0</v>
      </c>
      <c r="I18" s="131">
        <f>E18-2!Y17</f>
        <v>0</v>
      </c>
    </row>
    <row r="19" spans="1:7" ht="19.5" customHeight="1">
      <c r="A19" s="115" t="s">
        <v>33</v>
      </c>
      <c r="B19" s="958" t="s">
        <v>57</v>
      </c>
      <c r="C19" s="959"/>
      <c r="D19" s="959"/>
      <c r="E19" s="378">
        <f>C18-E18</f>
        <v>-694464527</v>
      </c>
      <c r="G19" s="116"/>
    </row>
    <row r="20" spans="1:5" ht="22.5" customHeight="1">
      <c r="A20" s="115" t="s">
        <v>35</v>
      </c>
      <c r="B20" s="960" t="s">
        <v>384</v>
      </c>
      <c r="C20" s="961"/>
      <c r="D20" s="961"/>
      <c r="E20" s="377">
        <f>1!P17</f>
        <v>694465400</v>
      </c>
    </row>
    <row r="21" spans="1:5" ht="21" customHeight="1">
      <c r="A21" s="115" t="s">
        <v>59</v>
      </c>
      <c r="B21" s="958" t="s">
        <v>58</v>
      </c>
      <c r="C21" s="959"/>
      <c r="D21" s="959"/>
      <c r="E21" s="378">
        <f>E20+E19</f>
        <v>873</v>
      </c>
    </row>
    <row r="22" spans="1:5" ht="30.75" customHeight="1">
      <c r="A22" s="115" t="s">
        <v>61</v>
      </c>
      <c r="B22" s="965" t="s">
        <v>185</v>
      </c>
      <c r="C22" s="966"/>
      <c r="D22" s="966"/>
      <c r="E22" s="967"/>
    </row>
    <row r="23" spans="1:5" ht="15.75">
      <c r="A23" s="115" t="s">
        <v>62</v>
      </c>
      <c r="B23" s="968" t="s">
        <v>13</v>
      </c>
      <c r="C23" s="969"/>
      <c r="D23" s="969" t="s">
        <v>38</v>
      </c>
      <c r="E23" s="970"/>
    </row>
    <row r="24" spans="1:5" ht="15.75">
      <c r="A24" s="115" t="s">
        <v>63</v>
      </c>
      <c r="B24" s="51" t="s">
        <v>51</v>
      </c>
      <c r="C24" s="49" t="s">
        <v>171</v>
      </c>
      <c r="D24" s="49" t="s">
        <v>51</v>
      </c>
      <c r="E24" s="50" t="s">
        <v>171</v>
      </c>
    </row>
    <row r="25" spans="1:5" ht="32.25" customHeight="1">
      <c r="A25" s="115" t="s">
        <v>64</v>
      </c>
      <c r="B25" s="56" t="s">
        <v>20</v>
      </c>
      <c r="C25" s="364">
        <f>1!Y17</f>
        <v>420418625</v>
      </c>
      <c r="D25" s="57" t="s">
        <v>46</v>
      </c>
      <c r="E25" s="377">
        <f>2!AB17</f>
        <v>2808062553</v>
      </c>
    </row>
    <row r="26" spans="1:5" ht="36" customHeight="1">
      <c r="A26" s="115" t="s">
        <v>65</v>
      </c>
      <c r="B26" s="56" t="s">
        <v>21</v>
      </c>
      <c r="C26" s="364">
        <f>1!AB17</f>
        <v>76688623</v>
      </c>
      <c r="D26" s="57" t="s">
        <v>106</v>
      </c>
      <c r="E26" s="377">
        <f>2!AE17</f>
        <v>44200000</v>
      </c>
    </row>
    <row r="27" spans="1:5" ht="24" customHeight="1">
      <c r="A27" s="115" t="s">
        <v>66</v>
      </c>
      <c r="B27" s="56"/>
      <c r="C27" s="4">
        <v>0</v>
      </c>
      <c r="D27" s="57" t="s">
        <v>67</v>
      </c>
      <c r="E27" s="377">
        <f>2!AH17</f>
        <v>543503899</v>
      </c>
    </row>
    <row r="28" spans="1:9" ht="24" customHeight="1">
      <c r="A28" s="115" t="s">
        <v>68</v>
      </c>
      <c r="B28" s="58" t="s">
        <v>69</v>
      </c>
      <c r="C28" s="380">
        <f>SUM(C25:C27)</f>
        <v>497107248</v>
      </c>
      <c r="D28" s="60" t="s">
        <v>70</v>
      </c>
      <c r="E28" s="379">
        <f>SUM(E25:E27)</f>
        <v>3395766452</v>
      </c>
      <c r="G28" s="131">
        <f>C28+E30+E31</f>
        <v>3395765579</v>
      </c>
      <c r="H28" s="131">
        <f>G28-1!AK17</f>
        <v>0</v>
      </c>
      <c r="I28" s="131">
        <f>E28-2!AK17</f>
        <v>0</v>
      </c>
    </row>
    <row r="29" spans="1:7" ht="19.5" customHeight="1">
      <c r="A29" s="115" t="s">
        <v>71</v>
      </c>
      <c r="B29" s="958" t="s">
        <v>72</v>
      </c>
      <c r="C29" s="959"/>
      <c r="D29" s="959"/>
      <c r="E29" s="378">
        <f>C28-E28</f>
        <v>-2898659204</v>
      </c>
      <c r="G29" s="116"/>
    </row>
    <row r="30" spans="1:7" ht="19.5" customHeight="1">
      <c r="A30" s="115" t="s">
        <v>73</v>
      </c>
      <c r="B30" s="960" t="s">
        <v>303</v>
      </c>
      <c r="C30" s="961"/>
      <c r="D30" s="961"/>
      <c r="E30" s="377">
        <f>1!AE17</f>
        <v>250000000</v>
      </c>
      <c r="G30" s="116"/>
    </row>
    <row r="31" spans="1:7" ht="19.5" customHeight="1">
      <c r="A31" s="115" t="s">
        <v>75</v>
      </c>
      <c r="B31" s="960" t="s">
        <v>74</v>
      </c>
      <c r="C31" s="961"/>
      <c r="D31" s="961"/>
      <c r="E31" s="377">
        <f>1!AH17</f>
        <v>2648658331</v>
      </c>
      <c r="G31" s="116"/>
    </row>
    <row r="32" spans="1:7" ht="19.5" customHeight="1">
      <c r="A32" s="115" t="s">
        <v>77</v>
      </c>
      <c r="B32" s="958" t="s">
        <v>76</v>
      </c>
      <c r="C32" s="959"/>
      <c r="D32" s="959"/>
      <c r="E32" s="378">
        <f>E31+E30+E29</f>
        <v>-873</v>
      </c>
      <c r="G32" s="116"/>
    </row>
    <row r="33" spans="1:7" ht="35.25" customHeight="1">
      <c r="A33" s="115" t="s">
        <v>78</v>
      </c>
      <c r="B33" s="962" t="s">
        <v>107</v>
      </c>
      <c r="C33" s="963"/>
      <c r="D33" s="964"/>
      <c r="E33" s="378">
        <f>E21</f>
        <v>873</v>
      </c>
      <c r="G33" s="116"/>
    </row>
    <row r="34" spans="1:7" ht="25.5" customHeight="1" thickBot="1">
      <c r="A34" s="115" t="s">
        <v>79</v>
      </c>
      <c r="B34" s="956" t="s">
        <v>108</v>
      </c>
      <c r="C34" s="957"/>
      <c r="D34" s="957"/>
      <c r="E34" s="62">
        <f>E32+E33</f>
        <v>0</v>
      </c>
      <c r="G34" s="117"/>
    </row>
    <row r="35" spans="2:5" ht="15.75">
      <c r="B35" s="66"/>
      <c r="C35" s="66"/>
      <c r="D35" s="66"/>
      <c r="E35" s="66"/>
    </row>
    <row r="36" ht="15.75">
      <c r="G36" s="116"/>
    </row>
    <row r="38" ht="15.75">
      <c r="G38" s="116"/>
    </row>
  </sheetData>
  <sheetProtection/>
  <mergeCells count="18">
    <mergeCell ref="D13:D14"/>
    <mergeCell ref="B19:D19"/>
    <mergeCell ref="B20:D20"/>
    <mergeCell ref="B1:E1"/>
    <mergeCell ref="B4:E4"/>
    <mergeCell ref="B7:E7"/>
    <mergeCell ref="B8:C8"/>
    <mergeCell ref="D8:E8"/>
    <mergeCell ref="B34:D34"/>
    <mergeCell ref="B29:D29"/>
    <mergeCell ref="B31:D31"/>
    <mergeCell ref="B32:D32"/>
    <mergeCell ref="B33:D33"/>
    <mergeCell ref="B21:D21"/>
    <mergeCell ref="B22:E22"/>
    <mergeCell ref="B23:C23"/>
    <mergeCell ref="D23:E23"/>
    <mergeCell ref="B30:D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90" zoomScaleNormal="90" zoomScalePageLayoutView="0" workbookViewId="0" topLeftCell="A1">
      <pane xSplit="8" ySplit="8" topLeftCell="I9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P5" sqref="P5"/>
    </sheetView>
  </sheetViews>
  <sheetFormatPr defaultColWidth="9.140625" defaultRowHeight="12.75"/>
  <cols>
    <col min="1" max="1" width="4.7109375" style="135" customWidth="1"/>
    <col min="2" max="2" width="5.28125" style="93" customWidth="1"/>
    <col min="3" max="7" width="9.140625" style="93" customWidth="1"/>
    <col min="8" max="8" width="12.140625" style="93" customWidth="1"/>
    <col min="9" max="9" width="14.57421875" style="93" customWidth="1"/>
    <col min="10" max="10" width="15.28125" style="93" customWidth="1"/>
    <col min="11" max="11" width="14.7109375" style="93" customWidth="1"/>
    <col min="12" max="12" width="13.00390625" style="93" hidden="1" customWidth="1"/>
    <col min="13" max="14" width="15.00390625" style="93" hidden="1" customWidth="1"/>
    <col min="15" max="16384" width="9.140625" style="93" customWidth="1"/>
  </cols>
  <sheetData>
    <row r="1" spans="1:11" ht="15.75">
      <c r="A1" s="128"/>
      <c r="C1" s="376"/>
      <c r="D1" s="376"/>
      <c r="E1" s="376"/>
      <c r="F1" s="376"/>
      <c r="G1" s="376"/>
      <c r="H1" s="376"/>
      <c r="I1" s="376"/>
      <c r="K1" s="28" t="s">
        <v>861</v>
      </c>
    </row>
    <row r="2" spans="1:9" ht="15.75">
      <c r="A2" s="128"/>
      <c r="B2" s="28"/>
      <c r="C2" s="28"/>
      <c r="D2" s="28"/>
      <c r="E2" s="28"/>
      <c r="F2" s="28"/>
      <c r="G2" s="28"/>
      <c r="H2" s="28"/>
      <c r="I2" s="28"/>
    </row>
    <row r="3" spans="1:11" ht="15.75">
      <c r="A3" s="128"/>
      <c r="B3" s="884" t="s">
        <v>109</v>
      </c>
      <c r="C3" s="884"/>
      <c r="D3" s="884"/>
      <c r="E3" s="884"/>
      <c r="F3" s="884"/>
      <c r="G3" s="884"/>
      <c r="H3" s="884"/>
      <c r="I3" s="884"/>
      <c r="J3" s="884"/>
      <c r="K3" s="884"/>
    </row>
    <row r="4" spans="1:11" ht="15.75">
      <c r="A4" s="128"/>
      <c r="B4" s="884" t="s">
        <v>489</v>
      </c>
      <c r="C4" s="884"/>
      <c r="D4" s="884"/>
      <c r="E4" s="884"/>
      <c r="F4" s="884"/>
      <c r="G4" s="884"/>
      <c r="H4" s="884"/>
      <c r="I4" s="884"/>
      <c r="J4" s="884"/>
      <c r="K4" s="884"/>
    </row>
    <row r="5" spans="1:11" ht="15.75">
      <c r="A5" s="128"/>
      <c r="B5" s="884" t="s">
        <v>82</v>
      </c>
      <c r="C5" s="884"/>
      <c r="D5" s="884"/>
      <c r="E5" s="884"/>
      <c r="F5" s="884"/>
      <c r="G5" s="884"/>
      <c r="H5" s="884"/>
      <c r="I5" s="884"/>
      <c r="J5" s="884"/>
      <c r="K5" s="884"/>
    </row>
    <row r="6" spans="1:11" ht="15.75">
      <c r="A6" s="61"/>
      <c r="B6" s="118"/>
      <c r="C6" s="118"/>
      <c r="D6" s="118"/>
      <c r="E6" s="118"/>
      <c r="F6" s="118"/>
      <c r="G6" s="118"/>
      <c r="H6" s="118"/>
      <c r="K6" s="108" t="s">
        <v>203</v>
      </c>
    </row>
    <row r="7" spans="1:11" ht="15.75">
      <c r="A7" s="129"/>
      <c r="B7" s="113" t="s">
        <v>0</v>
      </c>
      <c r="C7" s="114" t="s">
        <v>1</v>
      </c>
      <c r="D7" s="114" t="s">
        <v>2</v>
      </c>
      <c r="E7" s="114" t="s">
        <v>3</v>
      </c>
      <c r="F7" s="114" t="s">
        <v>4</v>
      </c>
      <c r="G7" s="114" t="s">
        <v>5</v>
      </c>
      <c r="H7" s="114" t="s">
        <v>81</v>
      </c>
      <c r="I7" s="114" t="s">
        <v>6</v>
      </c>
      <c r="J7" s="114" t="s">
        <v>7</v>
      </c>
      <c r="K7" s="114" t="s">
        <v>39</v>
      </c>
    </row>
    <row r="8" spans="1:11" ht="31.5">
      <c r="A8" s="243" t="s">
        <v>10</v>
      </c>
      <c r="B8" s="998" t="s">
        <v>11</v>
      </c>
      <c r="C8" s="998"/>
      <c r="D8" s="998"/>
      <c r="E8" s="998"/>
      <c r="F8" s="998"/>
      <c r="G8" s="998"/>
      <c r="H8" s="998"/>
      <c r="I8" s="246" t="s">
        <v>318</v>
      </c>
      <c r="J8" s="246" t="s">
        <v>141</v>
      </c>
      <c r="K8" s="246" t="s">
        <v>96</v>
      </c>
    </row>
    <row r="9" spans="1:11" ht="15.75">
      <c r="A9" s="243" t="s">
        <v>15</v>
      </c>
      <c r="B9" s="999" t="s">
        <v>282</v>
      </c>
      <c r="C9" s="1000"/>
      <c r="D9" s="1000"/>
      <c r="E9" s="1000"/>
      <c r="F9" s="1000"/>
      <c r="G9" s="1000"/>
      <c r="H9" s="1000"/>
      <c r="I9" s="241"/>
      <c r="J9" s="241"/>
      <c r="K9" s="241"/>
    </row>
    <row r="10" spans="1:11" ht="22.5" customHeight="1">
      <c r="A10" s="243" t="s">
        <v>22</v>
      </c>
      <c r="B10" s="1002" t="s">
        <v>283</v>
      </c>
      <c r="C10" s="1003"/>
      <c r="D10" s="1003"/>
      <c r="E10" s="1003"/>
      <c r="F10" s="1003"/>
      <c r="G10" s="1003"/>
      <c r="H10" s="1003"/>
      <c r="I10" s="248">
        <f>I11+I14</f>
        <v>310321999</v>
      </c>
      <c r="J10" s="248">
        <f>J11+J14</f>
        <v>251233307</v>
      </c>
      <c r="K10" s="248">
        <f>K11+K14</f>
        <v>200970928</v>
      </c>
    </row>
    <row r="11" spans="1:11" ht="19.5" customHeight="1">
      <c r="A11" s="243" t="s">
        <v>23</v>
      </c>
      <c r="B11" s="100" t="s">
        <v>280</v>
      </c>
      <c r="C11" s="959" t="s">
        <v>138</v>
      </c>
      <c r="D11" s="959"/>
      <c r="E11" s="959"/>
      <c r="F11" s="959"/>
      <c r="G11" s="959"/>
      <c r="H11" s="959"/>
      <c r="I11" s="249">
        <f>SUM(I12:I13)</f>
        <v>4284000</v>
      </c>
      <c r="J11" s="249">
        <f>SUM(J12:J13)</f>
        <v>4266725</v>
      </c>
      <c r="K11" s="249">
        <f>SUM(K12:K13)</f>
        <v>1072569</v>
      </c>
    </row>
    <row r="12" spans="1:11" ht="15.75">
      <c r="A12" s="243" t="s">
        <v>52</v>
      </c>
      <c r="B12" s="244"/>
      <c r="C12" s="20" t="s">
        <v>10</v>
      </c>
      <c r="D12" s="1001" t="s">
        <v>145</v>
      </c>
      <c r="E12" s="1001"/>
      <c r="F12" s="1001"/>
      <c r="G12" s="1001"/>
      <c r="H12" s="1001"/>
      <c r="I12" s="250">
        <v>2284000</v>
      </c>
      <c r="J12" s="250">
        <v>-866</v>
      </c>
      <c r="K12" s="250">
        <v>0</v>
      </c>
    </row>
    <row r="13" spans="1:11" ht="15.75">
      <c r="A13" s="243" t="s">
        <v>54</v>
      </c>
      <c r="B13" s="244"/>
      <c r="C13" s="20" t="s">
        <v>15</v>
      </c>
      <c r="D13" s="983" t="s">
        <v>162</v>
      </c>
      <c r="E13" s="984"/>
      <c r="F13" s="984"/>
      <c r="G13" s="984"/>
      <c r="H13" s="984"/>
      <c r="I13" s="106">
        <v>2000000</v>
      </c>
      <c r="J13" s="106">
        <v>4267591</v>
      </c>
      <c r="K13" s="106">
        <f>1052819+19750</f>
        <v>1072569</v>
      </c>
    </row>
    <row r="14" spans="1:11" ht="19.5" customHeight="1">
      <c r="A14" s="243" t="s">
        <v>48</v>
      </c>
      <c r="B14" s="100" t="s">
        <v>281</v>
      </c>
      <c r="C14" s="981" t="s">
        <v>247</v>
      </c>
      <c r="D14" s="982"/>
      <c r="E14" s="982"/>
      <c r="F14" s="982"/>
      <c r="G14" s="982"/>
      <c r="H14" s="982"/>
      <c r="I14" s="248">
        <f>SUM(I15:I31)</f>
        <v>306037999</v>
      </c>
      <c r="J14" s="248">
        <f>SUM(J15:J31)</f>
        <v>246966582</v>
      </c>
      <c r="K14" s="248">
        <f>SUM(K15:K31)</f>
        <v>199898359</v>
      </c>
    </row>
    <row r="15" spans="1:11" ht="15.75">
      <c r="A15" s="243" t="s">
        <v>24</v>
      </c>
      <c r="B15" s="244"/>
      <c r="C15" s="20" t="s">
        <v>10</v>
      </c>
      <c r="D15" s="983" t="s">
        <v>332</v>
      </c>
      <c r="E15" s="984"/>
      <c r="F15" s="984"/>
      <c r="G15" s="984"/>
      <c r="H15" s="984"/>
      <c r="I15" s="106">
        <v>3000000</v>
      </c>
      <c r="J15" s="106">
        <v>3000000</v>
      </c>
      <c r="K15" s="106">
        <v>2159000</v>
      </c>
    </row>
    <row r="16" spans="1:11" ht="15.75">
      <c r="A16" s="243" t="s">
        <v>26</v>
      </c>
      <c r="B16" s="244"/>
      <c r="C16" s="20" t="s">
        <v>15</v>
      </c>
      <c r="D16" s="983" t="s">
        <v>186</v>
      </c>
      <c r="E16" s="984"/>
      <c r="F16" s="984"/>
      <c r="G16" s="984"/>
      <c r="H16" s="984"/>
      <c r="I16" s="106">
        <v>2000000</v>
      </c>
      <c r="J16" s="106">
        <v>2000000</v>
      </c>
      <c r="K16" s="106">
        <v>1996440</v>
      </c>
    </row>
    <row r="17" spans="1:11" ht="15.75">
      <c r="A17" s="243" t="s">
        <v>28</v>
      </c>
      <c r="B17" s="244"/>
      <c r="C17" s="20" t="s">
        <v>22</v>
      </c>
      <c r="D17" s="983" t="s">
        <v>187</v>
      </c>
      <c r="E17" s="984"/>
      <c r="F17" s="984"/>
      <c r="G17" s="984"/>
      <c r="H17" s="984"/>
      <c r="I17" s="106">
        <v>2540000</v>
      </c>
      <c r="J17" s="106">
        <v>0</v>
      </c>
      <c r="K17" s="106">
        <v>0</v>
      </c>
    </row>
    <row r="18" spans="1:11" ht="15.75">
      <c r="A18" s="243" t="s">
        <v>31</v>
      </c>
      <c r="B18" s="244"/>
      <c r="C18" s="20" t="s">
        <v>23</v>
      </c>
      <c r="D18" s="983" t="s">
        <v>188</v>
      </c>
      <c r="E18" s="984"/>
      <c r="F18" s="984"/>
      <c r="G18" s="984"/>
      <c r="H18" s="984"/>
      <c r="I18" s="106">
        <v>1905000</v>
      </c>
      <c r="J18" s="106">
        <v>1874000</v>
      </c>
      <c r="K18" s="106">
        <v>0</v>
      </c>
    </row>
    <row r="19" spans="1:11" ht="15.75">
      <c r="A19" s="243" t="s">
        <v>49</v>
      </c>
      <c r="B19" s="244"/>
      <c r="C19" s="20" t="s">
        <v>52</v>
      </c>
      <c r="D19" s="983" t="s">
        <v>194</v>
      </c>
      <c r="E19" s="984"/>
      <c r="F19" s="984"/>
      <c r="G19" s="984"/>
      <c r="H19" s="984"/>
      <c r="I19" s="106">
        <v>4000000</v>
      </c>
      <c r="J19" s="106">
        <v>4000000</v>
      </c>
      <c r="K19" s="106">
        <v>0</v>
      </c>
    </row>
    <row r="20" spans="1:11" ht="15.75">
      <c r="A20" s="243" t="s">
        <v>33</v>
      </c>
      <c r="B20" s="244"/>
      <c r="C20" s="20" t="s">
        <v>54</v>
      </c>
      <c r="D20" s="983" t="s">
        <v>189</v>
      </c>
      <c r="E20" s="984"/>
      <c r="F20" s="984"/>
      <c r="G20" s="984"/>
      <c r="H20" s="984"/>
      <c r="I20" s="106">
        <v>1978000</v>
      </c>
      <c r="J20" s="106">
        <v>1978000</v>
      </c>
      <c r="K20" s="106">
        <v>0</v>
      </c>
    </row>
    <row r="21" spans="1:11" ht="15.75">
      <c r="A21" s="243" t="s">
        <v>35</v>
      </c>
      <c r="B21" s="244"/>
      <c r="C21" s="20" t="s">
        <v>48</v>
      </c>
      <c r="D21" s="983" t="s">
        <v>164</v>
      </c>
      <c r="E21" s="984" t="s">
        <v>164</v>
      </c>
      <c r="F21" s="984" t="s">
        <v>164</v>
      </c>
      <c r="G21" s="984" t="s">
        <v>164</v>
      </c>
      <c r="H21" s="984" t="s">
        <v>164</v>
      </c>
      <c r="I21" s="106">
        <v>1905000</v>
      </c>
      <c r="J21" s="106">
        <v>1905000</v>
      </c>
      <c r="K21" s="106">
        <v>0</v>
      </c>
    </row>
    <row r="22" spans="1:11" ht="15.75">
      <c r="A22" s="243" t="s">
        <v>59</v>
      </c>
      <c r="B22" s="244"/>
      <c r="C22" s="20" t="s">
        <v>24</v>
      </c>
      <c r="D22" s="983" t="s">
        <v>193</v>
      </c>
      <c r="E22" s="984" t="s">
        <v>139</v>
      </c>
      <c r="F22" s="984" t="s">
        <v>139</v>
      </c>
      <c r="G22" s="984" t="s">
        <v>139</v>
      </c>
      <c r="H22" s="984" t="s">
        <v>139</v>
      </c>
      <c r="I22" s="106">
        <v>6350000</v>
      </c>
      <c r="J22" s="106">
        <v>6350000</v>
      </c>
      <c r="K22" s="106">
        <v>0</v>
      </c>
    </row>
    <row r="23" spans="1:11" ht="15.75">
      <c r="A23" s="243" t="s">
        <v>60</v>
      </c>
      <c r="B23" s="244"/>
      <c r="C23" s="20" t="s">
        <v>26</v>
      </c>
      <c r="D23" s="983" t="s">
        <v>165</v>
      </c>
      <c r="E23" s="984" t="s">
        <v>165</v>
      </c>
      <c r="F23" s="984" t="s">
        <v>165</v>
      </c>
      <c r="G23" s="984" t="s">
        <v>165</v>
      </c>
      <c r="H23" s="984" t="s">
        <v>165</v>
      </c>
      <c r="I23" s="106">
        <v>2540000</v>
      </c>
      <c r="J23" s="106">
        <f>2540000-1046096</f>
        <v>1493904</v>
      </c>
      <c r="K23" s="106">
        <v>0</v>
      </c>
    </row>
    <row r="24" spans="1:11" ht="15.75">
      <c r="A24" s="243" t="s">
        <v>61</v>
      </c>
      <c r="B24" s="244"/>
      <c r="C24" s="20" t="s">
        <v>28</v>
      </c>
      <c r="D24" s="983" t="s">
        <v>166</v>
      </c>
      <c r="E24" s="984" t="s">
        <v>166</v>
      </c>
      <c r="F24" s="984" t="s">
        <v>166</v>
      </c>
      <c r="G24" s="984" t="s">
        <v>166</v>
      </c>
      <c r="H24" s="984" t="s">
        <v>166</v>
      </c>
      <c r="I24" s="106">
        <v>1270000</v>
      </c>
      <c r="J24" s="106">
        <v>1270000</v>
      </c>
      <c r="K24" s="106">
        <v>0</v>
      </c>
    </row>
    <row r="25" spans="1:11" ht="15.75">
      <c r="A25" s="243" t="s">
        <v>62</v>
      </c>
      <c r="B25" s="244"/>
      <c r="C25" s="20" t="s">
        <v>31</v>
      </c>
      <c r="D25" s="983" t="s">
        <v>190</v>
      </c>
      <c r="E25" s="1004"/>
      <c r="F25" s="1004"/>
      <c r="G25" s="1004"/>
      <c r="H25" s="1004"/>
      <c r="I25" s="106">
        <v>2540000</v>
      </c>
      <c r="J25" s="106">
        <v>0</v>
      </c>
      <c r="K25" s="106">
        <v>0</v>
      </c>
    </row>
    <row r="26" spans="1:11" ht="15.75">
      <c r="A26" s="243" t="s">
        <v>63</v>
      </c>
      <c r="B26" s="244"/>
      <c r="C26" s="20" t="s">
        <v>49</v>
      </c>
      <c r="D26" s="983" t="s">
        <v>167</v>
      </c>
      <c r="E26" s="984" t="s">
        <v>167</v>
      </c>
      <c r="F26" s="984" t="s">
        <v>167</v>
      </c>
      <c r="G26" s="984" t="s">
        <v>167</v>
      </c>
      <c r="H26" s="984" t="s">
        <v>167</v>
      </c>
      <c r="I26" s="106">
        <v>2540000</v>
      </c>
      <c r="J26" s="106">
        <v>2540000</v>
      </c>
      <c r="K26" s="106">
        <v>0</v>
      </c>
    </row>
    <row r="27" spans="1:11" ht="15.75">
      <c r="A27" s="243" t="s">
        <v>64</v>
      </c>
      <c r="B27" s="244"/>
      <c r="C27" s="20" t="s">
        <v>33</v>
      </c>
      <c r="D27" s="983" t="s">
        <v>192</v>
      </c>
      <c r="E27" s="984" t="s">
        <v>163</v>
      </c>
      <c r="F27" s="984" t="s">
        <v>163</v>
      </c>
      <c r="G27" s="984" t="s">
        <v>163</v>
      </c>
      <c r="H27" s="984" t="s">
        <v>163</v>
      </c>
      <c r="I27" s="106">
        <v>250000000</v>
      </c>
      <c r="J27" s="106">
        <v>198805679</v>
      </c>
      <c r="K27" s="106">
        <v>195742919</v>
      </c>
    </row>
    <row r="28" spans="1:11" ht="15.75">
      <c r="A28" s="243" t="s">
        <v>65</v>
      </c>
      <c r="B28" s="244"/>
      <c r="C28" s="20" t="s">
        <v>35</v>
      </c>
      <c r="D28" s="983" t="s">
        <v>191</v>
      </c>
      <c r="E28" s="984"/>
      <c r="F28" s="984"/>
      <c r="G28" s="984"/>
      <c r="H28" s="984"/>
      <c r="I28" s="106">
        <v>20000000</v>
      </c>
      <c r="J28" s="106">
        <v>20000000</v>
      </c>
      <c r="K28" s="106">
        <v>0</v>
      </c>
    </row>
    <row r="29" spans="1:11" ht="15.75">
      <c r="A29" s="243" t="s">
        <v>66</v>
      </c>
      <c r="B29" s="244"/>
      <c r="C29" s="20" t="s">
        <v>59</v>
      </c>
      <c r="D29" s="983" t="s">
        <v>195</v>
      </c>
      <c r="E29" s="984" t="s">
        <v>168</v>
      </c>
      <c r="F29" s="984" t="s">
        <v>168</v>
      </c>
      <c r="G29" s="984" t="s">
        <v>168</v>
      </c>
      <c r="H29" s="984" t="s">
        <v>168</v>
      </c>
      <c r="I29" s="106">
        <v>1270000</v>
      </c>
      <c r="J29" s="106">
        <v>0</v>
      </c>
      <c r="K29" s="106">
        <v>0</v>
      </c>
    </row>
    <row r="30" spans="1:11" ht="15.75">
      <c r="A30" s="243" t="s">
        <v>68</v>
      </c>
      <c r="B30" s="244"/>
      <c r="C30" s="20" t="s">
        <v>60</v>
      </c>
      <c r="D30" s="983" t="s">
        <v>196</v>
      </c>
      <c r="E30" s="984" t="s">
        <v>168</v>
      </c>
      <c r="F30" s="984" t="s">
        <v>168</v>
      </c>
      <c r="G30" s="984" t="s">
        <v>168</v>
      </c>
      <c r="H30" s="984" t="s">
        <v>168</v>
      </c>
      <c r="I30" s="106">
        <v>2000000</v>
      </c>
      <c r="J30" s="106">
        <f>2000000-250001</f>
        <v>1749999</v>
      </c>
      <c r="K30" s="106">
        <v>0</v>
      </c>
    </row>
    <row r="31" spans="1:11" ht="15.75">
      <c r="A31" s="243" t="s">
        <v>71</v>
      </c>
      <c r="B31" s="244"/>
      <c r="C31" s="20" t="s">
        <v>61</v>
      </c>
      <c r="D31" s="983" t="s">
        <v>197</v>
      </c>
      <c r="E31" s="984"/>
      <c r="F31" s="984"/>
      <c r="G31" s="984"/>
      <c r="H31" s="984"/>
      <c r="I31" s="106">
        <v>199999</v>
      </c>
      <c r="J31" s="106">
        <v>0</v>
      </c>
      <c r="K31" s="106">
        <v>0</v>
      </c>
    </row>
    <row r="32" spans="1:11" ht="20.25" customHeight="1">
      <c r="A32" s="243" t="s">
        <v>73</v>
      </c>
      <c r="B32" s="100" t="s">
        <v>273</v>
      </c>
      <c r="C32" s="993" t="s">
        <v>272</v>
      </c>
      <c r="D32" s="994"/>
      <c r="E32" s="994"/>
      <c r="F32" s="994"/>
      <c r="G32" s="994"/>
      <c r="H32" s="994"/>
      <c r="I32" s="248">
        <f>SUM(I33:I34)</f>
        <v>0</v>
      </c>
      <c r="J32" s="248">
        <f>SUM(J33:J34)</f>
        <v>0</v>
      </c>
      <c r="K32" s="248">
        <f>SUM(K33:K34)</f>
        <v>0</v>
      </c>
    </row>
    <row r="33" spans="1:11" ht="15.75">
      <c r="A33" s="243" t="s">
        <v>75</v>
      </c>
      <c r="B33" s="245"/>
      <c r="C33" s="20" t="s">
        <v>10</v>
      </c>
      <c r="D33" s="983" t="s">
        <v>285</v>
      </c>
      <c r="E33" s="984"/>
      <c r="F33" s="984"/>
      <c r="G33" s="984"/>
      <c r="H33" s="984"/>
      <c r="I33" s="106">
        <v>0</v>
      </c>
      <c r="J33" s="106">
        <v>0</v>
      </c>
      <c r="K33" s="106">
        <v>0</v>
      </c>
    </row>
    <row r="34" spans="1:11" ht="15.75">
      <c r="A34" s="243" t="s">
        <v>77</v>
      </c>
      <c r="B34" s="245"/>
      <c r="C34" s="20" t="s">
        <v>15</v>
      </c>
      <c r="D34" s="983" t="s">
        <v>285</v>
      </c>
      <c r="E34" s="984"/>
      <c r="F34" s="984"/>
      <c r="G34" s="984"/>
      <c r="H34" s="984"/>
      <c r="I34" s="106">
        <v>0</v>
      </c>
      <c r="J34" s="106">
        <v>0</v>
      </c>
      <c r="K34" s="106">
        <v>0</v>
      </c>
    </row>
    <row r="35" spans="1:11" ht="19.5" customHeight="1">
      <c r="A35" s="243" t="s">
        <v>78</v>
      </c>
      <c r="B35" s="987" t="s">
        <v>176</v>
      </c>
      <c r="C35" s="988"/>
      <c r="D35" s="988"/>
      <c r="E35" s="988"/>
      <c r="F35" s="988"/>
      <c r="G35" s="988"/>
      <c r="H35" s="988"/>
      <c r="I35" s="248">
        <f>I32+I10</f>
        <v>310321999</v>
      </c>
      <c r="J35" s="248">
        <f>J32+J10</f>
        <v>251233307</v>
      </c>
      <c r="K35" s="248">
        <f>K32+K10</f>
        <v>200970928</v>
      </c>
    </row>
    <row r="36" spans="1:11" ht="19.5" customHeight="1">
      <c r="A36" s="243" t="s">
        <v>79</v>
      </c>
      <c r="B36" s="100" t="s">
        <v>84</v>
      </c>
      <c r="C36" s="993" t="s">
        <v>110</v>
      </c>
      <c r="D36" s="994"/>
      <c r="E36" s="994"/>
      <c r="F36" s="994"/>
      <c r="G36" s="994"/>
      <c r="H36" s="994"/>
      <c r="I36" s="248">
        <f>SUM(I37:I40)</f>
        <v>39200000</v>
      </c>
      <c r="J36" s="248">
        <f>SUM(J37:J40)</f>
        <v>39200000</v>
      </c>
      <c r="K36" s="248">
        <f>SUM(K37:K40)</f>
        <v>7950000</v>
      </c>
    </row>
    <row r="37" spans="1:11" ht="15.75">
      <c r="A37" s="243" t="s">
        <v>80</v>
      </c>
      <c r="B37" s="244"/>
      <c r="C37" s="20" t="s">
        <v>10</v>
      </c>
      <c r="D37" s="989" t="s">
        <v>199</v>
      </c>
      <c r="E37" s="990"/>
      <c r="F37" s="990"/>
      <c r="G37" s="990"/>
      <c r="H37" s="990"/>
      <c r="I37" s="106">
        <v>10000000</v>
      </c>
      <c r="J37" s="106">
        <v>10000000</v>
      </c>
      <c r="K37" s="106">
        <v>7550000</v>
      </c>
    </row>
    <row r="38" spans="1:11" ht="15.75">
      <c r="A38" s="243" t="s">
        <v>86</v>
      </c>
      <c r="B38" s="244"/>
      <c r="C38" s="20" t="s">
        <v>15</v>
      </c>
      <c r="D38" s="1005" t="s">
        <v>85</v>
      </c>
      <c r="E38" s="1006"/>
      <c r="F38" s="1006"/>
      <c r="G38" s="1006"/>
      <c r="H38" s="1006"/>
      <c r="I38" s="106">
        <v>1000000</v>
      </c>
      <c r="J38" s="106">
        <v>1000000</v>
      </c>
      <c r="K38" s="106">
        <v>400000</v>
      </c>
    </row>
    <row r="39" spans="1:11" ht="15.75">
      <c r="A39" s="243" t="s">
        <v>204</v>
      </c>
      <c r="B39" s="244"/>
      <c r="C39" s="20" t="s">
        <v>22</v>
      </c>
      <c r="D39" s="1005" t="s">
        <v>200</v>
      </c>
      <c r="E39" s="1006"/>
      <c r="F39" s="1006"/>
      <c r="G39" s="1006"/>
      <c r="H39" s="1006"/>
      <c r="I39" s="106">
        <v>6200000</v>
      </c>
      <c r="J39" s="106">
        <v>6200000</v>
      </c>
      <c r="K39" s="106">
        <v>0</v>
      </c>
    </row>
    <row r="40" spans="1:11" ht="15.75">
      <c r="A40" s="243" t="s">
        <v>111</v>
      </c>
      <c r="B40" s="244"/>
      <c r="C40" s="20" t="s">
        <v>169</v>
      </c>
      <c r="D40" s="1005" t="s">
        <v>170</v>
      </c>
      <c r="E40" s="1006"/>
      <c r="F40" s="1006"/>
      <c r="G40" s="1006"/>
      <c r="H40" s="1006"/>
      <c r="I40" s="106">
        <v>22000000</v>
      </c>
      <c r="J40" s="106">
        <v>22000000</v>
      </c>
      <c r="K40" s="106">
        <v>0</v>
      </c>
    </row>
    <row r="41" spans="1:11" ht="33" customHeight="1" thickBot="1">
      <c r="A41" s="243" t="s">
        <v>205</v>
      </c>
      <c r="B41" s="199" t="s">
        <v>279</v>
      </c>
      <c r="C41" s="1007" t="s">
        <v>278</v>
      </c>
      <c r="D41" s="1007"/>
      <c r="E41" s="1007"/>
      <c r="F41" s="1007"/>
      <c r="G41" s="1007"/>
      <c r="H41" s="1008"/>
      <c r="I41" s="251">
        <f>I35+I36</f>
        <v>349521999</v>
      </c>
      <c r="J41" s="251">
        <f>J35+J36</f>
        <v>290433307</v>
      </c>
      <c r="K41" s="251">
        <f>K35+K36</f>
        <v>208920928</v>
      </c>
    </row>
    <row r="42" spans="1:11" ht="15.75">
      <c r="A42" s="243" t="s">
        <v>231</v>
      </c>
      <c r="B42" s="999" t="s">
        <v>284</v>
      </c>
      <c r="C42" s="1000"/>
      <c r="D42" s="1000"/>
      <c r="E42" s="1000"/>
      <c r="F42" s="1000"/>
      <c r="G42" s="1000"/>
      <c r="H42" s="1000"/>
      <c r="I42" s="247"/>
      <c r="J42" s="252"/>
      <c r="K42" s="252"/>
    </row>
    <row r="43" spans="1:11" ht="15.75">
      <c r="A43" s="243" t="s">
        <v>112</v>
      </c>
      <c r="B43" s="185"/>
      <c r="C43" s="997" t="s">
        <v>275</v>
      </c>
      <c r="D43" s="997"/>
      <c r="E43" s="997"/>
      <c r="F43" s="997"/>
      <c r="G43" s="997"/>
      <c r="H43" s="997"/>
      <c r="I43" s="103">
        <f>SUM(I44:I48)</f>
        <v>0</v>
      </c>
      <c r="J43" s="248">
        <f>SUM(J44:J48)</f>
        <v>11621624</v>
      </c>
      <c r="K43" s="248">
        <f>SUM(K44:K48)</f>
        <v>11621624</v>
      </c>
    </row>
    <row r="44" spans="1:11" ht="15.75">
      <c r="A44" s="243" t="s">
        <v>113</v>
      </c>
      <c r="B44" s="133"/>
      <c r="C44" s="985" t="s">
        <v>274</v>
      </c>
      <c r="D44" s="986"/>
      <c r="E44" s="986"/>
      <c r="F44" s="986"/>
      <c r="G44" s="986"/>
      <c r="H44" s="986"/>
      <c r="I44" s="200">
        <v>0</v>
      </c>
      <c r="J44" s="253">
        <v>4426866</v>
      </c>
      <c r="K44" s="253">
        <v>4426866</v>
      </c>
    </row>
    <row r="45" spans="1:11" ht="15.75">
      <c r="A45" s="243" t="s">
        <v>114</v>
      </c>
      <c r="B45" s="133"/>
      <c r="C45" s="985" t="s">
        <v>249</v>
      </c>
      <c r="D45" s="986"/>
      <c r="E45" s="986"/>
      <c r="F45" s="986"/>
      <c r="G45" s="986"/>
      <c r="H45" s="986"/>
      <c r="I45" s="200">
        <v>0</v>
      </c>
      <c r="J45" s="253">
        <v>118754</v>
      </c>
      <c r="K45" s="253">
        <v>118754</v>
      </c>
    </row>
    <row r="46" spans="1:11" ht="15.75">
      <c r="A46" s="243" t="s">
        <v>115</v>
      </c>
      <c r="B46" s="133"/>
      <c r="C46" s="985" t="s">
        <v>250</v>
      </c>
      <c r="D46" s="986"/>
      <c r="E46" s="986"/>
      <c r="F46" s="986"/>
      <c r="G46" s="986"/>
      <c r="H46" s="986"/>
      <c r="I46" s="200">
        <v>0</v>
      </c>
      <c r="J46" s="253">
        <v>5554912</v>
      </c>
      <c r="K46" s="253">
        <v>5554912</v>
      </c>
    </row>
    <row r="47" spans="1:11" ht="15.75">
      <c r="A47" s="243" t="s">
        <v>232</v>
      </c>
      <c r="B47" s="133"/>
      <c r="C47" s="985" t="s">
        <v>251</v>
      </c>
      <c r="D47" s="986"/>
      <c r="E47" s="986"/>
      <c r="F47" s="986"/>
      <c r="G47" s="986"/>
      <c r="H47" s="986"/>
      <c r="I47" s="200">
        <v>0</v>
      </c>
      <c r="J47" s="253">
        <v>1521092</v>
      </c>
      <c r="K47" s="253">
        <v>1521092</v>
      </c>
    </row>
    <row r="48" spans="1:11" ht="15.75">
      <c r="A48" s="243" t="s">
        <v>116</v>
      </c>
      <c r="B48" s="133"/>
      <c r="C48" s="989"/>
      <c r="D48" s="990"/>
      <c r="E48" s="990"/>
      <c r="F48" s="990"/>
      <c r="G48" s="990"/>
      <c r="H48" s="990"/>
      <c r="I48" s="200"/>
      <c r="J48" s="253"/>
      <c r="K48" s="253"/>
    </row>
    <row r="49" spans="1:11" ht="15.75">
      <c r="A49" s="243" t="s">
        <v>233</v>
      </c>
      <c r="B49" s="126"/>
      <c r="C49" s="997" t="s">
        <v>276</v>
      </c>
      <c r="D49" s="997"/>
      <c r="E49" s="997"/>
      <c r="F49" s="997"/>
      <c r="G49" s="997"/>
      <c r="H49" s="997"/>
      <c r="I49" s="103">
        <f>SUM(I51:I53)</f>
        <v>0</v>
      </c>
      <c r="J49" s="248">
        <f>SUM(J50:J53)</f>
        <v>2912977</v>
      </c>
      <c r="K49" s="248">
        <f>SUM(K50:K53)</f>
        <v>2912977</v>
      </c>
    </row>
    <row r="50" spans="1:11" ht="15.75">
      <c r="A50" s="243" t="s">
        <v>237</v>
      </c>
      <c r="B50" s="126"/>
      <c r="C50" s="985" t="s">
        <v>371</v>
      </c>
      <c r="D50" s="986"/>
      <c r="E50" s="986"/>
      <c r="F50" s="986"/>
      <c r="G50" s="986"/>
      <c r="H50" s="986"/>
      <c r="I50" s="200">
        <v>0</v>
      </c>
      <c r="J50" s="106">
        <v>9200</v>
      </c>
      <c r="K50" s="106">
        <v>9200</v>
      </c>
    </row>
    <row r="51" spans="1:11" ht="15.75">
      <c r="A51" s="243" t="s">
        <v>238</v>
      </c>
      <c r="B51" s="133"/>
      <c r="C51" s="985" t="s">
        <v>319</v>
      </c>
      <c r="D51" s="986"/>
      <c r="E51" s="986"/>
      <c r="F51" s="986"/>
      <c r="G51" s="986"/>
      <c r="H51" s="986"/>
      <c r="I51" s="200">
        <v>0</v>
      </c>
      <c r="J51" s="106">
        <v>287562</v>
      </c>
      <c r="K51" s="106">
        <v>287562</v>
      </c>
    </row>
    <row r="52" spans="1:11" ht="15.75">
      <c r="A52" s="243" t="s">
        <v>239</v>
      </c>
      <c r="B52" s="133"/>
      <c r="C52" s="985" t="s">
        <v>320</v>
      </c>
      <c r="D52" s="986"/>
      <c r="E52" s="986"/>
      <c r="F52" s="986"/>
      <c r="G52" s="986"/>
      <c r="H52" s="986"/>
      <c r="I52" s="200">
        <v>0</v>
      </c>
      <c r="J52" s="106">
        <v>1998878</v>
      </c>
      <c r="K52" s="106">
        <v>1998878</v>
      </c>
    </row>
    <row r="53" spans="1:11" ht="15.75">
      <c r="A53" s="243" t="s">
        <v>240</v>
      </c>
      <c r="B53" s="133"/>
      <c r="C53" s="985" t="s">
        <v>321</v>
      </c>
      <c r="D53" s="986"/>
      <c r="E53" s="986"/>
      <c r="F53" s="986"/>
      <c r="G53" s="986"/>
      <c r="H53" s="986"/>
      <c r="I53" s="200">
        <v>0</v>
      </c>
      <c r="J53" s="106">
        <v>617337</v>
      </c>
      <c r="K53" s="106">
        <v>617337</v>
      </c>
    </row>
    <row r="54" spans="1:11" ht="15.75">
      <c r="A54" s="243" t="s">
        <v>241</v>
      </c>
      <c r="B54" s="133"/>
      <c r="C54" s="997" t="s">
        <v>252</v>
      </c>
      <c r="D54" s="997"/>
      <c r="E54" s="997"/>
      <c r="F54" s="997"/>
      <c r="G54" s="997"/>
      <c r="H54" s="997"/>
      <c r="I54" s="103">
        <v>0</v>
      </c>
      <c r="J54" s="248">
        <v>0</v>
      </c>
      <c r="K54" s="248">
        <v>0</v>
      </c>
    </row>
    <row r="55" spans="1:11" ht="15.75">
      <c r="A55" s="243" t="s">
        <v>242</v>
      </c>
      <c r="B55" s="133"/>
      <c r="C55" s="981" t="s">
        <v>285</v>
      </c>
      <c r="D55" s="982"/>
      <c r="E55" s="982"/>
      <c r="F55" s="982"/>
      <c r="G55" s="982"/>
      <c r="H55" s="982"/>
      <c r="I55" s="103"/>
      <c r="J55" s="248"/>
      <c r="K55" s="248"/>
    </row>
    <row r="56" spans="1:11" ht="15.75">
      <c r="A56" s="243" t="s">
        <v>243</v>
      </c>
      <c r="B56" s="126"/>
      <c r="C56" s="997" t="s">
        <v>253</v>
      </c>
      <c r="D56" s="997"/>
      <c r="E56" s="997"/>
      <c r="F56" s="997"/>
      <c r="G56" s="997"/>
      <c r="H56" s="997"/>
      <c r="I56" s="103">
        <f>SUM(I57:I59)</f>
        <v>0</v>
      </c>
      <c r="J56" s="248">
        <f>SUM(J57:J59)</f>
        <v>3172501</v>
      </c>
      <c r="K56" s="248">
        <f>SUM(K57:K58)</f>
        <v>3172501</v>
      </c>
    </row>
    <row r="57" spans="1:11" ht="15.75">
      <c r="A57" s="243" t="s">
        <v>244</v>
      </c>
      <c r="B57" s="126"/>
      <c r="C57" s="985" t="s">
        <v>322</v>
      </c>
      <c r="D57" s="986"/>
      <c r="E57" s="986"/>
      <c r="F57" s="986"/>
      <c r="G57" s="986"/>
      <c r="H57" s="986"/>
      <c r="I57" s="200">
        <v>0</v>
      </c>
      <c r="J57" s="106">
        <v>2882944</v>
      </c>
      <c r="K57" s="106">
        <v>2882944</v>
      </c>
    </row>
    <row r="58" spans="1:11" ht="15.75">
      <c r="A58" s="243" t="s">
        <v>256</v>
      </c>
      <c r="B58" s="126"/>
      <c r="C58" s="985" t="s">
        <v>321</v>
      </c>
      <c r="D58" s="986"/>
      <c r="E58" s="986"/>
      <c r="F58" s="986"/>
      <c r="G58" s="986"/>
      <c r="H58" s="986"/>
      <c r="I58" s="200">
        <v>0</v>
      </c>
      <c r="J58" s="106">
        <v>289557</v>
      </c>
      <c r="K58" s="106">
        <v>289557</v>
      </c>
    </row>
    <row r="59" spans="1:11" ht="15.75">
      <c r="A59" s="243" t="s">
        <v>257</v>
      </c>
      <c r="B59" s="132"/>
      <c r="C59" s="989"/>
      <c r="D59" s="990"/>
      <c r="E59" s="990"/>
      <c r="F59" s="990"/>
      <c r="G59" s="990"/>
      <c r="H59" s="990"/>
      <c r="I59" s="200"/>
      <c r="J59" s="106"/>
      <c r="K59" s="106"/>
    </row>
    <row r="60" spans="1:11" ht="15.75">
      <c r="A60" s="243" t="s">
        <v>338</v>
      </c>
      <c r="B60" s="126"/>
      <c r="C60" s="997" t="s">
        <v>277</v>
      </c>
      <c r="D60" s="997"/>
      <c r="E60" s="997"/>
      <c r="F60" s="997"/>
      <c r="G60" s="997"/>
      <c r="H60" s="997"/>
      <c r="I60" s="103">
        <f>SUM(I61:I66)</f>
        <v>0</v>
      </c>
      <c r="J60" s="248">
        <f>SUM(J61:J66)</f>
        <v>6770382</v>
      </c>
      <c r="K60" s="248">
        <f>SUM(K61:K66)</f>
        <v>6770382</v>
      </c>
    </row>
    <row r="61" spans="1:11" ht="15.75">
      <c r="A61" s="243" t="s">
        <v>339</v>
      </c>
      <c r="B61" s="132"/>
      <c r="C61" s="985" t="s">
        <v>319</v>
      </c>
      <c r="D61" s="986"/>
      <c r="E61" s="986"/>
      <c r="F61" s="986"/>
      <c r="G61" s="986"/>
      <c r="H61" s="986"/>
      <c r="I61" s="200">
        <v>0</v>
      </c>
      <c r="J61" s="106">
        <v>3175674</v>
      </c>
      <c r="K61" s="106">
        <v>3175674</v>
      </c>
    </row>
    <row r="62" spans="1:11" ht="15.75">
      <c r="A62" s="243" t="s">
        <v>340</v>
      </c>
      <c r="B62" s="132"/>
      <c r="C62" s="985" t="s">
        <v>320</v>
      </c>
      <c r="D62" s="986"/>
      <c r="E62" s="986"/>
      <c r="F62" s="986"/>
      <c r="G62" s="986"/>
      <c r="H62" s="986"/>
      <c r="I62" s="200">
        <v>0</v>
      </c>
      <c r="J62" s="106">
        <v>1714186</v>
      </c>
      <c r="K62" s="106">
        <v>1714186</v>
      </c>
    </row>
    <row r="63" spans="1:11" ht="15.75">
      <c r="A63" s="243" t="s">
        <v>341</v>
      </c>
      <c r="B63" s="132"/>
      <c r="C63" s="985" t="s">
        <v>321</v>
      </c>
      <c r="D63" s="986"/>
      <c r="E63" s="986"/>
      <c r="F63" s="986"/>
      <c r="G63" s="986"/>
      <c r="H63" s="986"/>
      <c r="I63" s="200">
        <v>0</v>
      </c>
      <c r="J63" s="106">
        <v>1320264</v>
      </c>
      <c r="K63" s="106">
        <v>1320264</v>
      </c>
    </row>
    <row r="64" spans="1:11" ht="15.75">
      <c r="A64" s="243" t="s">
        <v>342</v>
      </c>
      <c r="B64" s="132"/>
      <c r="C64" s="985" t="s">
        <v>323</v>
      </c>
      <c r="D64" s="986"/>
      <c r="E64" s="986"/>
      <c r="F64" s="986"/>
      <c r="G64" s="986"/>
      <c r="H64" s="986"/>
      <c r="I64" s="200">
        <v>0</v>
      </c>
      <c r="J64" s="106">
        <v>441148</v>
      </c>
      <c r="K64" s="106">
        <v>441148</v>
      </c>
    </row>
    <row r="65" spans="1:11" ht="15.75">
      <c r="A65" s="243" t="s">
        <v>258</v>
      </c>
      <c r="B65" s="132"/>
      <c r="C65" s="985" t="s">
        <v>324</v>
      </c>
      <c r="D65" s="986"/>
      <c r="E65" s="986"/>
      <c r="F65" s="986"/>
      <c r="G65" s="986"/>
      <c r="H65" s="986"/>
      <c r="I65" s="200">
        <v>0</v>
      </c>
      <c r="J65" s="106">
        <v>119110</v>
      </c>
      <c r="K65" s="106">
        <v>119110</v>
      </c>
    </row>
    <row r="66" spans="1:11" ht="15.75">
      <c r="A66" s="243" t="s">
        <v>259</v>
      </c>
      <c r="B66" s="132"/>
      <c r="C66" s="985"/>
      <c r="D66" s="986"/>
      <c r="E66" s="986"/>
      <c r="F66" s="986"/>
      <c r="G66" s="986"/>
      <c r="H66" s="986"/>
      <c r="I66" s="200"/>
      <c r="J66" s="106"/>
      <c r="K66" s="106"/>
    </row>
    <row r="67" spans="1:14" ht="15.75">
      <c r="A67" s="243" t="s">
        <v>260</v>
      </c>
      <c r="B67" s="126"/>
      <c r="C67" s="996" t="s">
        <v>254</v>
      </c>
      <c r="D67" s="996"/>
      <c r="E67" s="996"/>
      <c r="F67" s="996"/>
      <c r="G67" s="996"/>
      <c r="H67" s="996"/>
      <c r="I67" s="248">
        <f>SUM(I69:I75)</f>
        <v>0</v>
      </c>
      <c r="J67" s="248">
        <f>SUM(J69:J75)</f>
        <v>2532351762</v>
      </c>
      <c r="K67" s="248">
        <f>SUM(K69:K75)</f>
        <v>1265033467</v>
      </c>
      <c r="L67" s="131">
        <f>I67+I35-2!AA16</f>
        <v>0</v>
      </c>
      <c r="M67" s="131">
        <f>J67+J35-2!AB16</f>
        <v>0</v>
      </c>
      <c r="N67" s="131">
        <f>K67+K35-2!AC16</f>
        <v>0</v>
      </c>
    </row>
    <row r="68" spans="1:11" ht="15.75">
      <c r="A68" s="243" t="s">
        <v>261</v>
      </c>
      <c r="B68" s="126"/>
      <c r="C68" s="985" t="s">
        <v>372</v>
      </c>
      <c r="D68" s="986"/>
      <c r="E68" s="986"/>
      <c r="F68" s="986"/>
      <c r="G68" s="986"/>
      <c r="H68" s="986"/>
      <c r="I68" s="106">
        <v>0</v>
      </c>
      <c r="J68" s="106">
        <v>450000</v>
      </c>
      <c r="K68" s="106">
        <v>450000</v>
      </c>
    </row>
    <row r="69" spans="1:11" ht="15.75">
      <c r="A69" s="243" t="s">
        <v>262</v>
      </c>
      <c r="B69" s="132"/>
      <c r="C69" s="985" t="s">
        <v>274</v>
      </c>
      <c r="D69" s="986"/>
      <c r="E69" s="986"/>
      <c r="F69" s="986"/>
      <c r="G69" s="986"/>
      <c r="H69" s="986"/>
      <c r="I69" s="200">
        <v>0</v>
      </c>
      <c r="J69" s="106">
        <v>1030602231</v>
      </c>
      <c r="K69" s="106">
        <v>342554894</v>
      </c>
    </row>
    <row r="70" spans="1:11" ht="15.75">
      <c r="A70" s="243" t="s">
        <v>263</v>
      </c>
      <c r="B70" s="132"/>
      <c r="C70" s="985" t="s">
        <v>249</v>
      </c>
      <c r="D70" s="986"/>
      <c r="E70" s="986"/>
      <c r="F70" s="986"/>
      <c r="G70" s="986"/>
      <c r="H70" s="986"/>
      <c r="I70" s="200">
        <v>0</v>
      </c>
      <c r="J70" s="106">
        <v>1346457</v>
      </c>
      <c r="K70" s="106">
        <v>1346457</v>
      </c>
    </row>
    <row r="71" spans="1:11" ht="15.75">
      <c r="A71" s="243" t="s">
        <v>264</v>
      </c>
      <c r="B71" s="132"/>
      <c r="C71" s="985" t="s">
        <v>250</v>
      </c>
      <c r="D71" s="986"/>
      <c r="E71" s="986"/>
      <c r="F71" s="986"/>
      <c r="G71" s="986"/>
      <c r="H71" s="986"/>
      <c r="I71" s="200">
        <v>0</v>
      </c>
      <c r="J71" s="106">
        <v>116268857</v>
      </c>
      <c r="K71" s="106">
        <v>98651691</v>
      </c>
    </row>
    <row r="72" spans="1:11" ht="15.75">
      <c r="A72" s="243" t="s">
        <v>265</v>
      </c>
      <c r="B72" s="132"/>
      <c r="C72" s="985" t="s">
        <v>251</v>
      </c>
      <c r="D72" s="986"/>
      <c r="E72" s="986"/>
      <c r="F72" s="986"/>
      <c r="G72" s="986"/>
      <c r="H72" s="986"/>
      <c r="I72" s="200">
        <v>0</v>
      </c>
      <c r="J72" s="106">
        <v>278262602</v>
      </c>
      <c r="K72" s="106">
        <f>92489821-1061333</f>
        <v>91428488</v>
      </c>
    </row>
    <row r="73" spans="1:11" ht="15.75">
      <c r="A73" s="243" t="s">
        <v>266</v>
      </c>
      <c r="B73" s="132"/>
      <c r="C73" s="985" t="s">
        <v>323</v>
      </c>
      <c r="D73" s="986"/>
      <c r="E73" s="986"/>
      <c r="F73" s="986"/>
      <c r="G73" s="986"/>
      <c r="H73" s="986"/>
      <c r="I73" s="200">
        <v>0</v>
      </c>
      <c r="J73" s="106">
        <v>872621537</v>
      </c>
      <c r="K73" s="106">
        <v>577487934</v>
      </c>
    </row>
    <row r="74" spans="1:11" ht="15.75">
      <c r="A74" s="243" t="s">
        <v>267</v>
      </c>
      <c r="B74" s="132"/>
      <c r="C74" s="985" t="s">
        <v>366</v>
      </c>
      <c r="D74" s="986"/>
      <c r="E74" s="986"/>
      <c r="F74" s="986"/>
      <c r="G74" s="986"/>
      <c r="H74" s="986"/>
      <c r="I74" s="200">
        <v>0</v>
      </c>
      <c r="J74" s="106">
        <v>95700</v>
      </c>
      <c r="K74" s="106">
        <v>95700</v>
      </c>
    </row>
    <row r="75" spans="1:11" ht="15.75">
      <c r="A75" s="243" t="s">
        <v>268</v>
      </c>
      <c r="B75" s="132"/>
      <c r="C75" s="985" t="s">
        <v>324</v>
      </c>
      <c r="D75" s="986"/>
      <c r="E75" s="986"/>
      <c r="F75" s="986"/>
      <c r="G75" s="986"/>
      <c r="H75" s="986"/>
      <c r="I75" s="200">
        <v>0</v>
      </c>
      <c r="J75" s="106">
        <f>233154378</f>
        <v>233154378</v>
      </c>
      <c r="K75" s="106">
        <v>153468303</v>
      </c>
    </row>
    <row r="76" spans="1:11" ht="15.75">
      <c r="A76" s="243" t="s">
        <v>269</v>
      </c>
      <c r="B76" s="987" t="s">
        <v>176</v>
      </c>
      <c r="C76" s="988"/>
      <c r="D76" s="988"/>
      <c r="E76" s="988"/>
      <c r="F76" s="988"/>
      <c r="G76" s="988"/>
      <c r="H76" s="988"/>
      <c r="I76" s="248">
        <f>I67+I60+I56+I54+I49+I43</f>
        <v>0</v>
      </c>
      <c r="J76" s="248">
        <f>J67+J60+J56+J54+J49+J43</f>
        <v>2556829246</v>
      </c>
      <c r="K76" s="248">
        <f>K67+K60+K56+K54+K49+K43</f>
        <v>1289510951</v>
      </c>
    </row>
    <row r="77" spans="1:11" ht="15.75">
      <c r="A77" s="243" t="s">
        <v>270</v>
      </c>
      <c r="B77" s="100" t="s">
        <v>84</v>
      </c>
      <c r="C77" s="993" t="s">
        <v>110</v>
      </c>
      <c r="D77" s="994"/>
      <c r="E77" s="994"/>
      <c r="F77" s="994"/>
      <c r="G77" s="994"/>
      <c r="H77" s="994"/>
      <c r="I77" s="248">
        <f>SUM(I78:I79)</f>
        <v>0</v>
      </c>
      <c r="J77" s="248">
        <f>SUM(J78:J79)</f>
        <v>5000000</v>
      </c>
      <c r="K77" s="248">
        <f>SUM(K78:K79)</f>
        <v>5000000</v>
      </c>
    </row>
    <row r="78" spans="1:11" ht="15.75">
      <c r="A78" s="243" t="s">
        <v>271</v>
      </c>
      <c r="B78" s="244"/>
      <c r="C78" s="20" t="s">
        <v>23</v>
      </c>
      <c r="D78" s="989" t="s">
        <v>326</v>
      </c>
      <c r="E78" s="990"/>
      <c r="F78" s="990"/>
      <c r="G78" s="990"/>
      <c r="H78" s="990"/>
      <c r="I78" s="248">
        <v>0</v>
      </c>
      <c r="J78" s="106">
        <v>5000000</v>
      </c>
      <c r="K78" s="106">
        <v>5000000</v>
      </c>
    </row>
    <row r="79" spans="1:11" ht="15.75">
      <c r="A79" s="243" t="s">
        <v>377</v>
      </c>
      <c r="B79" s="132"/>
      <c r="C79" s="995"/>
      <c r="D79" s="995"/>
      <c r="E79" s="995"/>
      <c r="F79" s="995"/>
      <c r="G79" s="995"/>
      <c r="H79" s="995"/>
      <c r="I79" s="200"/>
      <c r="J79" s="106"/>
      <c r="K79" s="106"/>
    </row>
    <row r="80" spans="1:11" ht="18.75" customHeight="1">
      <c r="A80" s="243" t="s">
        <v>378</v>
      </c>
      <c r="B80" s="127" t="s">
        <v>248</v>
      </c>
      <c r="C80" s="992" t="s">
        <v>255</v>
      </c>
      <c r="D80" s="992"/>
      <c r="E80" s="992"/>
      <c r="F80" s="992"/>
      <c r="G80" s="992"/>
      <c r="H80" s="992"/>
      <c r="I80" s="248">
        <f>I76+I77</f>
        <v>0</v>
      </c>
      <c r="J80" s="248">
        <f>J76+J77</f>
        <v>2561829246</v>
      </c>
      <c r="K80" s="248">
        <f>K76+K77</f>
        <v>1294510951</v>
      </c>
    </row>
    <row r="81" spans="1:11" ht="22.5" customHeight="1">
      <c r="A81" s="243" t="s">
        <v>379</v>
      </c>
      <c r="B81" s="134"/>
      <c r="C81" s="991" t="s">
        <v>488</v>
      </c>
      <c r="D81" s="992"/>
      <c r="E81" s="992"/>
      <c r="F81" s="992"/>
      <c r="G81" s="992"/>
      <c r="H81" s="992"/>
      <c r="I81" s="248">
        <f>I80+I41</f>
        <v>349521999</v>
      </c>
      <c r="J81" s="249">
        <f>J41+J80</f>
        <v>2852262553</v>
      </c>
      <c r="K81" s="249">
        <f>K41+K80</f>
        <v>1503431879</v>
      </c>
    </row>
    <row r="82" spans="1:14" ht="27" customHeight="1">
      <c r="A82" s="243" t="s">
        <v>380</v>
      </c>
      <c r="B82" s="981" t="s">
        <v>373</v>
      </c>
      <c r="C82" s="982"/>
      <c r="D82" s="982"/>
      <c r="E82" s="982"/>
      <c r="F82" s="982"/>
      <c r="G82" s="982"/>
      <c r="H82" s="982"/>
      <c r="I82" s="249">
        <f aca="true" t="shared" si="0" ref="I82:K83">I35+I76</f>
        <v>310321999</v>
      </c>
      <c r="J82" s="249">
        <f t="shared" si="0"/>
        <v>2808062553</v>
      </c>
      <c r="K82" s="249">
        <f t="shared" si="0"/>
        <v>1490481879</v>
      </c>
      <c r="L82" s="131">
        <f>I82-2!AA17</f>
        <v>0</v>
      </c>
      <c r="M82" s="131">
        <f>J82-2!AB17</f>
        <v>0</v>
      </c>
      <c r="N82" s="131">
        <f>K82-2!AC17</f>
        <v>0</v>
      </c>
    </row>
    <row r="83" spans="1:14" ht="27" customHeight="1" thickBot="1">
      <c r="A83" s="859" t="s">
        <v>381</v>
      </c>
      <c r="B83" s="979" t="s">
        <v>374</v>
      </c>
      <c r="C83" s="980"/>
      <c r="D83" s="980"/>
      <c r="E83" s="980"/>
      <c r="F83" s="980"/>
      <c r="G83" s="980"/>
      <c r="H83" s="980"/>
      <c r="I83" s="251">
        <f t="shared" si="0"/>
        <v>39200000</v>
      </c>
      <c r="J83" s="251">
        <f t="shared" si="0"/>
        <v>44200000</v>
      </c>
      <c r="K83" s="251">
        <f t="shared" si="0"/>
        <v>12950000</v>
      </c>
      <c r="L83" s="131">
        <f>I83-2!AD17</f>
        <v>0</v>
      </c>
      <c r="M83" s="131">
        <f>J83-2!AE17</f>
        <v>0</v>
      </c>
      <c r="N83" s="131">
        <f>K83-2!AF17</f>
        <v>0</v>
      </c>
    </row>
  </sheetData>
  <sheetProtection/>
  <mergeCells count="79">
    <mergeCell ref="C80:H80"/>
    <mergeCell ref="D40:H40"/>
    <mergeCell ref="C41:H41"/>
    <mergeCell ref="B42:H42"/>
    <mergeCell ref="C43:H43"/>
    <mergeCell ref="C44:H44"/>
    <mergeCell ref="C46:H46"/>
    <mergeCell ref="C48:H48"/>
    <mergeCell ref="C52:H52"/>
    <mergeCell ref="C58:H58"/>
    <mergeCell ref="C53:H53"/>
    <mergeCell ref="C54:H54"/>
    <mergeCell ref="C55:H55"/>
    <mergeCell ref="D21:H21"/>
    <mergeCell ref="D28:H28"/>
    <mergeCell ref="D30:H30"/>
    <mergeCell ref="C32:H32"/>
    <mergeCell ref="B35:H35"/>
    <mergeCell ref="D39:H39"/>
    <mergeCell ref="D38:H38"/>
    <mergeCell ref="D34:H34"/>
    <mergeCell ref="D31:H31"/>
    <mergeCell ref="D20:H20"/>
    <mergeCell ref="D26:H26"/>
    <mergeCell ref="D24:H24"/>
    <mergeCell ref="C47:H47"/>
    <mergeCell ref="D22:H22"/>
    <mergeCell ref="D23:H23"/>
    <mergeCell ref="D33:H33"/>
    <mergeCell ref="B9:H9"/>
    <mergeCell ref="D12:H12"/>
    <mergeCell ref="B10:H10"/>
    <mergeCell ref="D27:H27"/>
    <mergeCell ref="D29:H29"/>
    <mergeCell ref="D19:H19"/>
    <mergeCell ref="D25:H25"/>
    <mergeCell ref="C67:H67"/>
    <mergeCell ref="C60:H60"/>
    <mergeCell ref="C14:H14"/>
    <mergeCell ref="B8:H8"/>
    <mergeCell ref="C49:H49"/>
    <mergeCell ref="C50:H50"/>
    <mergeCell ref="C51:H51"/>
    <mergeCell ref="C56:H56"/>
    <mergeCell ref="C57:H57"/>
    <mergeCell ref="C59:H59"/>
    <mergeCell ref="C61:H61"/>
    <mergeCell ref="C62:H62"/>
    <mergeCell ref="C63:H63"/>
    <mergeCell ref="C64:H64"/>
    <mergeCell ref="C65:H65"/>
    <mergeCell ref="C66:H66"/>
    <mergeCell ref="C75:H75"/>
    <mergeCell ref="C77:H77"/>
    <mergeCell ref="C79:H79"/>
    <mergeCell ref="C70:H70"/>
    <mergeCell ref="C68:H68"/>
    <mergeCell ref="C71:H71"/>
    <mergeCell ref="C72:H72"/>
    <mergeCell ref="B3:K3"/>
    <mergeCell ref="B4:K4"/>
    <mergeCell ref="B5:K5"/>
    <mergeCell ref="C36:H36"/>
    <mergeCell ref="C45:H45"/>
    <mergeCell ref="D37:H37"/>
    <mergeCell ref="D18:H18"/>
    <mergeCell ref="D17:H17"/>
    <mergeCell ref="D15:H15"/>
    <mergeCell ref="C11:H11"/>
    <mergeCell ref="B83:H83"/>
    <mergeCell ref="B82:H82"/>
    <mergeCell ref="D13:H13"/>
    <mergeCell ref="D16:H16"/>
    <mergeCell ref="C69:H69"/>
    <mergeCell ref="C73:H73"/>
    <mergeCell ref="B76:H76"/>
    <mergeCell ref="D78:H78"/>
    <mergeCell ref="C81:H81"/>
    <mergeCell ref="C74:H74"/>
  </mergeCells>
  <printOptions/>
  <pageMargins left="0.5511811023622047" right="0.5511811023622047" top="0.1968503937007874" bottom="0.1968503937007874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="90" zoomScaleNormal="90" zoomScalePageLayoutView="0" workbookViewId="0" topLeftCell="A1">
      <selection activeCell="G1" sqref="G1"/>
    </sheetView>
  </sheetViews>
  <sheetFormatPr defaultColWidth="8.8515625" defaultRowHeight="12.75"/>
  <cols>
    <col min="1" max="1" width="3.00390625" style="31" customWidth="1"/>
    <col min="2" max="2" width="4.28125" style="31" customWidth="1"/>
    <col min="3" max="3" width="6.00390625" style="32" customWidth="1"/>
    <col min="4" max="4" width="59.8515625" style="33" customWidth="1"/>
    <col min="5" max="5" width="15.00390625" style="34" customWidth="1"/>
    <col min="6" max="6" width="16.7109375" style="34" customWidth="1"/>
    <col min="7" max="7" width="11.28125" style="34" customWidth="1"/>
    <col min="8" max="8" width="15.7109375" style="31" customWidth="1"/>
    <col min="9" max="9" width="16.7109375" style="31" customWidth="1"/>
    <col min="10" max="10" width="8.8515625" style="31" customWidth="1"/>
    <col min="11" max="11" width="16.140625" style="31" customWidth="1"/>
    <col min="12" max="12" width="8.8515625" style="31" customWidth="1"/>
    <col min="13" max="16384" width="8.8515625" style="31" customWidth="1"/>
  </cols>
  <sheetData>
    <row r="1" spans="3:7" ht="18.75" customHeight="1">
      <c r="C1" s="381"/>
      <c r="D1" s="381"/>
      <c r="E1" s="381"/>
      <c r="F1" s="2"/>
      <c r="G1" s="101" t="s">
        <v>862</v>
      </c>
    </row>
    <row r="2" spans="2:7" ht="18.75" customHeight="1">
      <c r="B2" s="101"/>
      <c r="C2" s="2"/>
      <c r="D2" s="2"/>
      <c r="E2" s="2"/>
      <c r="F2" s="2"/>
      <c r="G2" s="2"/>
    </row>
    <row r="3" spans="1:7" ht="21.75" customHeight="1">
      <c r="A3" s="1012" t="s">
        <v>109</v>
      </c>
      <c r="B3" s="1012"/>
      <c r="C3" s="1012"/>
      <c r="D3" s="1012"/>
      <c r="E3" s="1012"/>
      <c r="F3" s="1012"/>
      <c r="G3" s="1012"/>
    </row>
    <row r="4" spans="1:7" ht="21.75" customHeight="1">
      <c r="A4" s="1012" t="s">
        <v>337</v>
      </c>
      <c r="B4" s="1012"/>
      <c r="C4" s="1012"/>
      <c r="D4" s="1012"/>
      <c r="E4" s="1012"/>
      <c r="F4" s="1012"/>
      <c r="G4" s="1012"/>
    </row>
    <row r="5" spans="1:7" ht="15" customHeight="1">
      <c r="A5" s="30"/>
      <c r="C5" s="44"/>
      <c r="D5" s="45"/>
      <c r="G5" s="108" t="s">
        <v>203</v>
      </c>
    </row>
    <row r="6" spans="1:7" ht="18.75" customHeight="1">
      <c r="A6" s="46"/>
      <c r="B6" s="46" t="s">
        <v>0</v>
      </c>
      <c r="C6" s="46" t="s">
        <v>1</v>
      </c>
      <c r="D6" s="46" t="s">
        <v>2</v>
      </c>
      <c r="E6" s="47" t="s">
        <v>3</v>
      </c>
      <c r="F6" s="190" t="s">
        <v>4</v>
      </c>
      <c r="G6" s="190" t="s">
        <v>5</v>
      </c>
    </row>
    <row r="7" spans="1:7" s="36" customFormat="1" ht="30.75" customHeight="1">
      <c r="A7" s="48" t="s">
        <v>10</v>
      </c>
      <c r="B7" s="1009" t="s">
        <v>87</v>
      </c>
      <c r="C7" s="1010"/>
      <c r="D7" s="1011"/>
      <c r="E7" s="35" t="s">
        <v>88</v>
      </c>
      <c r="F7" s="192" t="s">
        <v>141</v>
      </c>
      <c r="G7" s="192" t="s">
        <v>96</v>
      </c>
    </row>
    <row r="8" spans="1:7" s="36" customFormat="1" ht="21" customHeight="1">
      <c r="A8" s="46" t="s">
        <v>15</v>
      </c>
      <c r="B8" s="1009" t="s">
        <v>89</v>
      </c>
      <c r="C8" s="1010"/>
      <c r="D8" s="1010"/>
      <c r="E8" s="37"/>
      <c r="F8" s="191"/>
      <c r="G8" s="191"/>
    </row>
    <row r="9" spans="1:7" s="36" customFormat="1" ht="18.75" customHeight="1">
      <c r="A9" s="46" t="s">
        <v>22</v>
      </c>
      <c r="B9" s="1016" t="s">
        <v>90</v>
      </c>
      <c r="C9" s="1017"/>
      <c r="D9" s="1017"/>
      <c r="E9" s="37"/>
      <c r="F9" s="37"/>
      <c r="G9" s="37"/>
    </row>
    <row r="10" spans="1:7" ht="18.75" customHeight="1">
      <c r="A10" s="46" t="s">
        <v>23</v>
      </c>
      <c r="B10" s="38"/>
      <c r="C10" s="80" t="s">
        <v>10</v>
      </c>
      <c r="D10" s="382" t="s">
        <v>198</v>
      </c>
      <c r="E10" s="383">
        <v>670000</v>
      </c>
      <c r="F10" s="383">
        <v>345000</v>
      </c>
      <c r="G10" s="383">
        <v>0</v>
      </c>
    </row>
    <row r="11" spans="1:7" ht="18.75" customHeight="1">
      <c r="A11" s="48" t="s">
        <v>52</v>
      </c>
      <c r="B11" s="38"/>
      <c r="C11" s="80" t="s">
        <v>15</v>
      </c>
      <c r="D11" s="384" t="s">
        <v>177</v>
      </c>
      <c r="E11" s="383">
        <v>1000000</v>
      </c>
      <c r="F11" s="383">
        <v>0</v>
      </c>
      <c r="G11" s="383">
        <v>0</v>
      </c>
    </row>
    <row r="12" spans="1:7" ht="18.75" customHeight="1">
      <c r="A12" s="46" t="s">
        <v>54</v>
      </c>
      <c r="B12" s="38"/>
      <c r="C12" s="80" t="s">
        <v>22</v>
      </c>
      <c r="D12" s="382" t="s">
        <v>178</v>
      </c>
      <c r="E12" s="383">
        <v>1850000</v>
      </c>
      <c r="F12" s="383">
        <f>1850000-38599-300000</f>
        <v>1511401</v>
      </c>
      <c r="G12" s="383">
        <v>0</v>
      </c>
    </row>
    <row r="13" spans="1:7" ht="18.75" customHeight="1">
      <c r="A13" s="46" t="s">
        <v>48</v>
      </c>
      <c r="B13" s="38"/>
      <c r="C13" s="80" t="s">
        <v>23</v>
      </c>
      <c r="D13" s="382" t="s">
        <v>179</v>
      </c>
      <c r="E13" s="383">
        <v>6798568</v>
      </c>
      <c r="F13" s="383">
        <f>6798568-6344500-217469</f>
        <v>236599</v>
      </c>
      <c r="G13" s="383">
        <v>0</v>
      </c>
    </row>
    <row r="14" spans="1:7" ht="18.75" customHeight="1">
      <c r="A14" s="46" t="s">
        <v>24</v>
      </c>
      <c r="B14" s="38"/>
      <c r="C14" s="80" t="s">
        <v>52</v>
      </c>
      <c r="D14" s="382" t="s">
        <v>207</v>
      </c>
      <c r="E14" s="383">
        <v>2402162</v>
      </c>
      <c r="F14" s="383">
        <v>10079188</v>
      </c>
      <c r="G14" s="383">
        <v>0</v>
      </c>
    </row>
    <row r="15" spans="1:7" ht="18.75" customHeight="1">
      <c r="A15" s="48" t="s">
        <v>26</v>
      </c>
      <c r="B15" s="38"/>
      <c r="C15" s="80" t="s">
        <v>54</v>
      </c>
      <c r="D15" s="382" t="s">
        <v>206</v>
      </c>
      <c r="E15" s="383">
        <v>53383709</v>
      </c>
      <c r="F15" s="383">
        <f>53383709-37680656+-64947-869278</f>
        <v>14768828</v>
      </c>
      <c r="G15" s="383">
        <v>0</v>
      </c>
    </row>
    <row r="16" spans="1:7" ht="18.75" customHeight="1">
      <c r="A16" s="46" t="s">
        <v>28</v>
      </c>
      <c r="B16" s="38"/>
      <c r="C16" s="80" t="s">
        <v>48</v>
      </c>
      <c r="D16" s="382" t="s">
        <v>201</v>
      </c>
      <c r="E16" s="383">
        <v>6425000</v>
      </c>
      <c r="F16" s="383">
        <f>6425000-4551-33130-1452018</f>
        <v>4935301</v>
      </c>
      <c r="G16" s="383">
        <v>0</v>
      </c>
    </row>
    <row r="17" spans="1:7" ht="18.75" customHeight="1">
      <c r="A17" s="46" t="s">
        <v>31</v>
      </c>
      <c r="B17" s="38"/>
      <c r="C17" s="80" t="s">
        <v>24</v>
      </c>
      <c r="D17" s="382" t="s">
        <v>202</v>
      </c>
      <c r="E17" s="383">
        <v>10000000</v>
      </c>
      <c r="F17" s="383">
        <v>0</v>
      </c>
      <c r="G17" s="383">
        <v>0</v>
      </c>
    </row>
    <row r="18" spans="1:7" ht="37.5" customHeight="1">
      <c r="A18" s="46" t="s">
        <v>49</v>
      </c>
      <c r="B18" s="38"/>
      <c r="C18" s="80" t="s">
        <v>26</v>
      </c>
      <c r="D18" s="384" t="s">
        <v>369</v>
      </c>
      <c r="E18" s="383">
        <v>0</v>
      </c>
      <c r="F18" s="383">
        <f>68255422-873-873</f>
        <v>68253676</v>
      </c>
      <c r="G18" s="383">
        <v>0</v>
      </c>
    </row>
    <row r="19" spans="1:7" ht="18.75" customHeight="1">
      <c r="A19" s="48" t="s">
        <v>33</v>
      </c>
      <c r="B19" s="38"/>
      <c r="C19" s="80" t="s">
        <v>28</v>
      </c>
      <c r="D19" s="382" t="s">
        <v>327</v>
      </c>
      <c r="E19" s="383">
        <v>0</v>
      </c>
      <c r="F19" s="383">
        <f>2384942+1240927+1233124</f>
        <v>4858993</v>
      </c>
      <c r="G19" s="383">
        <v>0</v>
      </c>
    </row>
    <row r="20" spans="1:7" ht="18.75" customHeight="1">
      <c r="A20" s="46" t="s">
        <v>35</v>
      </c>
      <c r="B20" s="38"/>
      <c r="C20" s="80" t="s">
        <v>31</v>
      </c>
      <c r="D20" s="382" t="s">
        <v>328</v>
      </c>
      <c r="E20" s="383">
        <v>0</v>
      </c>
      <c r="F20" s="383">
        <v>0</v>
      </c>
      <c r="G20" s="383">
        <v>0</v>
      </c>
    </row>
    <row r="21" spans="1:7" ht="33.75" customHeight="1">
      <c r="A21" s="46" t="s">
        <v>59</v>
      </c>
      <c r="B21" s="38"/>
      <c r="C21" s="80" t="s">
        <v>359</v>
      </c>
      <c r="D21" s="384" t="s">
        <v>370</v>
      </c>
      <c r="E21" s="383">
        <v>0</v>
      </c>
      <c r="F21" s="383">
        <f>55994000-12000000-38219545</f>
        <v>5774455</v>
      </c>
      <c r="G21" s="383">
        <v>0</v>
      </c>
    </row>
    <row r="22" spans="1:7" ht="18.75" customHeight="1">
      <c r="A22" s="46" t="s">
        <v>60</v>
      </c>
      <c r="B22" s="38"/>
      <c r="C22" s="80" t="s">
        <v>33</v>
      </c>
      <c r="D22" s="382" t="s">
        <v>361</v>
      </c>
      <c r="E22" s="383">
        <v>0</v>
      </c>
      <c r="F22" s="383">
        <v>-1270000</v>
      </c>
      <c r="G22" s="383">
        <v>0</v>
      </c>
    </row>
    <row r="23" spans="1:7" ht="18.75" customHeight="1">
      <c r="A23" s="48" t="s">
        <v>61</v>
      </c>
      <c r="B23" s="38"/>
      <c r="C23" s="80" t="s">
        <v>35</v>
      </c>
      <c r="D23" s="382" t="s">
        <v>364</v>
      </c>
      <c r="E23" s="383">
        <v>0</v>
      </c>
      <c r="F23" s="383">
        <v>-110580</v>
      </c>
      <c r="G23" s="383">
        <v>0</v>
      </c>
    </row>
    <row r="24" spans="1:11" ht="18.75" customHeight="1">
      <c r="A24" s="46" t="s">
        <v>62</v>
      </c>
      <c r="B24" s="1018" t="s">
        <v>117</v>
      </c>
      <c r="C24" s="1019"/>
      <c r="D24" s="1020"/>
      <c r="E24" s="39">
        <f>SUM(E10:E23)</f>
        <v>82529439</v>
      </c>
      <c r="F24" s="39">
        <f>SUM(F10:F23)</f>
        <v>109382861</v>
      </c>
      <c r="G24" s="39">
        <f>SUM(G10:G23)</f>
        <v>0</v>
      </c>
      <c r="H24" s="203"/>
      <c r="I24" s="203"/>
      <c r="J24" s="203"/>
      <c r="K24" s="203"/>
    </row>
    <row r="25" spans="1:7" s="36" customFormat="1" ht="21" customHeight="1">
      <c r="A25" s="46" t="s">
        <v>63</v>
      </c>
      <c r="B25" s="1021" t="s">
        <v>91</v>
      </c>
      <c r="C25" s="1010"/>
      <c r="D25" s="1011"/>
      <c r="E25" s="40"/>
      <c r="F25" s="189"/>
      <c r="G25" s="189"/>
    </row>
    <row r="26" spans="1:7" s="36" customFormat="1" ht="24" customHeight="1">
      <c r="A26" s="46" t="s">
        <v>64</v>
      </c>
      <c r="B26" s="1016" t="s">
        <v>90</v>
      </c>
      <c r="C26" s="1017"/>
      <c r="D26" s="1017"/>
      <c r="E26" s="189"/>
      <c r="F26" s="42"/>
      <c r="G26" s="42"/>
    </row>
    <row r="27" spans="1:7" ht="30.75" customHeight="1">
      <c r="A27" s="48" t="s">
        <v>65</v>
      </c>
      <c r="B27" s="120"/>
      <c r="C27" s="80" t="s">
        <v>10</v>
      </c>
      <c r="D27" s="384" t="s">
        <v>208</v>
      </c>
      <c r="E27" s="383">
        <v>7225665</v>
      </c>
      <c r="F27" s="383">
        <v>0</v>
      </c>
      <c r="G27" s="383">
        <v>0</v>
      </c>
    </row>
    <row r="28" spans="1:7" ht="18.75" customHeight="1">
      <c r="A28" s="46" t="s">
        <v>66</v>
      </c>
      <c r="B28" s="38"/>
      <c r="C28" s="80" t="s">
        <v>15</v>
      </c>
      <c r="D28" s="384" t="s">
        <v>209</v>
      </c>
      <c r="E28" s="383">
        <v>5000000</v>
      </c>
      <c r="F28" s="383">
        <v>0</v>
      </c>
      <c r="G28" s="383">
        <v>0</v>
      </c>
    </row>
    <row r="29" spans="1:7" ht="18.75" customHeight="1">
      <c r="A29" s="46" t="s">
        <v>68</v>
      </c>
      <c r="B29" s="38"/>
      <c r="C29" s="80" t="s">
        <v>22</v>
      </c>
      <c r="D29" s="384" t="s">
        <v>210</v>
      </c>
      <c r="E29" s="383">
        <v>29209111</v>
      </c>
      <c r="F29" s="383">
        <v>0</v>
      </c>
      <c r="G29" s="383">
        <v>0</v>
      </c>
    </row>
    <row r="30" spans="1:7" ht="18.75" customHeight="1">
      <c r="A30" s="46" t="s">
        <v>71</v>
      </c>
      <c r="B30" s="38"/>
      <c r="C30" s="80" t="s">
        <v>23</v>
      </c>
      <c r="D30" s="384" t="s">
        <v>211</v>
      </c>
      <c r="E30" s="383">
        <v>5463266</v>
      </c>
      <c r="F30" s="383">
        <v>0</v>
      </c>
      <c r="G30" s="383">
        <v>0</v>
      </c>
    </row>
    <row r="31" spans="1:7" ht="29.25" customHeight="1">
      <c r="A31" s="48" t="s">
        <v>73</v>
      </c>
      <c r="B31" s="38"/>
      <c r="C31" s="80" t="s">
        <v>52</v>
      </c>
      <c r="D31" s="384" t="s">
        <v>212</v>
      </c>
      <c r="E31" s="383">
        <v>490664501</v>
      </c>
      <c r="F31" s="383">
        <f>490664501-3874897-432978284</f>
        <v>53811320</v>
      </c>
      <c r="G31" s="383">
        <v>0</v>
      </c>
    </row>
    <row r="32" spans="1:7" ht="18.75" customHeight="1">
      <c r="A32" s="46" t="s">
        <v>75</v>
      </c>
      <c r="B32" s="38"/>
      <c r="C32" s="80" t="s">
        <v>54</v>
      </c>
      <c r="D32" s="384" t="s">
        <v>213</v>
      </c>
      <c r="E32" s="383">
        <v>14959283</v>
      </c>
      <c r="F32" s="383">
        <v>0</v>
      </c>
      <c r="G32" s="383">
        <v>0</v>
      </c>
    </row>
    <row r="33" spans="1:8" ht="18.75" customHeight="1">
      <c r="A33" s="46" t="s">
        <v>77</v>
      </c>
      <c r="B33" s="38"/>
      <c r="C33" s="80" t="s">
        <v>48</v>
      </c>
      <c r="D33" s="384" t="s">
        <v>214</v>
      </c>
      <c r="E33" s="383">
        <v>365339040</v>
      </c>
      <c r="F33" s="383">
        <f>365339040-27685975-269955890</f>
        <v>67697175</v>
      </c>
      <c r="G33" s="383">
        <v>0</v>
      </c>
      <c r="H33" s="110"/>
    </row>
    <row r="34" spans="1:7" ht="32.25" customHeight="1">
      <c r="A34" s="46" t="s">
        <v>78</v>
      </c>
      <c r="B34" s="38"/>
      <c r="C34" s="80" t="s">
        <v>24</v>
      </c>
      <c r="D34" s="384" t="s">
        <v>215</v>
      </c>
      <c r="E34" s="383">
        <v>289108508</v>
      </c>
      <c r="F34" s="383">
        <f>289108508-12039600-241618963</f>
        <v>35449945</v>
      </c>
      <c r="G34" s="383">
        <v>0</v>
      </c>
    </row>
    <row r="35" spans="1:7" ht="18.75" customHeight="1">
      <c r="A35" s="48" t="s">
        <v>79</v>
      </c>
      <c r="B35" s="38"/>
      <c r="C35" s="80" t="s">
        <v>26</v>
      </c>
      <c r="D35" s="384" t="s">
        <v>216</v>
      </c>
      <c r="E35" s="383">
        <v>204311448</v>
      </c>
      <c r="F35" s="383">
        <v>0</v>
      </c>
      <c r="G35" s="383">
        <v>0</v>
      </c>
    </row>
    <row r="36" spans="1:7" ht="18.75" customHeight="1">
      <c r="A36" s="46" t="s">
        <v>80</v>
      </c>
      <c r="B36" s="38"/>
      <c r="C36" s="80" t="s">
        <v>28</v>
      </c>
      <c r="D36" s="384" t="s">
        <v>217</v>
      </c>
      <c r="E36" s="383">
        <v>47840900</v>
      </c>
      <c r="F36" s="383">
        <f>47840900-381000-1755000-37428741</f>
        <v>8276159</v>
      </c>
      <c r="G36" s="383">
        <v>0</v>
      </c>
    </row>
    <row r="37" spans="1:7" ht="18.75" customHeight="1">
      <c r="A37" s="46" t="s">
        <v>86</v>
      </c>
      <c r="B37" s="38"/>
      <c r="C37" s="80" t="s">
        <v>31</v>
      </c>
      <c r="D37" s="384" t="s">
        <v>218</v>
      </c>
      <c r="E37" s="383">
        <v>50727496</v>
      </c>
      <c r="F37" s="383">
        <v>0</v>
      </c>
      <c r="G37" s="383">
        <v>0</v>
      </c>
    </row>
    <row r="38" spans="1:7" ht="18.75" customHeight="1">
      <c r="A38" s="46" t="s">
        <v>204</v>
      </c>
      <c r="B38" s="38"/>
      <c r="C38" s="80" t="s">
        <v>49</v>
      </c>
      <c r="D38" s="384" t="s">
        <v>219</v>
      </c>
      <c r="E38" s="383">
        <v>357939512</v>
      </c>
      <c r="F38" s="383">
        <v>0</v>
      </c>
      <c r="G38" s="383">
        <v>0</v>
      </c>
    </row>
    <row r="39" spans="1:7" ht="18.75" customHeight="1">
      <c r="A39" s="48" t="s">
        <v>111</v>
      </c>
      <c r="B39" s="38"/>
      <c r="C39" s="80" t="s">
        <v>33</v>
      </c>
      <c r="D39" s="384" t="s">
        <v>220</v>
      </c>
      <c r="E39" s="383">
        <v>90506</v>
      </c>
      <c r="F39" s="383">
        <f>90506-84545</f>
        <v>5961</v>
      </c>
      <c r="G39" s="383">
        <v>0</v>
      </c>
    </row>
    <row r="40" spans="1:7" ht="18.75" customHeight="1">
      <c r="A40" s="46" t="s">
        <v>205</v>
      </c>
      <c r="B40" s="38"/>
      <c r="C40" s="80" t="s">
        <v>35</v>
      </c>
      <c r="D40" s="384" t="s">
        <v>221</v>
      </c>
      <c r="E40" s="383">
        <v>269967100</v>
      </c>
      <c r="F40" s="383">
        <f>269967100-59880886-188401268</f>
        <v>21684946</v>
      </c>
      <c r="G40" s="383">
        <v>0</v>
      </c>
    </row>
    <row r="41" spans="1:7" ht="18.75" customHeight="1">
      <c r="A41" s="46" t="s">
        <v>231</v>
      </c>
      <c r="B41" s="38"/>
      <c r="C41" s="80" t="s">
        <v>59</v>
      </c>
      <c r="D41" s="384" t="s">
        <v>222</v>
      </c>
      <c r="E41" s="383">
        <v>6395965</v>
      </c>
      <c r="F41" s="383">
        <v>6395965</v>
      </c>
      <c r="G41" s="383">
        <v>0</v>
      </c>
    </row>
    <row r="42" spans="1:7" ht="18.75" customHeight="1">
      <c r="A42" s="46" t="s">
        <v>112</v>
      </c>
      <c r="B42" s="38"/>
      <c r="C42" s="80" t="s">
        <v>60</v>
      </c>
      <c r="D42" s="384" t="s">
        <v>223</v>
      </c>
      <c r="E42" s="383">
        <v>149781735</v>
      </c>
      <c r="F42" s="383">
        <v>0</v>
      </c>
      <c r="G42" s="383">
        <v>0</v>
      </c>
    </row>
    <row r="43" spans="1:9" ht="18.75" customHeight="1">
      <c r="A43" s="48" t="s">
        <v>113</v>
      </c>
      <c r="B43" s="38"/>
      <c r="C43" s="80" t="s">
        <v>61</v>
      </c>
      <c r="D43" s="384" t="s">
        <v>224</v>
      </c>
      <c r="E43" s="383">
        <v>168555563</v>
      </c>
      <c r="F43" s="383">
        <f>35771165+27021738</f>
        <v>62792903</v>
      </c>
      <c r="G43" s="383">
        <v>0</v>
      </c>
      <c r="H43" s="110"/>
      <c r="I43" s="194"/>
    </row>
    <row r="44" spans="1:9" ht="18.75" customHeight="1">
      <c r="A44" s="46" t="s">
        <v>114</v>
      </c>
      <c r="B44" s="38"/>
      <c r="C44" s="80" t="s">
        <v>62</v>
      </c>
      <c r="D44" s="384" t="s">
        <v>225</v>
      </c>
      <c r="E44" s="383">
        <v>27325651</v>
      </c>
      <c r="F44" s="383">
        <f>27325651-18205201+3971387</f>
        <v>13091837</v>
      </c>
      <c r="G44" s="383">
        <v>0</v>
      </c>
      <c r="I44" s="110"/>
    </row>
    <row r="45" spans="1:8" ht="18.75" customHeight="1">
      <c r="A45" s="46" t="s">
        <v>115</v>
      </c>
      <c r="B45" s="38"/>
      <c r="C45" s="80" t="s">
        <v>63</v>
      </c>
      <c r="D45" s="384" t="s">
        <v>180</v>
      </c>
      <c r="E45" s="383">
        <v>13970000</v>
      </c>
      <c r="F45" s="383">
        <v>0</v>
      </c>
      <c r="G45" s="383">
        <v>0</v>
      </c>
      <c r="H45" s="110"/>
    </row>
    <row r="46" spans="1:8" ht="30" customHeight="1">
      <c r="A46" s="46" t="s">
        <v>232</v>
      </c>
      <c r="B46" s="38"/>
      <c r="C46" s="80" t="s">
        <v>64</v>
      </c>
      <c r="D46" s="384" t="s">
        <v>226</v>
      </c>
      <c r="E46" s="383">
        <v>5000000</v>
      </c>
      <c r="F46" s="383">
        <v>817500</v>
      </c>
      <c r="G46" s="383">
        <v>0</v>
      </c>
      <c r="H46" s="110"/>
    </row>
    <row r="47" spans="1:7" ht="18.75" customHeight="1">
      <c r="A47" s="48" t="s">
        <v>116</v>
      </c>
      <c r="B47" s="38"/>
      <c r="C47" s="80" t="s">
        <v>65</v>
      </c>
      <c r="D47" s="384" t="s">
        <v>227</v>
      </c>
      <c r="E47" s="383">
        <v>5154549</v>
      </c>
      <c r="F47" s="383">
        <v>0</v>
      </c>
      <c r="G47" s="383">
        <v>0</v>
      </c>
    </row>
    <row r="48" spans="1:7" ht="18.75" customHeight="1">
      <c r="A48" s="46" t="s">
        <v>233</v>
      </c>
      <c r="B48" s="38"/>
      <c r="C48" s="80" t="s">
        <v>66</v>
      </c>
      <c r="D48" s="384" t="s">
        <v>228</v>
      </c>
      <c r="E48" s="383">
        <v>13937000</v>
      </c>
      <c r="F48" s="383">
        <v>13937000</v>
      </c>
      <c r="G48" s="383">
        <v>0</v>
      </c>
    </row>
    <row r="49" spans="1:7" ht="18.75" customHeight="1">
      <c r="A49" s="46" t="s">
        <v>237</v>
      </c>
      <c r="B49" s="38"/>
      <c r="C49" s="80" t="s">
        <v>68</v>
      </c>
      <c r="D49" s="384" t="s">
        <v>229</v>
      </c>
      <c r="E49" s="383">
        <v>15823781</v>
      </c>
      <c r="F49" s="383">
        <f>15823781-12488836-685800</f>
        <v>2649145</v>
      </c>
      <c r="G49" s="383">
        <v>0</v>
      </c>
    </row>
    <row r="50" spans="1:7" ht="18.75" customHeight="1">
      <c r="A50" s="46" t="s">
        <v>238</v>
      </c>
      <c r="B50" s="38"/>
      <c r="C50" s="80" t="s">
        <v>71</v>
      </c>
      <c r="D50" s="384" t="s">
        <v>331</v>
      </c>
      <c r="E50" s="383">
        <v>22383651</v>
      </c>
      <c r="F50" s="383">
        <v>0</v>
      </c>
      <c r="G50" s="383">
        <v>0</v>
      </c>
    </row>
    <row r="51" spans="1:7" ht="18.75" customHeight="1">
      <c r="A51" s="48" t="s">
        <v>239</v>
      </c>
      <c r="B51" s="38"/>
      <c r="C51" s="80" t="s">
        <v>73</v>
      </c>
      <c r="D51" s="384" t="s">
        <v>330</v>
      </c>
      <c r="E51" s="383">
        <v>36111925</v>
      </c>
      <c r="F51" s="383">
        <v>0</v>
      </c>
      <c r="G51" s="383">
        <v>0</v>
      </c>
    </row>
    <row r="52" spans="1:7" ht="18.75" customHeight="1">
      <c r="A52" s="46" t="s">
        <v>240</v>
      </c>
      <c r="B52" s="38"/>
      <c r="C52" s="80" t="s">
        <v>75</v>
      </c>
      <c r="D52" s="384" t="s">
        <v>245</v>
      </c>
      <c r="E52" s="383">
        <v>40691455</v>
      </c>
      <c r="F52" s="383">
        <v>40691455</v>
      </c>
      <c r="G52" s="383">
        <v>0</v>
      </c>
    </row>
    <row r="53" spans="1:7" ht="18.75" customHeight="1">
      <c r="A53" s="46" t="s">
        <v>241</v>
      </c>
      <c r="B53" s="38"/>
      <c r="C53" s="80" t="s">
        <v>77</v>
      </c>
      <c r="D53" s="384" t="s">
        <v>246</v>
      </c>
      <c r="E53" s="383">
        <v>33500000</v>
      </c>
      <c r="F53" s="383">
        <v>33500000</v>
      </c>
      <c r="G53" s="383">
        <v>0</v>
      </c>
    </row>
    <row r="54" spans="1:7" ht="18.75" customHeight="1">
      <c r="A54" s="46" t="s">
        <v>242</v>
      </c>
      <c r="B54" s="38"/>
      <c r="C54" s="80" t="s">
        <v>79</v>
      </c>
      <c r="D54" s="384" t="s">
        <v>230</v>
      </c>
      <c r="E54" s="383">
        <v>38315907</v>
      </c>
      <c r="F54" s="383">
        <v>38315907</v>
      </c>
      <c r="G54" s="383">
        <v>0</v>
      </c>
    </row>
    <row r="55" spans="1:7" ht="31.5" customHeight="1">
      <c r="A55" s="48" t="s">
        <v>243</v>
      </c>
      <c r="B55" s="38"/>
      <c r="C55" s="80" t="s">
        <v>80</v>
      </c>
      <c r="D55" s="384" t="s">
        <v>329</v>
      </c>
      <c r="E55" s="383">
        <v>0</v>
      </c>
      <c r="F55" s="383">
        <f>121383641+873+873</f>
        <v>121385387</v>
      </c>
      <c r="G55" s="383">
        <v>0</v>
      </c>
    </row>
    <row r="56" spans="1:7" ht="18.75" customHeight="1">
      <c r="A56" s="46" t="s">
        <v>244</v>
      </c>
      <c r="B56" s="38"/>
      <c r="C56" s="80" t="s">
        <v>86</v>
      </c>
      <c r="D56" s="384" t="s">
        <v>360</v>
      </c>
      <c r="E56" s="383">
        <v>0</v>
      </c>
      <c r="F56" s="383">
        <v>29999953</v>
      </c>
      <c r="G56" s="383">
        <v>0</v>
      </c>
    </row>
    <row r="57" spans="1:7" ht="18.75" customHeight="1">
      <c r="A57" s="46" t="s">
        <v>256</v>
      </c>
      <c r="B57" s="38"/>
      <c r="C57" s="80" t="s">
        <v>204</v>
      </c>
      <c r="D57" s="384" t="s">
        <v>362</v>
      </c>
      <c r="E57" s="383">
        <v>0</v>
      </c>
      <c r="F57" s="383">
        <v>-3872484</v>
      </c>
      <c r="G57" s="383">
        <v>0</v>
      </c>
    </row>
    <row r="58" spans="1:7" ht="18.75" customHeight="1">
      <c r="A58" s="46" t="s">
        <v>257</v>
      </c>
      <c r="B58" s="38"/>
      <c r="C58" s="80" t="s">
        <v>111</v>
      </c>
      <c r="D58" s="384" t="s">
        <v>363</v>
      </c>
      <c r="E58" s="383">
        <v>0</v>
      </c>
      <c r="F58" s="383">
        <v>-2252175</v>
      </c>
      <c r="G58" s="383">
        <v>0</v>
      </c>
    </row>
    <row r="59" spans="1:7" ht="18.75" customHeight="1">
      <c r="A59" s="48" t="s">
        <v>338</v>
      </c>
      <c r="B59" s="38"/>
      <c r="C59" s="80" t="s">
        <v>205</v>
      </c>
      <c r="D59" s="384" t="s">
        <v>365</v>
      </c>
      <c r="E59" s="383">
        <v>0</v>
      </c>
      <c r="F59" s="383">
        <v>-874000</v>
      </c>
      <c r="G59" s="383">
        <v>0</v>
      </c>
    </row>
    <row r="60" spans="1:11" s="36" customFormat="1" ht="17.25" customHeight="1">
      <c r="A60" s="46" t="s">
        <v>339</v>
      </c>
      <c r="B60" s="193" t="s">
        <v>83</v>
      </c>
      <c r="C60" s="1015" t="s">
        <v>118</v>
      </c>
      <c r="D60" s="1014"/>
      <c r="E60" s="189">
        <f>SUM(E27:E59)</f>
        <v>2714793518</v>
      </c>
      <c r="F60" s="189">
        <f>SUM(F27:F59)</f>
        <v>543503899</v>
      </c>
      <c r="G60" s="189"/>
      <c r="H60" s="204"/>
      <c r="I60" s="204"/>
      <c r="J60" s="204"/>
      <c r="K60" s="204"/>
    </row>
    <row r="61" spans="1:7" s="36" customFormat="1" ht="21.75" customHeight="1">
      <c r="A61" s="46" t="s">
        <v>340</v>
      </c>
      <c r="B61" s="41" t="s">
        <v>84</v>
      </c>
      <c r="C61" s="1013" t="s">
        <v>92</v>
      </c>
      <c r="D61" s="1014"/>
      <c r="E61" s="42">
        <f>E24+E60</f>
        <v>2797322957</v>
      </c>
      <c r="F61" s="189">
        <f>F24+F60</f>
        <v>652886760</v>
      </c>
      <c r="G61" s="189"/>
    </row>
    <row r="62" spans="3:7" ht="18.75" customHeight="1" hidden="1">
      <c r="C62" s="31"/>
      <c r="D62" s="31"/>
      <c r="E62" s="31"/>
      <c r="F62" s="194">
        <f>2!AH17+2!S17</f>
        <v>652886760</v>
      </c>
      <c r="G62" s="194"/>
    </row>
    <row r="63" spans="3:8" ht="18.75" customHeight="1" hidden="1">
      <c r="C63" s="31"/>
      <c r="D63" s="31"/>
      <c r="E63" s="31"/>
      <c r="F63" s="269">
        <f>F61-F62</f>
        <v>0</v>
      </c>
      <c r="G63" s="110" t="s">
        <v>358</v>
      </c>
      <c r="H63" s="31" t="s">
        <v>367</v>
      </c>
    </row>
    <row r="64" spans="3:7" ht="18.75" customHeight="1">
      <c r="C64" s="31"/>
      <c r="D64" s="31"/>
      <c r="E64" s="31"/>
      <c r="F64" s="194"/>
      <c r="G64" s="31"/>
    </row>
    <row r="65" spans="3:7" ht="18.75" customHeight="1">
      <c r="C65" s="31"/>
      <c r="D65" s="31"/>
      <c r="E65" s="31"/>
      <c r="F65" s="110"/>
      <c r="G65" s="31"/>
    </row>
    <row r="66" spans="3:7" ht="18.75" customHeight="1">
      <c r="C66" s="31"/>
      <c r="D66" s="31"/>
      <c r="E66" s="31"/>
      <c r="F66" s="31"/>
      <c r="G66" s="31"/>
    </row>
    <row r="67" spans="3:7" ht="18.75" customHeight="1">
      <c r="C67" s="31"/>
      <c r="D67" s="31"/>
      <c r="E67" s="31"/>
      <c r="F67" s="31"/>
      <c r="G67" s="31"/>
    </row>
    <row r="68" spans="3:7" ht="18.75" customHeight="1">
      <c r="C68" s="31"/>
      <c r="D68" s="31"/>
      <c r="E68" s="31"/>
      <c r="F68" s="31"/>
      <c r="G68" s="31"/>
    </row>
    <row r="69" spans="3:7" ht="38.25" customHeight="1">
      <c r="C69" s="33"/>
      <c r="D69" s="31"/>
      <c r="E69" s="31"/>
      <c r="F69" s="31"/>
      <c r="G69" s="31"/>
    </row>
    <row r="70" spans="3:7" ht="18.75" customHeight="1">
      <c r="C70" s="31"/>
      <c r="D70" s="31"/>
      <c r="E70" s="31"/>
      <c r="F70" s="31"/>
      <c r="G70" s="31"/>
    </row>
    <row r="71" spans="3:7" ht="18.75" customHeight="1">
      <c r="C71" s="31"/>
      <c r="D71" s="43"/>
      <c r="E71" s="31"/>
      <c r="F71" s="31"/>
      <c r="G71" s="31"/>
    </row>
    <row r="72" spans="3:7" ht="18.75" customHeight="1">
      <c r="C72" s="31"/>
      <c r="D72" s="43"/>
      <c r="E72" s="31"/>
      <c r="F72" s="31"/>
      <c r="G72" s="31"/>
    </row>
    <row r="73" spans="3:7" ht="18.75" customHeight="1">
      <c r="C73" s="31"/>
      <c r="D73" s="31"/>
      <c r="E73" s="31"/>
      <c r="F73" s="31"/>
      <c r="G73" s="31"/>
    </row>
    <row r="74" spans="3:7" ht="18.75" customHeight="1">
      <c r="C74" s="31"/>
      <c r="D74" s="31"/>
      <c r="E74" s="31"/>
      <c r="F74" s="31"/>
      <c r="G74" s="31"/>
    </row>
    <row r="75" spans="3:7" ht="18.75" customHeight="1">
      <c r="C75" s="31"/>
      <c r="D75" s="31"/>
      <c r="E75" s="31"/>
      <c r="F75" s="31"/>
      <c r="G75" s="31"/>
    </row>
    <row r="76" spans="3:7" ht="18.75" customHeight="1">
      <c r="C76" s="31"/>
      <c r="D76" s="31"/>
      <c r="E76" s="31"/>
      <c r="F76" s="31"/>
      <c r="G76" s="31"/>
    </row>
    <row r="77" spans="3:7" ht="18.75" customHeight="1">
      <c r="C77" s="31"/>
      <c r="D77" s="31"/>
      <c r="E77" s="31"/>
      <c r="F77" s="31"/>
      <c r="G77" s="31"/>
    </row>
    <row r="78" spans="3:7" ht="18.75" customHeight="1">
      <c r="C78" s="31"/>
      <c r="D78" s="31"/>
      <c r="E78" s="31"/>
      <c r="F78" s="31"/>
      <c r="G78" s="31"/>
    </row>
    <row r="79" spans="3:7" ht="18.75" customHeight="1">
      <c r="C79" s="31"/>
      <c r="D79" s="31"/>
      <c r="E79" s="31"/>
      <c r="F79" s="31"/>
      <c r="G79" s="31"/>
    </row>
    <row r="80" spans="3:7" ht="18.75" customHeight="1">
      <c r="C80" s="31"/>
      <c r="D80" s="31"/>
      <c r="E80" s="31"/>
      <c r="F80" s="31"/>
      <c r="G80" s="31"/>
    </row>
    <row r="81" spans="3:7" ht="18.75" customHeight="1">
      <c r="C81" s="31"/>
      <c r="D81" s="31"/>
      <c r="E81" s="31"/>
      <c r="F81" s="31"/>
      <c r="G81" s="31"/>
    </row>
    <row r="82" spans="3:7" ht="18.75" customHeight="1">
      <c r="C82" s="31"/>
      <c r="D82" s="31"/>
      <c r="E82" s="31"/>
      <c r="F82" s="31"/>
      <c r="G82" s="31"/>
    </row>
    <row r="83" spans="3:7" ht="18.75" customHeight="1">
      <c r="C83" s="31"/>
      <c r="D83" s="31"/>
      <c r="E83" s="31"/>
      <c r="F83" s="31"/>
      <c r="G83" s="31"/>
    </row>
    <row r="84" spans="3:7" ht="18.75" customHeight="1">
      <c r="C84" s="31"/>
      <c r="D84" s="31"/>
      <c r="E84" s="31"/>
      <c r="F84" s="31"/>
      <c r="G84" s="31"/>
    </row>
    <row r="85" spans="3:7" ht="18.75" customHeight="1">
      <c r="C85" s="31"/>
      <c r="D85" s="31"/>
      <c r="E85" s="31"/>
      <c r="F85" s="31"/>
      <c r="G85" s="31"/>
    </row>
    <row r="86" spans="3:7" ht="18.75" customHeight="1">
      <c r="C86" s="31"/>
      <c r="D86" s="31"/>
      <c r="E86" s="31"/>
      <c r="F86" s="31"/>
      <c r="G86" s="31"/>
    </row>
    <row r="87" spans="3:7" ht="18.75" customHeight="1">
      <c r="C87" s="31"/>
      <c r="D87" s="31"/>
      <c r="E87" s="31"/>
      <c r="F87" s="31"/>
      <c r="G87" s="31"/>
    </row>
    <row r="88" spans="3:7" ht="18.75" customHeight="1">
      <c r="C88" s="31"/>
      <c r="D88" s="31"/>
      <c r="E88" s="31"/>
      <c r="F88" s="31"/>
      <c r="G88" s="31"/>
    </row>
    <row r="89" spans="3:7" ht="18.75" customHeight="1">
      <c r="C89" s="31"/>
      <c r="D89" s="31"/>
      <c r="E89" s="31"/>
      <c r="F89" s="31"/>
      <c r="G89" s="31"/>
    </row>
    <row r="90" spans="3:7" ht="18.75" customHeight="1">
      <c r="C90" s="31"/>
      <c r="D90" s="31"/>
      <c r="E90" s="31"/>
      <c r="F90" s="31"/>
      <c r="G90" s="31"/>
    </row>
    <row r="91" spans="3:7" ht="18.75" customHeight="1">
      <c r="C91" s="31"/>
      <c r="D91" s="31"/>
      <c r="E91" s="31"/>
      <c r="F91" s="31"/>
      <c r="G91" s="31"/>
    </row>
    <row r="92" spans="3:7" ht="18.75" customHeight="1">
      <c r="C92" s="31"/>
      <c r="D92" s="31"/>
      <c r="E92" s="31"/>
      <c r="F92" s="31"/>
      <c r="G92" s="31"/>
    </row>
    <row r="93" spans="3:7" ht="18.75" customHeight="1">
      <c r="C93" s="31"/>
      <c r="D93" s="31"/>
      <c r="E93" s="31"/>
      <c r="F93" s="31"/>
      <c r="G93" s="31"/>
    </row>
    <row r="94" spans="3:7" ht="18.75" customHeight="1">
      <c r="C94" s="31"/>
      <c r="D94" s="31"/>
      <c r="E94" s="31"/>
      <c r="F94" s="31"/>
      <c r="G94" s="31"/>
    </row>
    <row r="95" spans="3:7" ht="18.75" customHeight="1">
      <c r="C95" s="31"/>
      <c r="D95" s="31"/>
      <c r="E95" s="31"/>
      <c r="F95" s="31"/>
      <c r="G95" s="31"/>
    </row>
    <row r="96" spans="3:7" ht="18.75" customHeight="1">
      <c r="C96" s="31"/>
      <c r="D96" s="31"/>
      <c r="E96" s="31"/>
      <c r="F96" s="31"/>
      <c r="G96" s="31"/>
    </row>
    <row r="97" spans="3:7" ht="18.75" customHeight="1">
      <c r="C97" s="31"/>
      <c r="D97" s="31"/>
      <c r="E97" s="31"/>
      <c r="F97" s="31"/>
      <c r="G97" s="31"/>
    </row>
    <row r="98" spans="3:7" ht="18.75" customHeight="1">
      <c r="C98" s="31"/>
      <c r="D98" s="31"/>
      <c r="E98" s="31"/>
      <c r="F98" s="31"/>
      <c r="G98" s="31"/>
    </row>
  </sheetData>
  <sheetProtection/>
  <mergeCells count="10">
    <mergeCell ref="B7:D7"/>
    <mergeCell ref="A3:G3"/>
    <mergeCell ref="A4:G4"/>
    <mergeCell ref="C61:D61"/>
    <mergeCell ref="C60:D60"/>
    <mergeCell ref="B8:D8"/>
    <mergeCell ref="B9:D9"/>
    <mergeCell ref="B24:D24"/>
    <mergeCell ref="B25:D25"/>
    <mergeCell ref="B26:D26"/>
  </mergeCells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3" ySplit="9" topLeftCell="D10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N1" sqref="N1"/>
    </sheetView>
  </sheetViews>
  <sheetFormatPr defaultColWidth="9.140625" defaultRowHeight="12.75"/>
  <cols>
    <col min="1" max="1" width="4.00390625" style="87" customWidth="1"/>
    <col min="2" max="2" width="4.7109375" style="89" customWidth="1"/>
    <col min="3" max="3" width="44.00390625" style="87" customWidth="1"/>
    <col min="4" max="5" width="8.00390625" style="87" customWidth="1"/>
    <col min="6" max="7" width="10.28125" style="87" customWidth="1"/>
    <col min="8" max="9" width="8.57421875" style="87" customWidth="1"/>
    <col min="10" max="11" width="9.8515625" style="87" customWidth="1"/>
    <col min="12" max="13" width="8.28125" style="87" customWidth="1"/>
    <col min="14" max="15" width="10.57421875" style="87" customWidth="1"/>
    <col min="16" max="16384" width="9.140625" style="87" customWidth="1"/>
  </cols>
  <sheetData>
    <row r="1" spans="1:15" ht="23.25" customHeight="1">
      <c r="A1" s="86"/>
      <c r="B1" s="31"/>
      <c r="C1" s="31"/>
      <c r="D1" s="31"/>
      <c r="E1" s="31"/>
      <c r="F1" s="31"/>
      <c r="G1" s="66"/>
      <c r="H1" s="66"/>
      <c r="I1" s="66"/>
      <c r="J1" s="66"/>
      <c r="K1" s="66"/>
      <c r="L1" s="66"/>
      <c r="M1" s="66"/>
      <c r="N1" s="66"/>
      <c r="O1" s="101" t="s">
        <v>863</v>
      </c>
    </row>
    <row r="2" ht="10.5" customHeight="1">
      <c r="A2" s="88"/>
    </row>
    <row r="3" spans="1:15" ht="22.5" customHeight="1">
      <c r="A3" s="1022" t="s">
        <v>490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</row>
    <row r="4" spans="1:15" ht="13.5" customHeight="1">
      <c r="A4" s="88"/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</row>
    <row r="5" spans="1:15" s="89" customFormat="1" ht="16.5" customHeight="1">
      <c r="A5" s="301"/>
      <c r="B5" s="302" t="s">
        <v>382</v>
      </c>
      <c r="C5" s="301" t="s">
        <v>1</v>
      </c>
      <c r="D5" s="301" t="s">
        <v>2</v>
      </c>
      <c r="E5" s="301" t="s">
        <v>3</v>
      </c>
      <c r="F5" s="301" t="s">
        <v>4</v>
      </c>
      <c r="G5" s="301" t="s">
        <v>5</v>
      </c>
      <c r="H5" s="301" t="s">
        <v>81</v>
      </c>
      <c r="I5" s="301" t="s">
        <v>6</v>
      </c>
      <c r="J5" s="301" t="s">
        <v>7</v>
      </c>
      <c r="K5" s="301" t="s">
        <v>39</v>
      </c>
      <c r="L5" s="301" t="s">
        <v>8</v>
      </c>
      <c r="M5" s="301" t="s">
        <v>94</v>
      </c>
      <c r="N5" s="301" t="s">
        <v>40</v>
      </c>
      <c r="O5" s="301" t="s">
        <v>9</v>
      </c>
    </row>
    <row r="6" spans="1:15" ht="27.75" customHeight="1">
      <c r="A6" s="90" t="s">
        <v>10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</row>
    <row r="7" spans="1:15" ht="15.75" customHeight="1">
      <c r="A7" s="1023" t="s">
        <v>15</v>
      </c>
      <c r="B7" s="1027"/>
      <c r="C7" s="1029" t="s">
        <v>11</v>
      </c>
      <c r="D7" s="1031" t="s">
        <v>128</v>
      </c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1"/>
    </row>
    <row r="8" spans="1:15" ht="19.5" customHeight="1">
      <c r="A8" s="1024"/>
      <c r="B8" s="1027"/>
      <c r="C8" s="1029"/>
      <c r="D8" s="1031" t="s">
        <v>93</v>
      </c>
      <c r="E8" s="1031"/>
      <c r="F8" s="1031"/>
      <c r="G8" s="1031"/>
      <c r="H8" s="1031" t="s">
        <v>95</v>
      </c>
      <c r="I8" s="1031"/>
      <c r="J8" s="1031"/>
      <c r="K8" s="1031"/>
      <c r="L8" s="1031" t="s">
        <v>96</v>
      </c>
      <c r="M8" s="1031"/>
      <c r="N8" s="1031"/>
      <c r="O8" s="1031"/>
    </row>
    <row r="9" spans="1:15" ht="140.25" customHeight="1">
      <c r="A9" s="1025"/>
      <c r="B9" s="1028"/>
      <c r="C9" s="1030"/>
      <c r="D9" s="78" t="s">
        <v>97</v>
      </c>
      <c r="E9" s="78" t="s">
        <v>98</v>
      </c>
      <c r="F9" s="79" t="s">
        <v>99</v>
      </c>
      <c r="G9" s="79" t="s">
        <v>100</v>
      </c>
      <c r="H9" s="78" t="s">
        <v>97</v>
      </c>
      <c r="I9" s="78" t="s">
        <v>98</v>
      </c>
      <c r="J9" s="79" t="s">
        <v>99</v>
      </c>
      <c r="K9" s="79" t="s">
        <v>100</v>
      </c>
      <c r="L9" s="78" t="s">
        <v>101</v>
      </c>
      <c r="M9" s="78" t="s">
        <v>98</v>
      </c>
      <c r="N9" s="79" t="s">
        <v>99</v>
      </c>
      <c r="O9" s="79" t="s">
        <v>100</v>
      </c>
    </row>
    <row r="10" spans="1:15" ht="27.75" customHeight="1">
      <c r="A10" s="90" t="s">
        <v>22</v>
      </c>
      <c r="B10" s="80">
        <v>1</v>
      </c>
      <c r="C10" s="94" t="s">
        <v>135</v>
      </c>
      <c r="D10" s="95">
        <v>96</v>
      </c>
      <c r="E10" s="95">
        <v>12</v>
      </c>
      <c r="F10" s="96">
        <f>SUM(D10:E10)</f>
        <v>108</v>
      </c>
      <c r="G10" s="96">
        <v>104</v>
      </c>
      <c r="H10" s="81">
        <v>96</v>
      </c>
      <c r="I10" s="81">
        <v>12</v>
      </c>
      <c r="J10" s="82">
        <f>SUM(H10:I10)</f>
        <v>108</v>
      </c>
      <c r="K10" s="82">
        <v>104</v>
      </c>
      <c r="L10" s="831">
        <v>93</v>
      </c>
      <c r="M10" s="831">
        <v>9</v>
      </c>
      <c r="N10" s="832">
        <f>SUM(L10:M10)</f>
        <v>102</v>
      </c>
      <c r="O10" s="84">
        <v>100</v>
      </c>
    </row>
    <row r="11" spans="1:15" ht="27.75" customHeight="1">
      <c r="A11" s="90" t="s">
        <v>23</v>
      </c>
      <c r="B11" s="80">
        <v>2</v>
      </c>
      <c r="C11" s="97" t="s">
        <v>102</v>
      </c>
      <c r="D11" s="98">
        <v>17</v>
      </c>
      <c r="E11" s="98">
        <v>0</v>
      </c>
      <c r="F11" s="96">
        <f>SUM(D11:E11)</f>
        <v>17</v>
      </c>
      <c r="G11" s="96">
        <v>17</v>
      </c>
      <c r="H11" s="82">
        <v>17</v>
      </c>
      <c r="I11" s="82">
        <v>0</v>
      </c>
      <c r="J11" s="82">
        <f>SUM(H11:I11)</f>
        <v>17</v>
      </c>
      <c r="K11" s="82">
        <v>17</v>
      </c>
      <c r="L11" s="83">
        <v>17</v>
      </c>
      <c r="M11" s="83">
        <v>0</v>
      </c>
      <c r="N11" s="84">
        <f>SUM(L11:M11)</f>
        <v>17</v>
      </c>
      <c r="O11" s="84">
        <v>17</v>
      </c>
    </row>
    <row r="12" spans="1:15" ht="27.75" customHeight="1">
      <c r="A12" s="90" t="s">
        <v>52</v>
      </c>
      <c r="B12" s="80">
        <v>3</v>
      </c>
      <c r="C12" s="97" t="s">
        <v>29</v>
      </c>
      <c r="D12" s="95">
        <v>7</v>
      </c>
      <c r="E12" s="95">
        <v>1</v>
      </c>
      <c r="F12" s="96">
        <f>SUM(D12:E12)</f>
        <v>8</v>
      </c>
      <c r="G12" s="96">
        <v>8</v>
      </c>
      <c r="H12" s="82">
        <v>7</v>
      </c>
      <c r="I12" s="82">
        <v>1</v>
      </c>
      <c r="J12" s="82">
        <f>SUM(H12:I12)</f>
        <v>8</v>
      </c>
      <c r="K12" s="82">
        <v>8</v>
      </c>
      <c r="L12" s="84">
        <v>7</v>
      </c>
      <c r="M12" s="84">
        <v>1</v>
      </c>
      <c r="N12" s="84">
        <f>SUM(L12:M12)</f>
        <v>8</v>
      </c>
      <c r="O12" s="84">
        <v>8</v>
      </c>
    </row>
    <row r="13" spans="1:15" ht="27.75" customHeight="1">
      <c r="A13" s="90" t="s">
        <v>54</v>
      </c>
      <c r="B13" s="80">
        <v>4</v>
      </c>
      <c r="C13" s="97" t="s">
        <v>27</v>
      </c>
      <c r="D13" s="95">
        <v>2</v>
      </c>
      <c r="E13" s="95">
        <v>5</v>
      </c>
      <c r="F13" s="96">
        <f>SUM(D13:E13)</f>
        <v>7</v>
      </c>
      <c r="G13" s="96">
        <v>5</v>
      </c>
      <c r="H13" s="82">
        <v>2</v>
      </c>
      <c r="I13" s="82">
        <v>5</v>
      </c>
      <c r="J13" s="82">
        <f>SUM(H13:I13)</f>
        <v>7</v>
      </c>
      <c r="K13" s="82">
        <v>5</v>
      </c>
      <c r="L13" s="84">
        <v>2</v>
      </c>
      <c r="M13" s="84">
        <v>5</v>
      </c>
      <c r="N13" s="84">
        <f>SUM(L13:M13)</f>
        <v>7</v>
      </c>
      <c r="O13" s="84">
        <v>5</v>
      </c>
    </row>
    <row r="14" spans="1:15" ht="37.5" customHeight="1">
      <c r="A14" s="90" t="s">
        <v>24</v>
      </c>
      <c r="B14" s="85"/>
      <c r="C14" s="99" t="s">
        <v>103</v>
      </c>
      <c r="D14" s="96">
        <f>SUM(D10:D13)</f>
        <v>122</v>
      </c>
      <c r="E14" s="96">
        <f>SUM(E10:E13)</f>
        <v>18</v>
      </c>
      <c r="F14" s="96">
        <f>SUM(F10:F13)</f>
        <v>140</v>
      </c>
      <c r="G14" s="96">
        <f>SUM(G10:G13)</f>
        <v>134</v>
      </c>
      <c r="H14" s="96">
        <f aca="true" t="shared" si="0" ref="H14:O14">SUM(H10:H13)</f>
        <v>122</v>
      </c>
      <c r="I14" s="96">
        <f t="shared" si="0"/>
        <v>18</v>
      </c>
      <c r="J14" s="96">
        <f t="shared" si="0"/>
        <v>140</v>
      </c>
      <c r="K14" s="96">
        <f t="shared" si="0"/>
        <v>134</v>
      </c>
      <c r="L14" s="96">
        <f t="shared" si="0"/>
        <v>119</v>
      </c>
      <c r="M14" s="96">
        <f t="shared" si="0"/>
        <v>15</v>
      </c>
      <c r="N14" s="96">
        <f t="shared" si="0"/>
        <v>134</v>
      </c>
      <c r="O14" s="96">
        <f t="shared" si="0"/>
        <v>130</v>
      </c>
    </row>
    <row r="15" spans="1:15" ht="25.5" customHeight="1">
      <c r="A15" s="90" t="s">
        <v>26</v>
      </c>
      <c r="B15" s="80">
        <v>5</v>
      </c>
      <c r="C15" s="97" t="s">
        <v>32</v>
      </c>
      <c r="D15" s="95">
        <v>71</v>
      </c>
      <c r="E15" s="95">
        <v>0</v>
      </c>
      <c r="F15" s="96">
        <f>SUM(D15:E15)</f>
        <v>71</v>
      </c>
      <c r="G15" s="96">
        <v>71</v>
      </c>
      <c r="H15" s="82">
        <v>71</v>
      </c>
      <c r="I15" s="82"/>
      <c r="J15" s="82">
        <f>SUM(H15:I15)</f>
        <v>71</v>
      </c>
      <c r="K15" s="82">
        <v>71</v>
      </c>
      <c r="L15" s="84">
        <v>67</v>
      </c>
      <c r="M15" s="84">
        <v>0</v>
      </c>
      <c r="N15" s="84">
        <f>SUM(L15:M15)</f>
        <v>67</v>
      </c>
      <c r="O15" s="84">
        <v>67</v>
      </c>
    </row>
    <row r="16" spans="1:15" ht="25.5" customHeight="1">
      <c r="A16" s="90" t="s">
        <v>28</v>
      </c>
      <c r="B16" s="80">
        <v>6</v>
      </c>
      <c r="C16" s="97" t="s">
        <v>104</v>
      </c>
      <c r="D16" s="95">
        <v>9</v>
      </c>
      <c r="E16" s="95">
        <v>0</v>
      </c>
      <c r="F16" s="96">
        <f>SUM(D16:E16)</f>
        <v>9</v>
      </c>
      <c r="G16" s="96">
        <v>9</v>
      </c>
      <c r="H16" s="82">
        <v>9</v>
      </c>
      <c r="I16" s="82">
        <v>0</v>
      </c>
      <c r="J16" s="82">
        <f>SUM(H16:I16)</f>
        <v>9</v>
      </c>
      <c r="K16" s="82">
        <v>9</v>
      </c>
      <c r="L16" s="84">
        <v>9</v>
      </c>
      <c r="M16" s="84">
        <v>0</v>
      </c>
      <c r="N16" s="84">
        <f>SUM(L16:M16)</f>
        <v>9</v>
      </c>
      <c r="O16" s="82">
        <v>9</v>
      </c>
    </row>
    <row r="17" spans="1:15" ht="37.5" customHeight="1">
      <c r="A17" s="90" t="s">
        <v>31</v>
      </c>
      <c r="B17" s="80"/>
      <c r="C17" s="99" t="s">
        <v>234</v>
      </c>
      <c r="D17" s="96">
        <f>SUM(D14:D16)</f>
        <v>202</v>
      </c>
      <c r="E17" s="96">
        <f>SUM(E14:E16)</f>
        <v>18</v>
      </c>
      <c r="F17" s="96">
        <f>SUM(F14:F16)</f>
        <v>220</v>
      </c>
      <c r="G17" s="96">
        <f aca="true" t="shared" si="1" ref="G17:O17">SUM(G14:G16)</f>
        <v>214</v>
      </c>
      <c r="H17" s="96">
        <f t="shared" si="1"/>
        <v>202</v>
      </c>
      <c r="I17" s="96">
        <f t="shared" si="1"/>
        <v>18</v>
      </c>
      <c r="J17" s="96">
        <f t="shared" si="1"/>
        <v>220</v>
      </c>
      <c r="K17" s="96">
        <f t="shared" si="1"/>
        <v>214</v>
      </c>
      <c r="L17" s="96">
        <f t="shared" si="1"/>
        <v>195</v>
      </c>
      <c r="M17" s="96">
        <f t="shared" si="1"/>
        <v>15</v>
      </c>
      <c r="N17" s="96">
        <f t="shared" si="1"/>
        <v>210</v>
      </c>
      <c r="O17" s="96">
        <f t="shared" si="1"/>
        <v>206</v>
      </c>
    </row>
    <row r="18" spans="1:15" ht="26.25" customHeight="1">
      <c r="A18" s="90" t="s">
        <v>49</v>
      </c>
      <c r="B18" s="991" t="s">
        <v>383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1026"/>
    </row>
    <row r="19" spans="1:15" s="125" customFormat="1" ht="27" customHeight="1">
      <c r="A19" s="90" t="s">
        <v>33</v>
      </c>
      <c r="B19" s="122"/>
      <c r="C19" s="123" t="s">
        <v>34</v>
      </c>
      <c r="D19" s="123">
        <v>150</v>
      </c>
      <c r="E19" s="123"/>
      <c r="F19" s="124">
        <f>SUM(D19:E19)</f>
        <v>150</v>
      </c>
      <c r="G19" s="124">
        <v>150</v>
      </c>
      <c r="H19" s="123">
        <v>150</v>
      </c>
      <c r="I19" s="123"/>
      <c r="J19" s="124">
        <f>SUM(H19:I19)</f>
        <v>150</v>
      </c>
      <c r="K19" s="124">
        <v>150</v>
      </c>
      <c r="L19" s="123">
        <v>140</v>
      </c>
      <c r="M19" s="123"/>
      <c r="N19" s="124">
        <f>SUM(L19:M19)</f>
        <v>140</v>
      </c>
      <c r="O19" s="124">
        <v>140</v>
      </c>
    </row>
    <row r="22" ht="16.5" customHeight="1"/>
    <row r="23" ht="15" customHeight="1"/>
  </sheetData>
  <sheetProtection/>
  <mergeCells count="11">
    <mergeCell ref="L8:O8"/>
    <mergeCell ref="A3:O3"/>
    <mergeCell ref="A7:A9"/>
    <mergeCell ref="B4:O4"/>
    <mergeCell ref="B6:O6"/>
    <mergeCell ref="B18:O18"/>
    <mergeCell ref="B7:B9"/>
    <mergeCell ref="C7:C9"/>
    <mergeCell ref="D7:O7"/>
    <mergeCell ref="D8:G8"/>
    <mergeCell ref="H8:K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140625" style="1" customWidth="1"/>
    <col min="2" max="2" width="19.00390625" style="1" customWidth="1"/>
    <col min="3" max="3" width="22.28125" style="1" customWidth="1"/>
    <col min="4" max="4" width="16.57421875" style="1" customWidth="1"/>
    <col min="5" max="5" width="36.140625" style="1" customWidth="1"/>
    <col min="6" max="6" width="13.7109375" style="1" customWidth="1"/>
    <col min="7" max="7" width="15.140625" style="1" customWidth="1"/>
    <col min="8" max="8" width="0.5625" style="1" customWidth="1"/>
    <col min="9" max="16384" width="9.140625" style="1" customWidth="1"/>
  </cols>
  <sheetData>
    <row r="1" spans="1:7" ht="15.75">
      <c r="A1" s="766"/>
      <c r="B1" s="502"/>
      <c r="C1" s="502"/>
      <c r="D1" s="502"/>
      <c r="E1" s="503"/>
      <c r="F1" s="503"/>
      <c r="G1" s="503"/>
    </row>
    <row r="2" spans="2:7" ht="15.75">
      <c r="B2" s="1056" t="s">
        <v>512</v>
      </c>
      <c r="C2" s="1056"/>
      <c r="D2" s="1056"/>
      <c r="E2" s="1057"/>
      <c r="F2" s="1057"/>
      <c r="G2" s="1057"/>
    </row>
    <row r="3" spans="2:7" ht="15.75">
      <c r="B3" s="101"/>
      <c r="C3" s="101"/>
      <c r="D3" s="101"/>
      <c r="E3" s="2"/>
      <c r="F3" s="2"/>
      <c r="G3" s="2"/>
    </row>
    <row r="4" spans="1:13" ht="15.75">
      <c r="A4" s="504"/>
      <c r="B4" s="1058" t="s">
        <v>511</v>
      </c>
      <c r="C4" s="1058"/>
      <c r="D4" s="1058"/>
      <c r="E4" s="1058"/>
      <c r="F4" s="1058"/>
      <c r="G4" s="1058"/>
      <c r="J4" s="505"/>
      <c r="K4" s="505"/>
      <c r="L4" s="505"/>
      <c r="M4" s="505"/>
    </row>
    <row r="5" spans="1:13" ht="15.75">
      <c r="A5" s="504"/>
      <c r="J5" s="505"/>
      <c r="K5" s="505"/>
      <c r="L5" s="505"/>
      <c r="M5" s="505"/>
    </row>
    <row r="6" spans="1:13" ht="15.75">
      <c r="A6" s="504"/>
      <c r="G6" s="506" t="s">
        <v>491</v>
      </c>
      <c r="J6" s="505"/>
      <c r="K6" s="505"/>
      <c r="L6" s="505"/>
      <c r="M6" s="505"/>
    </row>
    <row r="7" spans="1:7" ht="15.75">
      <c r="A7" s="507"/>
      <c r="B7" s="508" t="s">
        <v>0</v>
      </c>
      <c r="C7" s="507" t="s">
        <v>1</v>
      </c>
      <c r="D7" s="507" t="s">
        <v>2</v>
      </c>
      <c r="E7" s="507" t="s">
        <v>3</v>
      </c>
      <c r="F7" s="507" t="s">
        <v>4</v>
      </c>
      <c r="G7" s="507" t="s">
        <v>5</v>
      </c>
    </row>
    <row r="8" spans="1:7" ht="15.75" customHeight="1">
      <c r="A8" s="507" t="s">
        <v>10</v>
      </c>
      <c r="B8" s="1059" t="s">
        <v>492</v>
      </c>
      <c r="C8" s="1061" t="s">
        <v>493</v>
      </c>
      <c r="D8" s="1061"/>
      <c r="E8" s="1061" t="s">
        <v>494</v>
      </c>
      <c r="F8" s="1061"/>
      <c r="G8" s="1062" t="s">
        <v>99</v>
      </c>
    </row>
    <row r="9" spans="1:7" ht="15.75">
      <c r="A9" s="507" t="s">
        <v>15</v>
      </c>
      <c r="B9" s="1060"/>
      <c r="C9" s="509" t="s">
        <v>495</v>
      </c>
      <c r="D9" s="509" t="s">
        <v>496</v>
      </c>
      <c r="E9" s="509" t="s">
        <v>495</v>
      </c>
      <c r="F9" s="509" t="s">
        <v>496</v>
      </c>
      <c r="G9" s="1062"/>
    </row>
    <row r="10" spans="1:7" ht="15.75" customHeight="1">
      <c r="A10" s="507" t="s">
        <v>22</v>
      </c>
      <c r="B10" s="1038" t="s">
        <v>497</v>
      </c>
      <c r="C10" s="510"/>
      <c r="D10" s="511"/>
      <c r="E10" s="512" t="s">
        <v>498</v>
      </c>
      <c r="F10" s="513">
        <v>28457356</v>
      </c>
      <c r="G10" s="514">
        <f>D10+F10</f>
        <v>28457356</v>
      </c>
    </row>
    <row r="11" spans="1:7" ht="15.75">
      <c r="A11" s="507" t="s">
        <v>52</v>
      </c>
      <c r="B11" s="1049"/>
      <c r="C11" s="515"/>
      <c r="D11" s="513"/>
      <c r="E11" s="512" t="s">
        <v>499</v>
      </c>
      <c r="F11" s="513">
        <v>195000</v>
      </c>
      <c r="G11" s="514">
        <f>D11+F11</f>
        <v>195000</v>
      </c>
    </row>
    <row r="12" spans="1:7" ht="31.5">
      <c r="A12" s="507" t="s">
        <v>54</v>
      </c>
      <c r="B12" s="1050" t="s">
        <v>500</v>
      </c>
      <c r="C12" s="516" t="s">
        <v>501</v>
      </c>
      <c r="D12" s="513">
        <v>2573845</v>
      </c>
      <c r="E12" s="512"/>
      <c r="F12" s="513"/>
      <c r="G12" s="514">
        <f>D12+F12</f>
        <v>2573845</v>
      </c>
    </row>
    <row r="13" spans="1:7" ht="31.5">
      <c r="A13" s="507" t="s">
        <v>54</v>
      </c>
      <c r="B13" s="1051"/>
      <c r="C13" s="516" t="s">
        <v>502</v>
      </c>
      <c r="D13" s="513">
        <v>2241982</v>
      </c>
      <c r="E13" s="512"/>
      <c r="F13" s="513"/>
      <c r="G13" s="514">
        <f>D13+F13</f>
        <v>2241982</v>
      </c>
    </row>
    <row r="14" spans="1:7" ht="12.75" customHeight="1">
      <c r="A14" s="1044" t="s">
        <v>48</v>
      </c>
      <c r="B14" s="1038" t="s">
        <v>130</v>
      </c>
      <c r="C14" s="1052"/>
      <c r="D14" s="1054"/>
      <c r="E14" s="1038" t="s">
        <v>503</v>
      </c>
      <c r="F14" s="1040">
        <v>2353000</v>
      </c>
      <c r="G14" s="1042">
        <f>D14+F14</f>
        <v>2353000</v>
      </c>
    </row>
    <row r="15" spans="1:7" ht="12.75" customHeight="1">
      <c r="A15" s="1045"/>
      <c r="B15" s="1039"/>
      <c r="C15" s="1053"/>
      <c r="D15" s="1055"/>
      <c r="E15" s="1039"/>
      <c r="F15" s="1041"/>
      <c r="G15" s="1043"/>
    </row>
    <row r="16" spans="1:7" ht="15.75">
      <c r="A16" s="507" t="s">
        <v>24</v>
      </c>
      <c r="B16" s="517" t="s">
        <v>123</v>
      </c>
      <c r="C16" s="515"/>
      <c r="D16" s="513"/>
      <c r="E16" s="512" t="s">
        <v>498</v>
      </c>
      <c r="F16" s="513">
        <v>6800</v>
      </c>
      <c r="G16" s="514">
        <f>D16+F16</f>
        <v>6800</v>
      </c>
    </row>
    <row r="17" spans="1:7" ht="15.75">
      <c r="A17" s="507" t="s">
        <v>26</v>
      </c>
      <c r="B17" s="518" t="s">
        <v>504</v>
      </c>
      <c r="C17" s="519"/>
      <c r="D17" s="514">
        <f>SUM(D10:D16)</f>
        <v>4815827</v>
      </c>
      <c r="E17" s="519"/>
      <c r="F17" s="514">
        <f>SUM(F10:F16)</f>
        <v>31012156</v>
      </c>
      <c r="G17" s="514">
        <f>SUM(G10:G16)</f>
        <v>35827983</v>
      </c>
    </row>
    <row r="18" ht="12.75">
      <c r="A18" s="1044" t="s">
        <v>28</v>
      </c>
    </row>
    <row r="19" spans="1:7" ht="15.75">
      <c r="A19" s="1045"/>
      <c r="G19" s="506" t="s">
        <v>491</v>
      </c>
    </row>
    <row r="20" spans="1:7" ht="15.75">
      <c r="A20" s="507" t="s">
        <v>31</v>
      </c>
      <c r="B20" s="1046" t="s">
        <v>505</v>
      </c>
      <c r="C20" s="1047"/>
      <c r="D20" s="1047"/>
      <c r="E20" s="1047"/>
      <c r="F20" s="1048"/>
      <c r="G20" s="520" t="s">
        <v>99</v>
      </c>
    </row>
    <row r="21" spans="1:7" ht="15.75">
      <c r="A21" s="507" t="s">
        <v>49</v>
      </c>
      <c r="B21" s="1032" t="s">
        <v>506</v>
      </c>
      <c r="C21" s="1033"/>
      <c r="D21" s="1033"/>
      <c r="E21" s="1033"/>
      <c r="F21" s="1034"/>
      <c r="G21" s="521">
        <v>0</v>
      </c>
    </row>
    <row r="22" spans="1:7" ht="15.75">
      <c r="A22" s="507" t="s">
        <v>33</v>
      </c>
      <c r="B22" s="1032" t="s">
        <v>507</v>
      </c>
      <c r="C22" s="1033"/>
      <c r="D22" s="1033"/>
      <c r="E22" s="1033"/>
      <c r="F22" s="1034"/>
      <c r="G22" s="521">
        <v>0</v>
      </c>
    </row>
    <row r="23" spans="1:7" ht="15.75">
      <c r="A23" s="507" t="s">
        <v>35</v>
      </c>
      <c r="B23" s="1032" t="s">
        <v>508</v>
      </c>
      <c r="C23" s="1033"/>
      <c r="D23" s="1033"/>
      <c r="E23" s="1033"/>
      <c r="F23" s="1034"/>
      <c r="G23" s="521">
        <v>0</v>
      </c>
    </row>
    <row r="24" spans="1:7" ht="15.75">
      <c r="A24" s="507" t="s">
        <v>59</v>
      </c>
      <c r="B24" s="1032" t="s">
        <v>509</v>
      </c>
      <c r="C24" s="1033"/>
      <c r="D24" s="1033"/>
      <c r="E24" s="1033"/>
      <c r="F24" s="1034"/>
      <c r="G24" s="522">
        <v>5000000</v>
      </c>
    </row>
    <row r="25" spans="1:7" ht="15.75">
      <c r="A25" s="507" t="s">
        <v>60</v>
      </c>
      <c r="B25" s="1032" t="s">
        <v>510</v>
      </c>
      <c r="C25" s="1033"/>
      <c r="D25" s="1033"/>
      <c r="E25" s="1033"/>
      <c r="F25" s="1034"/>
      <c r="G25" s="522">
        <v>0</v>
      </c>
    </row>
    <row r="26" spans="1:7" ht="15.75">
      <c r="A26" s="507" t="s">
        <v>61</v>
      </c>
      <c r="B26" s="1035" t="s">
        <v>504</v>
      </c>
      <c r="C26" s="1036"/>
      <c r="D26" s="1036"/>
      <c r="E26" s="1036"/>
      <c r="F26" s="1037"/>
      <c r="G26" s="523">
        <f>SUM(G21:G25)</f>
        <v>5000000</v>
      </c>
    </row>
  </sheetData>
  <sheetProtection/>
  <mergeCells count="23">
    <mergeCell ref="B2:G2"/>
    <mergeCell ref="B4:G4"/>
    <mergeCell ref="B8:B9"/>
    <mergeCell ref="C8:D8"/>
    <mergeCell ref="E8:F8"/>
    <mergeCell ref="G8:G9"/>
    <mergeCell ref="G14:G15"/>
    <mergeCell ref="A18:A19"/>
    <mergeCell ref="B20:F20"/>
    <mergeCell ref="B21:F21"/>
    <mergeCell ref="B10:B11"/>
    <mergeCell ref="B12:B13"/>
    <mergeCell ref="A14:A15"/>
    <mergeCell ref="B14:B15"/>
    <mergeCell ref="C14:C15"/>
    <mergeCell ref="D14:D15"/>
    <mergeCell ref="B22:F22"/>
    <mergeCell ref="B23:F23"/>
    <mergeCell ref="B24:F24"/>
    <mergeCell ref="B25:F25"/>
    <mergeCell ref="B26:F26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5.00390625" style="5" customWidth="1"/>
    <col min="2" max="2" width="59.57421875" style="5" customWidth="1"/>
    <col min="3" max="3" width="15.7109375" style="5" customWidth="1"/>
    <col min="4" max="4" width="14.57421875" style="5" customWidth="1"/>
    <col min="5" max="5" width="14.28125" style="5" customWidth="1"/>
    <col min="6" max="6" width="9.140625" style="5" customWidth="1"/>
    <col min="7" max="7" width="12.421875" style="5" hidden="1" customWidth="1"/>
    <col min="8" max="8" width="12.8515625" style="5" hidden="1" customWidth="1"/>
    <col min="9" max="9" width="12.57421875" style="5" hidden="1" customWidth="1"/>
    <col min="10" max="10" width="0" style="5" hidden="1" customWidth="1"/>
    <col min="11" max="16384" width="9.140625" style="5" customWidth="1"/>
  </cols>
  <sheetData>
    <row r="1" spans="2:5" s="10" customFormat="1" ht="15.75">
      <c r="B1" s="1063" t="s">
        <v>864</v>
      </c>
      <c r="C1" s="1063"/>
      <c r="D1" s="1063"/>
      <c r="E1" s="1063"/>
    </row>
    <row r="2" spans="2:5" s="10" customFormat="1" ht="15.75">
      <c r="B2" s="201"/>
      <c r="C2" s="201"/>
      <c r="D2" s="201"/>
      <c r="E2" s="201"/>
    </row>
    <row r="3" spans="1:5" s="111" customFormat="1" ht="48.75" customHeight="1">
      <c r="A3" s="61"/>
      <c r="B3" s="1064" t="s">
        <v>513</v>
      </c>
      <c r="C3" s="1064"/>
      <c r="D3" s="1064"/>
      <c r="E3" s="1064"/>
    </row>
    <row r="4" spans="1:5" s="10" customFormat="1" ht="33.75" customHeight="1">
      <c r="A4" s="1068" t="s">
        <v>140</v>
      </c>
      <c r="B4" s="1068"/>
      <c r="C4" s="1068"/>
      <c r="D4" s="1068"/>
      <c r="E4" s="1068"/>
    </row>
    <row r="5" spans="1:5" ht="22.5" customHeight="1">
      <c r="A5" s="202"/>
      <c r="B5" s="202"/>
      <c r="C5" s="202"/>
      <c r="D5" s="202"/>
      <c r="E5" s="119" t="s">
        <v>203</v>
      </c>
    </row>
    <row r="6" spans="1:5" ht="21.75" customHeight="1">
      <c r="A6" s="6"/>
      <c r="B6" s="6" t="s">
        <v>0</v>
      </c>
      <c r="C6" s="6" t="s">
        <v>1</v>
      </c>
      <c r="D6" s="6" t="s">
        <v>2</v>
      </c>
      <c r="E6" s="6" t="s">
        <v>3</v>
      </c>
    </row>
    <row r="7" spans="1:5" ht="15" customHeight="1">
      <c r="A7" s="1069" t="s">
        <v>10</v>
      </c>
      <c r="B7" s="1070" t="s">
        <v>125</v>
      </c>
      <c r="C7" s="1071" t="s">
        <v>126</v>
      </c>
      <c r="D7" s="1072"/>
      <c r="E7" s="1073"/>
    </row>
    <row r="8" spans="1:5" ht="39" customHeight="1">
      <c r="A8" s="1069"/>
      <c r="B8" s="1070"/>
      <c r="C8" s="241" t="s">
        <v>127</v>
      </c>
      <c r="D8" s="241" t="s">
        <v>141</v>
      </c>
      <c r="E8" s="241" t="s">
        <v>96</v>
      </c>
    </row>
    <row r="9" spans="1:5" ht="19.5" customHeight="1">
      <c r="A9" s="130" t="s">
        <v>15</v>
      </c>
      <c r="B9" s="7" t="s">
        <v>148</v>
      </c>
      <c r="C9" s="8"/>
      <c r="D9" s="8"/>
      <c r="E9" s="9"/>
    </row>
    <row r="10" spans="1:7" ht="19.5" customHeight="1">
      <c r="A10" s="130" t="s">
        <v>22</v>
      </c>
      <c r="B10" s="7" t="s">
        <v>154</v>
      </c>
      <c r="C10" s="21">
        <f>SUM(C11:C18)</f>
        <v>60700000</v>
      </c>
      <c r="D10" s="21">
        <f>SUM(D11:D18)</f>
        <v>61860000</v>
      </c>
      <c r="E10" s="21">
        <f>SUM(E11:E18)</f>
        <v>41866127</v>
      </c>
      <c r="G10" s="197"/>
    </row>
    <row r="11" spans="1:5" ht="19.5" customHeight="1">
      <c r="A11" s="130" t="s">
        <v>23</v>
      </c>
      <c r="B11" s="22" t="s">
        <v>133</v>
      </c>
      <c r="C11" s="8">
        <v>1200000</v>
      </c>
      <c r="D11" s="8">
        <v>1200000</v>
      </c>
      <c r="E11" s="9">
        <v>99000</v>
      </c>
    </row>
    <row r="12" spans="1:5" ht="19.5" customHeight="1">
      <c r="A12" s="130" t="s">
        <v>52</v>
      </c>
      <c r="B12" s="22" t="s">
        <v>149</v>
      </c>
      <c r="C12" s="8">
        <v>4000000</v>
      </c>
      <c r="D12" s="8">
        <v>4000000</v>
      </c>
      <c r="E12" s="9">
        <v>2601300</v>
      </c>
    </row>
    <row r="13" spans="1:7" ht="19.5" customHeight="1">
      <c r="A13" s="130" t="s">
        <v>54</v>
      </c>
      <c r="B13" s="22" t="s">
        <v>236</v>
      </c>
      <c r="C13" s="8">
        <v>1000000</v>
      </c>
      <c r="D13" s="8">
        <v>2160000</v>
      </c>
      <c r="E13" s="9">
        <v>1280000</v>
      </c>
      <c r="G13" s="197"/>
    </row>
    <row r="14" spans="1:5" s="10" customFormat="1" ht="19.5" customHeight="1">
      <c r="A14" s="130" t="s">
        <v>48</v>
      </c>
      <c r="B14" s="22" t="s">
        <v>134</v>
      </c>
      <c r="C14" s="8">
        <v>2000000</v>
      </c>
      <c r="D14" s="8">
        <v>2000000</v>
      </c>
      <c r="E14" s="9">
        <v>722827</v>
      </c>
    </row>
    <row r="15" spans="1:5" ht="19.5" customHeight="1">
      <c r="A15" s="130" t="s">
        <v>24</v>
      </c>
      <c r="B15" s="22" t="s">
        <v>150</v>
      </c>
      <c r="C15" s="8">
        <v>1000000</v>
      </c>
      <c r="D15" s="8">
        <v>1000000</v>
      </c>
      <c r="E15" s="9">
        <v>330000</v>
      </c>
    </row>
    <row r="16" spans="1:5" ht="19.5" customHeight="1">
      <c r="A16" s="130" t="s">
        <v>26</v>
      </c>
      <c r="B16" s="23" t="s">
        <v>151</v>
      </c>
      <c r="C16" s="8">
        <v>500000</v>
      </c>
      <c r="D16" s="8">
        <v>500000</v>
      </c>
      <c r="E16" s="9">
        <v>0</v>
      </c>
    </row>
    <row r="17" spans="1:5" ht="19.5" customHeight="1">
      <c r="A17" s="130" t="s">
        <v>28</v>
      </c>
      <c r="B17" s="22" t="s">
        <v>144</v>
      </c>
      <c r="C17" s="8">
        <v>33000000</v>
      </c>
      <c r="D17" s="8">
        <v>33000000</v>
      </c>
      <c r="E17" s="9">
        <v>26213000</v>
      </c>
    </row>
    <row r="18" spans="1:5" ht="19.5" customHeight="1">
      <c r="A18" s="130" t="s">
        <v>31</v>
      </c>
      <c r="B18" s="24" t="s">
        <v>308</v>
      </c>
      <c r="C18" s="11">
        <v>18000000</v>
      </c>
      <c r="D18" s="8">
        <v>18000000</v>
      </c>
      <c r="E18" s="9">
        <v>10620000</v>
      </c>
    </row>
    <row r="19" spans="1:5" ht="19.5" customHeight="1">
      <c r="A19" s="130" t="s">
        <v>49</v>
      </c>
      <c r="B19" s="7" t="s">
        <v>155</v>
      </c>
      <c r="C19" s="21">
        <f>SUM(C20:C24)</f>
        <v>73500000</v>
      </c>
      <c r="D19" s="21">
        <f>SUM(D20:D24)</f>
        <v>73500000</v>
      </c>
      <c r="E19" s="21">
        <f>SUM(E20:E24)</f>
        <v>48889427</v>
      </c>
    </row>
    <row r="20" spans="1:5" ht="19.5" customHeight="1">
      <c r="A20" s="130" t="s">
        <v>33</v>
      </c>
      <c r="B20" s="22" t="s">
        <v>146</v>
      </c>
      <c r="C20" s="8">
        <v>500000</v>
      </c>
      <c r="D20" s="8">
        <v>500000</v>
      </c>
      <c r="E20" s="9">
        <v>312960</v>
      </c>
    </row>
    <row r="21" spans="1:5" ht="19.5" customHeight="1">
      <c r="A21" s="130" t="s">
        <v>35</v>
      </c>
      <c r="B21" s="22" t="s">
        <v>147</v>
      </c>
      <c r="C21" s="8">
        <v>20000000</v>
      </c>
      <c r="D21" s="8">
        <v>20000000</v>
      </c>
      <c r="E21" s="9">
        <v>13244132</v>
      </c>
    </row>
    <row r="22" spans="1:5" ht="19.5" customHeight="1">
      <c r="A22" s="130" t="s">
        <v>59</v>
      </c>
      <c r="B22" s="22" t="s">
        <v>309</v>
      </c>
      <c r="C22" s="8">
        <v>10000000</v>
      </c>
      <c r="D22" s="8">
        <v>10000000</v>
      </c>
      <c r="E22" s="9">
        <v>6366400</v>
      </c>
    </row>
    <row r="23" spans="1:5" ht="19.5" customHeight="1">
      <c r="A23" s="130" t="s">
        <v>60</v>
      </c>
      <c r="B23" s="22" t="s">
        <v>152</v>
      </c>
      <c r="C23" s="8">
        <v>42000000</v>
      </c>
      <c r="D23" s="8">
        <v>42000000</v>
      </c>
      <c r="E23" s="9">
        <v>28254815</v>
      </c>
    </row>
    <row r="24" spans="1:10" ht="19.5" customHeight="1">
      <c r="A24" s="130" t="s">
        <v>61</v>
      </c>
      <c r="B24" s="22" t="s">
        <v>153</v>
      </c>
      <c r="C24" s="8">
        <v>1000000</v>
      </c>
      <c r="D24" s="8">
        <v>1000000</v>
      </c>
      <c r="E24" s="9">
        <v>711120</v>
      </c>
      <c r="G24" s="197">
        <f>C10+C19+C25</f>
        <v>135700000</v>
      </c>
      <c r="H24" s="197">
        <f>D10+D19+D25</f>
        <v>136860000</v>
      </c>
      <c r="I24" s="197">
        <f>E10+E19+E25</f>
        <v>92713714</v>
      </c>
      <c r="J24" s="5" t="s">
        <v>358</v>
      </c>
    </row>
    <row r="25" spans="1:5" ht="19.5" customHeight="1">
      <c r="A25" s="130" t="s">
        <v>62</v>
      </c>
      <c r="B25" s="12" t="s">
        <v>157</v>
      </c>
      <c r="C25" s="13">
        <v>1500000</v>
      </c>
      <c r="D25" s="13">
        <v>1500000</v>
      </c>
      <c r="E25" s="196">
        <v>1958160</v>
      </c>
    </row>
    <row r="26" spans="1:5" ht="19.5" customHeight="1">
      <c r="A26" s="130" t="s">
        <v>63</v>
      </c>
      <c r="B26" s="12" t="s">
        <v>156</v>
      </c>
      <c r="C26" s="13">
        <v>6000000</v>
      </c>
      <c r="D26" s="13">
        <v>6000000</v>
      </c>
      <c r="E26" s="13">
        <v>1475000</v>
      </c>
    </row>
    <row r="27" spans="1:5" ht="27.75" customHeight="1">
      <c r="A27" s="130" t="s">
        <v>64</v>
      </c>
      <c r="B27" s="25" t="s">
        <v>158</v>
      </c>
      <c r="C27" s="26">
        <f>C10+C19+C25+C26</f>
        <v>141700000</v>
      </c>
      <c r="D27" s="26">
        <f>D10+D19+D25+D26</f>
        <v>142860000</v>
      </c>
      <c r="E27" s="26">
        <f>E10+E19+E25+E26</f>
        <v>94188714</v>
      </c>
    </row>
    <row r="28" spans="1:7" s="15" customFormat="1" ht="21.75" customHeight="1">
      <c r="A28" s="130" t="s">
        <v>65</v>
      </c>
      <c r="B28" s="14" t="s">
        <v>136</v>
      </c>
      <c r="C28" s="1065" t="s">
        <v>142</v>
      </c>
      <c r="D28" s="1066"/>
      <c r="E28" s="1067"/>
      <c r="G28" s="195"/>
    </row>
    <row r="29" spans="1:5" ht="45" customHeight="1">
      <c r="A29" s="130" t="s">
        <v>66</v>
      </c>
      <c r="B29" s="12" t="s">
        <v>161</v>
      </c>
      <c r="C29" s="16" t="s">
        <v>143</v>
      </c>
      <c r="D29" s="16" t="s">
        <v>141</v>
      </c>
      <c r="E29" s="17" t="s">
        <v>96</v>
      </c>
    </row>
    <row r="30" spans="1:5" ht="19.5" customHeight="1">
      <c r="A30" s="130" t="s">
        <v>68</v>
      </c>
      <c r="B30" s="22" t="s">
        <v>131</v>
      </c>
      <c r="C30" s="8">
        <v>4850000</v>
      </c>
      <c r="D30" s="8">
        <v>4850000</v>
      </c>
      <c r="E30" s="9">
        <v>1590000</v>
      </c>
    </row>
    <row r="31" spans="1:5" ht="19.5" customHeight="1">
      <c r="A31" s="130" t="s">
        <v>71</v>
      </c>
      <c r="B31" s="22" t="s">
        <v>132</v>
      </c>
      <c r="C31" s="8">
        <v>1100000</v>
      </c>
      <c r="D31" s="8">
        <v>1100000</v>
      </c>
      <c r="E31" s="9">
        <v>360000</v>
      </c>
    </row>
    <row r="32" spans="1:5" ht="19.5" customHeight="1">
      <c r="A32" s="130" t="s">
        <v>73</v>
      </c>
      <c r="B32" s="27" t="s">
        <v>159</v>
      </c>
      <c r="C32" s="27">
        <f>SUM(C30:C31)</f>
        <v>5950000</v>
      </c>
      <c r="D32" s="27">
        <f>SUM(D30:D31)</f>
        <v>5950000</v>
      </c>
      <c r="E32" s="27">
        <f>SUM(E30:E31)</f>
        <v>1950000</v>
      </c>
    </row>
    <row r="33" spans="1:5" ht="33.75" customHeight="1">
      <c r="A33" s="130" t="s">
        <v>75</v>
      </c>
      <c r="B33" s="18" t="s">
        <v>160</v>
      </c>
      <c r="C33" s="19">
        <f>C32+C27</f>
        <v>147650000</v>
      </c>
      <c r="D33" s="19">
        <f>D32+D27</f>
        <v>148810000</v>
      </c>
      <c r="E33" s="19">
        <f>E32+E27</f>
        <v>96138714</v>
      </c>
    </row>
    <row r="36" spans="2:5" ht="15.75" hidden="1">
      <c r="B36" s="5" t="s">
        <v>325</v>
      </c>
      <c r="C36" s="242">
        <f>'[3]2'!L17</f>
        <v>135700000</v>
      </c>
      <c r="D36" s="242">
        <f>'[3]2'!M17-12000</f>
        <v>142443000</v>
      </c>
      <c r="E36" s="242">
        <f>'[3]2'!N17-12000</f>
        <v>92713714</v>
      </c>
    </row>
    <row r="37" spans="3:5" ht="15.75" hidden="1">
      <c r="C37" s="242">
        <f>C36-C33+C26+C32</f>
        <v>0</v>
      </c>
      <c r="D37" s="242">
        <f>D36-D33+D26+D32</f>
        <v>5583000</v>
      </c>
      <c r="E37" s="242">
        <f>E36-E33+E26+E32</f>
        <v>0</v>
      </c>
    </row>
    <row r="38" ht="15.75" hidden="1">
      <c r="C38" s="242"/>
    </row>
    <row r="39" ht="15.75" hidden="1">
      <c r="C39" s="242"/>
    </row>
    <row r="40" ht="15.75">
      <c r="C40" s="242"/>
    </row>
    <row r="41" ht="15.75">
      <c r="C41" s="242"/>
    </row>
    <row r="42" ht="15.75">
      <c r="C42" s="242"/>
    </row>
  </sheetData>
  <sheetProtection/>
  <mergeCells count="7">
    <mergeCell ref="B1:E1"/>
    <mergeCell ref="B3:E3"/>
    <mergeCell ref="C28:E28"/>
    <mergeCell ref="A4:E4"/>
    <mergeCell ref="A7:A8"/>
    <mergeCell ref="B7:B8"/>
    <mergeCell ref="C7:E7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110" zoomScaleNormal="110" zoomScalePageLayoutView="0" workbookViewId="0" topLeftCell="A1">
      <selection activeCell="J2" sqref="J2"/>
    </sheetView>
  </sheetViews>
  <sheetFormatPr defaultColWidth="9.140625" defaultRowHeight="12.75"/>
  <cols>
    <col min="1" max="1" width="5.421875" style="525" customWidth="1"/>
    <col min="2" max="2" width="5.140625" style="525" customWidth="1"/>
    <col min="3" max="3" width="40.7109375" style="525" customWidth="1"/>
    <col min="4" max="4" width="18.00390625" style="525" customWidth="1"/>
    <col min="5" max="5" width="15.8515625" style="525" customWidth="1"/>
    <col min="6" max="6" width="15.7109375" style="525" customWidth="1"/>
    <col min="7" max="7" width="20.00390625" style="525" customWidth="1"/>
    <col min="8" max="8" width="17.8515625" style="525" customWidth="1"/>
    <col min="9" max="9" width="21.140625" style="525" customWidth="1"/>
    <col min="10" max="10" width="18.00390625" style="525" customWidth="1"/>
    <col min="11" max="11" width="22.28125" style="524" customWidth="1"/>
    <col min="12" max="12" width="9.140625" style="525" customWidth="1"/>
    <col min="13" max="13" width="20.7109375" style="852" customWidth="1"/>
    <col min="14" max="14" width="15.00390625" style="525" bestFit="1" customWidth="1"/>
    <col min="15" max="16384" width="9.140625" style="525" customWidth="1"/>
  </cols>
  <sheetData>
    <row r="1" spans="1:10" ht="15.75">
      <c r="A1" s="1074"/>
      <c r="B1" s="1074"/>
      <c r="C1" s="1074"/>
      <c r="D1" s="1074"/>
      <c r="E1" s="1074"/>
      <c r="F1" s="1074"/>
      <c r="G1" s="1075" t="s">
        <v>865</v>
      </c>
      <c r="H1" s="1075"/>
      <c r="I1" s="1075"/>
      <c r="J1" s="1075"/>
    </row>
    <row r="2" spans="1:6" ht="34.5" customHeight="1">
      <c r="A2" s="526"/>
      <c r="B2" s="526"/>
      <c r="C2" s="526"/>
      <c r="D2" s="1076"/>
      <c r="E2" s="1076"/>
      <c r="F2" s="1076"/>
    </row>
    <row r="3" spans="1:10" ht="24" customHeight="1">
      <c r="A3" s="1077" t="s">
        <v>827</v>
      </c>
      <c r="B3" s="1077"/>
      <c r="C3" s="1077"/>
      <c r="D3" s="1077"/>
      <c r="E3" s="1077"/>
      <c r="F3" s="1077"/>
      <c r="G3" s="1077"/>
      <c r="H3" s="1077"/>
      <c r="I3" s="1077"/>
      <c r="J3" s="1077"/>
    </row>
    <row r="4" spans="1:9" ht="24" customHeight="1">
      <c r="A4" s="1078"/>
      <c r="B4" s="1078"/>
      <c r="C4" s="1078"/>
      <c r="D4" s="1078"/>
      <c r="E4" s="1078"/>
      <c r="F4" s="1078"/>
      <c r="G4" s="527"/>
      <c r="H4" s="527"/>
      <c r="I4" s="527"/>
    </row>
    <row r="5" spans="1:10" ht="16.5" customHeight="1">
      <c r="A5" s="528"/>
      <c r="B5" s="528" t="s">
        <v>0</v>
      </c>
      <c r="C5" s="528" t="s">
        <v>333</v>
      </c>
      <c r="D5" s="528" t="s">
        <v>2</v>
      </c>
      <c r="E5" s="529" t="s">
        <v>3</v>
      </c>
      <c r="F5" s="529" t="s">
        <v>4</v>
      </c>
      <c r="G5" s="530" t="s">
        <v>5</v>
      </c>
      <c r="H5" s="530" t="s">
        <v>81</v>
      </c>
      <c r="I5" s="530"/>
      <c r="J5" s="530" t="s">
        <v>7</v>
      </c>
    </row>
    <row r="6" spans="1:10" ht="16.5" thickBot="1">
      <c r="A6" s="529">
        <v>1</v>
      </c>
      <c r="B6" s="527"/>
      <c r="C6" s="531"/>
      <c r="D6" s="532"/>
      <c r="E6" s="532"/>
      <c r="F6" s="532"/>
      <c r="J6" s="736" t="s">
        <v>514</v>
      </c>
    </row>
    <row r="7" spans="1:10" ht="135.75" customHeight="1">
      <c r="A7" s="529">
        <f aca="true" t="shared" si="0" ref="A7:A14">A6+1</f>
        <v>2</v>
      </c>
      <c r="B7" s="533"/>
      <c r="C7" s="534" t="s">
        <v>11</v>
      </c>
      <c r="D7" s="535" t="s">
        <v>515</v>
      </c>
      <c r="E7" s="535" t="s">
        <v>516</v>
      </c>
      <c r="F7" s="535" t="s">
        <v>517</v>
      </c>
      <c r="G7" s="535" t="s">
        <v>518</v>
      </c>
      <c r="H7" s="535" t="s">
        <v>519</v>
      </c>
      <c r="I7" s="535" t="s">
        <v>520</v>
      </c>
      <c r="J7" s="536" t="s">
        <v>851</v>
      </c>
    </row>
    <row r="8" spans="1:14" ht="36" customHeight="1">
      <c r="A8" s="529">
        <f t="shared" si="0"/>
        <v>3</v>
      </c>
      <c r="B8" s="537">
        <v>1</v>
      </c>
      <c r="C8" s="538" t="s">
        <v>521</v>
      </c>
      <c r="D8" s="539">
        <v>339563067</v>
      </c>
      <c r="E8" s="539"/>
      <c r="F8" s="539"/>
      <c r="G8" s="539">
        <v>339563067</v>
      </c>
      <c r="H8" s="539">
        <f>G8-D8-E8-F8</f>
        <v>0</v>
      </c>
      <c r="I8" s="539">
        <v>339563067</v>
      </c>
      <c r="J8" s="540"/>
      <c r="K8" s="541"/>
      <c r="N8" s="545"/>
    </row>
    <row r="9" spans="1:14" ht="33" customHeight="1">
      <c r="A9" s="529">
        <f t="shared" si="0"/>
        <v>4</v>
      </c>
      <c r="B9" s="537">
        <v>2</v>
      </c>
      <c r="C9" s="538" t="s">
        <v>522</v>
      </c>
      <c r="D9" s="539">
        <v>270897283</v>
      </c>
      <c r="E9" s="539">
        <v>1141309</v>
      </c>
      <c r="F9" s="539">
        <v>17398</v>
      </c>
      <c r="G9" s="539">
        <v>272623006</v>
      </c>
      <c r="H9" s="539">
        <v>567016</v>
      </c>
      <c r="I9" s="539">
        <v>272623006</v>
      </c>
      <c r="J9" s="540">
        <v>567016</v>
      </c>
      <c r="K9" s="541"/>
      <c r="N9" s="545"/>
    </row>
    <row r="10" spans="1:11" ht="62.25" customHeight="1">
      <c r="A10" s="529">
        <f t="shared" si="0"/>
        <v>5</v>
      </c>
      <c r="B10" s="537">
        <v>3</v>
      </c>
      <c r="C10" s="538" t="s">
        <v>523</v>
      </c>
      <c r="D10" s="539">
        <f>644763433-124839689-8909100</f>
        <v>511014644</v>
      </c>
      <c r="E10" s="539">
        <f>-2399702+715682+110580</f>
        <v>-1573440</v>
      </c>
      <c r="F10" s="539">
        <f>-12504005-331515+2238960</f>
        <v>-10596560</v>
      </c>
      <c r="G10" s="539">
        <f>614255108-124968522-6435870</f>
        <v>482850716</v>
      </c>
      <c r="H10" s="539">
        <f>-15604618-513000+123690</f>
        <v>-15993928</v>
      </c>
      <c r="I10" s="539">
        <v>482850716</v>
      </c>
      <c r="J10" s="540">
        <v>-15993928</v>
      </c>
      <c r="K10" s="541"/>
    </row>
    <row r="11" spans="1:11" ht="24.75" customHeight="1">
      <c r="A11" s="529">
        <f t="shared" si="0"/>
        <v>6</v>
      </c>
      <c r="B11" s="537">
        <v>4</v>
      </c>
      <c r="C11" s="538" t="s">
        <v>524</v>
      </c>
      <c r="D11" s="539">
        <v>124839689</v>
      </c>
      <c r="E11" s="539">
        <v>-715682</v>
      </c>
      <c r="F11" s="539">
        <v>331515</v>
      </c>
      <c r="G11" s="539">
        <v>124968522</v>
      </c>
      <c r="H11" s="539">
        <v>513000</v>
      </c>
      <c r="I11" s="539">
        <v>124968522</v>
      </c>
      <c r="J11" s="540">
        <v>513000</v>
      </c>
      <c r="K11" s="541"/>
    </row>
    <row r="12" spans="1:11" ht="33" customHeight="1">
      <c r="A12" s="529">
        <f t="shared" si="0"/>
        <v>7</v>
      </c>
      <c r="B12" s="537">
        <v>5</v>
      </c>
      <c r="C12" s="538" t="s">
        <v>525</v>
      </c>
      <c r="D12" s="539">
        <v>8909100</v>
      </c>
      <c r="E12" s="539">
        <v>-110580</v>
      </c>
      <c r="F12" s="539">
        <v>-2238960</v>
      </c>
      <c r="G12" s="539">
        <v>6435870</v>
      </c>
      <c r="H12" s="539">
        <v>-123690</v>
      </c>
      <c r="I12" s="539">
        <v>6435870</v>
      </c>
      <c r="J12" s="540">
        <v>-123690</v>
      </c>
      <c r="K12" s="541"/>
    </row>
    <row r="13" spans="1:11" ht="21" customHeight="1">
      <c r="A13" s="529">
        <f t="shared" si="0"/>
        <v>8</v>
      </c>
      <c r="B13" s="542">
        <v>6</v>
      </c>
      <c r="C13" s="543" t="s">
        <v>526</v>
      </c>
      <c r="D13" s="544">
        <v>26742620</v>
      </c>
      <c r="E13" s="544"/>
      <c r="F13" s="544"/>
      <c r="G13" s="544">
        <v>26742620</v>
      </c>
      <c r="H13" s="544">
        <v>0</v>
      </c>
      <c r="I13" s="544">
        <v>26742620</v>
      </c>
      <c r="J13" s="539"/>
      <c r="K13" s="541"/>
    </row>
    <row r="14" spans="1:13" s="581" customFormat="1" ht="21.75" customHeight="1" thickBot="1">
      <c r="A14" s="853">
        <f t="shared" si="0"/>
        <v>9</v>
      </c>
      <c r="B14" s="854">
        <v>7</v>
      </c>
      <c r="C14" s="855" t="s">
        <v>99</v>
      </c>
      <c r="D14" s="856">
        <f>SUM(D8:D13)</f>
        <v>1281966403</v>
      </c>
      <c r="E14" s="856">
        <f>SUM(E8:E13)</f>
        <v>-1258393</v>
      </c>
      <c r="F14" s="856">
        <f>SUM(F8:F12)</f>
        <v>-12486607</v>
      </c>
      <c r="G14" s="856">
        <f>SUM(G8:G13)</f>
        <v>1253183801</v>
      </c>
      <c r="H14" s="856">
        <f>SUM(H8:H13)</f>
        <v>-15037602</v>
      </c>
      <c r="I14" s="856">
        <f>SUM(I8:I13)</f>
        <v>1253183801</v>
      </c>
      <c r="J14" s="856">
        <f>SUM(J10:J12)</f>
        <v>-15604618</v>
      </c>
      <c r="K14" s="857"/>
      <c r="M14" s="858"/>
    </row>
    <row r="15" spans="7:8" ht="15.75">
      <c r="G15" s="545"/>
      <c r="H15" s="545"/>
    </row>
    <row r="16" spans="5:10" ht="15.75">
      <c r="E16" s="545"/>
      <c r="F16" s="545"/>
      <c r="G16" s="545"/>
      <c r="H16" s="545"/>
      <c r="J16" s="545"/>
    </row>
    <row r="20" spans="4:6" ht="15.75" hidden="1">
      <c r="D20" s="525">
        <v>576913268</v>
      </c>
      <c r="E20" s="525">
        <v>15275000</v>
      </c>
      <c r="F20" s="525">
        <v>50274000</v>
      </c>
    </row>
    <row r="21" spans="5:6" ht="15.75" hidden="1">
      <c r="E21" s="525">
        <v>48785900</v>
      </c>
      <c r="F21" s="525">
        <v>79910488</v>
      </c>
    </row>
    <row r="22" spans="4:5" ht="15.75" hidden="1">
      <c r="D22" s="545">
        <f>D20-D12-D11</f>
        <v>443164479</v>
      </c>
      <c r="E22" s="525">
        <v>30933000</v>
      </c>
    </row>
    <row r="23" ht="15.75" hidden="1">
      <c r="F23" s="525">
        <f>SUM(F20:F22)</f>
        <v>130184488</v>
      </c>
    </row>
    <row r="24" spans="4:8" ht="15.75" hidden="1">
      <c r="D24" s="546">
        <f>SUM(D10:D12)</f>
        <v>644763433</v>
      </c>
      <c r="E24" s="546">
        <f>SUM(E10:E12)</f>
        <v>-2399702</v>
      </c>
      <c r="F24" s="546">
        <f>SUM(F10:F12)</f>
        <v>-12504005</v>
      </c>
      <c r="G24" s="546">
        <f>SUM(G10:G12)</f>
        <v>614255108</v>
      </c>
      <c r="H24" s="546">
        <f>SUM(H10:H12)</f>
        <v>-15604618</v>
      </c>
    </row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spans="4:7" ht="15.75" hidden="1">
      <c r="D32" s="525">
        <v>6978183</v>
      </c>
      <c r="E32" s="525">
        <v>9278300</v>
      </c>
      <c r="F32" s="525">
        <v>-11728484</v>
      </c>
      <c r="G32" s="525">
        <v>568319598</v>
      </c>
    </row>
    <row r="33" spans="4:7" ht="15.75" hidden="1">
      <c r="D33" s="545">
        <f>D32-E11-E12</f>
        <v>7804445</v>
      </c>
      <c r="E33" s="545">
        <f>E32-F11-F12</f>
        <v>11185745</v>
      </c>
      <c r="F33" s="545">
        <f>F32-H11-H12</f>
        <v>-12117794</v>
      </c>
      <c r="G33" s="545">
        <f>G32-G11-G12</f>
        <v>436915206</v>
      </c>
    </row>
    <row r="34" ht="15.75" hidden="1"/>
    <row r="35" ht="15.75" hidden="1"/>
  </sheetData>
  <sheetProtection/>
  <mergeCells count="5">
    <mergeCell ref="A1:F1"/>
    <mergeCell ref="G1:J1"/>
    <mergeCell ref="D2:F2"/>
    <mergeCell ref="A3:J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Tanai Judit</cp:lastModifiedBy>
  <cp:lastPrinted>2020-05-15T11:11:08Z</cp:lastPrinted>
  <dcterms:created xsi:type="dcterms:W3CDTF">2014-02-02T08:05:39Z</dcterms:created>
  <dcterms:modified xsi:type="dcterms:W3CDTF">2020-05-15T11:12:14Z</dcterms:modified>
  <cp:category/>
  <cp:version/>
  <cp:contentType/>
  <cp:contentStatus/>
</cp:coreProperties>
</file>