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95" tabRatio="895" firstSheet="5" activeTab="10"/>
  </bookViews>
  <sheets>
    <sheet name="1. bevételek" sheetId="1" r:id="rId1"/>
    <sheet name="2. kiadások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létszám" sheetId="7" r:id="rId7"/>
    <sheet name="8.felhki" sheetId="8" r:id="rId8"/>
    <sheet name="9.tart" sheetId="9" r:id="rId9"/>
    <sheet name="10.Stab. tv. saját bev." sheetId="10" r:id="rId10"/>
    <sheet name="11. adósságot keletk. ügyletek" sheetId="11" r:id="rId11"/>
    <sheet name="12.normatívák" sheetId="12" r:id="rId12"/>
    <sheet name="13.EU-projektek" sheetId="13" r:id="rId13"/>
  </sheets>
  <definedNames>
    <definedName name="_xlnm.Print_Titles" localSheetId="0">'1. bevételek'!$5:$6</definedName>
    <definedName name="_xlnm.Print_Titles" localSheetId="11">'12.normatívák'!$5:$6</definedName>
    <definedName name="_xlnm.Print_Titles" localSheetId="12">'13.EU-projektek'!$8:$11</definedName>
    <definedName name="_xlnm.Print_Titles" localSheetId="1">'2. kiadások'!$5:$6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'7.létszám'!$6:$6</definedName>
    <definedName name="_xlnm.Print_Titles" localSheetId="8">'9.tart'!$7:$7</definedName>
    <definedName name="_xlnm.Print_Area" localSheetId="0">'1. bevételek'!$A$1:$I$148</definedName>
    <definedName name="_xlnm.Print_Area" localSheetId="11">'12.normatívák'!$A$1:$L$55</definedName>
    <definedName name="_xlnm.Print_Area" localSheetId="12">'13.EU-projektek'!$A$1:$J$90</definedName>
    <definedName name="_xlnm.Print_Area" localSheetId="1">'2. kiadások'!$A$1:$I$151</definedName>
    <definedName name="_xlnm.Print_Area" localSheetId="2">'3.műk.-felh.'!$A$1:$I$52</definedName>
    <definedName name="_xlnm.Print_Area" localSheetId="3">'4.önkorm.szakf. '!$A$1:$V$57</definedName>
    <definedName name="_xlnm.Print_Area" localSheetId="4">'5. kiadások megbontása'!$A$1:$M$81</definedName>
    <definedName name="_xlnm.Print_Area" localSheetId="5">'6. források sz. bontás'!$A$1:$AC$69</definedName>
    <definedName name="_xlnm.Print_Area" localSheetId="6">'7.létszám'!$A$1:$M$91</definedName>
    <definedName name="_xlnm.Print_Area" localSheetId="7">'8.felhki'!$A$1:$D$61</definedName>
  </definedNames>
  <calcPr fullCalcOnLoad="1"/>
</workbook>
</file>

<file path=xl/sharedStrings.xml><?xml version="1.0" encoding="utf-8"?>
<sst xmlns="http://schemas.openxmlformats.org/spreadsheetml/2006/main" count="1727" uniqueCount="1141">
  <si>
    <t>Ellátottak pénzbeli juttatásai</t>
  </si>
  <si>
    <t>K41</t>
  </si>
  <si>
    <t>Társadalombiztosítási ellátások</t>
  </si>
  <si>
    <t>K42</t>
  </si>
  <si>
    <t>Családi támogatások</t>
  </si>
  <si>
    <t>Pénzbeli és természetbeni gyermekvédelmi támogatások</t>
  </si>
  <si>
    <t>kiegészítő gyermekvédelmi támogatás és a kieg. gyermekvédelmi tám. pótléka Gyvt. 20/B. §</t>
  </si>
  <si>
    <t>Intézményi ellátottak pénzbeli juttatásai</t>
  </si>
  <si>
    <t>1. Működési célú támogatások államháztartáson belülről</t>
  </si>
  <si>
    <t>1.1. Önkormányzatok működési támogatásai</t>
  </si>
  <si>
    <t>1.2. Műk. c. visszatérítendő tám., kölcsönök v.térülése állh-on bel.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</si>
  <si>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</si>
  <si>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</si>
  <si>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</si>
  <si>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</si>
  <si>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</si>
  <si>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</si>
  <si>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</si>
  <si>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3.1. Áru- és készletértékesítés ellenértéke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</si>
  <si>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</si>
  <si>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</si>
  <si>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</si>
  <si>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</si>
  <si>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3.7. Kamatbevételek</t>
  </si>
  <si>
    <t>3.8. Egyéb működési bevételek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</si>
  <si>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</si>
  <si>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</si>
  <si>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</si>
  <si>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</si>
  <si>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</si>
  <si>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</si>
  <si>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</si>
  <si>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</si>
  <si>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</si>
  <si>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</si>
  <si>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</si>
  <si>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>3.1. Felh. c. vtérítendő támog., kölcsönök vtérülése állh.-on kív.</t>
  </si>
  <si>
    <t>3.2. Egyéb felh. c. átvett pénzeszközök</t>
  </si>
  <si>
    <t>VI. Hitel-, kölcsönfelvétel államháztartáson kívülről</t>
  </si>
  <si>
    <t>V.Belföldi értékpapírok bevételei</t>
  </si>
  <si>
    <t>2. Munkaadót terhelő járulékok és szoc. hozzájárulási adó</t>
  </si>
  <si>
    <t xml:space="preserve">3. Dologi kiadások </t>
  </si>
  <si>
    <t>4. Ellátottak pénzbeli juttatásai</t>
  </si>
  <si>
    <t>5.1. Egyéb műk. célú támogatások államh.-on belülre</t>
  </si>
  <si>
    <t>5.2. Műk. c. v.térítendő támogatások, kölcs. nyújt. állh-on belül.</t>
  </si>
  <si>
    <t>5.3. Egyéb műk. célú támogatások államh.-on kívülre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</si>
  <si>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</si>
  <si>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</si>
  <si>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</si>
  <si>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</si>
  <si>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</si>
  <si>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</si>
  <si>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</si>
  <si>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</si>
  <si>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</si>
  <si>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</si>
  <si>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</si>
  <si>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Nem veszélyes (települési) hulladék vegyes begyűjtése, szállítása, átrakása</t>
  </si>
  <si>
    <t>Szennyvízcsatorna építése, fenntartása, üzemeltetése</t>
  </si>
  <si>
    <t>Önk-i vagyonnal való gazdálkodással kapcs. feladatok</t>
  </si>
  <si>
    <t>Önk-ok és önk-i hivatalok jogalkotói és ált. igazgatási tevékenysége</t>
  </si>
  <si>
    <t>ÁROP projekt</t>
  </si>
  <si>
    <t>Város-, községgazd. egyéb szolg.</t>
  </si>
  <si>
    <t>Bűnmegelőzés</t>
  </si>
  <si>
    <t>Tűz- és katasztrófavédelmi tevékenységek</t>
  </si>
  <si>
    <t>Ár- és belvízvédelemmel összefüggő tevékenységek</t>
  </si>
  <si>
    <t>Óvodai nevelés</t>
  </si>
  <si>
    <t>21. Eü. ellátás</t>
  </si>
  <si>
    <t>Időskorúak, demens betegek tartós benntlakásos ellátása</t>
  </si>
  <si>
    <t>Hajléktalanok átmeneti ellátása</t>
  </si>
  <si>
    <t>Idősek, demens betegek nappali ellátása</t>
  </si>
  <si>
    <t>Gyermekjóléti szolgáltatások</t>
  </si>
  <si>
    <t>Hajléktalanok nappali ellátása</t>
  </si>
  <si>
    <t xml:space="preserve">Családsegítés </t>
  </si>
  <si>
    <t>A gyermekek, fiatalok és családok életminőségét javító programok</t>
  </si>
  <si>
    <t>22. Pelikán Kft. feladatell. tám.</t>
  </si>
  <si>
    <t>Téli közfoglalkoztatás</t>
  </si>
  <si>
    <t>2014. évben induló START-progr.</t>
  </si>
  <si>
    <t>24. Közfogl.</t>
  </si>
  <si>
    <t>Hagyományos közösségi kult. értékek gondozása - Közművelődés</t>
  </si>
  <si>
    <t>Sportlétesítmények, edzőtáborok működtetése és fejlesztése</t>
  </si>
  <si>
    <t>Város-,  községgazdálkodási egyéb szolg.</t>
  </si>
  <si>
    <t>Időskorúak, demens betegek  tartós bentlakásos ellátása</t>
  </si>
  <si>
    <t xml:space="preserve">Hajléktalanok átmeneti ellátása </t>
  </si>
  <si>
    <t>Szoc. tv. 25.§bb, 45.§(1), 47.§(1), Szoc. tv. 48.§ (1)</t>
  </si>
  <si>
    <t>2013. évről áthúzódó START progr.</t>
  </si>
  <si>
    <t>2014. évben induló START progr.</t>
  </si>
  <si>
    <t>Múzeumi, gyűjteményi tevékenység</t>
  </si>
  <si>
    <t xml:space="preserve">működési </t>
  </si>
  <si>
    <t>felhalmozási</t>
  </si>
  <si>
    <t>össz.</t>
  </si>
  <si>
    <t>Mötv. 13.§(1)17.</t>
  </si>
  <si>
    <t>Mötv. 13.§(1)2.11. 9.12.5</t>
  </si>
  <si>
    <t>Mötv. 13.§(1)13</t>
  </si>
  <si>
    <t>Ttv. 2.§(2) Mötv. 13.§(1)12</t>
  </si>
  <si>
    <t>Mötv. 13.§(1) 10</t>
  </si>
  <si>
    <t>Mötv. 13.§(1) 7</t>
  </si>
  <si>
    <t>Egyéb szoc. pénzbeli ellátások, támogatások (önkormányzati segély)</t>
  </si>
  <si>
    <t>Lakásfenntartással, lakhatással összefüggő ellátások</t>
  </si>
  <si>
    <t>Betegséggel kapcs. pénzbeli ell. tám. -közgyógy ell.</t>
  </si>
  <si>
    <t>Egyéb szoc. természetbeni és pénzbeni ell. tám. - Hadigondozotti ellátások</t>
  </si>
  <si>
    <t>Gyermekvédelmi pénzbeli és természetbeni ell. -(Erzsébet ut., kieg. gyerm.véd. tám. és pótléka, óvodáztatási tám.)</t>
  </si>
  <si>
    <t>Gyvt. tv. 14.§ (3), 18.§ b, 20/A.§,20/B.§, 20/C.§</t>
  </si>
  <si>
    <t>Munkanélküli aktív korúak ellátásai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</si>
  <si>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</si>
  <si>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</si>
  <si>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</si>
  <si>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</si>
  <si>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</si>
  <si>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Homokértékesítés bevétele</t>
  </si>
  <si>
    <t xml:space="preserve"> </t>
  </si>
  <si>
    <t>Ingatlan, termőföld értékesítés</t>
  </si>
  <si>
    <t>Felhalm.célú hitelfelvétel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</si>
  <si>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</si>
  <si>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</si>
  <si>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</si>
  <si>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</si>
  <si>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</si>
  <si>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</si>
  <si>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</si>
  <si>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</si>
  <si>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</si>
  <si>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</si>
  <si>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</si>
  <si>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</si>
  <si>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</si>
  <si>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</si>
  <si>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</si>
  <si>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</si>
  <si>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</si>
  <si>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</si>
  <si>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</si>
  <si>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</si>
  <si>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</si>
  <si>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Továbbszámlázott közüzemi díjak és vagyonbizt. díjak bevételei</t>
  </si>
  <si>
    <t>Iparterület "Napenergia hasznosítása.." projekt EU támogatása</t>
  </si>
  <si>
    <t>Gyermekétkeztetés tám. - fin. szempontjából elismert dolgozók bértámogatása (ált. isk, gimn.)</t>
  </si>
  <si>
    <t>Gyermekétkeztetés tám. - fin. szempontjából elismert dolgozók bértámogatása (óvoda)</t>
  </si>
  <si>
    <t>ÁROP szervezetfejl. projekt EU tám. műk.</t>
  </si>
  <si>
    <t>ÁROP szervezetfejl. projekt EU tám. felh.</t>
  </si>
  <si>
    <t>Kieg. RGYVK címén kifizetett összeg és kapcsolódó pótlék megtérítése</t>
  </si>
  <si>
    <t>Munkaügyi Kp. tám. -2013. évről áthúzódó START-munkaprogramok</t>
  </si>
  <si>
    <t>Munkaügyi Kp. tám. -2014. évben induló START-munkaprogramok</t>
  </si>
  <si>
    <t>Munkaügyi Kp. tám. -Téli közfoglalkoztatás</t>
  </si>
  <si>
    <t>Munkaügyi Kp. tám. -Egyéb közfoglalk.</t>
  </si>
  <si>
    <t>Települési önkormányzatok köznevelési feladatainak egyéb támogatása</t>
  </si>
  <si>
    <t>RGYVK-hoz kapcs. természetb. j. (Erzsébet utalvány) megtérítése</t>
  </si>
  <si>
    <t>Imre Zoltán Műv. Kp. Napelemes fejlesztés projekt EU támogatása</t>
  </si>
  <si>
    <t>Takarítási szolgáltatás díjbevétele</t>
  </si>
  <si>
    <t>3. melléklet</t>
  </si>
  <si>
    <t>Felhalmozás célú támogatás államháztartáson kívülre</t>
  </si>
  <si>
    <t>Dologi kiadások közül felhalmozási célúak</t>
  </si>
  <si>
    <t xml:space="preserve"> Hulladékgazdálkodási Kft - lakosságszám arányosan 1 millió Ft törzstőke jegyzése - 308/2013.(XII.11) Kt.</t>
  </si>
  <si>
    <t>2.1. Helyi adók és adójellegű bevételek</t>
  </si>
  <si>
    <t>2. melléklet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</si>
  <si>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</si>
  <si>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</si>
  <si>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</si>
  <si>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</si>
  <si>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</si>
  <si>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</si>
  <si>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</si>
  <si>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III.3.a (1)</t>
  </si>
  <si>
    <t>III.3.a (2)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</si>
  <si>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</si>
  <si>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</si>
  <si>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</si>
  <si>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</si>
  <si>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</si>
  <si>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16.</t>
  </si>
  <si>
    <t>16.b</t>
  </si>
  <si>
    <t>Köznevelési intézmények kiegészítő támogatása</t>
  </si>
  <si>
    <t>17.</t>
  </si>
  <si>
    <t>3. melléklet jogcímei mindösszesen:</t>
  </si>
  <si>
    <t>Központi költségvetési támogatások mindösszesen:</t>
  </si>
  <si>
    <t>Jánoshalma Város Polgármesteri Hivatalának szervezetfejlesztése II. (ÁROP-1.A.5-2013-2013-0111)</t>
  </si>
  <si>
    <t>Jánoshalma város közbiztonság javítása érdekében kamerarendszer kiépítése (LEADER 2013.)</t>
  </si>
  <si>
    <t>Imre Zoltán Műv. Kp. villamosenergia megtakarítását eredményező napelemes fejlesztés (KEOP-4.10.0/A/12-2013-0726)</t>
  </si>
  <si>
    <t xml:space="preserve">- Téli közfogl.                     (2013.12.01-2014.03.31)            </t>
  </si>
  <si>
    <t xml:space="preserve">-Alapkompetencia képzés                     (2013.12.01-2014.04.30)            </t>
  </si>
  <si>
    <t xml:space="preserve">-Kiskert                     (2013.12.31-2014.06.29)            </t>
  </si>
  <si>
    <t>253/2013.(X.10) Kt. sz. hat. szerinti közf.     (2013.10.01-2014.02.28)</t>
  </si>
  <si>
    <t>254/2013.(X.10) Kt. sz. hat. szerinti közf.     (2013.11.01-2014.02.28)</t>
  </si>
  <si>
    <t>2014. évben induló START munkaprogramok</t>
  </si>
  <si>
    <t xml:space="preserve">-Bio energia startmunka-pr.                  (2014.01.02-2014.04.30)            </t>
  </si>
  <si>
    <t xml:space="preserve">-Aszalós                  (2013.12.31-2014.01.30)            </t>
  </si>
  <si>
    <t xml:space="preserve">-Téli mg.                  (2014.01.02-2014.02.28)            </t>
  </si>
  <si>
    <t xml:space="preserve">-79 fő                      (2014.01.01-2014.04.30)            </t>
  </si>
  <si>
    <t>Helyi Önkorm. összesen</t>
  </si>
  <si>
    <t>Felmentési idejét töltő dolgozó</t>
  </si>
  <si>
    <t xml:space="preserve">- Felmentési idejüket töltő köztisztviselők                      </t>
  </si>
  <si>
    <t>Jánoshalma VárosI Önkormányzat  2014. évi költségvetési kiadásai feladatonként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</si>
  <si>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</si>
  <si>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</si>
  <si>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</si>
  <si>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</si>
  <si>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</si>
  <si>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</si>
  <si>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</si>
  <si>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Tárgyi eszköz beszerzések (telefonkészülék, porszívó, számológép )</t>
  </si>
  <si>
    <t>LEADER 2013. "Jánoshalma város közbiztonság javítása érdekében kamerarendszer kiépítése" projekt</t>
  </si>
  <si>
    <t>Tárgyi eszköz beszerzések Diákélelmezési Konyha részére (robotgép, botmixer, 2 db kosár mosogatógéphez, 1 db felmosókocsi)</t>
  </si>
  <si>
    <t>Polgármesteri Hivatal informatikai rendszerének megújítása (hardver), új operációs rendszer és Office szoftverek beszerzése  313/2013.(XII.11) Kt. hat. alapján</t>
  </si>
  <si>
    <t>ÁROP-1.A.5-2013-2013-0111 "Jánoshalma Város Polgármesteri Hivatalának Szervezetfejlesztése" c. projekt - szoftver beszerzés</t>
  </si>
  <si>
    <t xml:space="preserve"> Mitsubishi Pajero megvásárlása Városgazda Kft-től 376/2012.(XII.13.) Kt. hat.</t>
  </si>
  <si>
    <t>Tárgyi eszköz beszerzések (oxigénpalack, poroltó készülék 2 db) - Háziorvosi ügyeleti ellátás részére</t>
  </si>
  <si>
    <t>Tárgyi eszköz beszerzések (oxigénpalack) - Család- és nővédelmi eü. gondozás részére</t>
  </si>
  <si>
    <t>KEOP-4.10.0/A/12-2013-0726 "Imre Zoltán Művelődési Központ villamosenergia megtakarítását eredményező napelemes fejlesztés" c. projekt kiadásai</t>
  </si>
  <si>
    <t xml:space="preserve">KEOP-4.10.0/A/12-2013-0726 "Imre Zoltán Művelődési Központ villamosenergia megtakarítását eredményező napelemes fejlesztés" c. projekthez építészeti tervek készíttetése  2/2013.(I.07.) Kt. sz. </t>
  </si>
  <si>
    <t>Jánoshalma Városi Önkormányzat 2014. évi költségvetésében tervezett központi költségvetési támogatások</t>
  </si>
  <si>
    <t>Óvodapedagógusok pótlólagos bér támogatása a 2014/2015. nevelési évre</t>
  </si>
  <si>
    <t>K43</t>
  </si>
  <si>
    <t>Pénzbeli kárpótlások, kártérítések</t>
  </si>
  <si>
    <t>K44</t>
  </si>
  <si>
    <t>Betegséggel kapcsolatos (nem TB) ellátások</t>
  </si>
  <si>
    <t>megváltozott munkaképességűek, ill. egészségkárosodottak kereset-kiegészítése</t>
  </si>
  <si>
    <t>helyi megállapítású közgyógyellátás (Szoctv. 50.§ (3) bek.)</t>
  </si>
  <si>
    <t>K45</t>
  </si>
  <si>
    <t>Foglalkoztatással, munkanélküliséggel kapcs. ellátások</t>
  </si>
  <si>
    <t>foglalkoztatást helyettesítő támogatás (Szoctv. 35.§ (1) bek.)</t>
  </si>
  <si>
    <t>K46</t>
  </si>
  <si>
    <t>Lakhatással kapcsolatos ellátások</t>
  </si>
  <si>
    <t>lakásfenntartási támogatás (Szoctv. 38.§(1) a, b, pontok)</t>
  </si>
  <si>
    <t>K47</t>
  </si>
  <si>
    <t>K48</t>
  </si>
  <si>
    <t>Egyéb nem intézményi ellátások</t>
  </si>
  <si>
    <t>rendszeres szociális segéyl (Szoctv. 37.§(1) a-d pontok</t>
  </si>
  <si>
    <t>átmeneti segély (Szoctv. 45.§ 47.§ (1) C,)</t>
  </si>
  <si>
    <t>temetési segély (Szoctv. 46.§ 47.§ (1) d,)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</si>
  <si>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</si>
  <si>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</si>
  <si>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</si>
  <si>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</si>
  <si>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</si>
  <si>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</si>
  <si>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</si>
  <si>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</si>
  <si>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</si>
  <si>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</si>
  <si>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</si>
  <si>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</si>
  <si>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</si>
  <si>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</si>
  <si>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</si>
  <si>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</si>
  <si>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</si>
  <si>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</si>
  <si>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</si>
  <si>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</si>
  <si>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</si>
  <si>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</si>
  <si>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</si>
  <si>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</si>
  <si>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</si>
  <si>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</si>
  <si>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</si>
  <si>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</si>
  <si>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</si>
  <si>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</si>
  <si>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</si>
  <si>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</si>
  <si>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</si>
  <si>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</si>
  <si>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</si>
  <si>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</si>
  <si>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</si>
  <si>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Műk. c. visszatérítendő támogatások, kölcsönök nyújtása államháztartáson kívülre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</si>
  <si>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</si>
  <si>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</si>
  <si>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</si>
  <si>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</si>
  <si>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</si>
  <si>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</si>
  <si>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</si>
  <si>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</si>
  <si>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</si>
  <si>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</si>
  <si>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</si>
  <si>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</si>
  <si>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</si>
  <si>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</si>
  <si>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</si>
  <si>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</si>
  <si>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</si>
  <si>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</si>
  <si>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>Céltartalék - Környezetvédelmi alap</t>
  </si>
  <si>
    <t>Fejlesztési c. tartalék- viziközművek fejlesztésére</t>
  </si>
  <si>
    <t>K61</t>
  </si>
  <si>
    <t>Immateriális javak beszerzése, létesítése</t>
  </si>
  <si>
    <t>K62</t>
  </si>
  <si>
    <t>Ingatlanok beszerzése, létesítése</t>
  </si>
  <si>
    <t xml:space="preserve">   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</si>
  <si>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</si>
  <si>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</si>
  <si>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</si>
  <si>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</si>
  <si>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</si>
  <si>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</si>
  <si>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</si>
  <si>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</si>
  <si>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</si>
  <si>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</si>
  <si>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K71</t>
  </si>
  <si>
    <t>Ingatlanok felújítása</t>
  </si>
  <si>
    <t>K72</t>
  </si>
  <si>
    <t>Infrormatikai eszközök felújítása</t>
  </si>
  <si>
    <t xml:space="preserve">K73 </t>
  </si>
  <si>
    <t>Egyéb tárgyi eszközök felújítása</t>
  </si>
  <si>
    <t>K74</t>
  </si>
  <si>
    <t>Felújítási célú előzetesen felszámított áfa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</si>
  <si>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</si>
  <si>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</si>
  <si>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</si>
  <si>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</si>
  <si>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</si>
  <si>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</si>
  <si>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</si>
  <si>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</si>
  <si>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</si>
  <si>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</si>
  <si>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</si>
  <si>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</si>
  <si>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</si>
  <si>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</si>
  <si>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</si>
  <si>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Egyéb felhalmozási c. támogatások állh-on kívülre</t>
  </si>
  <si>
    <t>K91</t>
  </si>
  <si>
    <t>Belföldi finanszírozás kiadásai</t>
  </si>
  <si>
    <t>K92</t>
  </si>
  <si>
    <t>Külföldi finanszírozás kiadásai</t>
  </si>
  <si>
    <t>K93</t>
  </si>
  <si>
    <t>Adóssághoz nem kapcsolódó származékos ügyletek kiadásai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</si>
  <si>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</si>
  <si>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</si>
  <si>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</si>
  <si>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</si>
  <si>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</si>
  <si>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</si>
  <si>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</si>
  <si>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Telep. önk-ok egyes köznevelési feladatainak támogatása</t>
  </si>
  <si>
    <t>B113</t>
  </si>
  <si>
    <t>Telep. önk-ok szociális és gyermekjóléti feladatainak tám.</t>
  </si>
  <si>
    <t>B114</t>
  </si>
  <si>
    <t>Telep. önk-ok kulturális feladatainak támogatása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</si>
  <si>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</si>
  <si>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</si>
  <si>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</si>
  <si>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</si>
  <si>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</si>
  <si>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</si>
  <si>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</si>
  <si>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c. garancia- és kez.váll-ból szárm. megt. állh-on belülről</t>
  </si>
  <si>
    <t>B14</t>
  </si>
  <si>
    <t>Műk. c. visszatérítendő támogatások, kölcsönök vtérülése állh. bel.</t>
  </si>
  <si>
    <t>fejezeti kezelésű ei EU-s pr. és azok hazai társfinanszírozása</t>
  </si>
  <si>
    <t>B15</t>
  </si>
  <si>
    <t>Műk. c. visszatérítendő támogatások, kölcsönök igénybev. állh. bel.</t>
  </si>
  <si>
    <t>B16</t>
  </si>
  <si>
    <t>Egyéb műk. c. támogatások bevételei államházt.-on belülről</t>
  </si>
  <si>
    <t>B2</t>
  </si>
  <si>
    <t>Felhalm. célú támogatások államháztartáson belülről</t>
  </si>
  <si>
    <t>B21</t>
  </si>
  <si>
    <t>Felhalmozási c. önkormányzati támogatások</t>
  </si>
  <si>
    <t>B22</t>
  </si>
  <si>
    <t>Felhalm. c. garancia- és kez.váll-ból szárm. megt. állh-on belülről</t>
  </si>
  <si>
    <t>B23</t>
  </si>
  <si>
    <t>Felh. c. visszatérítendő támogatások, kölcsönök vtérülése állh. bel.</t>
  </si>
  <si>
    <t>B24</t>
  </si>
  <si>
    <t>Felh. c. visszatérítendő támogatások, kölcsönök igénybev. állh. bel.</t>
  </si>
  <si>
    <t>B25</t>
  </si>
  <si>
    <t>Egyéb felh. c. támogatások bevételei államházt.-on belülről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</si>
  <si>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</si>
  <si>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</si>
  <si>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</si>
  <si>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</si>
  <si>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</si>
  <si>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</si>
  <si>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</si>
  <si>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</si>
  <si>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</si>
  <si>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</si>
  <si>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</si>
  <si>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</si>
  <si>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</si>
  <si>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</si>
  <si>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</si>
  <si>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</si>
  <si>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állandó jelleggel végz. iparűz. tev. utáni helyi iparűzési adó</t>
  </si>
  <si>
    <t>ideigl. jell. végz. tev. utáni helyi iparűzési adó</t>
  </si>
  <si>
    <t>B352</t>
  </si>
  <si>
    <t>Fogyasztási adók</t>
  </si>
  <si>
    <t>B353</t>
  </si>
  <si>
    <t>Pü-i monopóliumok nyereségét terhelő adók</t>
  </si>
  <si>
    <t>B354</t>
  </si>
  <si>
    <t>Gépjárműadók</t>
  </si>
  <si>
    <t>belföldi gépjárművek adójának helyi önk-t megillető része</t>
  </si>
  <si>
    <t>B355</t>
  </si>
  <si>
    <t>Egyéb áruhasználati és szolgáltatási adók</t>
  </si>
  <si>
    <t>környezetterhelési díj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</si>
  <si>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</si>
  <si>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</si>
  <si>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</si>
  <si>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</si>
  <si>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</si>
  <si>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</si>
  <si>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</si>
  <si>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</si>
  <si>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</si>
  <si>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építésügyi bírság</t>
  </si>
  <si>
    <t>szabálysértési pénz- és helyszíni bírság és a közlekedési szabályszegések után kiszabott közig. bírság önkormányzatot megillető része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</si>
  <si>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</si>
  <si>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</si>
  <si>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</si>
  <si>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</si>
  <si>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</si>
  <si>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</si>
  <si>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</si>
  <si>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</si>
  <si>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</si>
  <si>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</si>
  <si>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</si>
  <si>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</si>
  <si>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önk-i vagyon vagyonkezelésbe adásából szárm.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</si>
  <si>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</si>
  <si>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</si>
  <si>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</si>
  <si>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</si>
  <si>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</si>
  <si>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</si>
  <si>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</si>
  <si>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Kamatbevételek (késedelmi kamat kivételével)</t>
  </si>
  <si>
    <t>B409</t>
  </si>
  <si>
    <t>Egyéb pénzügyi műveletek bevételei (pl. árfolyamnyereség)</t>
  </si>
  <si>
    <t>B410</t>
  </si>
  <si>
    <t>Egyéb működési bevételek (pl. közbesz. ajánlati biztosíték, pályázati díjak, biztosítók kártérítése, kötbér, késedelmi kamat, kerekítési különbözet stb.)</t>
  </si>
  <si>
    <t>biztosító által fizetett kártérítés</t>
  </si>
  <si>
    <t>szerződésben vállalt kötelezettségek elmulasztásához kapcsolódó bevételek, káreseményekkel kapcs. kapott bevételek, biztosítási bevételek, visszakapott óvadék, bánatpénz</t>
  </si>
  <si>
    <t>költségek visszatérítései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</si>
  <si>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</si>
  <si>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</si>
  <si>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</si>
  <si>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</si>
  <si>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</si>
  <si>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</si>
  <si>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</si>
  <si>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</si>
  <si>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</si>
  <si>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</si>
  <si>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</si>
  <si>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</si>
  <si>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</si>
  <si>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</si>
  <si>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</si>
  <si>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Működési c. garancia- és kez.váll-ból szárm. megt. állh-on kívülről</t>
  </si>
  <si>
    <t>B62</t>
  </si>
  <si>
    <t>Gyermekétkeztetés üzemeltetési támogatása (ált. isk. gimn.)</t>
  </si>
  <si>
    <t>Gyermekétkeztetés üzemeltetési tám.  (óvoda)</t>
  </si>
  <si>
    <t>Felhalm.célú pm. igénybev. LEADER önerő</t>
  </si>
  <si>
    <t>Felhalm.célú pm. igénybev. - Imre Z. Műv. Kp. napelemes fejlesztés önerő</t>
  </si>
  <si>
    <t>Műk. c. pm. igénybev- napelem cserére</t>
  </si>
  <si>
    <t>Műk. c. pm. igénybev- hiány csökkentésre</t>
  </si>
  <si>
    <t>Helyi önkormányzatok kiegészítő támogatása</t>
  </si>
  <si>
    <t>Új erő = Tiszta lélek c. projekt EU tám. műk.</t>
  </si>
  <si>
    <t xml:space="preserve">  IPA Határon Átnyúló Projekt FAB (Magyarország-Szerbia) - Jánoshalma Város Önkormányzat </t>
  </si>
  <si>
    <t>EUR</t>
  </si>
  <si>
    <t>eFt</t>
  </si>
  <si>
    <t>Hazai társfinanszírozás</t>
  </si>
  <si>
    <t>EU-s forrás  (IPA)</t>
  </si>
  <si>
    <t>Felújítási kiadások (elszámolható)</t>
  </si>
  <si>
    <t>Felújítási kiadások (nem elszámolható)</t>
  </si>
  <si>
    <t>Beruházási kiadások (eszközbeszerzés)</t>
  </si>
  <si>
    <t>Bér+járulék kiadások (elszámolható)</t>
  </si>
  <si>
    <t xml:space="preserve">  </t>
  </si>
  <si>
    <t>Saját erő (viziközmű társ. hitel) I. elsz.</t>
  </si>
  <si>
    <t>Saját erő (viziközmű társ. hitel) II. nem elsz.</t>
  </si>
  <si>
    <t>IPA Határon Átnyúló Projekt</t>
  </si>
  <si>
    <t>3.7. Általános forgalmi adó visszatérítése</t>
  </si>
  <si>
    <t>43</t>
  </si>
  <si>
    <t>LEADER közbiztonság jav.projekt EU tám.</t>
  </si>
  <si>
    <t>Szennyvíz beruh. saját erő (Viziközmű társ. h.)</t>
  </si>
  <si>
    <t>Szennyvíz beruházás EU-s és hazai támogatás</t>
  </si>
  <si>
    <t>Szennyvíz beruh. ÁFA visszatérülés</t>
  </si>
  <si>
    <t>Műk. c. pm. igénybev- IPA projekt saját erő</t>
  </si>
  <si>
    <t>IPA Határon Átnyúló Projekt EU tám. műk.</t>
  </si>
  <si>
    <t>IPA Határon Átnyúló Projekt EU tám. felh.</t>
  </si>
  <si>
    <t>IPA Határon Átnyúló Projekt FAB (Magyarország - Szerbia) - eszközbeszerzés</t>
  </si>
  <si>
    <t>IPA Határon Átnyúló Projekt FAB (Magyarország - Szerbia) -Alkotóház felújítási kiadások</t>
  </si>
  <si>
    <t>Műk. c. visszatérítendő támogatások, kölcsönök vtérülése állh. kív.</t>
  </si>
  <si>
    <t>B63</t>
  </si>
  <si>
    <t>Egyéb műk. c. átvett pénzeszközök</t>
  </si>
  <si>
    <t>B7</t>
  </si>
  <si>
    <t>Felhalmozási célú átvett pénzeszközök</t>
  </si>
  <si>
    <t>B71</t>
  </si>
  <si>
    <t>Felhalm. c. garancia- és kez.váll-ból szárm. megt. állh-on kívülről</t>
  </si>
  <si>
    <t>B72</t>
  </si>
  <si>
    <t>Felhalm. c. v.térítendő támogatások, kölcsönök vtérülése állh. kív.</t>
  </si>
  <si>
    <t>B73</t>
  </si>
  <si>
    <t>Egyéb felhalm. c. átvett pénzeszközök</t>
  </si>
  <si>
    <t>B8</t>
  </si>
  <si>
    <t>Finanszírozási bevételek</t>
  </si>
  <si>
    <t>B81</t>
  </si>
  <si>
    <t>Belföldi finanszírozás bevételei</t>
  </si>
  <si>
    <t>B811</t>
  </si>
  <si>
    <t>Hitel-, kölcsönfelvétel államháztartáson kívülről</t>
  </si>
  <si>
    <t>B8111</t>
  </si>
  <si>
    <t>Hosszú lejáratú hitelek, kölcsönök felvétele</t>
  </si>
  <si>
    <t>B8112</t>
  </si>
  <si>
    <t>Likviditási célú hitelek, kölcsönök felvétele pü-i vállalkozástól</t>
  </si>
  <si>
    <t>B8113</t>
  </si>
  <si>
    <t>Rövid lejáratú hitelek, kölcsönök felvétele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</si>
  <si>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</si>
  <si>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</si>
  <si>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</si>
  <si>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</si>
  <si>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</si>
  <si>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</si>
  <si>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</si>
  <si>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</si>
  <si>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</si>
  <si>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 (Áht. 78.§ (4) és (5) bek.)</t>
  </si>
  <si>
    <t>B815</t>
  </si>
  <si>
    <t>Államháztartáson belüli megelől. törleszt. (Áht. 78.§ (4) és (5) bek.)</t>
  </si>
  <si>
    <t>B816</t>
  </si>
  <si>
    <t>Központi, irányító szervi támogatás</t>
  </si>
  <si>
    <t>B817</t>
  </si>
  <si>
    <t>Betétek megszüntetése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</si>
  <si>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</si>
  <si>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</si>
  <si>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</si>
  <si>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</si>
  <si>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</si>
  <si>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</si>
  <si>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2014. évi felhalmozási kiadások feladatonként, felújítási kiadások célonként</t>
  </si>
  <si>
    <t>Környezetvédelmi alap képzése a 2014. évre tervezett talajterhelési díj bevételből</t>
  </si>
  <si>
    <t xml:space="preserve">Támogatási szerződés szerinti bevételek, kiadások  (eFt)     </t>
  </si>
  <si>
    <t>évenkénti üteme</t>
  </si>
  <si>
    <t>Saját erő</t>
  </si>
  <si>
    <t>EU-s forrás</t>
  </si>
  <si>
    <t>Források összesen</t>
  </si>
  <si>
    <t>Beruházási kiadások (elszámolható)</t>
  </si>
  <si>
    <t>Beruházási kiadások (nem elszámolható)</t>
  </si>
  <si>
    <t>Dologi kiadások (elszámolható)</t>
  </si>
  <si>
    <t>Dologi kiadások (nem elszámolható)</t>
  </si>
  <si>
    <t>Szennyvíz-csatornázási és szennyvíztisztítási beruházás (KEOP-1.2.0/2F/09-2010-0029)</t>
  </si>
  <si>
    <t>EU-s forrás és hazai együtt</t>
  </si>
  <si>
    <t>Egyéb forrás (ÁFA visszatérülés)</t>
  </si>
  <si>
    <t>Új erő = Tiszta lélek c. projekt (TÁMOP 6.1.2/LHH/11-A-2012-0006)</t>
  </si>
  <si>
    <t>Személyi juttatások (elszámolható)</t>
  </si>
  <si>
    <t>Szoc. hj. adó (elszámolható)</t>
  </si>
  <si>
    <t>2014. költségvetésben tervezett, EU-forrásból finanszírozott  támogatással megvalósuló projektek kiadásai, a helyi önkormányzat ilyen projektekhez történő hozzájárulásai</t>
  </si>
  <si>
    <t xml:space="preserve">2014. évi költségvetésben tervezett bevételi előirányzatok (eFt)    </t>
  </si>
  <si>
    <t xml:space="preserve">2014. évi költségvetésben tervezett kiadási előirányzatok (eFt)    </t>
  </si>
  <si>
    <t>V. Értékpapírok vásárlásának kiadása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</si>
  <si>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</si>
  <si>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</si>
  <si>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</si>
  <si>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</si>
  <si>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Össz.</t>
  </si>
  <si>
    <t>Felh. célú</t>
  </si>
  <si>
    <t>Műk. célú</t>
  </si>
  <si>
    <t>Áru- és készletértékesítés ellenértéke</t>
  </si>
  <si>
    <t>Szolgáltatások ellenértéke</t>
  </si>
  <si>
    <t>Immateriális javak értékesítése</t>
  </si>
  <si>
    <t>Beruházás</t>
  </si>
  <si>
    <t>Építményüzemeltetés</t>
  </si>
  <si>
    <t>- Gazdasági ügyintéző</t>
  </si>
  <si>
    <t>Közutak, alagutak üzemeltetése, fenntartása</t>
  </si>
  <si>
    <t>Munka-adót terh. jár.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</si>
  <si>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</si>
  <si>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</si>
  <si>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</si>
  <si>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</si>
  <si>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</si>
  <si>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</si>
  <si>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</si>
  <si>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</si>
  <si>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</si>
  <si>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</si>
  <si>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</si>
  <si>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</si>
  <si>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</si>
  <si>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</si>
  <si>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Jánoshalmi tagóvodák</t>
  </si>
  <si>
    <r>
      <t xml:space="preserve">Óvónő </t>
    </r>
    <r>
      <rPr>
        <i/>
        <sz val="9"/>
        <rFont val="Arial"/>
        <family val="2"/>
      </rPr>
      <t>(90% részmunkaidős)</t>
    </r>
  </si>
  <si>
    <t>Óvodatitkár</t>
  </si>
  <si>
    <t>Bölcsődei gondozónő</t>
  </si>
  <si>
    <t>Kéleshalmi tagintézmény</t>
  </si>
  <si>
    <t>Óvónő</t>
  </si>
  <si>
    <t>Óvodai dajka</t>
  </si>
  <si>
    <t>Diákélelmezési Konyha</t>
  </si>
  <si>
    <t>- Konyhavezető</t>
  </si>
  <si>
    <t>- Szakács</t>
  </si>
  <si>
    <t>- Konyhai kisegítő</t>
  </si>
  <si>
    <t>- Gépkocsi vezető</t>
  </si>
  <si>
    <t>- Takarítónő</t>
  </si>
  <si>
    <t>- Fűtő, karbantartó</t>
  </si>
  <si>
    <t>- Technikus</t>
  </si>
  <si>
    <t>- Tűzoltók (közalkalmazottak)</t>
  </si>
  <si>
    <t xml:space="preserve">Közfoglalkoztatás </t>
  </si>
  <si>
    <t>- Polgármester</t>
  </si>
  <si>
    <t>- Főállású alpolgármester</t>
  </si>
  <si>
    <t>Ügyeleti Szolgálat</t>
  </si>
  <si>
    <t>- Ápolók</t>
  </si>
  <si>
    <t>- Gépkocsivezető</t>
  </si>
  <si>
    <t>Védőnői Szolgálat</t>
  </si>
  <si>
    <t>- Védőnők</t>
  </si>
  <si>
    <t>Felhalmozás célú hitel visszafizetése és kötvénybeváltás kiadása</t>
  </si>
  <si>
    <t>Megnevezés</t>
  </si>
  <si>
    <t>Kiadások</t>
  </si>
  <si>
    <t>Dologi kiadás</t>
  </si>
  <si>
    <t>Összesen:</t>
  </si>
  <si>
    <t>Mindösszesen:</t>
  </si>
  <si>
    <t>Mindösszesen</t>
  </si>
  <si>
    <t>E Ft-ban</t>
  </si>
  <si>
    <t>Beruházások</t>
  </si>
  <si>
    <t>K i a d á s b ó l</t>
  </si>
  <si>
    <t>Kiadások összesen</t>
  </si>
  <si>
    <t>Felú-  jítás</t>
  </si>
  <si>
    <t>Céltartalék (felhalmozási)</t>
  </si>
  <si>
    <t>adatok E Ft-ban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</si>
  <si>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</si>
  <si>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</si>
  <si>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</si>
  <si>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</si>
  <si>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</si>
  <si>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</si>
  <si>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Üdülői szálláshely-szolgáltatás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</si>
  <si>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</si>
  <si>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</si>
  <si>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</si>
  <si>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</si>
  <si>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</si>
  <si>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</si>
  <si>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</si>
  <si>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</si>
  <si>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</si>
  <si>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</si>
  <si>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</si>
  <si>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</si>
  <si>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</si>
  <si>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</si>
  <si>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</si>
  <si>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</si>
  <si>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</si>
  <si>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</si>
  <si>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</si>
  <si>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</si>
  <si>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</si>
  <si>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</si>
  <si>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</si>
  <si>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</si>
  <si>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</si>
  <si>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</si>
  <si>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</si>
  <si>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</si>
  <si>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</si>
  <si>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</si>
  <si>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</si>
  <si>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</si>
  <si>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</si>
  <si>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</si>
  <si>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</si>
  <si>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</si>
  <si>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</si>
  <si>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</si>
  <si>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</si>
  <si>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</si>
  <si>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</si>
  <si>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</si>
  <si>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</si>
  <si>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</si>
  <si>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</si>
  <si>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</si>
  <si>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</si>
  <si>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</si>
  <si>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</si>
  <si>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R</t>
  </si>
  <si>
    <t>Védőnők 2014. évi OEP-finanszírozásának maradványa</t>
  </si>
  <si>
    <t>Petőfi utcai óvoda épület - Hernyótalpas lépcsőjáró beszerzés 16/2014.(I.30.) Kt. hat.</t>
  </si>
  <si>
    <t>Helyi önkorm. összesen:</t>
  </si>
  <si>
    <t xml:space="preserve">Óvónő </t>
  </si>
  <si>
    <t xml:space="preserve">Óvodai dajka </t>
  </si>
  <si>
    <t xml:space="preserve">Technikai dolgozó </t>
  </si>
  <si>
    <t xml:space="preserve">- Köztisztviselők                      </t>
  </si>
  <si>
    <t>Polgárm. Hiv. összesen:</t>
  </si>
  <si>
    <t>Önk. Tűzoltóság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</si>
  <si>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</si>
  <si>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</si>
  <si>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</si>
  <si>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</si>
  <si>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</si>
  <si>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</si>
  <si>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</si>
  <si>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</si>
  <si>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</si>
  <si>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</si>
  <si>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</si>
  <si>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</si>
  <si>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</si>
  <si>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Vis maior tartalék képzése</t>
  </si>
  <si>
    <t>G</t>
  </si>
  <si>
    <t>H</t>
  </si>
  <si>
    <t>Víztermelés, -kezelés, -ellátás</t>
  </si>
  <si>
    <t>33</t>
  </si>
  <si>
    <t>Család- és nővédelmi egészségügyi gondozás</t>
  </si>
  <si>
    <t>Körny. véd. alap</t>
  </si>
  <si>
    <t>2011. év</t>
  </si>
  <si>
    <t>Bevételek</t>
  </si>
  <si>
    <t>Bevételek mindösszesen:</t>
  </si>
  <si>
    <t>-</t>
  </si>
  <si>
    <t>2010. év</t>
  </si>
  <si>
    <t>2012. év</t>
  </si>
  <si>
    <t>2013. év</t>
  </si>
  <si>
    <t>Helyi önkormányzat</t>
  </si>
  <si>
    <t>2014. év</t>
  </si>
  <si>
    <t>Jogcím</t>
  </si>
  <si>
    <t>száma</t>
  </si>
  <si>
    <t>megnevezése</t>
  </si>
  <si>
    <t>mutató</t>
  </si>
  <si>
    <t>fajlagos Ft</t>
  </si>
  <si>
    <t>összeg         Ft</t>
  </si>
  <si>
    <t>mutató    (8 hó)</t>
  </si>
  <si>
    <t>mutató   (4 hó)</t>
  </si>
  <si>
    <t>xxx</t>
  </si>
  <si>
    <t>Egyéb közfoglalkoztatás</t>
  </si>
  <si>
    <t>I. Működési bevételek</t>
  </si>
  <si>
    <t>Gyermekjóléti szolgáltatás</t>
  </si>
  <si>
    <t>Családsegítés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</si>
  <si>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</si>
  <si>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</si>
  <si>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</si>
  <si>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</si>
  <si>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</si>
  <si>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</si>
  <si>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</si>
  <si>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Általános tartalék képzése</t>
  </si>
  <si>
    <t>A települési önkormányzatok kulturális feladatainak támogatása</t>
  </si>
  <si>
    <t>Helyi Önkormányzat</t>
  </si>
  <si>
    <t xml:space="preserve">fajlagos Ft </t>
  </si>
  <si>
    <t xml:space="preserve">F </t>
  </si>
  <si>
    <t>1.a</t>
  </si>
  <si>
    <t>Önkormányzati hivatal működésének támogatása</t>
  </si>
  <si>
    <t>1.b</t>
  </si>
  <si>
    <t>1.ba</t>
  </si>
  <si>
    <t>A zöldterület-gazdálkodással kapcsolatos feladatok ellátásának támogatása</t>
  </si>
  <si>
    <t>1.bb</t>
  </si>
  <si>
    <t>Közvilágítás fenntartásának támogatása</t>
  </si>
  <si>
    <t>1.bc</t>
  </si>
  <si>
    <t>Köztemető fenntartással kapcsolatos feladatok támogatása</t>
  </si>
  <si>
    <t>1.bd</t>
  </si>
  <si>
    <t>Közutak fenntartásának támogatása</t>
  </si>
  <si>
    <t>1.c</t>
  </si>
  <si>
    <t>1.d</t>
  </si>
  <si>
    <t>II.1</t>
  </si>
  <si>
    <t>Óvodapedagógusok és az óvodapedagógusok munkáját közvetlenül segítők bértámogatása</t>
  </si>
  <si>
    <t>Óvodapedagógusok bértámogatása</t>
  </si>
  <si>
    <t>II.1 (1)</t>
  </si>
  <si>
    <t>II.1 (2)</t>
  </si>
  <si>
    <t>II.2</t>
  </si>
  <si>
    <t>Óvodaműködtetési támogatás</t>
  </si>
  <si>
    <t>III.1</t>
  </si>
  <si>
    <t>III.2</t>
  </si>
  <si>
    <t>Hozzájárulás a pénzbeli szociális ellátásokhoz</t>
  </si>
  <si>
    <t>III.3</t>
  </si>
  <si>
    <t>Egyes szociális és gyermekjóléti feladatok támogatása</t>
  </si>
  <si>
    <t>Gyermekjóléti szolgálat</t>
  </si>
  <si>
    <t>IV.</t>
  </si>
  <si>
    <t>összeg Ft</t>
  </si>
  <si>
    <t>Egyes jövedelempótló támogatások kiegészítése</t>
  </si>
  <si>
    <t>Ell.szám</t>
  </si>
  <si>
    <t>2. melléklet jogcímei mindösszesen:</t>
  </si>
  <si>
    <t>- Fizikai alkalmazottak                              (1 gk. vezető, 1 takarítónő)</t>
  </si>
  <si>
    <t>- Hentes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</si>
  <si>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</si>
  <si>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</si>
  <si>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</si>
  <si>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</si>
  <si>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</si>
  <si>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Jánoshalma Város Önkormányzata</t>
  </si>
  <si>
    <t>Mötv. 13.§(1) 11. 21.</t>
  </si>
  <si>
    <t>Mötv. 13.§(1) 19.</t>
  </si>
  <si>
    <t>Mötv. 13.§(1) 19. 2.</t>
  </si>
  <si>
    <t>Mötv. 13.§(1) 2.</t>
  </si>
  <si>
    <t>Gyvt. 151.§ (2), (2a)</t>
  </si>
  <si>
    <t>Mötv. 13.§(1) 9.</t>
  </si>
  <si>
    <t>Mötv. 13.§(1) 13.</t>
  </si>
  <si>
    <t>Mötv. 13.§(1) 11.</t>
  </si>
  <si>
    <t>23</t>
  </si>
  <si>
    <t xml:space="preserve">Mötv. 13.§(1) 4.,  Eü tv. 152.§ (1) a, </t>
  </si>
  <si>
    <t>24</t>
  </si>
  <si>
    <t xml:space="preserve">Mötv. 13.§(1) 4.,  Eü tv. 152.§ (1) c, </t>
  </si>
  <si>
    <t>25</t>
  </si>
  <si>
    <t xml:space="preserve">Mötv. 13.§(1) 4., Eü. tv. 152.§(1) b, </t>
  </si>
  <si>
    <t xml:space="preserve">Mötv. 13.§(1) 4., Eü. tv. 152.§(1) d, </t>
  </si>
  <si>
    <t>27</t>
  </si>
  <si>
    <t>Mötv. 13.§(1) 8., Gyvt.40.§ (1), Gyvt. 94.§(2a)</t>
  </si>
  <si>
    <t>31</t>
  </si>
  <si>
    <t>Szoc. tv. 86.§(1) d,</t>
  </si>
  <si>
    <t>Szoc. tv. 86.§(1) b,</t>
  </si>
  <si>
    <t>Szoc. tv. 86.§(1) c,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</si>
  <si>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</si>
  <si>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</si>
  <si>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</si>
  <si>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</si>
  <si>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</si>
  <si>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</si>
  <si>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</si>
  <si>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</si>
  <si>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</si>
  <si>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Mötv. 13.§(1) 12.</t>
  </si>
  <si>
    <t>Mötv. 13.§(1) 7., Közműv. tv. 64.§(1)</t>
  </si>
  <si>
    <t>Mötv. 13.§(1) 7., Közműv. tv. 73.§(2)</t>
  </si>
  <si>
    <t>Mötv. 13.§(1) 15.</t>
  </si>
  <si>
    <t>Önkormányzat összesen:</t>
  </si>
  <si>
    <t>Szoc.tv. 25.§ (3)aa, ab</t>
  </si>
  <si>
    <t>Szoc.tv. 25.§ (3)ac</t>
  </si>
  <si>
    <t>Óvodáztatási támogatás</t>
  </si>
  <si>
    <t>Szoc. tv. 50.§ (3)</t>
  </si>
  <si>
    <t>Hdt. 9.§</t>
  </si>
  <si>
    <t>Polgármesteri Hivatal összesen:</t>
  </si>
  <si>
    <t>Óvodai intézményi étkeztetés</t>
  </si>
  <si>
    <t>Óvodai nevelés, ellátás Jh.</t>
  </si>
  <si>
    <t>Mötv. 13.§(1) 6.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</si>
  <si>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</si>
  <si>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</si>
  <si>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</si>
  <si>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</si>
  <si>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</si>
  <si>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</si>
  <si>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</si>
  <si>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</si>
  <si>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</si>
  <si>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</si>
  <si>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</si>
  <si>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</si>
  <si>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Eü tv.</t>
  </si>
  <si>
    <t>1997. évi CLIV. törvény az egészségügyről</t>
  </si>
  <si>
    <t xml:space="preserve">Hdt. </t>
  </si>
  <si>
    <t xml:space="preserve">Hadigondozásról szóló 1994. évi XLV. törvény 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</si>
  <si>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</si>
  <si>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</si>
  <si>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</si>
  <si>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</si>
  <si>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</si>
  <si>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Vizi-, szennyvízközművek bérleti díj bev.</t>
  </si>
  <si>
    <t>Ügyeleti ellátáshoz önkormányzatoktól átvett pénzeszk.</t>
  </si>
  <si>
    <t>Állati hullák ártalmatlanítás költségeiből továbbszámlázott bev.</t>
  </si>
  <si>
    <t>Családsegítés, gyermekjóléti szolgálat támogatása</t>
  </si>
  <si>
    <t>Ügyeleti ellátáshoz OEP-finanszírozás</t>
  </si>
  <si>
    <t>Étkeztetési, szállítási tevék. bevétele</t>
  </si>
  <si>
    <t>Nyilvános könyvtári ellátás és a közművelődési feladatok támogatása</t>
  </si>
  <si>
    <t>Család- és nővédelmi eü. gondozáshoz OEP-finanszírozás</t>
  </si>
  <si>
    <t>Lakbér bevételek</t>
  </si>
  <si>
    <t>Helyi adók, átengedett központi adók, talajterhelési díj, közigazgatási bírság bevétele</t>
  </si>
  <si>
    <t>Építményüzemeltetésből származó bevétel</t>
  </si>
  <si>
    <t>Ügyelet látlelet, vérvétel bevétele</t>
  </si>
  <si>
    <t>Köztemetés kiadásának megtérítése</t>
  </si>
  <si>
    <t>Kölcsön visszatérülés</t>
  </si>
  <si>
    <t>Állami feladatok kiadása</t>
  </si>
  <si>
    <t>Tűzoltóság BM támogatása</t>
  </si>
  <si>
    <t>Tűzoltóság kulcskazetta őrzés bevétele</t>
  </si>
  <si>
    <t>Aktív korúak ellátásának állami támogatása</t>
  </si>
  <si>
    <t>Hirdetmények utáni igazg. szolg. díj</t>
  </si>
  <si>
    <t>Építéshatósági eljárási díj</t>
  </si>
  <si>
    <t>Lakásfenntartási támogatás állami támogatása</t>
  </si>
  <si>
    <t>Anyakönyvi szolg. díjbevétele</t>
  </si>
  <si>
    <t>Továbbszámlázott szolg. bevételei</t>
  </si>
  <si>
    <t>Óvodáztatási támogatás állami támogatása</t>
  </si>
  <si>
    <t>Kamatbevételek</t>
  </si>
  <si>
    <t>Hadigondozotti ellátás állami támogatása</t>
  </si>
  <si>
    <t>Étkeztetéssel kapcsolatos térítési díj bevétel</t>
  </si>
  <si>
    <t>Bérleti díj bevétel</t>
  </si>
  <si>
    <t xml:space="preserve">Közfoglalkoztatottak </t>
  </si>
  <si>
    <t>KÖZFOGLALKOZTATOTTAK LÉTSZÁMA ÖSSZESEN:</t>
  </si>
  <si>
    <t xml:space="preserve">A helyi önkormányzat és költségvetési szervei engedélyezett létszáma és a közfoglalkoztatottak létszáma </t>
  </si>
  <si>
    <t>IV. Előző évek pénzmaradványának (és váll. mar.) igénybevétele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</si>
  <si>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</si>
  <si>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</si>
  <si>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</si>
  <si>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Jánoshalma Város Önkormányzat 2014. évi költségvetésének bevételi előirányzatai</t>
  </si>
  <si>
    <t>Gyermeklánc Óvoda és Egységes Óvoda-Bölcsőde</t>
  </si>
  <si>
    <t>Jánoshalma Város Önkormányzat 2014. évi költségvetésének kiadási előirányzatai</t>
  </si>
  <si>
    <t>Jánoshalma Város Önkormányzat 2014. évi költségvetése működési és felhalmozási célú bontásban</t>
  </si>
  <si>
    <t>Jánoshalma Város Önkormányzatának és költségvetési szerveinek 2014. évi költségvetési kiadásai kötelező-, önként vállalt-, és állami (államigazgatási) feladatok szerinti bontásban</t>
  </si>
  <si>
    <t>Gyermeklánc Óvoda és Egységes Óvoda-Bölcsőde összesen:</t>
  </si>
  <si>
    <t>Céltartalék - Védőnők OEP fin. maradv.</t>
  </si>
  <si>
    <t>Maradványból képzett tartalék</t>
  </si>
  <si>
    <t>5.5. Tartalékok</t>
  </si>
  <si>
    <t>5.4. Műk. c. v.térítendő támogatások, kölcs. nyújt. állh-on kívülre</t>
  </si>
  <si>
    <t>5.6. Elvonások és befizetések</t>
  </si>
  <si>
    <t>1.4. Elvonások és befizetések bevételei</t>
  </si>
  <si>
    <t>VI. Hitelek törlesztése és kötvénybeváltás kiadásai</t>
  </si>
  <si>
    <t>Műk. célú kölcsön nyújtás ÁH bel.</t>
  </si>
  <si>
    <t>Egyéb felh. célú tám. ÁH-on kívülre</t>
  </si>
  <si>
    <t>Civil szervezetek működési támogatása</t>
  </si>
  <si>
    <t>Műk. célú v.tér.tám,  kölcsön nyújtás ÁH kív.</t>
  </si>
  <si>
    <t>Egyéb műk. c. tám. ÁH-on belülre</t>
  </si>
  <si>
    <t>Egyéb műk. célú tám. ÁH-on kívülre</t>
  </si>
  <si>
    <t>Marad-ványból képzett tartalék</t>
  </si>
  <si>
    <t>Központi költségvetési befizetések</t>
  </si>
  <si>
    <t>Forgatási és befektetési c. fin. műv.</t>
  </si>
  <si>
    <t>Védőnők OEP tart.</t>
  </si>
  <si>
    <t>Könyvtári állomány gyarapítása, nyilv.</t>
  </si>
  <si>
    <t>Építményüzemeltetés (iskolai okt.)</t>
  </si>
  <si>
    <t>S</t>
  </si>
  <si>
    <t>T</t>
  </si>
  <si>
    <t>U</t>
  </si>
  <si>
    <t>Építményüzemeltetés (Iskolai okt.)</t>
  </si>
  <si>
    <t>2014. évi hosszabb időtart. közfogl.</t>
  </si>
  <si>
    <t>Könyvtári állomány gyarapítása</t>
  </si>
  <si>
    <t>5/2014. (I.24) EMMI rendelet 10.§ (2)</t>
  </si>
  <si>
    <t>Szabadidősport- (rekreációs sport-) tevékenység és támogatása</t>
  </si>
  <si>
    <t>Áht. 2011.évi CXCV. tv. 53.§.</t>
  </si>
  <si>
    <t>Forgatási és befektetési c finansz. műveletek (fejl. c. hitel vf., kötvénybeváltás - adósságkonszolidáció)</t>
  </si>
  <si>
    <t>2014. évi Közp. KV. tv. - 2013évi CCXXX. tv. 67.§</t>
  </si>
  <si>
    <t>EU projekt - TÁMOP</t>
  </si>
  <si>
    <t>2014. évi hosszabb időtartamú közfoglalkoztatás</t>
  </si>
  <si>
    <t>Intézményekben, gazd-i társaságoknál, VM Szakképző Int.-ben fogl.  (2014.06.01-2014.09.30)</t>
  </si>
  <si>
    <t>Parkgondozásban foglalkoztatott</t>
  </si>
  <si>
    <t>44</t>
  </si>
  <si>
    <t>45</t>
  </si>
  <si>
    <t>46</t>
  </si>
  <si>
    <t>47</t>
  </si>
  <si>
    <t>48</t>
  </si>
  <si>
    <t>49</t>
  </si>
  <si>
    <t>V.térítendő tám.visszatérülése (Gazdakör, Sportlovas Egy.)</t>
  </si>
  <si>
    <t>Munkaügyi Kp. tám. -2014. hosszabb id. közf.</t>
  </si>
  <si>
    <t>VM Szakképző tám.- 2014. hosszabb id. közf.</t>
  </si>
  <si>
    <t>Előző évi maradvány igénybevétel</t>
  </si>
  <si>
    <t>2013. dec. bérkompenzáció</t>
  </si>
  <si>
    <t>2014. évi bérkompenzáció</t>
  </si>
  <si>
    <t>Átmeneti ivóvízellátás támogatása</t>
  </si>
  <si>
    <t>Az e-útdíj bevezetésével kapcsolatos bevételkiesés ellentételezése</t>
  </si>
  <si>
    <t>Adósságkonszolidáció</t>
  </si>
  <si>
    <t>Biztos Kezdet Gyerekház támogatás</t>
  </si>
  <si>
    <t>Közművelődési érdekeltségnövelő támogatás</t>
  </si>
  <si>
    <t>Könyvtári érdekeltségnövelő támogatás</t>
  </si>
  <si>
    <t>Az országgyűlési képviselők 2014. évi választása lebony. támogatása</t>
  </si>
  <si>
    <t>Az Európai Parlamenti képviselők 2014. évi választása lebony. támogatása</t>
  </si>
  <si>
    <t>Kötelezettségv. terhelt 2013. évi maradv.</t>
  </si>
  <si>
    <t>2013. évi szabad maradvány</t>
  </si>
  <si>
    <t>2013. évi többlettámogatás</t>
  </si>
  <si>
    <t>2013. évi szabad maradvány, többlettámogatás elvonása</t>
  </si>
  <si>
    <t>Védőnői Szolgálat informatikai fejlesztése</t>
  </si>
  <si>
    <t>Tárgyi eszköz beszerzések (szerelő kulcskészlet, híradó-akku, tömlők), kamerarendszer kiépítése - Tűzoltóság</t>
  </si>
  <si>
    <t>Tárgyi eszköz beszerzések - Start munkaprogramok</t>
  </si>
  <si>
    <t>"Könyvtári szakmai eszközfejlesztés, korszerűsítés támogatása" - pályázati önerő átadás (Lajtha L. Kft.)</t>
  </si>
  <si>
    <t>Könyvtári érdekeltségnövelő támogatás átadása Lajtha L. Non-profit Kft. részére</t>
  </si>
  <si>
    <t xml:space="preserve">Közművelődési érdekeltségnövelő támogatás + önkormányzati önerő átadása Lajtha L. Non-profit Kft. r. </t>
  </si>
  <si>
    <t>Kötvény, fejlesztési hitel kamata</t>
  </si>
  <si>
    <t>MFB hitel 2014. évi adósságkonszolidáció</t>
  </si>
  <si>
    <t>Kötvény 2014. évi adósságkonszolidáció</t>
  </si>
  <si>
    <t>39/2014.(III.18.) Kt. hat."Könyvtári szakmai eszközfejlesztés, korsz. támogatása"- pályázati önerő</t>
  </si>
  <si>
    <t>51/2014.(III.27.) Kt. hat. Homokbánya geodéziai felmérése</t>
  </si>
  <si>
    <t>80/2014. (V.29.) Kt. hat. Magyar Zarándokút Önkormányzati Társulás - működési hozzájárulás</t>
  </si>
  <si>
    <t>79/2014. (V.29.) Kt. hat. Jánoshalma Város Önkormányzatának és a Polgármesteri Hivatal létszámkeretének bővítése</t>
  </si>
  <si>
    <t>83/2014.(V.29) Kt. hat. A 2014. évi Jánoshalmi Napok rendezvényeinek kiadásai</t>
  </si>
  <si>
    <t>Védőnők 2013. évi OEP-finanszírozásának maradványa</t>
  </si>
  <si>
    <t>94/2014.(V:29.) Kt. hat. Védőnői szolgálat informatikai fejlesztése</t>
  </si>
  <si>
    <t>Maradványból képzett tartalék képzése</t>
  </si>
  <si>
    <t>Maradványt terhelő kötelezettségek</t>
  </si>
  <si>
    <t>2013. évi állami támogatások elszámolása alapján visszafizetendő különbözet</t>
  </si>
  <si>
    <t>2012. évi állami támogatások elszámolásának felülvizsgálatakor megállapított visszafizetési kötelezettség</t>
  </si>
  <si>
    <t>Környezetvédelmi alap (Előző évek maradványa)</t>
  </si>
  <si>
    <t>Céltartalék - viziközművek 2013. évi bérleti díj bevétel maradványa</t>
  </si>
  <si>
    <t>Önkormányzati intézmények elvont 2013. évi szabad költségvetési maradványának tartalékba helyezése</t>
  </si>
  <si>
    <t>Polgármesteri Hivatal visszafizetett 2013. évi többlettámogatásából tartalék képzése</t>
  </si>
  <si>
    <t>Jánoshalma Város közbiztonsága javítása érdekében kamerarendszer kiépítése LEADER pályázat dologi kiadásaira</t>
  </si>
  <si>
    <t>Polgármesteri Hivatal informatikai rendszer felújítás többletköltsége</t>
  </si>
  <si>
    <t>Önkormányzati tisztviselők közszolgálati képzése</t>
  </si>
  <si>
    <t>Helyi önkormányzatok működésének általános támogatása beszámítás után összesen</t>
  </si>
  <si>
    <t>3.</t>
  </si>
  <si>
    <t>12.</t>
  </si>
  <si>
    <t>Könyvtári és közművelődési érdekeltségnövelő támogatás</t>
  </si>
  <si>
    <t>13.</t>
  </si>
  <si>
    <t>A 2013. évről áthúzódó bérkompenzáció támogatása</t>
  </si>
  <si>
    <t>4. melléklet</t>
  </si>
  <si>
    <t>Átmeneti ivóvízellátás biztosításával kapcs. költségek finanszírozásának támogatása</t>
  </si>
  <si>
    <t>2014. évi önkormányzati adósságkonszolidáció összege:</t>
  </si>
  <si>
    <t>4. melléklet jogcímei mindösszesen:</t>
  </si>
  <si>
    <t>a Magyarország 2014. évi központi költségvetéséről szóló 2013. évi CCXXX. törvény 2., 3.  és 4. sz.mellékletének jogcímei szerint</t>
  </si>
  <si>
    <t>353/2011. (XII. 30.) Korm. rendelet 2.§ (1) bek. szerinti saját bevétel összege az adósságot keletkeztető ügyletek (viziközmű-társulati hitel kapcsán vállalt készfizető kezesség)  futamidejének végéig</t>
  </si>
  <si>
    <t>Időszak</t>
  </si>
  <si>
    <t>Az önkormányzat saját bevételének típusa</t>
  </si>
  <si>
    <t>1. helyi adóból származó bevétel</t>
  </si>
  <si>
    <t>2. önkormányzati  vagyon és az önkormányzatot megillető vagyoni értékű jog értékesítéséből és hasznosításából származó bevétel</t>
  </si>
  <si>
    <t>3. osztalék, koncessziós díj és hozambevétel</t>
  </si>
  <si>
    <t>4. tárgyi eszköz és az immateriális jószág, részvény, részesedés, vállalat értékesítéséből vagy privatizációból származó bevétel</t>
  </si>
  <si>
    <t>5. bírság-, pótlék- és díjbevétel</t>
  </si>
  <si>
    <t>6. kezességvállalással kapcsolatos megtérülés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</si>
  <si>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</si>
  <si>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</si>
  <si>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</si>
  <si>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</si>
  <si>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</si>
  <si>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</si>
  <si>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</si>
  <si>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</si>
  <si>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- Mezőgazdasági programelem (2014.03.05-2014.12.31) 34 fő</t>
  </si>
  <si>
    <t>- Téli és egyéb értékteremtő közfoglalkoztatás 46 fő (2014.05.01-2014.09.30.)</t>
  </si>
  <si>
    <t>Egészségfejlesztési segítő (2014.06.02-2014.09.30.)</t>
  </si>
  <si>
    <t>Tisztítástechnológus (2014.06.02-2014.07.31.)</t>
  </si>
  <si>
    <t>Tisztítástechnológus (2014.06.11-2014.09.18.)</t>
  </si>
  <si>
    <t>2013-2014. évi téli közfoglkoztatási program</t>
  </si>
  <si>
    <t>Jánoshalma Város Önkormányzatának  és költségvetési szerveinek 2014. évi költségvetési bevételei és  kiadásai kötelező-, önként vállalt-, és állami (államigazgatási) feladatok szerinti bontásban</t>
  </si>
  <si>
    <t>Pedagógiai asszisztens</t>
  </si>
  <si>
    <t>Egységes Óvoda-Bölcsőde</t>
  </si>
  <si>
    <t>Rovatok megnevezése</t>
  </si>
  <si>
    <t>Helyi Önk.</t>
  </si>
  <si>
    <t>Polg. Hiv.</t>
  </si>
  <si>
    <t>K1</t>
  </si>
  <si>
    <t>K11</t>
  </si>
  <si>
    <t>Foglalkoztatottak személyi juttatásai</t>
  </si>
  <si>
    <t>K1101</t>
  </si>
  <si>
    <t>Törvény szerinti illetmények, munkabérek</t>
  </si>
  <si>
    <t>K1102</t>
  </si>
  <si>
    <t>Normatív jutalmak</t>
  </si>
  <si>
    <t>K1104</t>
  </si>
  <si>
    <t>Készenléti, ügyeleti, helyettesítési díj, túlóra, túlszolgálat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</si>
  <si>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</si>
  <si>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</si>
  <si>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</si>
  <si>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</si>
  <si>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</si>
  <si>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</si>
  <si>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</si>
  <si>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</si>
  <si>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</si>
  <si>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</si>
  <si>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ebből:</t>
  </si>
  <si>
    <t>biztosítási díjak</t>
  </si>
  <si>
    <t>K12</t>
  </si>
  <si>
    <t>Külső személyi juttatások</t>
  </si>
  <si>
    <t>K121</t>
  </si>
  <si>
    <t>Választott tisztségviselők juttatásai</t>
  </si>
  <si>
    <t>K122</t>
  </si>
  <si>
    <t>Munkavégzésre irányuló egyéb jogvisz-ban nem saját foglalkoztatottnak fizetett juttatások</t>
  </si>
  <si>
    <t>K123</t>
  </si>
  <si>
    <t>Egyéb külső személyi juttatások</t>
  </si>
  <si>
    <t>K2</t>
  </si>
  <si>
    <t>Munkaadókat terhelő járulékok és szoc.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</si>
  <si>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</si>
  <si>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</si>
  <si>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</si>
  <si>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</si>
  <si>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munkáltatót terhelő SZJA</t>
  </si>
  <si>
    <t>K3</t>
  </si>
  <si>
    <t>Dologi kiadások</t>
  </si>
  <si>
    <t>K31</t>
  </si>
  <si>
    <t>Készletbeszerzés</t>
  </si>
  <si>
    <t>K311</t>
  </si>
  <si>
    <t>Szakmai anyagok beszerzése</t>
  </si>
  <si>
    <t>K312</t>
  </si>
  <si>
    <t>Üzemeltetési anyagok beszerzése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</si>
  <si>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</si>
  <si>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</si>
  <si>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</si>
  <si>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</si>
  <si>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</si>
  <si>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</si>
  <si>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</si>
  <si>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</si>
  <si>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</si>
  <si>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</si>
  <si>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</si>
  <si>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</si>
  <si>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távhő- és melegvíz</t>
  </si>
  <si>
    <t>víz- és csatornadíjak</t>
  </si>
  <si>
    <t>K332</t>
  </si>
  <si>
    <t>Vásárolt élelmezés</t>
  </si>
  <si>
    <t>K333</t>
  </si>
  <si>
    <t>Bérleti és lízingdíjak</t>
  </si>
  <si>
    <t>K334</t>
  </si>
  <si>
    <t>Karbantartási, kisjavítási szolgáltatások</t>
  </si>
  <si>
    <t>K335</t>
  </si>
  <si>
    <t>Közvetített szolgáltatások</t>
  </si>
  <si>
    <t>államháztartáson belül</t>
  </si>
  <si>
    <t>K336</t>
  </si>
  <si>
    <t>Szakmai tevékenységet segítő szolgáltatások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</si>
  <si>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</si>
  <si>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</si>
  <si>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</si>
  <si>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</si>
  <si>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</si>
  <si>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</si>
  <si>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K342</t>
  </si>
  <si>
    <t>Reklám- és propagandakiadások</t>
  </si>
  <si>
    <t>K35</t>
  </si>
  <si>
    <t>Különféle befizetések és egyéb dologi kiadások</t>
  </si>
  <si>
    <t>K351</t>
  </si>
  <si>
    <t>Működési célú előzetesen felszámított áfa</t>
  </si>
  <si>
    <t>K352</t>
  </si>
  <si>
    <t>Fizetendő általános forgalmi adó</t>
  </si>
  <si>
    <t>K355</t>
  </si>
  <si>
    <t>Egyéb dologi kiadások</t>
  </si>
  <si>
    <t>K4</t>
  </si>
  <si>
    <t xml:space="preserve">Céltartalék - viziközművek 2014. évi bérleti díj bevételéből a viziközművek fejlesztésére </t>
  </si>
  <si>
    <t>59/2014.(IV.24.) Kt. Ügyeleti óradíj emeléséből adódó többletkiadások fedezése</t>
  </si>
  <si>
    <t>130/2014.(VI.18.). Kt. KEOP-2014-4-10-0/F pályázat előkészítő munkái</t>
  </si>
  <si>
    <t>Pótelőirányzat Áfa-befizetési kötelezettség teljesítésére</t>
  </si>
  <si>
    <t>Bevétel kiesés kompenzálása</t>
  </si>
  <si>
    <t xml:space="preserve">KEOP-2014-4-10-0/F pályázat előkészítő munkálatai </t>
  </si>
  <si>
    <t>135/2014.(VIII.04.) Kt. 718/15.hrsz. ingatlan megvásárlása</t>
  </si>
  <si>
    <t xml:space="preserve">Céltartalék - viziközművek bérleti díj bevételéből (viziközművek fejlesztésére) </t>
  </si>
  <si>
    <t>Erdő-parkos                                   (2014.07.10-08.31.)</t>
  </si>
  <si>
    <t>Parkgondozás                            (2014.08.11-10.31.)</t>
  </si>
  <si>
    <t>Kerti munkás képzés (2014.07.01-10.21.)</t>
  </si>
  <si>
    <t>- Belterületi közutak karbantartása (2014.08.01-12.31.)</t>
  </si>
  <si>
    <t>- Belvízelvezetés (2014.08.01-12.31.)</t>
  </si>
  <si>
    <t>- Illegális hulladéklerakók felszámolása (2014.08.01-12.31.)</t>
  </si>
  <si>
    <t>Mezőgazdasági földutak karbantartása (2014.08.01-12.31.)</t>
  </si>
  <si>
    <t>3.4. Tulajdonosi bevételek</t>
  </si>
  <si>
    <t>Nyári gyermekétkeztetés</t>
  </si>
  <si>
    <t>Közüzemi díj túlfizetés visszautalása</t>
  </si>
  <si>
    <t>Iparterület "Napenergia hasznosítása.." projekt EU önerő alap támogatása</t>
  </si>
  <si>
    <t>A 2014. év azon fejlesztési céljai, amelyek megvalósításához a Magyarország gazdasági stabilitásáról szóló 2011. évi CXCIV. törvény 3.§ (1) bek. szerinti adósságot keletkeztető ügylet megkötése szükséges</t>
  </si>
  <si>
    <t>Fejlesztési cél megnevezése</t>
  </si>
  <si>
    <t>Az adósságot keletkeztető ügylet típusa</t>
  </si>
  <si>
    <t>Az adósságot keletkeztető ügylet összege</t>
  </si>
  <si>
    <t xml:space="preserve">III.5.a </t>
  </si>
  <si>
    <t xml:space="preserve">A finanszírozás szempontjából elismert dolgozók bértámogatása                               </t>
  </si>
  <si>
    <t>9.</t>
  </si>
  <si>
    <t>Gyermekszegénység elleni program keretében nyári étkezés biztosítása</t>
  </si>
  <si>
    <t>Rendkívüli önkormányzati támogatás</t>
  </si>
  <si>
    <t>Finansz. kiad. Fejl. c. hitel vf.+ kötvény beváltás</t>
  </si>
  <si>
    <t>KEOP-4.10.0/C/12-2013-0048 "Napenergia hasznosítása villamos energia előállítására a Jánoshalmi ipari területen" c. projekt kiadásai</t>
  </si>
  <si>
    <t>Napenergia hasznosítása villamos energia előállítására a Jh-i ipari területen (KEOP-4.10.0/C/12-2013-0048)</t>
  </si>
  <si>
    <t>1. melléklet a 14/2014.(IX.15.) önkormányzati rendelethez</t>
  </si>
  <si>
    <t>2. melléklet a 14/2014.(IX.15.) önkormányzati rendelethez</t>
  </si>
  <si>
    <t>3. melléklet a 14/2014.(IX.15.) önkormányzati rendelethez</t>
  </si>
  <si>
    <t>4. melléklet a 14/2014.(IX.15.) önkormányzati rendelethez</t>
  </si>
  <si>
    <t>5. melléklet a 14/2014.IX.15.) önkormányzati rendelethez</t>
  </si>
  <si>
    <t>6. melléklet a 14/2014.(IX.15.) önkormányzati rendelethez</t>
  </si>
  <si>
    <t>7. melléklet a 14/2014. (IX.15.) önkormányzati rendelethez</t>
  </si>
  <si>
    <t>8. melléklet a 14/2014.(IX.15.) önkormányzati rendelethez</t>
  </si>
  <si>
    <t>9. melléklet a 14/2014.(IX.15.) önkormányzati rendelethez</t>
  </si>
  <si>
    <t>10. melléklet a 14/2014. (IX.15.) önkormányzati rendelethez</t>
  </si>
  <si>
    <t>11. melléklet a 14/2014. (IX.15.) önkormányzati rendelethez</t>
  </si>
  <si>
    <t>12. melléklet a 14/2014. (IX.15.) önkormányzati rendelethez</t>
  </si>
  <si>
    <t>13. melléklet a 14/2014. (IX.15.) önkormányzati rendelethez</t>
  </si>
  <si>
    <t>2013. évről áthúzódó START-progr.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</si>
</sst>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&quot;Ft&quot;"/>
  </numFmts>
  <fonts count="11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sz val="12"/>
      <name val="Arial CE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9"/>
      <color indexed="10"/>
      <name val="Arial CE"/>
      <family val="2"/>
    </font>
    <font>
      <b/>
      <i/>
      <sz val="9"/>
      <name val="Arial CE"/>
      <family val="0"/>
    </font>
    <font>
      <sz val="8"/>
      <color indexed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sz val="12"/>
      <name val="Arial"/>
      <family val="0"/>
    </font>
    <font>
      <b/>
      <sz val="13"/>
      <name val="Arial CE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7"/>
      <name val="Arial CE"/>
      <family val="2"/>
    </font>
    <font>
      <b/>
      <sz val="14"/>
      <name val="Times New Roman"/>
      <family val="1"/>
    </font>
    <font>
      <b/>
      <i/>
      <sz val="9"/>
      <name val="Arial"/>
      <family val="2"/>
    </font>
    <font>
      <b/>
      <sz val="14"/>
      <name val="Times New Roman CE"/>
      <family val="0"/>
    </font>
    <font>
      <i/>
      <sz val="7"/>
      <name val="Arial CE"/>
      <family val="0"/>
    </font>
    <font>
      <b/>
      <i/>
      <sz val="7"/>
      <name val="Arial CE"/>
      <family val="0"/>
    </font>
    <font>
      <b/>
      <i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b/>
      <sz val="7"/>
      <name val="Arial CE"/>
      <family val="0"/>
    </font>
    <font>
      <b/>
      <sz val="12"/>
      <name val="Times New Roman CE"/>
      <family val="0"/>
    </font>
    <font>
      <sz val="9"/>
      <name val="Arial"/>
      <family val="2"/>
    </font>
    <font>
      <b/>
      <sz val="13"/>
      <name val="Arial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0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sz val="8"/>
      <color indexed="30"/>
      <name val="Arial CE"/>
      <family val="0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 CE"/>
      <family val="0"/>
    </font>
    <font>
      <sz val="11"/>
      <name val="Arial"/>
      <family val="0"/>
    </font>
    <font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color indexed="3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ck"/>
      <bottom/>
    </border>
    <border>
      <left/>
      <right/>
      <top style="medium"/>
      <bottom/>
    </border>
    <border>
      <left/>
      <right/>
      <top/>
      <bottom style="thick"/>
    </border>
    <border>
      <left/>
      <right/>
      <top style="thick"/>
      <bottom style="thick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/>
      <right style="medium"/>
      <top style="thick"/>
      <bottom/>
    </border>
    <border>
      <left style="medium"/>
      <right/>
      <top style="thin"/>
      <bottom/>
    </border>
    <border>
      <left style="medium"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thick"/>
      <bottom style="medium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ck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/>
      <top/>
      <bottom style="medium"/>
    </border>
    <border>
      <left style="thick"/>
      <right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ck"/>
      <top/>
      <bottom/>
    </border>
    <border>
      <left style="thick"/>
      <right/>
      <top style="medium"/>
      <bottom/>
    </border>
    <border>
      <left style="thin"/>
      <right style="thick"/>
      <top style="medium"/>
      <bottom/>
    </border>
    <border>
      <left/>
      <right style="thick"/>
      <top/>
      <bottom/>
    </border>
    <border>
      <left/>
      <right style="medium"/>
      <top style="medium"/>
      <bottom/>
    </border>
    <border>
      <left style="medium"/>
      <right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/>
      <top/>
      <bottom style="thick"/>
    </border>
    <border>
      <left style="medium"/>
      <right style="medium"/>
      <top/>
      <bottom style="thick"/>
    </border>
    <border>
      <left style="thick"/>
      <right/>
      <top style="medium"/>
      <bottom style="thick"/>
    </border>
    <border>
      <left/>
      <right style="thick"/>
      <top style="medium"/>
      <bottom style="thick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/>
      <right style="thick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/>
      <bottom/>
    </border>
    <border>
      <left style="thick"/>
      <right/>
      <top/>
      <bottom style="thick"/>
    </border>
    <border>
      <left style="medium"/>
      <right style="thick"/>
      <top/>
      <bottom style="thick"/>
    </border>
    <border>
      <left/>
      <right style="thick"/>
      <top/>
      <bottom style="thick"/>
    </border>
    <border>
      <left style="medium"/>
      <right style="thick"/>
      <top/>
      <bottom style="medium"/>
    </border>
    <border>
      <left style="thin"/>
      <right style="medium"/>
      <top/>
      <bottom style="thick"/>
    </border>
    <border>
      <left style="thick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medium"/>
      <top style="thick"/>
      <bottom style="thick"/>
    </border>
    <border>
      <left/>
      <right style="thin"/>
      <top style="medium"/>
      <bottom style="thick"/>
    </border>
    <border>
      <left/>
      <right/>
      <top style="medium"/>
      <bottom style="thick"/>
    </border>
    <border>
      <left style="thin"/>
      <right style="thick"/>
      <top style="medium"/>
      <bottom style="thick"/>
    </border>
    <border>
      <left style="thin"/>
      <right/>
      <top style="thick"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ck"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 style="medium"/>
      <top/>
      <bottom style="thick"/>
    </border>
    <border>
      <left style="medium"/>
      <right/>
      <top style="thick"/>
      <bottom/>
    </border>
    <border>
      <left/>
      <right style="thick"/>
      <top style="thick"/>
      <bottom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 style="thick"/>
      <top style="medium"/>
      <bottom/>
    </border>
    <border>
      <left style="thick"/>
      <right/>
      <top style="thick"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/>
      <right style="thin"/>
      <top/>
      <bottom style="thick"/>
    </border>
    <border>
      <left/>
      <right style="thin"/>
      <top style="medium"/>
      <bottom style="medium"/>
    </border>
    <border>
      <left style="medium"/>
      <right/>
      <top style="thick"/>
      <bottom style="medium"/>
    </border>
    <border>
      <left/>
      <right style="medium"/>
      <top style="thick"/>
      <bottom style="thin"/>
    </border>
    <border>
      <left style="thick"/>
      <right/>
      <top style="thick"/>
      <bottom style="thin"/>
    </border>
    <border>
      <left style="medium"/>
      <right style="medium"/>
      <top style="thick"/>
      <bottom/>
    </border>
    <border>
      <left/>
      <right style="thin"/>
      <top style="thick"/>
      <bottom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/>
      <right style="medium"/>
      <top style="medium"/>
      <bottom style="thin"/>
    </border>
    <border>
      <left/>
      <right style="medium"/>
      <top style="thick"/>
      <bottom style="thick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14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9" fillId="25" borderId="1" applyNumberFormat="0" applyAlignment="0" applyProtection="0"/>
    <xf numFmtId="0" fontId="100" fillId="0" borderId="0" applyNumberFormat="0" applyFill="0" applyBorder="0" applyAlignment="0" applyProtection="0"/>
    <xf numFmtId="0" fontId="101" fillId="0" borderId="2" applyNumberFormat="0" applyFill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3" fillId="0" borderId="0" applyNumberFormat="0" applyFill="0" applyBorder="0" applyAlignment="0" applyProtection="0"/>
    <xf numFmtId="0" fontId="10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0" fillId="27" borderId="7" applyNumberFormat="0" applyFont="0" applyAlignment="0" applyProtection="0"/>
    <xf numFmtId="0" fontId="107" fillId="28" borderId="0" applyNumberFormat="0" applyBorder="0" applyAlignment="0" applyProtection="0"/>
    <xf numFmtId="0" fontId="108" fillId="29" borderId="8" applyNumberFormat="0" applyAlignment="0" applyProtection="0"/>
    <xf numFmtId="0" fontId="10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30" borderId="0" applyNumberFormat="0" applyBorder="0" applyAlignment="0" applyProtection="0"/>
    <xf numFmtId="0" fontId="112" fillId="31" borderId="0" applyNumberFormat="0" applyBorder="0" applyAlignment="0" applyProtection="0"/>
    <xf numFmtId="0" fontId="113" fillId="29" borderId="1" applyNumberFormat="0" applyAlignment="0" applyProtection="0"/>
    <xf numFmtId="9" fontId="0" fillId="0" borderId="0" applyFont="0" applyFill="0" applyBorder="0" applyAlignment="0" applyProtection="0"/>
  </cellStyleXfs>
  <cellXfs count="1277">
    <xf numFmtId="0" fontId="0" fillId="0" borderId="0" xfId="0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horizontal="left" vertical="center"/>
    </xf>
    <xf numFmtId="3" fontId="13" fillId="0" borderId="16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3" fontId="13" fillId="0" borderId="17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3" fontId="4" fillId="0" borderId="21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left" vertical="center" wrapText="1"/>
    </xf>
    <xf numFmtId="3" fontId="4" fillId="0" borderId="29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5" fillId="0" borderId="0" xfId="58" applyFont="1">
      <alignment/>
      <protection/>
    </xf>
    <xf numFmtId="0" fontId="15" fillId="0" borderId="0" xfId="58" applyFont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30" xfId="58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 wrapText="1"/>
      <protection/>
    </xf>
    <xf numFmtId="0" fontId="2" fillId="0" borderId="26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center" vertical="center"/>
      <protection/>
    </xf>
    <xf numFmtId="3" fontId="18" fillId="0" borderId="30" xfId="58" applyNumberFormat="1" applyBorder="1">
      <alignment/>
      <protection/>
    </xf>
    <xf numFmtId="3" fontId="18" fillId="0" borderId="26" xfId="58" applyNumberFormat="1" applyBorder="1">
      <alignment/>
      <protection/>
    </xf>
    <xf numFmtId="3" fontId="18" fillId="0" borderId="13" xfId="58" applyNumberFormat="1" applyBorder="1">
      <alignment/>
      <protection/>
    </xf>
    <xf numFmtId="3" fontId="18" fillId="0" borderId="21" xfId="58" applyNumberFormat="1" applyBorder="1">
      <alignment/>
      <protection/>
    </xf>
    <xf numFmtId="3" fontId="18" fillId="0" borderId="0" xfId="58" applyNumberFormat="1">
      <alignment/>
      <protection/>
    </xf>
    <xf numFmtId="0" fontId="18" fillId="0" borderId="0" xfId="58">
      <alignment/>
      <protection/>
    </xf>
    <xf numFmtId="0" fontId="18" fillId="0" borderId="18" xfId="58" applyBorder="1">
      <alignment/>
      <protection/>
    </xf>
    <xf numFmtId="3" fontId="18" fillId="0" borderId="26" xfId="58" applyNumberFormat="1" applyFill="1" applyBorder="1">
      <alignment/>
      <protection/>
    </xf>
    <xf numFmtId="2" fontId="18" fillId="0" borderId="21" xfId="58" applyNumberFormat="1" applyBorder="1">
      <alignment/>
      <protection/>
    </xf>
    <xf numFmtId="2" fontId="18" fillId="0" borderId="30" xfId="58" applyNumberFormat="1" applyBorder="1">
      <alignment/>
      <protection/>
    </xf>
    <xf numFmtId="3" fontId="18" fillId="0" borderId="21" xfId="58" applyNumberFormat="1" applyFill="1" applyBorder="1">
      <alignment/>
      <protection/>
    </xf>
    <xf numFmtId="4" fontId="18" fillId="0" borderId="30" xfId="58" applyNumberFormat="1" applyFill="1" applyBorder="1">
      <alignment/>
      <protection/>
    </xf>
    <xf numFmtId="3" fontId="3" fillId="0" borderId="0" xfId="58" applyNumberFormat="1" applyFont="1">
      <alignment/>
      <protection/>
    </xf>
    <xf numFmtId="3" fontId="2" fillId="0" borderId="0" xfId="58" applyNumberFormat="1" applyFont="1">
      <alignment/>
      <protection/>
    </xf>
    <xf numFmtId="0" fontId="3" fillId="0" borderId="0" xfId="58" applyFont="1">
      <alignment/>
      <protection/>
    </xf>
    <xf numFmtId="0" fontId="32" fillId="0" borderId="0" xfId="0" applyFont="1" applyFill="1" applyAlignment="1">
      <alignment vertical="center"/>
    </xf>
    <xf numFmtId="0" fontId="20" fillId="0" borderId="0" xfId="55" applyFont="1">
      <alignment/>
      <protection/>
    </xf>
    <xf numFmtId="0" fontId="19" fillId="0" borderId="0" xfId="55" applyFont="1" applyAlignment="1">
      <alignment vertical="center"/>
      <protection/>
    </xf>
    <xf numFmtId="0" fontId="21" fillId="0" borderId="26" xfId="55" applyFont="1" applyBorder="1" applyAlignment="1">
      <alignment horizontal="center" vertical="center" wrapText="1"/>
      <protection/>
    </xf>
    <xf numFmtId="0" fontId="23" fillId="0" borderId="26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22" fillId="0" borderId="26" xfId="55" applyFont="1" applyBorder="1">
      <alignment/>
      <protection/>
    </xf>
    <xf numFmtId="0" fontId="22" fillId="0" borderId="0" xfId="55" applyFont="1">
      <alignment/>
      <protection/>
    </xf>
    <xf numFmtId="0" fontId="26" fillId="0" borderId="0" xfId="55" applyFont="1">
      <alignment/>
      <protection/>
    </xf>
    <xf numFmtId="0" fontId="27" fillId="0" borderId="0" xfId="55" applyFont="1">
      <alignment/>
      <protection/>
    </xf>
    <xf numFmtId="0" fontId="26" fillId="0" borderId="26" xfId="55" applyFont="1" applyBorder="1">
      <alignment/>
      <protection/>
    </xf>
    <xf numFmtId="0" fontId="28" fillId="0" borderId="0" xfId="55" applyFont="1">
      <alignment/>
      <protection/>
    </xf>
    <xf numFmtId="0" fontId="22" fillId="0" borderId="0" xfId="55" applyFont="1" applyBorder="1">
      <alignment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6" fillId="0" borderId="26" xfId="55" applyFont="1" applyBorder="1" applyAlignment="1">
      <alignment horizontal="left" vertical="center" indent="2"/>
      <protection/>
    </xf>
    <xf numFmtId="16" fontId="26" fillId="0" borderId="26" xfId="55" applyNumberFormat="1" applyFont="1" applyBorder="1" applyAlignment="1">
      <alignment horizontal="left" vertical="center" indent="2"/>
      <protection/>
    </xf>
    <xf numFmtId="0" fontId="26" fillId="0" borderId="26" xfId="55" applyFont="1" applyBorder="1" applyAlignment="1">
      <alignment horizontal="left" indent="2"/>
      <protection/>
    </xf>
    <xf numFmtId="3" fontId="23" fillId="0" borderId="26" xfId="48" applyNumberFormat="1" applyFont="1" applyBorder="1" applyAlignment="1">
      <alignment horizontal="right"/>
    </xf>
    <xf numFmtId="3" fontId="22" fillId="0" borderId="26" xfId="48" applyNumberFormat="1" applyFont="1" applyBorder="1" applyAlignment="1">
      <alignment horizontal="right"/>
    </xf>
    <xf numFmtId="3" fontId="26" fillId="0" borderId="26" xfId="48" applyNumberFormat="1" applyFont="1" applyBorder="1" applyAlignment="1">
      <alignment horizontal="right"/>
    </xf>
    <xf numFmtId="0" fontId="33" fillId="0" borderId="26" xfId="55" applyFont="1" applyBorder="1" applyAlignment="1">
      <alignment horizontal="left" vertical="center" wrapText="1"/>
      <protection/>
    </xf>
    <xf numFmtId="0" fontId="33" fillId="0" borderId="0" xfId="55" applyFont="1" applyAlignment="1">
      <alignment horizontal="center" vertical="center" wrapText="1"/>
      <protection/>
    </xf>
    <xf numFmtId="3" fontId="33" fillId="0" borderId="26" xfId="48" applyNumberFormat="1" applyFont="1" applyBorder="1" applyAlignment="1">
      <alignment horizontal="right"/>
    </xf>
    <xf numFmtId="0" fontId="33" fillId="0" borderId="26" xfId="55" applyFont="1" applyBorder="1">
      <alignment/>
      <protection/>
    </xf>
    <xf numFmtId="0" fontId="34" fillId="0" borderId="0" xfId="55" applyFont="1">
      <alignment/>
      <protection/>
    </xf>
    <xf numFmtId="0" fontId="35" fillId="0" borderId="26" xfId="55" applyFont="1" applyBorder="1" applyAlignment="1">
      <alignment horizontal="right"/>
      <protection/>
    </xf>
    <xf numFmtId="0" fontId="36" fillId="0" borderId="0" xfId="55" applyFont="1">
      <alignment/>
      <protection/>
    </xf>
    <xf numFmtId="0" fontId="37" fillId="0" borderId="26" xfId="55" applyFont="1" applyBorder="1" applyAlignment="1">
      <alignment vertical="center"/>
      <protection/>
    </xf>
    <xf numFmtId="3" fontId="37" fillId="0" borderId="26" xfId="48" applyNumberFormat="1" applyFont="1" applyBorder="1" applyAlignment="1">
      <alignment horizontal="right"/>
    </xf>
    <xf numFmtId="0" fontId="37" fillId="0" borderId="26" xfId="55" applyFont="1" applyBorder="1">
      <alignment/>
      <protection/>
    </xf>
    <xf numFmtId="0" fontId="37" fillId="0" borderId="0" xfId="55" applyFont="1">
      <alignment/>
      <protection/>
    </xf>
    <xf numFmtId="0" fontId="37" fillId="0" borderId="26" xfId="55" applyFont="1" applyBorder="1" applyAlignment="1">
      <alignment vertical="center" wrapText="1"/>
      <protection/>
    </xf>
    <xf numFmtId="0" fontId="37" fillId="0" borderId="26" xfId="55" applyFont="1" applyBorder="1" applyAlignment="1">
      <alignment horizontal="left" vertical="center"/>
      <protection/>
    </xf>
    <xf numFmtId="0" fontId="38" fillId="0" borderId="0" xfId="55" applyFont="1">
      <alignment/>
      <protection/>
    </xf>
    <xf numFmtId="0" fontId="37" fillId="0" borderId="26" xfId="55" applyFont="1" applyBorder="1" applyAlignment="1">
      <alignment horizontal="left" vertical="center" wrapText="1"/>
      <protection/>
    </xf>
    <xf numFmtId="0" fontId="39" fillId="0" borderId="0" xfId="55" applyFont="1">
      <alignment/>
      <protection/>
    </xf>
    <xf numFmtId="0" fontId="23" fillId="0" borderId="26" xfId="55" applyFont="1" applyBorder="1" applyAlignment="1">
      <alignment horizontal="left" vertical="center" indent="1"/>
      <protection/>
    </xf>
    <xf numFmtId="0" fontId="23" fillId="0" borderId="26" xfId="55" applyFont="1" applyBorder="1" applyAlignment="1">
      <alignment horizontal="left" indent="1"/>
      <protection/>
    </xf>
    <xf numFmtId="3" fontId="40" fillId="0" borderId="26" xfId="55" applyNumberFormat="1" applyFont="1" applyBorder="1" applyAlignment="1">
      <alignment horizontal="right" vertical="center"/>
      <protection/>
    </xf>
    <xf numFmtId="0" fontId="33" fillId="0" borderId="26" xfId="55" applyFont="1" applyBorder="1" applyAlignment="1">
      <alignment vertical="top"/>
      <protection/>
    </xf>
    <xf numFmtId="3" fontId="40" fillId="0" borderId="26" xfId="48" applyNumberFormat="1" applyFont="1" applyBorder="1" applyAlignment="1">
      <alignment horizontal="right"/>
    </xf>
    <xf numFmtId="0" fontId="23" fillId="0" borderId="26" xfId="55" applyFont="1" applyBorder="1" applyAlignment="1">
      <alignment horizontal="left" vertical="top" indent="1"/>
      <protection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8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20" fillId="0" borderId="26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3" fontId="20" fillId="0" borderId="26" xfId="0" applyNumberFormat="1" applyFont="1" applyBorder="1" applyAlignment="1">
      <alignment vertical="center"/>
    </xf>
    <xf numFmtId="3" fontId="21" fillId="0" borderId="26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0" fontId="24" fillId="0" borderId="0" xfId="55" applyFont="1" applyAlignment="1">
      <alignment horizontal="center"/>
      <protection/>
    </xf>
    <xf numFmtId="0" fontId="24" fillId="0" borderId="26" xfId="55" applyFont="1" applyBorder="1" applyAlignment="1">
      <alignment horizontal="center"/>
      <protection/>
    </xf>
    <xf numFmtId="0" fontId="13" fillId="0" borderId="31" xfId="0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3" fontId="14" fillId="0" borderId="13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17" fillId="0" borderId="30" xfId="0" applyFont="1" applyFill="1" applyBorder="1" applyAlignment="1">
      <alignment horizontal="center" vertical="center"/>
    </xf>
    <xf numFmtId="0" fontId="5" fillId="0" borderId="18" xfId="58" applyFont="1" applyBorder="1" applyAlignment="1">
      <alignment horizontal="center" vertical="center"/>
      <protection/>
    </xf>
    <xf numFmtId="0" fontId="5" fillId="0" borderId="30" xfId="58" applyFont="1" applyBorder="1" applyAlignment="1">
      <alignment horizontal="center" vertical="center" wrapText="1"/>
      <protection/>
    </xf>
    <xf numFmtId="0" fontId="5" fillId="0" borderId="26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21" xfId="58" applyFont="1" applyBorder="1" applyAlignment="1">
      <alignment horizontal="center" vertical="center" wrapText="1"/>
      <protection/>
    </xf>
    <xf numFmtId="0" fontId="5" fillId="0" borderId="0" xfId="58" applyFont="1" applyAlignment="1">
      <alignment horizontal="center" vertical="center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5" fillId="0" borderId="26" xfId="0" applyFont="1" applyBorder="1" applyAlignment="1">
      <alignment horizontal="center"/>
    </xf>
    <xf numFmtId="0" fontId="25" fillId="32" borderId="26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30" fillId="0" borderId="26" xfId="0" applyFont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7" borderId="26" xfId="0" applyFont="1" applyFill="1" applyBorder="1" applyAlignment="1">
      <alignment/>
    </xf>
    <xf numFmtId="3" fontId="4" fillId="0" borderId="26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left" vertical="center"/>
    </xf>
    <xf numFmtId="0" fontId="18" fillId="0" borderId="18" xfId="58" applyFont="1" applyBorder="1" applyAlignment="1">
      <alignment wrapText="1"/>
      <protection/>
    </xf>
    <xf numFmtId="0" fontId="18" fillId="0" borderId="18" xfId="58" applyFont="1" applyBorder="1">
      <alignment/>
      <protection/>
    </xf>
    <xf numFmtId="0" fontId="25" fillId="0" borderId="18" xfId="58" applyFont="1" applyBorder="1" applyAlignment="1">
      <alignment wrapText="1"/>
      <protection/>
    </xf>
    <xf numFmtId="3" fontId="25" fillId="0" borderId="30" xfId="58" applyNumberFormat="1" applyFont="1" applyBorder="1">
      <alignment/>
      <protection/>
    </xf>
    <xf numFmtId="3" fontId="25" fillId="0" borderId="26" xfId="58" applyNumberFormat="1" applyFont="1" applyBorder="1">
      <alignment/>
      <protection/>
    </xf>
    <xf numFmtId="3" fontId="25" fillId="0" borderId="13" xfId="58" applyNumberFormat="1" applyFont="1" applyBorder="1">
      <alignment/>
      <protection/>
    </xf>
    <xf numFmtId="3" fontId="25" fillId="0" borderId="21" xfId="58" applyNumberFormat="1" applyFont="1" applyBorder="1">
      <alignment/>
      <protection/>
    </xf>
    <xf numFmtId="3" fontId="25" fillId="0" borderId="0" xfId="58" applyNumberFormat="1" applyFont="1">
      <alignment/>
      <protection/>
    </xf>
    <xf numFmtId="0" fontId="25" fillId="0" borderId="0" xfId="58" applyFont="1">
      <alignment/>
      <protection/>
    </xf>
    <xf numFmtId="0" fontId="25" fillId="0" borderId="18" xfId="58" applyFont="1" applyBorder="1">
      <alignment/>
      <protection/>
    </xf>
    <xf numFmtId="3" fontId="25" fillId="0" borderId="26" xfId="58" applyNumberFormat="1" applyFont="1" applyFill="1" applyBorder="1">
      <alignment/>
      <protection/>
    </xf>
    <xf numFmtId="3" fontId="25" fillId="0" borderId="0" xfId="58" applyNumberFormat="1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3" fontId="18" fillId="0" borderId="13" xfId="58" applyNumberFormat="1" applyFont="1" applyBorder="1">
      <alignment/>
      <protection/>
    </xf>
    <xf numFmtId="3" fontId="18" fillId="0" borderId="0" xfId="58" applyNumberFormat="1" applyFont="1">
      <alignment/>
      <protection/>
    </xf>
    <xf numFmtId="3" fontId="25" fillId="0" borderId="30" xfId="58" applyNumberFormat="1" applyFont="1" applyFill="1" applyBorder="1">
      <alignment/>
      <protection/>
    </xf>
    <xf numFmtId="0" fontId="25" fillId="34" borderId="18" xfId="58" applyFont="1" applyFill="1" applyBorder="1" applyAlignment="1">
      <alignment vertical="center" wrapText="1"/>
      <protection/>
    </xf>
    <xf numFmtId="3" fontId="25" fillId="34" borderId="30" xfId="58" applyNumberFormat="1" applyFont="1" applyFill="1" applyBorder="1" applyAlignment="1">
      <alignment vertical="center"/>
      <protection/>
    </xf>
    <xf numFmtId="3" fontId="25" fillId="34" borderId="26" xfId="58" applyNumberFormat="1" applyFont="1" applyFill="1" applyBorder="1" applyAlignment="1">
      <alignment vertical="center"/>
      <protection/>
    </xf>
    <xf numFmtId="3" fontId="25" fillId="34" borderId="13" xfId="58" applyNumberFormat="1" applyFont="1" applyFill="1" applyBorder="1" applyAlignment="1">
      <alignment vertical="center"/>
      <protection/>
    </xf>
    <xf numFmtId="3" fontId="25" fillId="34" borderId="21" xfId="58" applyNumberFormat="1" applyFont="1" applyFill="1" applyBorder="1" applyAlignment="1">
      <alignment vertical="center"/>
      <protection/>
    </xf>
    <xf numFmtId="3" fontId="18" fillId="34" borderId="30" xfId="58" applyNumberFormat="1" applyFill="1" applyBorder="1">
      <alignment/>
      <protection/>
    </xf>
    <xf numFmtId="3" fontId="18" fillId="34" borderId="26" xfId="58" applyNumberFormat="1" applyFill="1" applyBorder="1">
      <alignment/>
      <protection/>
    </xf>
    <xf numFmtId="3" fontId="25" fillId="34" borderId="13" xfId="58" applyNumberFormat="1" applyFont="1" applyFill="1" applyBorder="1">
      <alignment/>
      <protection/>
    </xf>
    <xf numFmtId="3" fontId="18" fillId="34" borderId="21" xfId="58" applyNumberFormat="1" applyFill="1" applyBorder="1">
      <alignment/>
      <protection/>
    </xf>
    <xf numFmtId="3" fontId="25" fillId="34" borderId="21" xfId="58" applyNumberFormat="1" applyFont="1" applyFill="1" applyBorder="1">
      <alignment/>
      <protection/>
    </xf>
    <xf numFmtId="3" fontId="25" fillId="34" borderId="30" xfId="58" applyNumberFormat="1" applyFont="1" applyFill="1" applyBorder="1">
      <alignment/>
      <protection/>
    </xf>
    <xf numFmtId="3" fontId="25" fillId="34" borderId="26" xfId="58" applyNumberFormat="1" applyFont="1" applyFill="1" applyBorder="1">
      <alignment/>
      <protection/>
    </xf>
    <xf numFmtId="4" fontId="25" fillId="34" borderId="30" xfId="58" applyNumberFormat="1" applyFont="1" applyFill="1" applyBorder="1">
      <alignment/>
      <protection/>
    </xf>
    <xf numFmtId="4" fontId="25" fillId="34" borderId="21" xfId="58" applyNumberFormat="1" applyFont="1" applyFill="1" applyBorder="1">
      <alignment/>
      <protection/>
    </xf>
    <xf numFmtId="2" fontId="25" fillId="0" borderId="21" xfId="58" applyNumberFormat="1" applyFont="1" applyBorder="1">
      <alignment/>
      <protection/>
    </xf>
    <xf numFmtId="2" fontId="25" fillId="0" borderId="30" xfId="58" applyNumberFormat="1" applyFont="1" applyBorder="1">
      <alignment/>
      <protection/>
    </xf>
    <xf numFmtId="3" fontId="3" fillId="34" borderId="30" xfId="58" applyNumberFormat="1" applyFont="1" applyFill="1" applyBorder="1" applyAlignment="1">
      <alignment horizontal="center"/>
      <protection/>
    </xf>
    <xf numFmtId="3" fontId="3" fillId="34" borderId="26" xfId="58" applyNumberFormat="1" applyFont="1" applyFill="1" applyBorder="1" applyAlignment="1">
      <alignment horizontal="center"/>
      <protection/>
    </xf>
    <xf numFmtId="3" fontId="2" fillId="34" borderId="13" xfId="58" applyNumberFormat="1" applyFont="1" applyFill="1" applyBorder="1">
      <alignment/>
      <protection/>
    </xf>
    <xf numFmtId="3" fontId="3" fillId="34" borderId="21" xfId="58" applyNumberFormat="1" applyFont="1" applyFill="1" applyBorder="1" applyAlignment="1">
      <alignment horizontal="center"/>
      <protection/>
    </xf>
    <xf numFmtId="49" fontId="6" fillId="0" borderId="0" xfId="57" applyNumberFormat="1" applyFont="1" applyFill="1" applyAlignment="1">
      <alignment horizontal="center" vertical="center"/>
      <protection/>
    </xf>
    <xf numFmtId="0" fontId="6" fillId="0" borderId="0" xfId="57" applyFont="1" applyFill="1" applyAlignment="1">
      <alignment vertical="center"/>
      <protection/>
    </xf>
    <xf numFmtId="0" fontId="42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horizontal="left" vertical="center"/>
      <protection/>
    </xf>
    <xf numFmtId="0" fontId="0" fillId="0" borderId="0" xfId="57" applyAlignment="1">
      <alignment horizontal="left"/>
      <protection/>
    </xf>
    <xf numFmtId="0" fontId="0" fillId="0" borderId="0" xfId="57" applyFill="1" applyAlignment="1">
      <alignment vertical="center"/>
      <protection/>
    </xf>
    <xf numFmtId="0" fontId="2" fillId="0" borderId="0" xfId="57" applyFont="1" applyFill="1" applyAlignment="1">
      <alignment vertical="center"/>
      <protection/>
    </xf>
    <xf numFmtId="0" fontId="2" fillId="0" borderId="0" xfId="57" applyFont="1" applyFill="1" applyAlignment="1">
      <alignment horizontal="left"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49" fontId="6" fillId="0" borderId="30" xfId="57" applyNumberFormat="1" applyFont="1" applyFill="1" applyBorder="1" applyAlignment="1">
      <alignment horizontal="center" vertical="center"/>
      <protection/>
    </xf>
    <xf numFmtId="3" fontId="4" fillId="0" borderId="31" xfId="57" applyNumberFormat="1" applyFont="1" applyFill="1" applyBorder="1" applyAlignment="1">
      <alignment vertical="center" wrapText="1"/>
      <protection/>
    </xf>
    <xf numFmtId="3" fontId="6" fillId="0" borderId="21" xfId="57" applyNumberFormat="1" applyFont="1" applyFill="1" applyBorder="1" applyAlignment="1">
      <alignment vertical="center"/>
      <protection/>
    </xf>
    <xf numFmtId="3" fontId="6" fillId="0" borderId="26" xfId="57" applyNumberFormat="1" applyFont="1" applyFill="1" applyBorder="1" applyAlignment="1">
      <alignment vertical="center"/>
      <protection/>
    </xf>
    <xf numFmtId="0" fontId="5" fillId="0" borderId="26" xfId="57" applyFont="1" applyFill="1" applyBorder="1" applyAlignment="1">
      <alignment vertical="center" wrapText="1"/>
      <protection/>
    </xf>
    <xf numFmtId="3" fontId="4" fillId="0" borderId="11" xfId="57" applyNumberFormat="1" applyFont="1" applyFill="1" applyBorder="1" applyAlignment="1">
      <alignment vertical="center"/>
      <protection/>
    </xf>
    <xf numFmtId="3" fontId="45" fillId="0" borderId="21" xfId="57" applyNumberFormat="1" applyFont="1" applyFill="1" applyBorder="1" applyAlignment="1">
      <alignment vertical="center"/>
      <protection/>
    </xf>
    <xf numFmtId="0" fontId="5" fillId="0" borderId="38" xfId="57" applyFont="1" applyFill="1" applyBorder="1" applyAlignment="1">
      <alignment vertical="center" wrapText="1"/>
      <protection/>
    </xf>
    <xf numFmtId="0" fontId="5" fillId="0" borderId="26" xfId="57" applyFont="1" applyFill="1" applyBorder="1" applyAlignment="1">
      <alignment horizontal="left" vertical="center" wrapText="1"/>
      <protection/>
    </xf>
    <xf numFmtId="3" fontId="4" fillId="0" borderId="11" xfId="57" applyNumberFormat="1" applyFont="1" applyFill="1" applyBorder="1" applyAlignment="1">
      <alignment horizontal="left" vertical="center" wrapText="1"/>
      <protection/>
    </xf>
    <xf numFmtId="3" fontId="6" fillId="0" borderId="21" xfId="57" applyNumberFormat="1" applyFont="1" applyFill="1" applyBorder="1" applyAlignment="1">
      <alignment horizontal="right" vertical="center" wrapText="1"/>
      <protection/>
    </xf>
    <xf numFmtId="3" fontId="6" fillId="0" borderId="26" xfId="57" applyNumberFormat="1" applyFont="1" applyFill="1" applyBorder="1" applyAlignment="1">
      <alignment horizontal="right" vertical="center" wrapText="1"/>
      <protection/>
    </xf>
    <xf numFmtId="3" fontId="4" fillId="0" borderId="11" xfId="57" applyNumberFormat="1" applyFont="1" applyFill="1" applyBorder="1" applyAlignment="1">
      <alignment vertical="center" wrapText="1"/>
      <protection/>
    </xf>
    <xf numFmtId="0" fontId="15" fillId="0" borderId="0" xfId="57" applyFont="1" applyFill="1" applyBorder="1" applyAlignment="1">
      <alignment vertical="center" wrapText="1"/>
      <protection/>
    </xf>
    <xf numFmtId="3" fontId="21" fillId="0" borderId="26" xfId="55" applyNumberFormat="1" applyFont="1" applyBorder="1" applyAlignment="1">
      <alignment vertical="center"/>
      <protection/>
    </xf>
    <xf numFmtId="0" fontId="3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5" fillId="32" borderId="26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4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22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3" fontId="0" fillId="6" borderId="55" xfId="0" applyNumberFormat="1" applyFill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6" borderId="58" xfId="0" applyNumberFormat="1" applyFill="1" applyBorder="1" applyAlignment="1">
      <alignment/>
    </xf>
    <xf numFmtId="0" fontId="0" fillId="0" borderId="59" xfId="0" applyBorder="1" applyAlignment="1">
      <alignment/>
    </xf>
    <xf numFmtId="3" fontId="0" fillId="6" borderId="3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6" borderId="53" xfId="0" applyNumberFormat="1" applyFill="1" applyBorder="1" applyAlignment="1">
      <alignment/>
    </xf>
    <xf numFmtId="0" fontId="25" fillId="0" borderId="60" xfId="0" applyFont="1" applyBorder="1" applyAlignment="1">
      <alignment/>
    </xf>
    <xf numFmtId="3" fontId="25" fillId="6" borderId="61" xfId="0" applyNumberFormat="1" applyFont="1" applyFill="1" applyBorder="1" applyAlignment="1">
      <alignment/>
    </xf>
    <xf numFmtId="3" fontId="25" fillId="35" borderId="62" xfId="0" applyNumberFormat="1" applyFont="1" applyFill="1" applyBorder="1" applyAlignment="1">
      <alignment/>
    </xf>
    <xf numFmtId="3" fontId="25" fillId="35" borderId="63" xfId="0" applyNumberFormat="1" applyFont="1" applyFill="1" applyBorder="1" applyAlignment="1">
      <alignment/>
    </xf>
    <xf numFmtId="3" fontId="25" fillId="6" borderId="64" xfId="0" applyNumberFormat="1" applyFont="1" applyFill="1" applyBorder="1" applyAlignment="1">
      <alignment/>
    </xf>
    <xf numFmtId="3" fontId="25" fillId="6" borderId="60" xfId="0" applyNumberFormat="1" applyFont="1" applyFill="1" applyBorder="1" applyAlignment="1">
      <alignment/>
    </xf>
    <xf numFmtId="0" fontId="22" fillId="0" borderId="65" xfId="0" applyFont="1" applyBorder="1" applyAlignment="1">
      <alignment horizontal="center"/>
    </xf>
    <xf numFmtId="0" fontId="0" fillId="0" borderId="66" xfId="0" applyBorder="1" applyAlignment="1">
      <alignment horizontal="left"/>
    </xf>
    <xf numFmtId="0" fontId="0" fillId="0" borderId="28" xfId="0" applyBorder="1" applyAlignment="1">
      <alignment horizontal="center"/>
    </xf>
    <xf numFmtId="3" fontId="0" fillId="6" borderId="51" xfId="0" applyNumberFormat="1" applyFill="1" applyBorder="1" applyAlignment="1">
      <alignment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center"/>
    </xf>
    <xf numFmtId="3" fontId="0" fillId="6" borderId="43" xfId="0" applyNumberFormat="1" applyFill="1" applyBorder="1" applyAlignment="1">
      <alignment/>
    </xf>
    <xf numFmtId="3" fontId="0" fillId="6" borderId="36" xfId="0" applyNumberFormat="1" applyFill="1" applyBorder="1" applyAlignment="1">
      <alignment/>
    </xf>
    <xf numFmtId="0" fontId="0" fillId="0" borderId="38" xfId="0" applyBorder="1" applyAlignment="1">
      <alignment horizontal="center"/>
    </xf>
    <xf numFmtId="3" fontId="0" fillId="6" borderId="65" xfId="0" applyNumberFormat="1" applyFill="1" applyBorder="1" applyAlignment="1">
      <alignment/>
    </xf>
    <xf numFmtId="0" fontId="22" fillId="0" borderId="48" xfId="0" applyFont="1" applyBorder="1" applyAlignment="1">
      <alignment horizontal="center" vertical="center"/>
    </xf>
    <xf numFmtId="0" fontId="25" fillId="0" borderId="69" xfId="0" applyFont="1" applyBorder="1" applyAlignment="1">
      <alignment/>
    </xf>
    <xf numFmtId="3" fontId="25" fillId="6" borderId="69" xfId="0" applyNumberFormat="1" applyFont="1" applyFill="1" applyBorder="1" applyAlignment="1">
      <alignment/>
    </xf>
    <xf numFmtId="3" fontId="25" fillId="35" borderId="70" xfId="0" applyNumberFormat="1" applyFont="1" applyFill="1" applyBorder="1" applyAlignment="1">
      <alignment/>
    </xf>
    <xf numFmtId="3" fontId="25" fillId="6" borderId="71" xfId="0" applyNumberFormat="1" applyFont="1" applyFill="1" applyBorder="1" applyAlignment="1">
      <alignment/>
    </xf>
    <xf numFmtId="3" fontId="25" fillId="6" borderId="72" xfId="0" applyNumberFormat="1" applyFont="1" applyFill="1" applyBorder="1" applyAlignment="1">
      <alignment/>
    </xf>
    <xf numFmtId="0" fontId="22" fillId="0" borderId="43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22" fillId="0" borderId="53" xfId="0" applyFont="1" applyBorder="1" applyAlignment="1">
      <alignment horizontal="center" vertical="center"/>
    </xf>
    <xf numFmtId="3" fontId="18" fillId="6" borderId="67" xfId="0" applyNumberFormat="1" applyFont="1" applyFill="1" applyBorder="1" applyAlignment="1">
      <alignment/>
    </xf>
    <xf numFmtId="3" fontId="25" fillId="6" borderId="75" xfId="0" applyNumberFormat="1" applyFont="1" applyFill="1" applyBorder="1" applyAlignment="1">
      <alignment/>
    </xf>
    <xf numFmtId="3" fontId="0" fillId="0" borderId="32" xfId="0" applyNumberFormat="1" applyBorder="1" applyAlignment="1">
      <alignment/>
    </xf>
    <xf numFmtId="3" fontId="0" fillId="6" borderId="75" xfId="0" applyNumberFormat="1" applyFill="1" applyBorder="1" applyAlignment="1">
      <alignment/>
    </xf>
    <xf numFmtId="0" fontId="0" fillId="0" borderId="55" xfId="0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6" borderId="77" xfId="0" applyNumberFormat="1" applyFill="1" applyBorder="1" applyAlignment="1">
      <alignment/>
    </xf>
    <xf numFmtId="0" fontId="22" fillId="0" borderId="48" xfId="0" applyFont="1" applyBorder="1" applyAlignment="1">
      <alignment horizontal="center"/>
    </xf>
    <xf numFmtId="0" fontId="25" fillId="0" borderId="72" xfId="0" applyFont="1" applyBorder="1" applyAlignment="1">
      <alignment/>
    </xf>
    <xf numFmtId="0" fontId="22" fillId="0" borderId="43" xfId="0" applyFont="1" applyBorder="1" applyAlignment="1">
      <alignment horizontal="center"/>
    </xf>
    <xf numFmtId="0" fontId="0" fillId="0" borderId="78" xfId="0" applyBorder="1" applyAlignment="1">
      <alignment/>
    </xf>
    <xf numFmtId="0" fontId="25" fillId="0" borderId="44" xfId="0" applyFont="1" applyBorder="1" applyAlignment="1">
      <alignment/>
    </xf>
    <xf numFmtId="3" fontId="25" fillId="35" borderId="0" xfId="0" applyNumberFormat="1" applyFont="1" applyFill="1" applyBorder="1" applyAlignment="1">
      <alignment/>
    </xf>
    <xf numFmtId="0" fontId="0" fillId="0" borderId="79" xfId="0" applyBorder="1" applyAlignment="1">
      <alignment/>
    </xf>
    <xf numFmtId="0" fontId="22" fillId="0" borderId="43" xfId="0" applyFont="1" applyBorder="1" applyAlignment="1">
      <alignment/>
    </xf>
    <xf numFmtId="0" fontId="0" fillId="0" borderId="75" xfId="0" applyBorder="1" applyAlignment="1">
      <alignment/>
    </xf>
    <xf numFmtId="3" fontId="0" fillId="6" borderId="67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0" fontId="0" fillId="0" borderId="80" xfId="0" applyBorder="1" applyAlignment="1">
      <alignment horizontal="center"/>
    </xf>
    <xf numFmtId="3" fontId="0" fillId="35" borderId="57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3" fontId="0" fillId="35" borderId="38" xfId="0" applyNumberFormat="1" applyFill="1" applyBorder="1" applyAlignment="1">
      <alignment/>
    </xf>
    <xf numFmtId="0" fontId="0" fillId="0" borderId="30" xfId="0" applyBorder="1" applyAlignment="1">
      <alignment horizontal="left"/>
    </xf>
    <xf numFmtId="0" fontId="0" fillId="0" borderId="18" xfId="0" applyBorder="1" applyAlignment="1">
      <alignment horizontal="center"/>
    </xf>
    <xf numFmtId="3" fontId="0" fillId="35" borderId="26" xfId="0" applyNumberFormat="1" applyFill="1" applyBorder="1" applyAlignment="1">
      <alignment/>
    </xf>
    <xf numFmtId="0" fontId="22" fillId="0" borderId="65" xfId="0" applyFont="1" applyBorder="1" applyAlignment="1">
      <alignment horizontal="center" vertical="center"/>
    </xf>
    <xf numFmtId="3" fontId="0" fillId="35" borderId="22" xfId="0" applyNumberFormat="1" applyFill="1" applyBorder="1" applyAlignment="1">
      <alignment/>
    </xf>
    <xf numFmtId="3" fontId="25" fillId="6" borderId="81" xfId="0" applyNumberFormat="1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0" fontId="6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0" fontId="55" fillId="0" borderId="26" xfId="0" applyFont="1" applyBorder="1" applyAlignment="1">
      <alignment/>
    </xf>
    <xf numFmtId="3" fontId="55" fillId="0" borderId="26" xfId="0" applyNumberFormat="1" applyFont="1" applyBorder="1" applyAlignment="1">
      <alignment/>
    </xf>
    <xf numFmtId="0" fontId="59" fillId="0" borderId="26" xfId="0" applyFont="1" applyBorder="1" applyAlignment="1">
      <alignment/>
    </xf>
    <xf numFmtId="0" fontId="59" fillId="0" borderId="0" xfId="0" applyFont="1" applyAlignment="1">
      <alignment/>
    </xf>
    <xf numFmtId="0" fontId="59" fillId="0" borderId="26" xfId="0" applyFont="1" applyBorder="1" applyAlignment="1">
      <alignment horizontal="left"/>
    </xf>
    <xf numFmtId="3" fontId="59" fillId="0" borderId="26" xfId="0" applyNumberFormat="1" applyFont="1" applyBorder="1" applyAlignment="1">
      <alignment/>
    </xf>
    <xf numFmtId="3" fontId="60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46" fillId="0" borderId="26" xfId="0" applyFont="1" applyBorder="1" applyAlignment="1">
      <alignment horizontal="left"/>
    </xf>
    <xf numFmtId="0" fontId="46" fillId="0" borderId="26" xfId="0" applyFont="1" applyBorder="1" applyAlignment="1">
      <alignment/>
    </xf>
    <xf numFmtId="3" fontId="46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3" fontId="61" fillId="0" borderId="26" xfId="0" applyNumberFormat="1" applyFont="1" applyBorder="1" applyAlignment="1">
      <alignment/>
    </xf>
    <xf numFmtId="0" fontId="46" fillId="0" borderId="18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3" fontId="0" fillId="0" borderId="0" xfId="0" applyNumberFormat="1" applyAlignment="1">
      <alignment/>
    </xf>
    <xf numFmtId="0" fontId="46" fillId="0" borderId="26" xfId="0" applyFont="1" applyFill="1" applyBorder="1" applyAlignment="1">
      <alignment/>
    </xf>
    <xf numFmtId="0" fontId="46" fillId="0" borderId="26" xfId="0" applyFont="1" applyFill="1" applyBorder="1" applyAlignment="1">
      <alignment horizontal="left"/>
    </xf>
    <xf numFmtId="0" fontId="62" fillId="0" borderId="26" xfId="0" applyFont="1" applyBorder="1" applyAlignment="1">
      <alignment/>
    </xf>
    <xf numFmtId="0" fontId="46" fillId="0" borderId="26" xfId="0" applyFont="1" applyBorder="1" applyAlignment="1">
      <alignment horizontal="left" wrapText="1"/>
    </xf>
    <xf numFmtId="0" fontId="68" fillId="0" borderId="26" xfId="0" applyFont="1" applyBorder="1" applyAlignment="1">
      <alignment/>
    </xf>
    <xf numFmtId="3" fontId="68" fillId="0" borderId="26" xfId="0" applyNumberFormat="1" applyFont="1" applyBorder="1" applyAlignment="1">
      <alignment/>
    </xf>
    <xf numFmtId="0" fontId="69" fillId="0" borderId="0" xfId="0" applyFont="1" applyAlignment="1">
      <alignment/>
    </xf>
    <xf numFmtId="3" fontId="15" fillId="0" borderId="26" xfId="0" applyNumberFormat="1" applyFont="1" applyBorder="1" applyAlignment="1">
      <alignment/>
    </xf>
    <xf numFmtId="0" fontId="63" fillId="0" borderId="0" xfId="0" applyFont="1" applyAlignment="1">
      <alignment/>
    </xf>
    <xf numFmtId="3" fontId="7" fillId="0" borderId="26" xfId="0" applyNumberFormat="1" applyFont="1" applyBorder="1" applyAlignment="1">
      <alignment/>
    </xf>
    <xf numFmtId="3" fontId="64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70" fillId="0" borderId="26" xfId="0" applyFont="1" applyBorder="1" applyAlignment="1">
      <alignment/>
    </xf>
    <xf numFmtId="3" fontId="70" fillId="0" borderId="26" xfId="0" applyNumberFormat="1" applyFont="1" applyBorder="1" applyAlignment="1">
      <alignment/>
    </xf>
    <xf numFmtId="0" fontId="71" fillId="0" borderId="0" xfId="0" applyFont="1" applyAlignment="1">
      <alignment/>
    </xf>
    <xf numFmtId="0" fontId="72" fillId="0" borderId="26" xfId="0" applyFont="1" applyBorder="1" applyAlignment="1">
      <alignment/>
    </xf>
    <xf numFmtId="0" fontId="5" fillId="0" borderId="68" xfId="57" applyFont="1" applyFill="1" applyBorder="1" applyAlignment="1">
      <alignment vertical="center" wrapText="1"/>
      <protection/>
    </xf>
    <xf numFmtId="49" fontId="6" fillId="0" borderId="30" xfId="57" applyNumberFormat="1" applyFont="1" applyFill="1" applyBorder="1" applyAlignment="1">
      <alignment horizontal="center" vertical="center"/>
      <protection/>
    </xf>
    <xf numFmtId="3" fontId="4" fillId="0" borderId="55" xfId="57" applyNumberFormat="1" applyFont="1" applyFill="1" applyBorder="1" applyAlignment="1">
      <alignment vertical="center" wrapText="1"/>
      <protection/>
    </xf>
    <xf numFmtId="3" fontId="4" fillId="0" borderId="57" xfId="57" applyNumberFormat="1" applyFont="1" applyFill="1" applyBorder="1" applyAlignment="1">
      <alignment vertical="center" wrapText="1"/>
      <protection/>
    </xf>
    <xf numFmtId="3" fontId="4" fillId="0" borderId="10" xfId="57" applyNumberFormat="1" applyFont="1" applyFill="1" applyBorder="1" applyAlignment="1">
      <alignment vertical="center" wrapText="1"/>
      <protection/>
    </xf>
    <xf numFmtId="3" fontId="4" fillId="0" borderId="30" xfId="57" applyNumberFormat="1" applyFont="1" applyFill="1" applyBorder="1" applyAlignment="1">
      <alignment vertical="center" wrapText="1"/>
      <protection/>
    </xf>
    <xf numFmtId="3" fontId="4" fillId="0" borderId="26" xfId="57" applyNumberFormat="1" applyFont="1" applyFill="1" applyBorder="1" applyAlignment="1">
      <alignment vertical="center" wrapText="1"/>
      <protection/>
    </xf>
    <xf numFmtId="3" fontId="4" fillId="0" borderId="13" xfId="57" applyNumberFormat="1" applyFont="1" applyFill="1" applyBorder="1" applyAlignment="1">
      <alignment vertical="center" wrapText="1"/>
      <protection/>
    </xf>
    <xf numFmtId="3" fontId="4" fillId="0" borderId="30" xfId="57" applyNumberFormat="1" applyFont="1" applyFill="1" applyBorder="1" applyAlignment="1">
      <alignment vertical="center"/>
      <protection/>
    </xf>
    <xf numFmtId="3" fontId="4" fillId="0" borderId="26" xfId="57" applyNumberFormat="1" applyFont="1" applyFill="1" applyBorder="1" applyAlignment="1">
      <alignment vertical="center"/>
      <protection/>
    </xf>
    <xf numFmtId="3" fontId="44" fillId="0" borderId="30" xfId="57" applyNumberFormat="1" applyFont="1" applyFill="1" applyBorder="1" applyAlignment="1">
      <alignment vertical="center"/>
      <protection/>
    </xf>
    <xf numFmtId="3" fontId="44" fillId="0" borderId="26" xfId="57" applyNumberFormat="1" applyFont="1" applyFill="1" applyBorder="1" applyAlignment="1">
      <alignment vertical="center"/>
      <protection/>
    </xf>
    <xf numFmtId="3" fontId="46" fillId="0" borderId="26" xfId="57" applyNumberFormat="1" applyFont="1" applyFill="1" applyBorder="1" applyAlignment="1">
      <alignment vertical="center" wrapText="1"/>
      <protection/>
    </xf>
    <xf numFmtId="3" fontId="6" fillId="0" borderId="55" xfId="57" applyNumberFormat="1" applyFont="1" applyFill="1" applyBorder="1" applyAlignment="1">
      <alignment vertical="center"/>
      <protection/>
    </xf>
    <xf numFmtId="3" fontId="6" fillId="0" borderId="57" xfId="57" applyNumberFormat="1" applyFont="1" applyFill="1" applyBorder="1" applyAlignment="1">
      <alignment vertical="center"/>
      <protection/>
    </xf>
    <xf numFmtId="3" fontId="4" fillId="0" borderId="56" xfId="57" applyNumberFormat="1" applyFont="1" applyFill="1" applyBorder="1" applyAlignment="1">
      <alignment vertical="center" wrapText="1"/>
      <protection/>
    </xf>
    <xf numFmtId="3" fontId="4" fillId="0" borderId="21" xfId="57" applyNumberFormat="1" applyFont="1" applyFill="1" applyBorder="1" applyAlignment="1">
      <alignment vertical="center" wrapText="1"/>
      <protection/>
    </xf>
    <xf numFmtId="3" fontId="4" fillId="0" borderId="21" xfId="57" applyNumberFormat="1" applyFont="1" applyFill="1" applyBorder="1" applyAlignment="1">
      <alignment vertical="center"/>
      <protection/>
    </xf>
    <xf numFmtId="3" fontId="44" fillId="0" borderId="21" xfId="57" applyNumberFormat="1" applyFont="1" applyFill="1" applyBorder="1" applyAlignment="1">
      <alignment vertical="center"/>
      <protection/>
    </xf>
    <xf numFmtId="3" fontId="46" fillId="0" borderId="21" xfId="57" applyNumberFormat="1" applyFont="1" applyFill="1" applyBorder="1" applyAlignment="1">
      <alignment vertical="center" wrapText="1"/>
      <protection/>
    </xf>
    <xf numFmtId="3" fontId="4" fillId="0" borderId="37" xfId="57" applyNumberFormat="1" applyFont="1" applyFill="1" applyBorder="1" applyAlignment="1">
      <alignment vertical="center" wrapText="1"/>
      <protection/>
    </xf>
    <xf numFmtId="3" fontId="4" fillId="0" borderId="82" xfId="57" applyNumberFormat="1" applyFont="1" applyFill="1" applyBorder="1" applyAlignment="1">
      <alignment vertical="center" wrapText="1"/>
      <protection/>
    </xf>
    <xf numFmtId="3" fontId="4" fillId="0" borderId="30" xfId="57" applyNumberFormat="1" applyFont="1" applyFill="1" applyBorder="1" applyAlignment="1">
      <alignment vertical="center" wrapText="1"/>
      <protection/>
    </xf>
    <xf numFmtId="3" fontId="4" fillId="0" borderId="26" xfId="57" applyNumberFormat="1" applyFont="1" applyFill="1" applyBorder="1" applyAlignment="1">
      <alignment vertical="center" wrapText="1"/>
      <protection/>
    </xf>
    <xf numFmtId="3" fontId="47" fillId="0" borderId="33" xfId="57" applyNumberFormat="1" applyFont="1" applyFill="1" applyBorder="1" applyAlignment="1">
      <alignment vertical="center"/>
      <protection/>
    </xf>
    <xf numFmtId="3" fontId="6" fillId="0" borderId="24" xfId="57" applyNumberFormat="1" applyFont="1" applyFill="1" applyBorder="1" applyAlignment="1">
      <alignment vertical="center"/>
      <protection/>
    </xf>
    <xf numFmtId="3" fontId="6" fillId="0" borderId="22" xfId="57" applyNumberFormat="1" applyFont="1" applyFill="1" applyBorder="1" applyAlignment="1">
      <alignment vertical="center"/>
      <protection/>
    </xf>
    <xf numFmtId="3" fontId="4" fillId="0" borderId="30" xfId="57" applyNumberFormat="1" applyFont="1" applyFill="1" applyBorder="1" applyAlignment="1">
      <alignment horizontal="left" vertical="center" wrapText="1"/>
      <protection/>
    </xf>
    <xf numFmtId="3" fontId="4" fillId="0" borderId="26" xfId="57" applyNumberFormat="1" applyFont="1" applyFill="1" applyBorder="1" applyAlignment="1">
      <alignment horizontal="left" vertical="center" wrapText="1"/>
      <protection/>
    </xf>
    <xf numFmtId="3" fontId="4" fillId="0" borderId="30" xfId="57" applyNumberFormat="1" applyFont="1" applyFill="1" applyBorder="1" applyAlignment="1">
      <alignment horizontal="right" vertical="center" wrapText="1"/>
      <protection/>
    </xf>
    <xf numFmtId="3" fontId="4" fillId="0" borderId="26" xfId="57" applyNumberFormat="1" applyFont="1" applyFill="1" applyBorder="1" applyAlignment="1">
      <alignment horizontal="right" vertical="center" wrapText="1"/>
      <protection/>
    </xf>
    <xf numFmtId="3" fontId="4" fillId="0" borderId="36" xfId="57" applyNumberFormat="1" applyFont="1" applyFill="1" applyBorder="1" applyAlignment="1">
      <alignment vertical="center" wrapText="1"/>
      <protection/>
    </xf>
    <xf numFmtId="3" fontId="4" fillId="0" borderId="22" xfId="57" applyNumberFormat="1" applyFont="1" applyFill="1" applyBorder="1" applyAlignment="1">
      <alignment vertical="center" wrapText="1"/>
      <protection/>
    </xf>
    <xf numFmtId="3" fontId="6" fillId="0" borderId="30" xfId="57" applyNumberFormat="1" applyFont="1" applyFill="1" applyBorder="1" applyAlignment="1">
      <alignment vertical="center"/>
      <protection/>
    </xf>
    <xf numFmtId="3" fontId="6" fillId="0" borderId="30" xfId="57" applyNumberFormat="1" applyFont="1" applyFill="1" applyBorder="1" applyAlignment="1">
      <alignment horizontal="right" vertical="center" wrapText="1"/>
      <protection/>
    </xf>
    <xf numFmtId="3" fontId="6" fillId="0" borderId="36" xfId="57" applyNumberFormat="1" applyFont="1" applyFill="1" applyBorder="1" applyAlignment="1">
      <alignment vertical="center"/>
      <protection/>
    </xf>
    <xf numFmtId="3" fontId="4" fillId="0" borderId="12" xfId="57" applyNumberFormat="1" applyFont="1" applyFill="1" applyBorder="1" applyAlignment="1">
      <alignment vertical="center" wrapText="1"/>
      <protection/>
    </xf>
    <xf numFmtId="0" fontId="5" fillId="0" borderId="37" xfId="57" applyFont="1" applyFill="1" applyBorder="1" applyAlignment="1">
      <alignment horizontal="center" vertical="center" wrapText="1"/>
      <protection/>
    </xf>
    <xf numFmtId="49" fontId="6" fillId="0" borderId="67" xfId="57" applyNumberFormat="1" applyFont="1" applyFill="1" applyBorder="1" applyAlignment="1">
      <alignment horizontal="center" vertical="center"/>
      <protection/>
    </xf>
    <xf numFmtId="3" fontId="4" fillId="0" borderId="67" xfId="57" applyNumberFormat="1" applyFont="1" applyFill="1" applyBorder="1" applyAlignment="1">
      <alignment vertical="center" wrapText="1"/>
      <protection/>
    </xf>
    <xf numFmtId="3" fontId="4" fillId="0" borderId="38" xfId="57" applyNumberFormat="1" applyFont="1" applyFill="1" applyBorder="1" applyAlignment="1">
      <alignment vertical="center" wrapText="1"/>
      <protection/>
    </xf>
    <xf numFmtId="3" fontId="4" fillId="0" borderId="83" xfId="57" applyNumberFormat="1" applyFont="1" applyFill="1" applyBorder="1" applyAlignment="1">
      <alignment vertical="center" wrapText="1"/>
      <protection/>
    </xf>
    <xf numFmtId="3" fontId="47" fillId="0" borderId="64" xfId="57" applyNumberFormat="1" applyFont="1" applyFill="1" applyBorder="1" applyAlignment="1">
      <alignment vertical="center"/>
      <protection/>
    </xf>
    <xf numFmtId="3" fontId="4" fillId="0" borderId="55" xfId="57" applyNumberFormat="1" applyFont="1" applyFill="1" applyBorder="1" applyAlignment="1">
      <alignment vertical="center"/>
      <protection/>
    </xf>
    <xf numFmtId="3" fontId="4" fillId="0" borderId="57" xfId="57" applyNumberFormat="1" applyFont="1" applyFill="1" applyBorder="1" applyAlignment="1">
      <alignment vertical="center"/>
      <protection/>
    </xf>
    <xf numFmtId="3" fontId="48" fillId="0" borderId="33" xfId="57" applyNumberFormat="1" applyFont="1" applyFill="1" applyBorder="1" applyAlignment="1">
      <alignment vertical="center"/>
      <protection/>
    </xf>
    <xf numFmtId="3" fontId="47" fillId="0" borderId="61" xfId="57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25" fillId="0" borderId="84" xfId="56" applyFont="1" applyBorder="1" applyAlignment="1">
      <alignment horizontal="center"/>
      <protection/>
    </xf>
    <xf numFmtId="0" fontId="25" fillId="0" borderId="25" xfId="56" applyFont="1" applyBorder="1">
      <alignment/>
      <protection/>
    </xf>
    <xf numFmtId="0" fontId="2" fillId="0" borderId="85" xfId="57" applyFont="1" applyFill="1" applyBorder="1" applyAlignment="1">
      <alignment horizontal="center" vertical="center" wrapText="1"/>
      <protection/>
    </xf>
    <xf numFmtId="0" fontId="25" fillId="0" borderId="86" xfId="56" applyFont="1" applyBorder="1" applyAlignment="1">
      <alignment horizontal="center"/>
      <protection/>
    </xf>
    <xf numFmtId="0" fontId="25" fillId="0" borderId="22" xfId="56" applyFont="1" applyBorder="1">
      <alignment/>
      <protection/>
    </xf>
    <xf numFmtId="0" fontId="2" fillId="0" borderId="25" xfId="57" applyFont="1" applyFill="1" applyBorder="1" applyAlignment="1">
      <alignment horizontal="center" vertical="center" wrapText="1"/>
      <protection/>
    </xf>
    <xf numFmtId="0" fontId="25" fillId="0" borderId="87" xfId="56" applyFont="1" applyBorder="1" applyAlignment="1">
      <alignment horizontal="center"/>
      <protection/>
    </xf>
    <xf numFmtId="0" fontId="25" fillId="0" borderId="62" xfId="56" applyFont="1" applyBorder="1">
      <alignment/>
      <protection/>
    </xf>
    <xf numFmtId="0" fontId="2" fillId="0" borderId="88" xfId="57" applyFont="1" applyFill="1" applyBorder="1" applyAlignment="1">
      <alignment horizontal="center" vertical="center" wrapText="1"/>
      <protection/>
    </xf>
    <xf numFmtId="0" fontId="30" fillId="0" borderId="89" xfId="56" applyFont="1" applyBorder="1">
      <alignment/>
      <protection/>
    </xf>
    <xf numFmtId="0" fontId="30" fillId="0" borderId="0" xfId="56" applyFont="1" applyBorder="1">
      <alignment/>
      <protection/>
    </xf>
    <xf numFmtId="0" fontId="30" fillId="0" borderId="90" xfId="56" applyFont="1" applyBorder="1">
      <alignment/>
      <protection/>
    </xf>
    <xf numFmtId="0" fontId="30" fillId="0" borderId="91" xfId="56" applyFont="1" applyBorder="1">
      <alignment/>
      <protection/>
    </xf>
    <xf numFmtId="0" fontId="30" fillId="0" borderId="92" xfId="56" applyFont="1" applyBorder="1">
      <alignment/>
      <protection/>
    </xf>
    <xf numFmtId="3" fontId="30" fillId="35" borderId="40" xfId="56" applyNumberFormat="1" applyFont="1" applyFill="1" applyBorder="1">
      <alignment/>
      <protection/>
    </xf>
    <xf numFmtId="3" fontId="30" fillId="0" borderId="40" xfId="56" applyNumberFormat="1" applyFont="1" applyBorder="1">
      <alignment/>
      <protection/>
    </xf>
    <xf numFmtId="0" fontId="30" fillId="0" borderId="44" xfId="56" applyFont="1" applyBorder="1" applyAlignment="1">
      <alignment horizontal="left"/>
      <protection/>
    </xf>
    <xf numFmtId="0" fontId="30" fillId="0" borderId="0" xfId="56" applyFont="1" applyBorder="1" applyAlignment="1">
      <alignment horizontal="left"/>
      <protection/>
    </xf>
    <xf numFmtId="3" fontId="30" fillId="0" borderId="0" xfId="56" applyNumberFormat="1" applyFont="1" applyBorder="1">
      <alignment/>
      <protection/>
    </xf>
    <xf numFmtId="3" fontId="29" fillId="0" borderId="93" xfId="56" applyNumberFormat="1" applyFont="1" applyBorder="1" applyAlignment="1">
      <alignment horizontal="right" vertical="center"/>
      <protection/>
    </xf>
    <xf numFmtId="3" fontId="29" fillId="0" borderId="68" xfId="56" applyNumberFormat="1" applyFont="1" applyBorder="1" applyAlignment="1">
      <alignment horizontal="right" vertical="center"/>
      <protection/>
    </xf>
    <xf numFmtId="3" fontId="29" fillId="0" borderId="0" xfId="56" applyNumberFormat="1" applyFont="1" applyBorder="1" applyAlignment="1">
      <alignment horizontal="right" vertical="center"/>
      <protection/>
    </xf>
    <xf numFmtId="0" fontId="15" fillId="0" borderId="93" xfId="57" applyFont="1" applyFill="1" applyBorder="1" applyAlignment="1">
      <alignment horizontal="center" vertical="center" wrapText="1"/>
      <protection/>
    </xf>
    <xf numFmtId="0" fontId="15" fillId="0" borderId="68" xfId="57" applyFont="1" applyFill="1" applyBorder="1" applyAlignment="1">
      <alignment horizontal="center" vertical="center" wrapText="1"/>
      <protection/>
    </xf>
    <xf numFmtId="0" fontId="15" fillId="0" borderId="94" xfId="57" applyFont="1" applyFill="1" applyBorder="1" applyAlignment="1">
      <alignment horizontal="center" vertical="center" wrapText="1"/>
      <protection/>
    </xf>
    <xf numFmtId="3" fontId="30" fillId="35" borderId="0" xfId="56" applyNumberFormat="1" applyFont="1" applyFill="1" applyBorder="1">
      <alignment/>
      <protection/>
    </xf>
    <xf numFmtId="3" fontId="29" fillId="0" borderId="89" xfId="56" applyNumberFormat="1" applyFont="1" applyBorder="1" applyAlignment="1">
      <alignment horizontal="right" vertical="center"/>
      <protection/>
    </xf>
    <xf numFmtId="3" fontId="30" fillId="0" borderId="95" xfId="56" applyNumberFormat="1" applyFont="1" applyBorder="1">
      <alignment/>
      <protection/>
    </xf>
    <xf numFmtId="0" fontId="30" fillId="0" borderId="68" xfId="56" applyFont="1" applyBorder="1">
      <alignment/>
      <protection/>
    </xf>
    <xf numFmtId="0" fontId="51" fillId="0" borderId="92" xfId="56" applyFont="1" applyBorder="1" applyAlignment="1">
      <alignment horizontal="right" vertical="center"/>
      <protection/>
    </xf>
    <xf numFmtId="0" fontId="52" fillId="0" borderId="89" xfId="56" applyFont="1" applyBorder="1" applyAlignment="1">
      <alignment horizontal="right"/>
      <protection/>
    </xf>
    <xf numFmtId="0" fontId="52" fillId="0" borderId="0" xfId="56" applyFont="1" applyBorder="1" applyAlignment="1">
      <alignment horizontal="right"/>
      <protection/>
    </xf>
    <xf numFmtId="0" fontId="52" fillId="0" borderId="91" xfId="56" applyFont="1" applyBorder="1" applyAlignment="1">
      <alignment horizontal="right"/>
      <protection/>
    </xf>
    <xf numFmtId="3" fontId="25" fillId="0" borderId="91" xfId="56" applyNumberFormat="1" applyFont="1" applyBorder="1" applyAlignment="1">
      <alignment horizontal="right"/>
      <protection/>
    </xf>
    <xf numFmtId="3" fontId="25" fillId="0" borderId="0" xfId="56" applyNumberFormat="1" applyFont="1" applyBorder="1">
      <alignment/>
      <protection/>
    </xf>
    <xf numFmtId="3" fontId="25" fillId="0" borderId="92" xfId="56" applyNumberFormat="1" applyFont="1" applyBorder="1">
      <alignment/>
      <protection/>
    </xf>
    <xf numFmtId="3" fontId="51" fillId="0" borderId="89" xfId="56" applyNumberFormat="1" applyFont="1" applyBorder="1" applyAlignment="1">
      <alignment horizontal="right" vertical="center"/>
      <protection/>
    </xf>
    <xf numFmtId="3" fontId="51" fillId="0" borderId="68" xfId="56" applyNumberFormat="1" applyFont="1" applyBorder="1" applyAlignment="1">
      <alignment horizontal="right" vertical="center"/>
      <protection/>
    </xf>
    <xf numFmtId="3" fontId="30" fillId="0" borderId="89" xfId="56" applyNumberFormat="1" applyFont="1" applyBorder="1">
      <alignment/>
      <protection/>
    </xf>
    <xf numFmtId="3" fontId="30" fillId="0" borderId="68" xfId="56" applyNumberFormat="1" applyFont="1" applyBorder="1">
      <alignment/>
      <protection/>
    </xf>
    <xf numFmtId="3" fontId="51" fillId="0" borderId="92" xfId="56" applyNumberFormat="1" applyFont="1" applyBorder="1" applyAlignment="1">
      <alignment horizontal="right" vertical="center"/>
      <protection/>
    </xf>
    <xf numFmtId="0" fontId="30" fillId="0" borderId="89" xfId="56" applyFont="1" applyBorder="1" applyAlignment="1">
      <alignment horizontal="right"/>
      <protection/>
    </xf>
    <xf numFmtId="0" fontId="30" fillId="0" borderId="0" xfId="56" applyFont="1" applyBorder="1" applyAlignment="1">
      <alignment horizontal="right"/>
      <protection/>
    </xf>
    <xf numFmtId="0" fontId="30" fillId="0" borderId="91" xfId="56" applyFont="1" applyBorder="1" applyAlignment="1">
      <alignment horizontal="right"/>
      <protection/>
    </xf>
    <xf numFmtId="0" fontId="30" fillId="0" borderId="89" xfId="56" applyFont="1" applyBorder="1" applyAlignment="1">
      <alignment horizontal="left"/>
      <protection/>
    </xf>
    <xf numFmtId="0" fontId="51" fillId="0" borderId="92" xfId="56" applyFont="1" applyBorder="1">
      <alignment/>
      <protection/>
    </xf>
    <xf numFmtId="3" fontId="51" fillId="0" borderId="89" xfId="56" applyNumberFormat="1" applyFont="1" applyBorder="1">
      <alignment/>
      <protection/>
    </xf>
    <xf numFmtId="3" fontId="51" fillId="0" borderId="68" xfId="56" applyNumberFormat="1" applyFont="1" applyBorder="1">
      <alignment/>
      <protection/>
    </xf>
    <xf numFmtId="3" fontId="51" fillId="0" borderId="95" xfId="56" applyNumberFormat="1" applyFont="1" applyBorder="1">
      <alignment/>
      <protection/>
    </xf>
    <xf numFmtId="3" fontId="51" fillId="0" borderId="92" xfId="56" applyNumberFormat="1" applyFont="1" applyBorder="1">
      <alignment/>
      <protection/>
    </xf>
    <xf numFmtId="0" fontId="18" fillId="0" borderId="89" xfId="56" applyBorder="1" applyAlignment="1">
      <alignment horizontal="right"/>
      <protection/>
    </xf>
    <xf numFmtId="0" fontId="18" fillId="0" borderId="0" xfId="56" applyBorder="1" applyAlignment="1">
      <alignment horizontal="right"/>
      <protection/>
    </xf>
    <xf numFmtId="0" fontId="18" fillId="0" borderId="91" xfId="56" applyBorder="1" applyAlignment="1">
      <alignment horizontal="right"/>
      <protection/>
    </xf>
    <xf numFmtId="0" fontId="18" fillId="0" borderId="0" xfId="56" applyBorder="1">
      <alignment/>
      <protection/>
    </xf>
    <xf numFmtId="0" fontId="18" fillId="0" borderId="92" xfId="56" applyBorder="1">
      <alignment/>
      <protection/>
    </xf>
    <xf numFmtId="3" fontId="30" fillId="0" borderId="0" xfId="56" applyNumberFormat="1" applyFont="1" applyFill="1" applyBorder="1">
      <alignment/>
      <protection/>
    </xf>
    <xf numFmtId="3" fontId="30" fillId="0" borderId="52" xfId="56" applyNumberFormat="1" applyFont="1" applyFill="1" applyBorder="1">
      <alignment/>
      <protection/>
    </xf>
    <xf numFmtId="0" fontId="18" fillId="0" borderId="0" xfId="56" applyFont="1" applyBorder="1">
      <alignment/>
      <protection/>
    </xf>
    <xf numFmtId="3" fontId="30" fillId="0" borderId="96" xfId="56" applyNumberFormat="1" applyFont="1" applyBorder="1">
      <alignment/>
      <protection/>
    </xf>
    <xf numFmtId="3" fontId="30" fillId="0" borderId="96" xfId="56" applyNumberFormat="1" applyFont="1" applyFill="1" applyBorder="1">
      <alignment/>
      <protection/>
    </xf>
    <xf numFmtId="0" fontId="18" fillId="0" borderId="89" xfId="56" applyBorder="1">
      <alignment/>
      <protection/>
    </xf>
    <xf numFmtId="0" fontId="30" fillId="0" borderId="0" xfId="56" applyFont="1" applyBorder="1" applyAlignment="1">
      <alignment horizontal="center"/>
      <protection/>
    </xf>
    <xf numFmtId="0" fontId="52" fillId="0" borderId="97" xfId="56" applyFont="1" applyBorder="1" applyAlignment="1">
      <alignment horizontal="right"/>
      <protection/>
    </xf>
    <xf numFmtId="3" fontId="25" fillId="0" borderId="98" xfId="56" applyNumberFormat="1" applyFont="1" applyBorder="1" applyAlignment="1">
      <alignment horizontal="right"/>
      <protection/>
    </xf>
    <xf numFmtId="3" fontId="25" fillId="0" borderId="42" xfId="56" applyNumberFormat="1" applyFont="1" applyBorder="1">
      <alignment/>
      <protection/>
    </xf>
    <xf numFmtId="3" fontId="25" fillId="0" borderId="99" xfId="56" applyNumberFormat="1" applyFont="1" applyBorder="1">
      <alignment/>
      <protection/>
    </xf>
    <xf numFmtId="3" fontId="29" fillId="0" borderId="50" xfId="56" applyNumberFormat="1" applyFont="1" applyBorder="1">
      <alignment/>
      <protection/>
    </xf>
    <xf numFmtId="3" fontId="18" fillId="0" borderId="42" xfId="56" applyNumberFormat="1" applyFont="1" applyBorder="1">
      <alignment/>
      <protection/>
    </xf>
    <xf numFmtId="0" fontId="30" fillId="0" borderId="97" xfId="56" applyFont="1" applyBorder="1" applyAlignment="1">
      <alignment horizontal="left"/>
      <protection/>
    </xf>
    <xf numFmtId="3" fontId="52" fillId="0" borderId="42" xfId="56" applyNumberFormat="1" applyFont="1" applyFill="1" applyBorder="1">
      <alignment/>
      <protection/>
    </xf>
    <xf numFmtId="3" fontId="29" fillId="0" borderId="97" xfId="56" applyNumberFormat="1" applyFont="1" applyBorder="1">
      <alignment/>
      <protection/>
    </xf>
    <xf numFmtId="3" fontId="51" fillId="0" borderId="100" xfId="56" applyNumberFormat="1" applyFont="1" applyBorder="1">
      <alignment/>
      <protection/>
    </xf>
    <xf numFmtId="3" fontId="51" fillId="0" borderId="98" xfId="56" applyNumberFormat="1" applyFont="1" applyBorder="1">
      <alignment/>
      <protection/>
    </xf>
    <xf numFmtId="3" fontId="51" fillId="0" borderId="101" xfId="56" applyNumberFormat="1" applyFont="1" applyBorder="1">
      <alignment/>
      <protection/>
    </xf>
    <xf numFmtId="3" fontId="51" fillId="0" borderId="99" xfId="56" applyNumberFormat="1" applyFont="1" applyBorder="1" applyAlignment="1">
      <alignment horizontal="right" vertical="center"/>
      <protection/>
    </xf>
    <xf numFmtId="0" fontId="18" fillId="0" borderId="44" xfId="56" applyBorder="1">
      <alignment/>
      <protection/>
    </xf>
    <xf numFmtId="0" fontId="18" fillId="0" borderId="91" xfId="56" applyBorder="1">
      <alignment/>
      <protection/>
    </xf>
    <xf numFmtId="0" fontId="18" fillId="0" borderId="68" xfId="56" applyBorder="1">
      <alignment/>
      <protection/>
    </xf>
    <xf numFmtId="3" fontId="30" fillId="0" borderId="52" xfId="56" applyNumberFormat="1" applyFont="1" applyBorder="1">
      <alignment/>
      <protection/>
    </xf>
    <xf numFmtId="0" fontId="18" fillId="0" borderId="102" xfId="56" applyBorder="1">
      <alignment/>
      <protection/>
    </xf>
    <xf numFmtId="0" fontId="18" fillId="0" borderId="103" xfId="56" applyBorder="1">
      <alignment/>
      <protection/>
    </xf>
    <xf numFmtId="0" fontId="18" fillId="0" borderId="104" xfId="56" applyBorder="1">
      <alignment/>
      <protection/>
    </xf>
    <xf numFmtId="3" fontId="51" fillId="0" borderId="105" xfId="56" applyNumberFormat="1" applyFont="1" applyBorder="1" applyAlignment="1">
      <alignment horizontal="right"/>
      <protection/>
    </xf>
    <xf numFmtId="3" fontId="51" fillId="0" borderId="68" xfId="56" applyNumberFormat="1" applyFont="1" applyBorder="1" applyAlignment="1">
      <alignment horizontal="right"/>
      <protection/>
    </xf>
    <xf numFmtId="3" fontId="30" fillId="0" borderId="16" xfId="56" applyNumberFormat="1" applyFont="1" applyBorder="1">
      <alignment/>
      <protection/>
    </xf>
    <xf numFmtId="3" fontId="25" fillId="0" borderId="68" xfId="56" applyNumberFormat="1" applyFont="1" applyBorder="1" applyAlignment="1">
      <alignment horizontal="right"/>
      <protection/>
    </xf>
    <xf numFmtId="3" fontId="51" fillId="0" borderId="89" xfId="56" applyNumberFormat="1" applyFont="1" applyBorder="1" applyAlignment="1">
      <alignment horizontal="right"/>
      <protection/>
    </xf>
    <xf numFmtId="0" fontId="52" fillId="0" borderId="106" xfId="56" applyFont="1" applyBorder="1" applyAlignment="1">
      <alignment horizontal="right"/>
      <protection/>
    </xf>
    <xf numFmtId="0" fontId="52" fillId="0" borderId="25" xfId="56" applyFont="1" applyBorder="1" applyAlignment="1">
      <alignment horizontal="right"/>
      <protection/>
    </xf>
    <xf numFmtId="0" fontId="52" fillId="0" borderId="33" xfId="56" applyFont="1" applyBorder="1" applyAlignment="1">
      <alignment horizontal="right"/>
      <protection/>
    </xf>
    <xf numFmtId="3" fontId="25" fillId="0" borderId="84" xfId="56" applyNumberFormat="1" applyFont="1" applyBorder="1" applyAlignment="1">
      <alignment horizontal="right"/>
      <protection/>
    </xf>
    <xf numFmtId="3" fontId="25" fillId="0" borderId="25" xfId="56" applyNumberFormat="1" applyFont="1" applyBorder="1">
      <alignment/>
      <protection/>
    </xf>
    <xf numFmtId="3" fontId="25" fillId="0" borderId="85" xfId="56" applyNumberFormat="1" applyFont="1" applyBorder="1">
      <alignment/>
      <protection/>
    </xf>
    <xf numFmtId="3" fontId="51" fillId="0" borderId="85" xfId="56" applyNumberFormat="1" applyFont="1" applyBorder="1" applyAlignment="1">
      <alignment horizontal="right" vertical="center"/>
      <protection/>
    </xf>
    <xf numFmtId="3" fontId="25" fillId="36" borderId="107" xfId="56" applyNumberFormat="1" applyFont="1" applyFill="1" applyBorder="1" applyAlignment="1">
      <alignment horizontal="right"/>
      <protection/>
    </xf>
    <xf numFmtId="3" fontId="25" fillId="36" borderId="41" xfId="56" applyNumberFormat="1" applyFont="1" applyFill="1" applyBorder="1">
      <alignment/>
      <protection/>
    </xf>
    <xf numFmtId="3" fontId="25" fillId="36" borderId="108" xfId="56" applyNumberFormat="1" applyFont="1" applyFill="1" applyBorder="1">
      <alignment/>
      <protection/>
    </xf>
    <xf numFmtId="0" fontId="18" fillId="36" borderId="41" xfId="56" applyFill="1" applyBorder="1">
      <alignment/>
      <protection/>
    </xf>
    <xf numFmtId="0" fontId="18" fillId="36" borderId="109" xfId="56" applyFill="1" applyBorder="1">
      <alignment/>
      <protection/>
    </xf>
    <xf numFmtId="3" fontId="29" fillId="36" borderId="110" xfId="56" applyNumberFormat="1" applyFont="1" applyFill="1" applyBorder="1" applyAlignment="1">
      <alignment horizontal="right"/>
      <protection/>
    </xf>
    <xf numFmtId="0" fontId="18" fillId="36" borderId="69" xfId="56" applyFill="1" applyBorder="1">
      <alignment/>
      <protection/>
    </xf>
    <xf numFmtId="3" fontId="29" fillId="36" borderId="109" xfId="56" applyNumberFormat="1" applyFont="1" applyFill="1" applyBorder="1" applyAlignment="1">
      <alignment horizontal="right"/>
      <protection/>
    </xf>
    <xf numFmtId="3" fontId="51" fillId="36" borderId="111" xfId="56" applyNumberFormat="1" applyFont="1" applyFill="1" applyBorder="1" applyAlignment="1">
      <alignment horizontal="right"/>
      <protection/>
    </xf>
    <xf numFmtId="3" fontId="51" fillId="36" borderId="70" xfId="56" applyNumberFormat="1" applyFont="1" applyFill="1" applyBorder="1" applyAlignment="1">
      <alignment horizontal="right"/>
      <protection/>
    </xf>
    <xf numFmtId="3" fontId="51" fillId="36" borderId="112" xfId="56" applyNumberFormat="1" applyFont="1" applyFill="1" applyBorder="1">
      <alignment/>
      <protection/>
    </xf>
    <xf numFmtId="3" fontId="51" fillId="36" borderId="111" xfId="56" applyNumberFormat="1" applyFont="1" applyFill="1" applyBorder="1">
      <alignment/>
      <protection/>
    </xf>
    <xf numFmtId="3" fontId="51" fillId="36" borderId="70" xfId="56" applyNumberFormat="1" applyFont="1" applyFill="1" applyBorder="1">
      <alignment/>
      <protection/>
    </xf>
    <xf numFmtId="0" fontId="25" fillId="0" borderId="106" xfId="56" applyFont="1" applyBorder="1" applyAlignment="1">
      <alignment horizontal="center"/>
      <protection/>
    </xf>
    <xf numFmtId="0" fontId="25" fillId="0" borderId="113" xfId="56" applyFont="1" applyBorder="1">
      <alignment/>
      <protection/>
    </xf>
    <xf numFmtId="0" fontId="2" fillId="0" borderId="37" xfId="57" applyFont="1" applyFill="1" applyBorder="1" applyAlignment="1">
      <alignment horizontal="center" vertical="center" wrapText="1"/>
      <protection/>
    </xf>
    <xf numFmtId="0" fontId="25" fillId="0" borderId="25" xfId="56" applyFont="1" applyBorder="1" applyAlignment="1">
      <alignment horizontal="center"/>
      <protection/>
    </xf>
    <xf numFmtId="0" fontId="29" fillId="0" borderId="0" xfId="56" applyFont="1" applyBorder="1" applyAlignment="1">
      <alignment horizontal="right" vertical="center"/>
      <protection/>
    </xf>
    <xf numFmtId="0" fontId="29" fillId="0" borderId="114" xfId="56" applyFont="1" applyBorder="1" applyAlignment="1">
      <alignment horizontal="right" vertical="center"/>
      <protection/>
    </xf>
    <xf numFmtId="0" fontId="30" fillId="0" borderId="95" xfId="56" applyFont="1" applyBorder="1">
      <alignment/>
      <protection/>
    </xf>
    <xf numFmtId="0" fontId="18" fillId="0" borderId="68" xfId="56" applyBorder="1" applyAlignment="1">
      <alignment horizontal="right"/>
      <protection/>
    </xf>
    <xf numFmtId="3" fontId="51" fillId="0" borderId="0" xfId="56" applyNumberFormat="1" applyFont="1" applyBorder="1" applyAlignment="1">
      <alignment horizontal="right" vertical="center"/>
      <protection/>
    </xf>
    <xf numFmtId="3" fontId="18" fillId="0" borderId="68" xfId="56" applyNumberFormat="1" applyFont="1" applyBorder="1" applyAlignment="1">
      <alignment horizontal="right"/>
      <protection/>
    </xf>
    <xf numFmtId="3" fontId="18" fillId="0" borderId="0" xfId="56" applyNumberFormat="1" applyFont="1" applyBorder="1">
      <alignment/>
      <protection/>
    </xf>
    <xf numFmtId="3" fontId="18" fillId="0" borderId="92" xfId="56" applyNumberFormat="1" applyFont="1" applyBorder="1">
      <alignment/>
      <protection/>
    </xf>
    <xf numFmtId="3" fontId="18" fillId="0" borderId="85" xfId="56" applyNumberFormat="1" applyFont="1" applyBorder="1">
      <alignment/>
      <protection/>
    </xf>
    <xf numFmtId="3" fontId="30" fillId="0" borderId="25" xfId="56" applyNumberFormat="1" applyFont="1" applyBorder="1">
      <alignment/>
      <protection/>
    </xf>
    <xf numFmtId="3" fontId="30" fillId="0" borderId="84" xfId="56" applyNumberFormat="1" applyFont="1" applyBorder="1">
      <alignment/>
      <protection/>
    </xf>
    <xf numFmtId="3" fontId="30" fillId="0" borderId="115" xfId="56" applyNumberFormat="1" applyFont="1" applyBorder="1">
      <alignment/>
      <protection/>
    </xf>
    <xf numFmtId="3" fontId="30" fillId="0" borderId="86" xfId="56" applyNumberFormat="1" applyFont="1" applyBorder="1">
      <alignment/>
      <protection/>
    </xf>
    <xf numFmtId="0" fontId="18" fillId="0" borderId="87" xfId="56" applyBorder="1">
      <alignment/>
      <protection/>
    </xf>
    <xf numFmtId="3" fontId="25" fillId="0" borderId="62" xfId="56" applyNumberFormat="1" applyFont="1" applyBorder="1" applyAlignment="1">
      <alignment horizontal="right"/>
      <protection/>
    </xf>
    <xf numFmtId="3" fontId="25" fillId="0" borderId="116" xfId="56" applyNumberFormat="1" applyFont="1" applyBorder="1">
      <alignment/>
      <protection/>
    </xf>
    <xf numFmtId="3" fontId="25" fillId="0" borderId="88" xfId="56" applyNumberFormat="1" applyFont="1" applyBorder="1">
      <alignment/>
      <protection/>
    </xf>
    <xf numFmtId="3" fontId="30" fillId="35" borderId="117" xfId="56" applyNumberFormat="1" applyFont="1" applyFill="1" applyBorder="1" applyAlignment="1">
      <alignment/>
      <protection/>
    </xf>
    <xf numFmtId="3" fontId="29" fillId="0" borderId="60" xfId="56" applyNumberFormat="1" applyFont="1" applyBorder="1" applyAlignment="1">
      <alignment horizontal="right"/>
      <protection/>
    </xf>
    <xf numFmtId="0" fontId="18" fillId="0" borderId="61" xfId="56" applyBorder="1">
      <alignment/>
      <protection/>
    </xf>
    <xf numFmtId="0" fontId="18" fillId="0" borderId="116" xfId="56" applyBorder="1">
      <alignment/>
      <protection/>
    </xf>
    <xf numFmtId="3" fontId="18" fillId="0" borderId="117" xfId="56" applyNumberFormat="1" applyBorder="1">
      <alignment/>
      <protection/>
    </xf>
    <xf numFmtId="0" fontId="18" fillId="0" borderId="117" xfId="56" applyBorder="1">
      <alignment/>
      <protection/>
    </xf>
    <xf numFmtId="3" fontId="29" fillId="0" borderId="118" xfId="56" applyNumberFormat="1" applyFont="1" applyBorder="1" applyAlignment="1">
      <alignment horizontal="right"/>
      <protection/>
    </xf>
    <xf numFmtId="3" fontId="51" fillId="0" borderId="25" xfId="56" applyNumberFormat="1" applyFont="1" applyBorder="1" applyAlignment="1">
      <alignment horizontal="right"/>
      <protection/>
    </xf>
    <xf numFmtId="3" fontId="51" fillId="0" borderId="84" xfId="56" applyNumberFormat="1" applyFont="1" applyBorder="1" applyAlignment="1">
      <alignment horizontal="right"/>
      <protection/>
    </xf>
    <xf numFmtId="3" fontId="51" fillId="0" borderId="115" xfId="56" applyNumberFormat="1" applyFont="1" applyBorder="1">
      <alignment/>
      <protection/>
    </xf>
    <xf numFmtId="3" fontId="51" fillId="0" borderId="87" xfId="56" applyNumberFormat="1" applyFont="1" applyBorder="1">
      <alignment/>
      <protection/>
    </xf>
    <xf numFmtId="3" fontId="51" fillId="0" borderId="62" xfId="56" applyNumberFormat="1" applyFont="1" applyBorder="1">
      <alignment/>
      <protection/>
    </xf>
    <xf numFmtId="3" fontId="51" fillId="0" borderId="88" xfId="56" applyNumberFormat="1" applyFont="1" applyBorder="1" applyAlignment="1">
      <alignment horizontal="right" vertical="center"/>
      <protection/>
    </xf>
    <xf numFmtId="0" fontId="30" fillId="35" borderId="0" xfId="56" applyFont="1" applyFill="1" applyBorder="1" applyAlignment="1">
      <alignment/>
      <protection/>
    </xf>
    <xf numFmtId="3" fontId="29" fillId="0" borderId="43" xfId="56" applyNumberFormat="1" applyFont="1" applyBorder="1" applyAlignment="1">
      <alignment horizontal="right"/>
      <protection/>
    </xf>
    <xf numFmtId="3" fontId="18" fillId="0" borderId="0" xfId="56" applyNumberFormat="1" applyBorder="1">
      <alignment/>
      <protection/>
    </xf>
    <xf numFmtId="3" fontId="29" fillId="0" borderId="119" xfId="56" applyNumberFormat="1" applyFont="1" applyBorder="1" applyAlignment="1">
      <alignment horizontal="right"/>
      <protection/>
    </xf>
    <xf numFmtId="3" fontId="51" fillId="0" borderId="0" xfId="56" applyNumberFormat="1" applyFont="1" applyBorder="1" applyAlignment="1">
      <alignment horizontal="right"/>
      <protection/>
    </xf>
    <xf numFmtId="0" fontId="30" fillId="36" borderId="120" xfId="56" applyFont="1" applyFill="1" applyBorder="1" applyAlignment="1">
      <alignment horizontal="left"/>
      <protection/>
    </xf>
    <xf numFmtId="3" fontId="29" fillId="36" borderId="121" xfId="56" applyNumberFormat="1" applyFont="1" applyFill="1" applyBorder="1" applyAlignment="1">
      <alignment horizontal="right"/>
      <protection/>
    </xf>
    <xf numFmtId="3" fontId="51" fillId="36" borderId="41" xfId="56" applyNumberFormat="1" applyFont="1" applyFill="1" applyBorder="1" applyAlignment="1">
      <alignment horizontal="right"/>
      <protection/>
    </xf>
    <xf numFmtId="3" fontId="51" fillId="36" borderId="107" xfId="56" applyNumberFormat="1" applyFont="1" applyFill="1" applyBorder="1" applyAlignment="1">
      <alignment horizontal="right"/>
      <protection/>
    </xf>
    <xf numFmtId="3" fontId="51" fillId="36" borderId="122" xfId="56" applyNumberFormat="1" applyFont="1" applyFill="1" applyBorder="1">
      <alignment/>
      <protection/>
    </xf>
    <xf numFmtId="3" fontId="51" fillId="36" borderId="120" xfId="56" applyNumberFormat="1" applyFont="1" applyFill="1" applyBorder="1">
      <alignment/>
      <protection/>
    </xf>
    <xf numFmtId="3" fontId="51" fillId="36" borderId="107" xfId="56" applyNumberFormat="1" applyFont="1" applyFill="1" applyBorder="1">
      <alignment/>
      <protection/>
    </xf>
    <xf numFmtId="3" fontId="51" fillId="36" borderId="108" xfId="56" applyNumberFormat="1" applyFont="1" applyFill="1" applyBorder="1" applyAlignment="1">
      <alignment horizontal="right" vertical="center"/>
      <protection/>
    </xf>
    <xf numFmtId="0" fontId="18" fillId="0" borderId="120" xfId="56" applyBorder="1">
      <alignment/>
      <protection/>
    </xf>
    <xf numFmtId="0" fontId="18" fillId="0" borderId="41" xfId="56" applyBorder="1" applyAlignment="1">
      <alignment horizontal="right"/>
      <protection/>
    </xf>
    <xf numFmtId="0" fontId="18" fillId="0" borderId="107" xfId="56" applyBorder="1" applyAlignment="1">
      <alignment horizontal="right"/>
      <protection/>
    </xf>
    <xf numFmtId="0" fontId="18" fillId="0" borderId="41" xfId="56" applyBorder="1">
      <alignment/>
      <protection/>
    </xf>
    <xf numFmtId="0" fontId="18" fillId="0" borderId="108" xfId="56" applyBorder="1">
      <alignment/>
      <protection/>
    </xf>
    <xf numFmtId="0" fontId="18" fillId="0" borderId="41" xfId="56" applyBorder="1" applyAlignment="1">
      <alignment/>
      <protection/>
    </xf>
    <xf numFmtId="0" fontId="29" fillId="0" borderId="110" xfId="56" applyFont="1" applyBorder="1" applyAlignment="1">
      <alignment horizontal="right"/>
      <protection/>
    </xf>
    <xf numFmtId="0" fontId="18" fillId="0" borderId="109" xfId="56" applyBorder="1">
      <alignment/>
      <protection/>
    </xf>
    <xf numFmtId="3" fontId="29" fillId="0" borderId="121" xfId="56" applyNumberFormat="1" applyFont="1" applyBorder="1" applyAlignment="1">
      <alignment horizontal="right"/>
      <protection/>
    </xf>
    <xf numFmtId="0" fontId="29" fillId="0" borderId="41" xfId="56" applyFont="1" applyBorder="1" applyAlignment="1">
      <alignment horizontal="right"/>
      <protection/>
    </xf>
    <xf numFmtId="0" fontId="29" fillId="0" borderId="107" xfId="56" applyFont="1" applyBorder="1" applyAlignment="1">
      <alignment horizontal="right"/>
      <protection/>
    </xf>
    <xf numFmtId="0" fontId="18" fillId="0" borderId="122" xfId="56" applyBorder="1">
      <alignment/>
      <protection/>
    </xf>
    <xf numFmtId="0" fontId="18" fillId="0" borderId="107" xfId="56" applyBorder="1">
      <alignment/>
      <protection/>
    </xf>
    <xf numFmtId="0" fontId="51" fillId="0" borderId="99" xfId="56" applyFont="1" applyBorder="1" applyAlignment="1">
      <alignment horizontal="right" vertical="center"/>
      <protection/>
    </xf>
    <xf numFmtId="0" fontId="18" fillId="0" borderId="0" xfId="56">
      <alignment/>
      <protection/>
    </xf>
    <xf numFmtId="0" fontId="18" fillId="0" borderId="119" xfId="56" applyBorder="1">
      <alignment/>
      <protection/>
    </xf>
    <xf numFmtId="0" fontId="18" fillId="0" borderId="95" xfId="56" applyBorder="1">
      <alignment/>
      <protection/>
    </xf>
    <xf numFmtId="3" fontId="18" fillId="0" borderId="0" xfId="56" applyNumberFormat="1">
      <alignment/>
      <protection/>
    </xf>
    <xf numFmtId="3" fontId="51" fillId="0" borderId="0" xfId="56" applyNumberFormat="1" applyFont="1" applyBorder="1">
      <alignment/>
      <protection/>
    </xf>
    <xf numFmtId="3" fontId="51" fillId="0" borderId="105" xfId="56" applyNumberFormat="1" applyFont="1" applyBorder="1">
      <alignment/>
      <protection/>
    </xf>
    <xf numFmtId="3" fontId="29" fillId="0" borderId="119" xfId="56" applyNumberFormat="1" applyFont="1" applyBorder="1" applyAlignment="1">
      <alignment vertical="center"/>
      <protection/>
    </xf>
    <xf numFmtId="3" fontId="29" fillId="0" borderId="85" xfId="56" applyNumberFormat="1" applyFont="1" applyBorder="1">
      <alignment/>
      <protection/>
    </xf>
    <xf numFmtId="3" fontId="29" fillId="0" borderId="123" xfId="56" applyNumberFormat="1" applyFont="1" applyBorder="1" applyAlignment="1">
      <alignment vertical="center"/>
      <protection/>
    </xf>
    <xf numFmtId="3" fontId="51" fillId="0" borderId="86" xfId="56" applyNumberFormat="1" applyFont="1" applyBorder="1" applyAlignment="1">
      <alignment horizontal="right" vertical="center"/>
      <protection/>
    </xf>
    <xf numFmtId="3" fontId="51" fillId="0" borderId="84" xfId="56" applyNumberFormat="1" applyFont="1" applyBorder="1" applyAlignment="1">
      <alignment horizontal="right" vertical="center"/>
      <protection/>
    </xf>
    <xf numFmtId="3" fontId="51" fillId="0" borderId="86" xfId="56" applyNumberFormat="1" applyFont="1" applyBorder="1">
      <alignment/>
      <protection/>
    </xf>
    <xf numFmtId="3" fontId="51" fillId="0" borderId="84" xfId="56" applyNumberFormat="1" applyFont="1" applyBorder="1">
      <alignment/>
      <protection/>
    </xf>
    <xf numFmtId="3" fontId="25" fillId="36" borderId="124" xfId="56" applyNumberFormat="1" applyFont="1" applyFill="1" applyBorder="1">
      <alignment/>
      <protection/>
    </xf>
    <xf numFmtId="0" fontId="30" fillId="36" borderId="0" xfId="56" applyFont="1" applyFill="1" applyBorder="1" applyAlignment="1">
      <alignment horizontal="left" wrapText="1"/>
      <protection/>
    </xf>
    <xf numFmtId="3" fontId="29" fillId="36" borderId="43" xfId="56" applyNumberFormat="1" applyFont="1" applyFill="1" applyBorder="1">
      <alignment/>
      <protection/>
    </xf>
    <xf numFmtId="3" fontId="29" fillId="36" borderId="109" xfId="56" applyNumberFormat="1" applyFont="1" applyFill="1" applyBorder="1">
      <alignment/>
      <protection/>
    </xf>
    <xf numFmtId="3" fontId="51" fillId="36" borderId="125" xfId="56" applyNumberFormat="1" applyFont="1" applyFill="1" applyBorder="1">
      <alignment/>
      <protection/>
    </xf>
    <xf numFmtId="3" fontId="51" fillId="36" borderId="98" xfId="56" applyNumberFormat="1" applyFont="1" applyFill="1" applyBorder="1">
      <alignment/>
      <protection/>
    </xf>
    <xf numFmtId="3" fontId="51" fillId="36" borderId="99" xfId="56" applyNumberFormat="1" applyFont="1" applyFill="1" applyBorder="1">
      <alignment/>
      <protection/>
    </xf>
    <xf numFmtId="3" fontId="51" fillId="36" borderId="126" xfId="56" applyNumberFormat="1" applyFont="1" applyFill="1" applyBorder="1">
      <alignment/>
      <protection/>
    </xf>
    <xf numFmtId="3" fontId="53" fillId="0" borderId="98" xfId="56" applyNumberFormat="1" applyFont="1" applyBorder="1" applyAlignment="1">
      <alignment horizontal="center"/>
      <protection/>
    </xf>
    <xf numFmtId="3" fontId="53" fillId="0" borderId="127" xfId="56" applyNumberFormat="1" applyFont="1" applyBorder="1" applyAlignment="1">
      <alignment horizontal="center"/>
      <protection/>
    </xf>
    <xf numFmtId="3" fontId="53" fillId="0" borderId="128" xfId="56" applyNumberFormat="1" applyFont="1" applyBorder="1">
      <alignment/>
      <protection/>
    </xf>
    <xf numFmtId="3" fontId="29" fillId="0" borderId="97" xfId="56" applyNumberFormat="1" applyFont="1" applyBorder="1" applyAlignment="1">
      <alignment horizontal="right" vertical="center"/>
      <protection/>
    </xf>
    <xf numFmtId="0" fontId="18" fillId="0" borderId="97" xfId="56" applyBorder="1">
      <alignment/>
      <protection/>
    </xf>
    <xf numFmtId="0" fontId="18" fillId="0" borderId="42" xfId="56" applyBorder="1">
      <alignment/>
      <protection/>
    </xf>
    <xf numFmtId="3" fontId="54" fillId="0" borderId="98" xfId="56" applyNumberFormat="1" applyFont="1" applyBorder="1">
      <alignment/>
      <protection/>
    </xf>
    <xf numFmtId="3" fontId="54" fillId="0" borderId="42" xfId="56" applyNumberFormat="1" applyFont="1" applyBorder="1">
      <alignment/>
      <protection/>
    </xf>
    <xf numFmtId="3" fontId="54" fillId="0" borderId="99" xfId="56" applyNumberFormat="1" applyFont="1" applyBorder="1">
      <alignment/>
      <protection/>
    </xf>
    <xf numFmtId="0" fontId="30" fillId="0" borderId="39" xfId="56" applyFont="1" applyBorder="1" applyAlignment="1">
      <alignment horizontal="left"/>
      <protection/>
    </xf>
    <xf numFmtId="0" fontId="30" fillId="0" borderId="39" xfId="56" applyFont="1" applyBorder="1">
      <alignment/>
      <protection/>
    </xf>
    <xf numFmtId="0" fontId="18" fillId="0" borderId="39" xfId="56" applyBorder="1">
      <alignment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right"/>
      <protection/>
    </xf>
    <xf numFmtId="0" fontId="49" fillId="0" borderId="0" xfId="56" applyFont="1">
      <alignment/>
      <protection/>
    </xf>
    <xf numFmtId="0" fontId="25" fillId="0" borderId="0" xfId="56" applyFont="1" applyAlignment="1">
      <alignment horizontal="left"/>
      <protection/>
    </xf>
    <xf numFmtId="0" fontId="18" fillId="0" borderId="0" xfId="56" applyFont="1">
      <alignment/>
      <protection/>
    </xf>
    <xf numFmtId="0" fontId="30" fillId="0" borderId="0" xfId="56" applyFont="1" applyFill="1" applyBorder="1">
      <alignment/>
      <protection/>
    </xf>
    <xf numFmtId="0" fontId="66" fillId="0" borderId="34" xfId="56" applyFont="1" applyBorder="1">
      <alignment/>
      <protection/>
    </xf>
    <xf numFmtId="3" fontId="18" fillId="0" borderId="34" xfId="56" applyNumberFormat="1" applyBorder="1">
      <alignment/>
      <protection/>
    </xf>
    <xf numFmtId="0" fontId="18" fillId="0" borderId="34" xfId="56" applyBorder="1">
      <alignment/>
      <protection/>
    </xf>
    <xf numFmtId="0" fontId="18" fillId="0" borderId="34" xfId="56" applyFont="1" applyBorder="1">
      <alignment/>
      <protection/>
    </xf>
    <xf numFmtId="0" fontId="18" fillId="0" borderId="0" xfId="56" applyFont="1" applyAlignment="1">
      <alignment horizontal="right"/>
      <protection/>
    </xf>
    <xf numFmtId="0" fontId="18" fillId="0" borderId="0" xfId="56" applyAlignment="1">
      <alignment/>
      <protection/>
    </xf>
    <xf numFmtId="0" fontId="0" fillId="0" borderId="0" xfId="0" applyAlignment="1">
      <alignment horizontal="left"/>
    </xf>
    <xf numFmtId="0" fontId="25" fillId="0" borderId="0" xfId="56" applyFont="1">
      <alignment/>
      <protection/>
    </xf>
    <xf numFmtId="3" fontId="25" fillId="0" borderId="0" xfId="56" applyNumberFormat="1" applyFont="1">
      <alignment/>
      <protection/>
    </xf>
    <xf numFmtId="0" fontId="52" fillId="0" borderId="44" xfId="56" applyFont="1" applyBorder="1" applyAlignment="1">
      <alignment horizontal="right"/>
      <protection/>
    </xf>
    <xf numFmtId="3" fontId="25" fillId="36" borderId="70" xfId="56" applyNumberFormat="1" applyFont="1" applyFill="1" applyBorder="1">
      <alignment/>
      <protection/>
    </xf>
    <xf numFmtId="3" fontId="25" fillId="36" borderId="129" xfId="56" applyNumberFormat="1" applyFont="1" applyFill="1" applyBorder="1">
      <alignment/>
      <protection/>
    </xf>
    <xf numFmtId="3" fontId="73" fillId="0" borderId="0" xfId="56" applyNumberFormat="1" applyFont="1" applyBorder="1">
      <alignment/>
      <protection/>
    </xf>
    <xf numFmtId="0" fontId="73" fillId="0" borderId="0" xfId="56" applyFont="1" applyBorder="1" applyAlignment="1">
      <alignment horizontal="left"/>
      <protection/>
    </xf>
    <xf numFmtId="0" fontId="73" fillId="0" borderId="89" xfId="56" applyFont="1" applyBorder="1" applyAlignment="1">
      <alignment horizontal="left"/>
      <protection/>
    </xf>
    <xf numFmtId="3" fontId="73" fillId="0" borderId="52" xfId="56" applyNumberFormat="1" applyFont="1" applyBorder="1">
      <alignment/>
      <protection/>
    </xf>
    <xf numFmtId="0" fontId="73" fillId="0" borderId="93" xfId="56" applyFont="1" applyBorder="1" applyAlignment="1">
      <alignment horizontal="left"/>
      <protection/>
    </xf>
    <xf numFmtId="0" fontId="73" fillId="0" borderId="40" xfId="56" applyFont="1" applyBorder="1" applyAlignment="1">
      <alignment horizontal="left"/>
      <protection/>
    </xf>
    <xf numFmtId="3" fontId="73" fillId="0" borderId="96" xfId="56" applyNumberFormat="1" applyFont="1" applyFill="1" applyBorder="1">
      <alignment/>
      <protection/>
    </xf>
    <xf numFmtId="0" fontId="74" fillId="0" borderId="86" xfId="56" applyFont="1" applyBorder="1">
      <alignment/>
      <protection/>
    </xf>
    <xf numFmtId="0" fontId="74" fillId="0" borderId="25" xfId="56" applyFont="1" applyBorder="1">
      <alignment/>
      <protection/>
    </xf>
    <xf numFmtId="0" fontId="74" fillId="0" borderId="16" xfId="56" applyFont="1" applyBorder="1">
      <alignment/>
      <protection/>
    </xf>
    <xf numFmtId="3" fontId="73" fillId="0" borderId="52" xfId="56" applyNumberFormat="1" applyFont="1" applyFill="1" applyBorder="1">
      <alignment/>
      <protection/>
    </xf>
    <xf numFmtId="3" fontId="73" fillId="0" borderId="42" xfId="56" applyNumberFormat="1" applyFont="1" applyBorder="1">
      <alignment/>
      <protection/>
    </xf>
    <xf numFmtId="0" fontId="73" fillId="0" borderId="44" xfId="56" applyFont="1" applyBorder="1" applyAlignment="1">
      <alignment horizontal="left"/>
      <protection/>
    </xf>
    <xf numFmtId="3" fontId="73" fillId="0" borderId="16" xfId="56" applyNumberFormat="1" applyFont="1" applyFill="1" applyBorder="1">
      <alignment/>
      <protection/>
    </xf>
    <xf numFmtId="3" fontId="73" fillId="0" borderId="0" xfId="56" applyNumberFormat="1" applyFont="1" applyFill="1" applyBorder="1">
      <alignment/>
      <protection/>
    </xf>
    <xf numFmtId="3" fontId="73" fillId="0" borderId="0" xfId="56" applyNumberFormat="1" applyFont="1">
      <alignment/>
      <protection/>
    </xf>
    <xf numFmtId="0" fontId="0" fillId="0" borderId="44" xfId="0" applyBorder="1" applyAlignment="1">
      <alignment/>
    </xf>
    <xf numFmtId="3" fontId="30" fillId="0" borderId="0" xfId="56" applyNumberFormat="1" applyFont="1" applyBorder="1" applyAlignment="1">
      <alignment horizontal="right"/>
      <protection/>
    </xf>
    <xf numFmtId="3" fontId="30" fillId="0" borderId="0" xfId="56" applyNumberFormat="1" applyFont="1">
      <alignment/>
      <protection/>
    </xf>
    <xf numFmtId="0" fontId="30" fillId="0" borderId="52" xfId="56" applyFont="1" applyBorder="1">
      <alignment/>
      <protection/>
    </xf>
    <xf numFmtId="3" fontId="29" fillId="36" borderId="72" xfId="56" applyNumberFormat="1" applyFont="1" applyFill="1" applyBorder="1">
      <alignment/>
      <protection/>
    </xf>
    <xf numFmtId="0" fontId="18" fillId="36" borderId="130" xfId="56" applyFill="1" applyBorder="1">
      <alignment/>
      <protection/>
    </xf>
    <xf numFmtId="3" fontId="51" fillId="36" borderId="131" xfId="56" applyNumberFormat="1" applyFont="1" applyFill="1" applyBorder="1">
      <alignment/>
      <protection/>
    </xf>
    <xf numFmtId="0" fontId="18" fillId="0" borderId="132" xfId="56" applyBorder="1">
      <alignment/>
      <protection/>
    </xf>
    <xf numFmtId="0" fontId="12" fillId="0" borderId="0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0" fontId="12" fillId="0" borderId="26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left" vertical="center"/>
    </xf>
    <xf numFmtId="4" fontId="25" fillId="0" borderId="30" xfId="58" applyNumberFormat="1" applyFont="1" applyBorder="1">
      <alignment/>
      <protection/>
    </xf>
    <xf numFmtId="164" fontId="18" fillId="0" borderId="30" xfId="58" applyNumberFormat="1" applyBorder="1">
      <alignment/>
      <protection/>
    </xf>
    <xf numFmtId="164" fontId="25" fillId="0" borderId="30" xfId="58" applyNumberFormat="1" applyFont="1" applyBorder="1">
      <alignment/>
      <protection/>
    </xf>
    <xf numFmtId="164" fontId="18" fillId="0" borderId="21" xfId="58" applyNumberFormat="1" applyBorder="1">
      <alignment/>
      <protection/>
    </xf>
    <xf numFmtId="164" fontId="25" fillId="0" borderId="21" xfId="58" applyNumberFormat="1" applyFont="1" applyBorder="1">
      <alignment/>
      <protection/>
    </xf>
    <xf numFmtId="0" fontId="18" fillId="0" borderId="18" xfId="58" applyFont="1" applyBorder="1" applyAlignment="1">
      <alignment wrapText="1"/>
      <protection/>
    </xf>
    <xf numFmtId="4" fontId="18" fillId="0" borderId="30" xfId="58" applyNumberFormat="1" applyBorder="1">
      <alignment/>
      <protection/>
    </xf>
    <xf numFmtId="3" fontId="50" fillId="34" borderId="30" xfId="58" applyNumberFormat="1" applyFont="1" applyFill="1" applyBorder="1" applyAlignment="1">
      <alignment horizontal="center"/>
      <protection/>
    </xf>
    <xf numFmtId="3" fontId="50" fillId="34" borderId="26" xfId="58" applyNumberFormat="1" applyFont="1" applyFill="1" applyBorder="1" applyAlignment="1">
      <alignment horizontal="center"/>
      <protection/>
    </xf>
    <xf numFmtId="3" fontId="50" fillId="34" borderId="13" xfId="58" applyNumberFormat="1" applyFont="1" applyFill="1" applyBorder="1">
      <alignment/>
      <protection/>
    </xf>
    <xf numFmtId="3" fontId="50" fillId="34" borderId="21" xfId="58" applyNumberFormat="1" applyFont="1" applyFill="1" applyBorder="1" applyAlignment="1">
      <alignment horizontal="center"/>
      <protection/>
    </xf>
    <xf numFmtId="3" fontId="25" fillId="6" borderId="54" xfId="0" applyNumberFormat="1" applyFont="1" applyFill="1" applyBorder="1" applyAlignment="1">
      <alignment/>
    </xf>
    <xf numFmtId="3" fontId="25" fillId="6" borderId="133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0" borderId="52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24" borderId="26" xfId="0" applyFont="1" applyFill="1" applyBorder="1" applyAlignment="1">
      <alignment/>
    </xf>
    <xf numFmtId="0" fontId="25" fillId="0" borderId="30" xfId="0" applyFont="1" applyBorder="1" applyAlignment="1">
      <alignment horizontal="center"/>
    </xf>
    <xf numFmtId="0" fontId="25" fillId="32" borderId="30" xfId="0" applyFont="1" applyFill="1" applyBorder="1" applyAlignment="1">
      <alignment/>
    </xf>
    <xf numFmtId="0" fontId="18" fillId="33" borderId="30" xfId="0" applyFont="1" applyFill="1" applyBorder="1" applyAlignment="1">
      <alignment wrapText="1"/>
    </xf>
    <xf numFmtId="0" fontId="30" fillId="0" borderId="30" xfId="0" applyFont="1" applyBorder="1" applyAlignment="1">
      <alignment wrapText="1"/>
    </xf>
    <xf numFmtId="0" fontId="30" fillId="0" borderId="30" xfId="0" applyFont="1" applyBorder="1" applyAlignment="1">
      <alignment/>
    </xf>
    <xf numFmtId="0" fontId="25" fillId="32" borderId="30" xfId="0" applyFont="1" applyFill="1" applyBorder="1" applyAlignment="1">
      <alignment vertical="center" wrapText="1"/>
    </xf>
    <xf numFmtId="49" fontId="30" fillId="0" borderId="30" xfId="0" applyNumberFormat="1" applyFont="1" applyBorder="1" applyAlignment="1">
      <alignment/>
    </xf>
    <xf numFmtId="49" fontId="30" fillId="0" borderId="30" xfId="0" applyNumberFormat="1" applyFont="1" applyBorder="1" applyAlignment="1">
      <alignment wrapText="1"/>
    </xf>
    <xf numFmtId="0" fontId="25" fillId="0" borderId="30" xfId="0" applyFont="1" applyFill="1" applyBorder="1" applyAlignment="1">
      <alignment/>
    </xf>
    <xf numFmtId="49" fontId="31" fillId="0" borderId="30" xfId="0" applyNumberFormat="1" applyFont="1" applyBorder="1" applyAlignment="1">
      <alignment/>
    </xf>
    <xf numFmtId="0" fontId="25" fillId="7" borderId="30" xfId="0" applyFont="1" applyFill="1" applyBorder="1" applyAlignment="1">
      <alignment wrapText="1"/>
    </xf>
    <xf numFmtId="0" fontId="18" fillId="0" borderId="30" xfId="0" applyFont="1" applyFill="1" applyBorder="1" applyAlignment="1">
      <alignment wrapText="1"/>
    </xf>
    <xf numFmtId="0" fontId="18" fillId="24" borderId="30" xfId="0" applyFont="1" applyFill="1" applyBorder="1" applyAlignment="1">
      <alignment wrapText="1"/>
    </xf>
    <xf numFmtId="0" fontId="30" fillId="0" borderId="0" xfId="0" applyFont="1" applyFill="1" applyAlignment="1">
      <alignment/>
    </xf>
    <xf numFmtId="0" fontId="25" fillId="33" borderId="30" xfId="0" applyFont="1" applyFill="1" applyBorder="1" applyAlignment="1">
      <alignment wrapText="1"/>
    </xf>
    <xf numFmtId="0" fontId="25" fillId="33" borderId="26" xfId="0" applyFont="1" applyFill="1" applyBorder="1" applyAlignment="1">
      <alignment/>
    </xf>
    <xf numFmtId="0" fontId="52" fillId="0" borderId="0" xfId="0" applyFont="1" applyAlignment="1">
      <alignment/>
    </xf>
    <xf numFmtId="0" fontId="73" fillId="0" borderId="25" xfId="56" applyFont="1" applyBorder="1" applyAlignment="1">
      <alignment horizontal="left"/>
      <protection/>
    </xf>
    <xf numFmtId="0" fontId="73" fillId="0" borderId="86" xfId="56" applyFont="1" applyBorder="1" applyAlignment="1">
      <alignment horizontal="left"/>
      <protection/>
    </xf>
    <xf numFmtId="0" fontId="46" fillId="0" borderId="26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75" fillId="0" borderId="0" xfId="0" applyFont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18" xfId="57" applyFont="1" applyFill="1" applyBorder="1" applyAlignment="1">
      <alignment vertical="center" wrapText="1"/>
      <protection/>
    </xf>
    <xf numFmtId="3" fontId="4" fillId="0" borderId="66" xfId="57" applyNumberFormat="1" applyFont="1" applyFill="1" applyBorder="1" applyAlignment="1">
      <alignment vertical="center" wrapText="1"/>
      <protection/>
    </xf>
    <xf numFmtId="3" fontId="4" fillId="0" borderId="28" xfId="57" applyNumberFormat="1" applyFont="1" applyFill="1" applyBorder="1" applyAlignment="1">
      <alignment vertical="center" wrapText="1"/>
      <protection/>
    </xf>
    <xf numFmtId="3" fontId="6" fillId="0" borderId="27" xfId="57" applyNumberFormat="1" applyFont="1" applyFill="1" applyBorder="1" applyAlignment="1">
      <alignment vertical="center"/>
      <protection/>
    </xf>
    <xf numFmtId="3" fontId="6" fillId="0" borderId="66" xfId="57" applyNumberFormat="1" applyFont="1" applyFill="1" applyBorder="1" applyAlignment="1">
      <alignment vertical="center"/>
      <protection/>
    </xf>
    <xf numFmtId="3" fontId="6" fillId="0" borderId="28" xfId="57" applyNumberFormat="1" applyFont="1" applyFill="1" applyBorder="1" applyAlignment="1">
      <alignment vertical="center"/>
      <protection/>
    </xf>
    <xf numFmtId="0" fontId="5" fillId="0" borderId="19" xfId="57" applyFont="1" applyFill="1" applyBorder="1" applyAlignment="1">
      <alignment vertical="center" wrapText="1"/>
      <protection/>
    </xf>
    <xf numFmtId="3" fontId="4" fillId="0" borderId="13" xfId="57" applyNumberFormat="1" applyFont="1" applyFill="1" applyBorder="1" applyAlignment="1">
      <alignment vertical="center"/>
      <protection/>
    </xf>
    <xf numFmtId="3" fontId="55" fillId="0" borderId="13" xfId="57" applyNumberFormat="1" applyFont="1" applyFill="1" applyBorder="1" applyAlignment="1">
      <alignment vertical="center"/>
      <protection/>
    </xf>
    <xf numFmtId="3" fontId="44" fillId="0" borderId="13" xfId="57" applyNumberFormat="1" applyFont="1" applyFill="1" applyBorder="1" applyAlignment="1">
      <alignment vertical="center"/>
      <protection/>
    </xf>
    <xf numFmtId="49" fontId="5" fillId="0" borderId="76" xfId="57" applyNumberFormat="1" applyFont="1" applyFill="1" applyBorder="1" applyAlignment="1">
      <alignment vertical="center"/>
      <protection/>
    </xf>
    <xf numFmtId="49" fontId="6" fillId="0" borderId="55" xfId="57" applyNumberFormat="1" applyFont="1" applyFill="1" applyBorder="1" applyAlignment="1">
      <alignment horizontal="center" vertical="center"/>
      <protection/>
    </xf>
    <xf numFmtId="0" fontId="5" fillId="0" borderId="57" xfId="57" applyFont="1" applyFill="1" applyBorder="1" applyAlignment="1">
      <alignment vertical="center" wrapText="1"/>
      <protection/>
    </xf>
    <xf numFmtId="0" fontId="5" fillId="0" borderId="36" xfId="57" applyFont="1" applyFill="1" applyBorder="1" applyAlignment="1">
      <alignment horizontal="center" vertical="center" wrapText="1"/>
      <protection/>
    </xf>
    <xf numFmtId="0" fontId="5" fillId="0" borderId="22" xfId="57" applyFont="1" applyFill="1" applyBorder="1" applyAlignment="1">
      <alignment horizontal="center" vertical="center" wrapText="1"/>
      <protection/>
    </xf>
    <xf numFmtId="0" fontId="5" fillId="0" borderId="24" xfId="57" applyFont="1" applyFill="1" applyBorder="1" applyAlignment="1">
      <alignment horizontal="center" vertical="center" wrapText="1"/>
      <protection/>
    </xf>
    <xf numFmtId="3" fontId="48" fillId="0" borderId="25" xfId="57" applyNumberFormat="1" applyFont="1" applyFill="1" applyBorder="1" applyAlignment="1">
      <alignment vertical="center"/>
      <protection/>
    </xf>
    <xf numFmtId="3" fontId="47" fillId="0" borderId="60" xfId="57" applyNumberFormat="1" applyFont="1" applyFill="1" applyBorder="1" applyAlignment="1">
      <alignment vertical="center"/>
      <protection/>
    </xf>
    <xf numFmtId="3" fontId="5" fillId="0" borderId="134" xfId="57" applyNumberFormat="1" applyFont="1" applyFill="1" applyBorder="1" applyAlignment="1">
      <alignment vertical="center"/>
      <protection/>
    </xf>
    <xf numFmtId="3" fontId="5" fillId="0" borderId="53" xfId="57" applyNumberFormat="1" applyFont="1" applyFill="1" applyBorder="1" applyAlignment="1">
      <alignment vertical="center"/>
      <protection/>
    </xf>
    <xf numFmtId="3" fontId="5" fillId="0" borderId="51" xfId="57" applyNumberFormat="1" applyFont="1" applyFill="1" applyBorder="1" applyAlignment="1">
      <alignment vertical="center"/>
      <protection/>
    </xf>
    <xf numFmtId="3" fontId="48" fillId="0" borderId="60" xfId="57" applyNumberFormat="1" applyFont="1" applyFill="1" applyBorder="1" applyAlignment="1">
      <alignment vertical="center"/>
      <protection/>
    </xf>
    <xf numFmtId="3" fontId="73" fillId="0" borderId="0" xfId="56" applyNumberFormat="1" applyFont="1" applyBorder="1" applyAlignment="1">
      <alignment/>
      <protection/>
    </xf>
    <xf numFmtId="3" fontId="73" fillId="0" borderId="52" xfId="56" applyNumberFormat="1" applyFont="1" applyBorder="1" applyAlignment="1">
      <alignment/>
      <protection/>
    </xf>
    <xf numFmtId="0" fontId="20" fillId="0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wrapText="1"/>
    </xf>
    <xf numFmtId="3" fontId="67" fillId="34" borderId="53" xfId="58" applyNumberFormat="1" applyFont="1" applyFill="1" applyBorder="1">
      <alignment/>
      <protection/>
    </xf>
    <xf numFmtId="3" fontId="25" fillId="34" borderId="53" xfId="58" applyNumberFormat="1" applyFont="1" applyFill="1" applyBorder="1">
      <alignment/>
      <protection/>
    </xf>
    <xf numFmtId="3" fontId="25" fillId="34" borderId="53" xfId="58" applyNumberFormat="1" applyFont="1" applyFill="1" applyBorder="1">
      <alignment/>
      <protection/>
    </xf>
    <xf numFmtId="0" fontId="41" fillId="0" borderId="51" xfId="58" applyFont="1" applyBorder="1" applyAlignment="1">
      <alignment horizontal="center" vertical="center" wrapText="1"/>
      <protection/>
    </xf>
    <xf numFmtId="3" fontId="25" fillId="34" borderId="53" xfId="58" applyNumberFormat="1" applyFont="1" applyFill="1" applyBorder="1" applyAlignment="1">
      <alignment vertical="center"/>
      <protection/>
    </xf>
    <xf numFmtId="3" fontId="25" fillId="0" borderId="53" xfId="58" applyNumberFormat="1" applyFont="1" applyBorder="1">
      <alignment/>
      <protection/>
    </xf>
    <xf numFmtId="3" fontId="18" fillId="0" borderId="53" xfId="58" applyNumberFormat="1" applyBorder="1">
      <alignment/>
      <protection/>
    </xf>
    <xf numFmtId="0" fontId="76" fillId="0" borderId="0" xfId="58" applyFont="1">
      <alignment/>
      <protection/>
    </xf>
    <xf numFmtId="0" fontId="12" fillId="0" borderId="0" xfId="0" applyFont="1" applyAlignment="1">
      <alignment horizontal="right" vertical="center"/>
    </xf>
    <xf numFmtId="3" fontId="0" fillId="0" borderId="22" xfId="0" applyNumberFormat="1" applyBorder="1" applyAlignment="1">
      <alignment/>
    </xf>
    <xf numFmtId="0" fontId="59" fillId="0" borderId="26" xfId="0" applyFont="1" applyBorder="1" applyAlignment="1">
      <alignment horizontal="right"/>
    </xf>
    <xf numFmtId="0" fontId="62" fillId="0" borderId="0" xfId="0" applyFont="1" applyAlignment="1">
      <alignment/>
    </xf>
    <xf numFmtId="0" fontId="6" fillId="0" borderId="2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8" fillId="0" borderId="30" xfId="58" applyBorder="1">
      <alignment/>
      <protection/>
    </xf>
    <xf numFmtId="3" fontId="18" fillId="0" borderId="18" xfId="58" applyNumberFormat="1" applyBorder="1">
      <alignment/>
      <protection/>
    </xf>
    <xf numFmtId="4" fontId="18" fillId="0" borderId="26" xfId="58" applyNumberFormat="1" applyBorder="1">
      <alignment/>
      <protection/>
    </xf>
    <xf numFmtId="3" fontId="53" fillId="0" borderId="100" xfId="56" applyNumberFormat="1" applyFont="1" applyBorder="1">
      <alignment/>
      <protection/>
    </xf>
    <xf numFmtId="3" fontId="53" fillId="0" borderId="98" xfId="56" applyNumberFormat="1" applyFont="1" applyBorder="1">
      <alignment/>
      <protection/>
    </xf>
    <xf numFmtId="3" fontId="53" fillId="0" borderId="101" xfId="56" applyNumberFormat="1" applyFont="1" applyBorder="1">
      <alignment/>
      <protection/>
    </xf>
    <xf numFmtId="3" fontId="29" fillId="0" borderId="134" xfId="56" applyNumberFormat="1" applyFont="1" applyBorder="1" applyAlignment="1">
      <alignment horizontal="right" vertical="center"/>
      <protection/>
    </xf>
    <xf numFmtId="3" fontId="29" fillId="0" borderId="43" xfId="56" applyNumberFormat="1" applyFont="1" applyBorder="1" applyAlignment="1">
      <alignment horizontal="right" vertical="center"/>
      <protection/>
    </xf>
    <xf numFmtId="3" fontId="29" fillId="0" borderId="135" xfId="56" applyNumberFormat="1" applyFont="1" applyBorder="1" applyAlignment="1">
      <alignment horizontal="right" vertical="center"/>
      <protection/>
    </xf>
    <xf numFmtId="0" fontId="25" fillId="0" borderId="4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3" fontId="51" fillId="0" borderId="93" xfId="56" applyNumberFormat="1" applyFont="1" applyBorder="1" applyAlignment="1">
      <alignment horizontal="right" vertical="center"/>
      <protection/>
    </xf>
    <xf numFmtId="3" fontId="51" fillId="0" borderId="114" xfId="56" applyNumberFormat="1" applyFont="1" applyBorder="1" applyAlignment="1">
      <alignment horizontal="right" vertical="center"/>
      <protection/>
    </xf>
    <xf numFmtId="3" fontId="51" fillId="0" borderId="136" xfId="56" applyNumberFormat="1" applyFont="1" applyBorder="1">
      <alignment/>
      <protection/>
    </xf>
    <xf numFmtId="3" fontId="51" fillId="0" borderId="93" xfId="56" applyNumberFormat="1" applyFont="1" applyBorder="1">
      <alignment/>
      <protection/>
    </xf>
    <xf numFmtId="3" fontId="51" fillId="0" borderId="114" xfId="56" applyNumberFormat="1" applyFont="1" applyBorder="1">
      <alignment/>
      <protection/>
    </xf>
    <xf numFmtId="3" fontId="51" fillId="0" borderId="94" xfId="56" applyNumberFormat="1" applyFont="1" applyBorder="1" applyAlignment="1">
      <alignment horizontal="right" vertical="center"/>
      <protection/>
    </xf>
    <xf numFmtId="0" fontId="52" fillId="0" borderId="93" xfId="56" applyFont="1" applyBorder="1" applyAlignment="1">
      <alignment horizontal="right"/>
      <protection/>
    </xf>
    <xf numFmtId="0" fontId="0" fillId="0" borderId="40" xfId="0" applyBorder="1" applyAlignment="1">
      <alignment horizontal="right"/>
    </xf>
    <xf numFmtId="3" fontId="25" fillId="0" borderId="114" xfId="56" applyNumberFormat="1" applyFont="1" applyBorder="1" applyAlignment="1">
      <alignment horizontal="right"/>
      <protection/>
    </xf>
    <xf numFmtId="3" fontId="25" fillId="0" borderId="40" xfId="56" applyNumberFormat="1" applyFont="1" applyBorder="1">
      <alignment/>
      <protection/>
    </xf>
    <xf numFmtId="3" fontId="25" fillId="0" borderId="94" xfId="56" applyNumberFormat="1" applyFont="1" applyBorder="1">
      <alignment/>
      <protection/>
    </xf>
    <xf numFmtId="3" fontId="73" fillId="0" borderId="96" xfId="56" applyNumberFormat="1" applyFont="1" applyBorder="1" applyAlignment="1">
      <alignment/>
      <protection/>
    </xf>
    <xf numFmtId="0" fontId="22" fillId="0" borderId="30" xfId="0" applyFont="1" applyBorder="1" applyAlignment="1">
      <alignment horizontal="center"/>
    </xf>
    <xf numFmtId="0" fontId="25" fillId="0" borderId="26" xfId="0" applyFont="1" applyBorder="1" applyAlignment="1">
      <alignment/>
    </xf>
    <xf numFmtId="3" fontId="25" fillId="6" borderId="26" xfId="0" applyNumberFormat="1" applyFont="1" applyFill="1" applyBorder="1" applyAlignment="1">
      <alignment/>
    </xf>
    <xf numFmtId="3" fontId="25" fillId="6" borderId="13" xfId="0" applyNumberFormat="1" applyFont="1" applyFill="1" applyBorder="1" applyAlignment="1">
      <alignment/>
    </xf>
    <xf numFmtId="4" fontId="25" fillId="6" borderId="26" xfId="0" applyNumberFormat="1" applyFont="1" applyFill="1" applyBorder="1" applyAlignment="1">
      <alignment/>
    </xf>
    <xf numFmtId="4" fontId="25" fillId="6" borderId="38" xfId="0" applyNumberFormat="1" applyFont="1" applyFill="1" applyBorder="1" applyAlignment="1">
      <alignment/>
    </xf>
    <xf numFmtId="3" fontId="25" fillId="6" borderId="83" xfId="0" applyNumberFormat="1" applyFont="1" applyFill="1" applyBorder="1" applyAlignment="1">
      <alignment/>
    </xf>
    <xf numFmtId="0" fontId="25" fillId="0" borderId="62" xfId="0" applyFont="1" applyBorder="1" applyAlignment="1">
      <alignment/>
    </xf>
    <xf numFmtId="4" fontId="25" fillId="6" borderId="62" xfId="0" applyNumberFormat="1" applyFont="1" applyFill="1" applyBorder="1" applyAlignment="1">
      <alignment/>
    </xf>
    <xf numFmtId="3" fontId="25" fillId="6" borderId="62" xfId="0" applyNumberFormat="1" applyFont="1" applyFill="1" applyBorder="1" applyAlignment="1">
      <alignment/>
    </xf>
    <xf numFmtId="3" fontId="25" fillId="6" borderId="63" xfId="0" applyNumberFormat="1" applyFont="1" applyFill="1" applyBorder="1" applyAlignment="1">
      <alignment/>
    </xf>
    <xf numFmtId="0" fontId="22" fillId="0" borderId="3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4" fontId="25" fillId="35" borderId="26" xfId="0" applyNumberFormat="1" applyFont="1" applyFill="1" applyBorder="1" applyAlignment="1">
      <alignment/>
    </xf>
    <xf numFmtId="4" fontId="25" fillId="35" borderId="38" xfId="0" applyNumberFormat="1" applyFont="1" applyFill="1" applyBorder="1" applyAlignment="1">
      <alignment/>
    </xf>
    <xf numFmtId="4" fontId="25" fillId="35" borderId="62" xfId="0" applyNumberFormat="1" applyFont="1" applyFill="1" applyBorder="1" applyAlignment="1">
      <alignment/>
    </xf>
    <xf numFmtId="4" fontId="18" fillId="35" borderId="26" xfId="0" applyNumberFormat="1" applyFont="1" applyFill="1" applyBorder="1" applyAlignment="1">
      <alignment/>
    </xf>
    <xf numFmtId="4" fontId="18" fillId="35" borderId="38" xfId="0" applyNumberFormat="1" applyFont="1" applyFill="1" applyBorder="1" applyAlignment="1">
      <alignment/>
    </xf>
    <xf numFmtId="3" fontId="18" fillId="6" borderId="38" xfId="0" applyNumberFormat="1" applyFont="1" applyFill="1" applyBorder="1" applyAlignment="1">
      <alignment/>
    </xf>
    <xf numFmtId="3" fontId="18" fillId="6" borderId="26" xfId="0" applyNumberFormat="1" applyFont="1" applyFill="1" applyBorder="1" applyAlignment="1">
      <alignment/>
    </xf>
    <xf numFmtId="3" fontId="18" fillId="6" borderId="13" xfId="0" applyNumberFormat="1" applyFont="1" applyFill="1" applyBorder="1" applyAlignment="1">
      <alignment/>
    </xf>
    <xf numFmtId="0" fontId="22" fillId="0" borderId="39" xfId="0" applyFont="1" applyBorder="1" applyAlignment="1">
      <alignment horizontal="center"/>
    </xf>
    <xf numFmtId="0" fontId="30" fillId="0" borderId="0" xfId="56" applyFont="1" applyBorder="1" applyAlignment="1">
      <alignment horizontal="left" wrapText="1"/>
      <protection/>
    </xf>
    <xf numFmtId="49" fontId="6" fillId="0" borderId="6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3" fontId="4" fillId="0" borderId="32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6" fillId="0" borderId="32" xfId="57" applyNumberFormat="1" applyFont="1" applyFill="1" applyBorder="1" applyAlignment="1">
      <alignment vertical="center"/>
      <protection/>
    </xf>
    <xf numFmtId="3" fontId="6" fillId="0" borderId="67" xfId="57" applyNumberFormat="1" applyFont="1" applyFill="1" applyBorder="1" applyAlignment="1">
      <alignment vertical="center"/>
      <protection/>
    </xf>
    <xf numFmtId="3" fontId="6" fillId="0" borderId="38" xfId="57" applyNumberFormat="1" applyFont="1" applyFill="1" applyBorder="1" applyAlignment="1">
      <alignment vertical="center"/>
      <protection/>
    </xf>
    <xf numFmtId="3" fontId="5" fillId="0" borderId="77" xfId="57" applyNumberFormat="1" applyFont="1" applyFill="1" applyBorder="1" applyAlignment="1">
      <alignment vertical="center"/>
      <protection/>
    </xf>
    <xf numFmtId="3" fontId="47" fillId="0" borderId="63" xfId="57" applyNumberFormat="1" applyFont="1" applyFill="1" applyBorder="1" applyAlignment="1">
      <alignment vertical="center"/>
      <protection/>
    </xf>
    <xf numFmtId="3" fontId="12" fillId="0" borderId="52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 wrapText="1"/>
    </xf>
    <xf numFmtId="0" fontId="7" fillId="0" borderId="38" xfId="57" applyFont="1" applyFill="1" applyBorder="1" applyAlignment="1">
      <alignment vertical="center" wrapText="1"/>
      <protection/>
    </xf>
    <xf numFmtId="3" fontId="47" fillId="0" borderId="62" xfId="57" applyNumberFormat="1" applyFont="1" applyFill="1" applyBorder="1" applyAlignment="1">
      <alignment vertical="center"/>
      <protection/>
    </xf>
    <xf numFmtId="0" fontId="30" fillId="0" borderId="44" xfId="56" applyFont="1" applyBorder="1" applyAlignment="1">
      <alignment horizontal="left" wrapText="1"/>
      <protection/>
    </xf>
    <xf numFmtId="0" fontId="18" fillId="0" borderId="105" xfId="56" applyBorder="1">
      <alignment/>
      <protection/>
    </xf>
    <xf numFmtId="3" fontId="18" fillId="0" borderId="52" xfId="56" applyNumberFormat="1" applyBorder="1">
      <alignment/>
      <protection/>
    </xf>
    <xf numFmtId="0" fontId="12" fillId="0" borderId="2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3" fontId="77" fillId="0" borderId="26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26" xfId="0" applyNumberFormat="1" applyFont="1" applyBorder="1" applyAlignment="1">
      <alignment vertical="center"/>
    </xf>
    <xf numFmtId="49" fontId="20" fillId="0" borderId="26" xfId="0" applyNumberFormat="1" applyFont="1" applyBorder="1" applyAlignment="1">
      <alignment horizontal="right" vertical="center"/>
    </xf>
    <xf numFmtId="49" fontId="21" fillId="0" borderId="20" xfId="0" applyNumberFormat="1" applyFont="1" applyBorder="1" applyAlignment="1">
      <alignment vertical="center"/>
    </xf>
    <xf numFmtId="3" fontId="21" fillId="0" borderId="21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49" fontId="56" fillId="0" borderId="26" xfId="0" applyNumberFormat="1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3" fontId="56" fillId="0" borderId="26" xfId="0" applyNumberFormat="1" applyFont="1" applyBorder="1" applyAlignment="1">
      <alignment vertical="center"/>
    </xf>
    <xf numFmtId="49" fontId="78" fillId="0" borderId="26" xfId="0" applyNumberFormat="1" applyFont="1" applyBorder="1" applyAlignment="1">
      <alignment vertical="center"/>
    </xf>
    <xf numFmtId="0" fontId="78" fillId="0" borderId="26" xfId="0" applyFont="1" applyBorder="1" applyAlignment="1">
      <alignment vertical="center"/>
    </xf>
    <xf numFmtId="3" fontId="78" fillId="0" borderId="26" xfId="0" applyNumberFormat="1" applyFont="1" applyBorder="1" applyAlignment="1">
      <alignment vertical="center"/>
    </xf>
    <xf numFmtId="0" fontId="3" fillId="35" borderId="0" xfId="58" applyFont="1" applyFill="1" applyBorder="1" applyAlignment="1">
      <alignment horizontal="right"/>
      <protection/>
    </xf>
    <xf numFmtId="3" fontId="3" fillId="35" borderId="0" xfId="58" applyNumberFormat="1" applyFont="1" applyFill="1" applyBorder="1" applyAlignment="1">
      <alignment horizontal="center"/>
      <protection/>
    </xf>
    <xf numFmtId="3" fontId="2" fillId="35" borderId="0" xfId="58" applyNumberFormat="1" applyFont="1" applyFill="1" applyBorder="1">
      <alignment/>
      <protection/>
    </xf>
    <xf numFmtId="3" fontId="25" fillId="35" borderId="0" xfId="58" applyNumberFormat="1" applyFont="1" applyFill="1" applyBorder="1">
      <alignment/>
      <protection/>
    </xf>
    <xf numFmtId="3" fontId="3" fillId="35" borderId="0" xfId="58" applyNumberFormat="1" applyFont="1" applyFill="1">
      <alignment/>
      <protection/>
    </xf>
    <xf numFmtId="3" fontId="2" fillId="35" borderId="0" xfId="58" applyNumberFormat="1" applyFont="1" applyFill="1">
      <alignment/>
      <protection/>
    </xf>
    <xf numFmtId="0" fontId="3" fillId="35" borderId="0" xfId="58" applyFont="1" applyFill="1">
      <alignment/>
      <protection/>
    </xf>
    <xf numFmtId="3" fontId="79" fillId="0" borderId="13" xfId="58" applyNumberFormat="1" applyFont="1" applyBorder="1">
      <alignment/>
      <protection/>
    </xf>
    <xf numFmtId="0" fontId="25" fillId="35" borderId="18" xfId="58" applyFont="1" applyFill="1" applyBorder="1" applyAlignment="1">
      <alignment vertical="center" wrapText="1"/>
      <protection/>
    </xf>
    <xf numFmtId="3" fontId="3" fillId="35" borderId="30" xfId="58" applyNumberFormat="1" applyFont="1" applyFill="1" applyBorder="1" applyAlignment="1">
      <alignment horizontal="center"/>
      <protection/>
    </xf>
    <xf numFmtId="3" fontId="3" fillId="35" borderId="26" xfId="58" applyNumberFormat="1" applyFont="1" applyFill="1" applyBorder="1" applyAlignment="1">
      <alignment horizontal="center"/>
      <protection/>
    </xf>
    <xf numFmtId="3" fontId="2" fillId="35" borderId="13" xfId="58" applyNumberFormat="1" applyFont="1" applyFill="1" applyBorder="1">
      <alignment/>
      <protection/>
    </xf>
    <xf numFmtId="3" fontId="3" fillId="35" borderId="21" xfId="58" applyNumberFormat="1" applyFont="1" applyFill="1" applyBorder="1" applyAlignment="1">
      <alignment horizontal="center"/>
      <protection/>
    </xf>
    <xf numFmtId="3" fontId="25" fillId="35" borderId="53" xfId="58" applyNumberFormat="1" applyFont="1" applyFill="1" applyBorder="1">
      <alignment/>
      <protection/>
    </xf>
    <xf numFmtId="3" fontId="25" fillId="35" borderId="0" xfId="58" applyNumberFormat="1" applyFont="1" applyFill="1">
      <alignment/>
      <protection/>
    </xf>
    <xf numFmtId="3" fontId="25" fillId="35" borderId="30" xfId="58" applyNumberFormat="1" applyFont="1" applyFill="1" applyBorder="1">
      <alignment/>
      <protection/>
    </xf>
    <xf numFmtId="3" fontId="25" fillId="35" borderId="26" xfId="58" applyNumberFormat="1" applyFont="1" applyFill="1" applyBorder="1">
      <alignment/>
      <protection/>
    </xf>
    <xf numFmtId="3" fontId="25" fillId="35" borderId="13" xfId="58" applyNumberFormat="1" applyFont="1" applyFill="1" applyBorder="1">
      <alignment/>
      <protection/>
    </xf>
    <xf numFmtId="4" fontId="25" fillId="35" borderId="30" xfId="58" applyNumberFormat="1" applyFont="1" applyFill="1" applyBorder="1">
      <alignment/>
      <protection/>
    </xf>
    <xf numFmtId="3" fontId="25" fillId="35" borderId="21" xfId="58" applyNumberFormat="1" applyFont="1" applyFill="1" applyBorder="1">
      <alignment/>
      <protection/>
    </xf>
    <xf numFmtId="4" fontId="25" fillId="35" borderId="21" xfId="58" applyNumberFormat="1" applyFont="1" applyFill="1" applyBorder="1">
      <alignment/>
      <protection/>
    </xf>
    <xf numFmtId="0" fontId="25" fillId="35" borderId="0" xfId="58" applyFont="1" applyFill="1">
      <alignment/>
      <protection/>
    </xf>
    <xf numFmtId="0" fontId="30" fillId="35" borderId="18" xfId="58" applyFont="1" applyFill="1" applyBorder="1" applyAlignment="1">
      <alignment wrapText="1"/>
      <protection/>
    </xf>
    <xf numFmtId="3" fontId="30" fillId="35" borderId="30" xfId="58" applyNumberFormat="1" applyFont="1" applyFill="1" applyBorder="1">
      <alignment/>
      <protection/>
    </xf>
    <xf numFmtId="3" fontId="30" fillId="35" borderId="26" xfId="58" applyNumberFormat="1" applyFont="1" applyFill="1" applyBorder="1">
      <alignment/>
      <protection/>
    </xf>
    <xf numFmtId="3" fontId="30" fillId="35" borderId="13" xfId="58" applyNumberFormat="1" applyFont="1" applyFill="1" applyBorder="1">
      <alignment/>
      <protection/>
    </xf>
    <xf numFmtId="4" fontId="30" fillId="35" borderId="30" xfId="58" applyNumberFormat="1" applyFont="1" applyFill="1" applyBorder="1">
      <alignment/>
      <protection/>
    </xf>
    <xf numFmtId="3" fontId="30" fillId="35" borderId="21" xfId="58" applyNumberFormat="1" applyFont="1" applyFill="1" applyBorder="1">
      <alignment/>
      <protection/>
    </xf>
    <xf numFmtId="2" fontId="30" fillId="35" borderId="21" xfId="58" applyNumberFormat="1" applyFont="1" applyFill="1" applyBorder="1">
      <alignment/>
      <protection/>
    </xf>
    <xf numFmtId="3" fontId="30" fillId="35" borderId="0" xfId="58" applyNumberFormat="1" applyFont="1" applyFill="1">
      <alignment/>
      <protection/>
    </xf>
    <xf numFmtId="0" fontId="30" fillId="35" borderId="0" xfId="58" applyFont="1" applyFill="1">
      <alignment/>
      <protection/>
    </xf>
    <xf numFmtId="3" fontId="70" fillId="35" borderId="13" xfId="58" applyNumberFormat="1" applyFont="1" applyFill="1" applyBorder="1">
      <alignment/>
      <protection/>
    </xf>
    <xf numFmtId="49" fontId="18" fillId="0" borderId="0" xfId="58" applyNumberFormat="1" applyAlignment="1">
      <alignment horizontal="left"/>
      <protection/>
    </xf>
    <xf numFmtId="0" fontId="18" fillId="0" borderId="0" xfId="58" applyAlignment="1">
      <alignment horizontal="left"/>
      <protection/>
    </xf>
    <xf numFmtId="49" fontId="25" fillId="34" borderId="26" xfId="58" applyNumberFormat="1" applyFont="1" applyFill="1" applyBorder="1" applyAlignment="1">
      <alignment horizontal="left" vertical="center"/>
      <protection/>
    </xf>
    <xf numFmtId="0" fontId="25" fillId="34" borderId="26" xfId="58" applyFont="1" applyFill="1" applyBorder="1" applyAlignment="1">
      <alignment horizontal="left"/>
      <protection/>
    </xf>
    <xf numFmtId="0" fontId="3" fillId="35" borderId="0" xfId="58" applyFont="1" applyFill="1" applyBorder="1" applyAlignment="1">
      <alignment horizontal="left"/>
      <protection/>
    </xf>
    <xf numFmtId="0" fontId="0" fillId="0" borderId="114" xfId="0" applyBorder="1" applyAlignment="1">
      <alignment horizontal="center"/>
    </xf>
    <xf numFmtId="3" fontId="0" fillId="0" borderId="114" xfId="0" applyNumberFormat="1" applyBorder="1" applyAlignment="1">
      <alignment/>
    </xf>
    <xf numFmtId="3" fontId="0" fillId="6" borderId="134" xfId="0" applyNumberFormat="1" applyFill="1" applyBorder="1" applyAlignment="1">
      <alignment/>
    </xf>
    <xf numFmtId="0" fontId="0" fillId="0" borderId="137" xfId="0" applyBorder="1" applyAlignment="1">
      <alignment horizontal="left"/>
    </xf>
    <xf numFmtId="3" fontId="0" fillId="6" borderId="137" xfId="0" applyNumberFormat="1" applyFill="1" applyBorder="1" applyAlignment="1">
      <alignment/>
    </xf>
    <xf numFmtId="0" fontId="0" fillId="0" borderId="82" xfId="0" applyBorder="1" applyAlignment="1">
      <alignment horizontal="center"/>
    </xf>
    <xf numFmtId="0" fontId="0" fillId="0" borderId="133" xfId="0" applyBorder="1" applyAlignment="1">
      <alignment horizontal="left"/>
    </xf>
    <xf numFmtId="3" fontId="0" fillId="6" borderId="133" xfId="0" applyNumberFormat="1" applyFill="1" applyBorder="1" applyAlignment="1">
      <alignment/>
    </xf>
    <xf numFmtId="0" fontId="0" fillId="0" borderId="113" xfId="0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38" xfId="0" applyFont="1" applyBorder="1" applyAlignment="1">
      <alignment/>
    </xf>
    <xf numFmtId="0" fontId="22" fillId="0" borderId="43" xfId="0" applyFont="1" applyFill="1" applyBorder="1" applyAlignment="1">
      <alignment horizontal="center"/>
    </xf>
    <xf numFmtId="0" fontId="25" fillId="0" borderId="44" xfId="0" applyFont="1" applyFill="1" applyBorder="1" applyAlignment="1">
      <alignment/>
    </xf>
    <xf numFmtId="0" fontId="24" fillId="0" borderId="0" xfId="59" applyFont="1" applyAlignment="1">
      <alignment horizontal="center" vertical="center"/>
      <protection/>
    </xf>
    <xf numFmtId="0" fontId="80" fillId="0" borderId="0" xfId="59" applyFont="1" applyAlignment="1">
      <alignment vertical="center"/>
      <protection/>
    </xf>
    <xf numFmtId="0" fontId="20" fillId="0" borderId="0" xfId="59" applyFont="1" applyAlignment="1">
      <alignment horizontal="right" vertical="center"/>
      <protection/>
    </xf>
    <xf numFmtId="0" fontId="19" fillId="0" borderId="0" xfId="59" applyFont="1" applyAlignment="1">
      <alignment horizontal="center" vertical="center" wrapText="1"/>
      <protection/>
    </xf>
    <xf numFmtId="0" fontId="23" fillId="0" borderId="26" xfId="59" applyFont="1" applyBorder="1" applyAlignment="1">
      <alignment horizontal="center" vertical="center" wrapText="1"/>
      <protection/>
    </xf>
    <xf numFmtId="0" fontId="24" fillId="0" borderId="26" xfId="59" applyFont="1" applyBorder="1" applyAlignment="1">
      <alignment horizontal="center" vertical="center"/>
      <protection/>
    </xf>
    <xf numFmtId="3" fontId="24" fillId="0" borderId="26" xfId="59" applyNumberFormat="1" applyFont="1" applyBorder="1" applyAlignment="1">
      <alignment horizontal="center" vertical="center" wrapText="1"/>
      <protection/>
    </xf>
    <xf numFmtId="3" fontId="24" fillId="0" borderId="13" xfId="59" applyNumberFormat="1" applyFont="1" applyBorder="1" applyAlignment="1">
      <alignment horizontal="center" vertical="center" wrapText="1"/>
      <protection/>
    </xf>
    <xf numFmtId="0" fontId="24" fillId="0" borderId="30" xfId="59" applyFont="1" applyBorder="1" applyAlignment="1">
      <alignment horizontal="center" vertical="center"/>
      <protection/>
    </xf>
    <xf numFmtId="0" fontId="19" fillId="0" borderId="26" xfId="59" applyFont="1" applyBorder="1" applyAlignment="1">
      <alignment horizontal="center" vertical="center"/>
      <protection/>
    </xf>
    <xf numFmtId="3" fontId="80" fillId="35" borderId="26" xfId="59" applyNumberFormat="1" applyFont="1" applyFill="1" applyBorder="1" applyAlignment="1">
      <alignment horizontal="right" vertical="center" wrapText="1"/>
      <protection/>
    </xf>
    <xf numFmtId="3" fontId="80" fillId="0" borderId="26" xfId="59" applyNumberFormat="1" applyFont="1" applyBorder="1" applyAlignment="1">
      <alignment horizontal="right" vertical="center" wrapText="1"/>
      <protection/>
    </xf>
    <xf numFmtId="3" fontId="19" fillId="0" borderId="13" xfId="59" applyNumberFormat="1" applyFont="1" applyBorder="1" applyAlignment="1">
      <alignment horizontal="right" vertical="center" wrapText="1"/>
      <protection/>
    </xf>
    <xf numFmtId="3" fontId="80" fillId="0" borderId="26" xfId="59" applyNumberFormat="1" applyFont="1" applyBorder="1" applyAlignment="1">
      <alignment horizontal="right" vertical="center"/>
      <protection/>
    </xf>
    <xf numFmtId="3" fontId="80" fillId="0" borderId="26" xfId="59" applyNumberFormat="1" applyFont="1" applyFill="1" applyBorder="1" applyAlignment="1">
      <alignment horizontal="right" vertical="center" wrapText="1"/>
      <protection/>
    </xf>
    <xf numFmtId="3" fontId="12" fillId="0" borderId="83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5" fontId="13" fillId="0" borderId="3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26" xfId="0" applyFont="1" applyBorder="1" applyAlignment="1">
      <alignment horizontal="left"/>
    </xf>
    <xf numFmtId="0" fontId="70" fillId="0" borderId="26" xfId="0" applyFont="1" applyBorder="1" applyAlignment="1">
      <alignment horizontal="left"/>
    </xf>
    <xf numFmtId="0" fontId="4" fillId="0" borderId="26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58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68" fillId="0" borderId="18" xfId="0" applyFont="1" applyBorder="1" applyAlignment="1">
      <alignment horizontal="left"/>
    </xf>
    <xf numFmtId="0" fontId="68" fillId="0" borderId="20" xfId="0" applyFont="1" applyBorder="1" applyAlignment="1">
      <alignment horizontal="left"/>
    </xf>
    <xf numFmtId="0" fontId="68" fillId="0" borderId="21" xfId="0" applyFont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right" vertical="center"/>
    </xf>
    <xf numFmtId="0" fontId="75" fillId="0" borderId="0" xfId="0" applyFont="1" applyAlignment="1">
      <alignment horizontal="right"/>
    </xf>
    <xf numFmtId="0" fontId="19" fillId="0" borderId="0" xfId="55" applyFont="1" applyAlignment="1">
      <alignment horizontal="center"/>
      <protection/>
    </xf>
    <xf numFmtId="0" fontId="19" fillId="0" borderId="26" xfId="55" applyFont="1" applyBorder="1" applyAlignment="1">
      <alignment horizontal="center" vertical="center"/>
      <protection/>
    </xf>
    <xf numFmtId="0" fontId="24" fillId="0" borderId="26" xfId="55" applyFont="1" applyBorder="1" applyAlignment="1">
      <alignment horizontal="center" vertical="center"/>
      <protection/>
    </xf>
    <xf numFmtId="0" fontId="24" fillId="0" borderId="18" xfId="55" applyFont="1" applyBorder="1" applyAlignment="1">
      <alignment horizontal="center"/>
      <protection/>
    </xf>
    <xf numFmtId="0" fontId="24" fillId="0" borderId="20" xfId="55" applyFont="1" applyBorder="1" applyAlignment="1">
      <alignment horizontal="center"/>
      <protection/>
    </xf>
    <xf numFmtId="0" fontId="24" fillId="0" borderId="21" xfId="55" applyFont="1" applyBorder="1" applyAlignment="1">
      <alignment horizontal="center"/>
      <protection/>
    </xf>
    <xf numFmtId="0" fontId="21" fillId="0" borderId="18" xfId="55" applyFont="1" applyBorder="1" applyAlignment="1">
      <alignment horizontal="right" vertical="center"/>
      <protection/>
    </xf>
    <xf numFmtId="0" fontId="21" fillId="0" borderId="20" xfId="55" applyFont="1" applyBorder="1" applyAlignment="1">
      <alignment horizontal="right" vertical="center"/>
      <protection/>
    </xf>
    <xf numFmtId="0" fontId="4" fillId="0" borderId="67" xfId="0" applyFont="1" applyBorder="1" applyAlignment="1">
      <alignment horizontal="center" vertical="center" textRotation="90"/>
    </xf>
    <xf numFmtId="0" fontId="4" fillId="0" borderId="76" xfId="0" applyFont="1" applyBorder="1" applyAlignment="1">
      <alignment horizontal="center" vertical="center" textRotation="90"/>
    </xf>
    <xf numFmtId="0" fontId="4" fillId="0" borderId="66" xfId="0" applyFont="1" applyBorder="1" applyAlignment="1">
      <alignment horizontal="center" vertical="center" textRotation="90"/>
    </xf>
    <xf numFmtId="0" fontId="7" fillId="0" borderId="3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0" fillId="0" borderId="13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textRotation="90"/>
    </xf>
    <xf numFmtId="49" fontId="4" fillId="0" borderId="30" xfId="0" applyNumberFormat="1" applyFont="1" applyFill="1" applyBorder="1" applyAlignment="1">
      <alignment horizontal="center" textRotation="90"/>
    </xf>
    <xf numFmtId="0" fontId="2" fillId="0" borderId="0" xfId="0" applyFont="1" applyFill="1" applyAlignment="1">
      <alignment horizontal="center" vertical="center"/>
    </xf>
    <xf numFmtId="49" fontId="5" fillId="0" borderId="137" xfId="0" applyNumberFormat="1" applyFont="1" applyFill="1" applyBorder="1" applyAlignment="1">
      <alignment horizontal="center" vertical="center"/>
    </xf>
    <xf numFmtId="49" fontId="5" fillId="0" borderId="76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0" xfId="57" applyFont="1" applyFill="1" applyAlignment="1">
      <alignment horizontal="right" vertical="center"/>
      <protection/>
    </xf>
    <xf numFmtId="0" fontId="0" fillId="0" borderId="0" xfId="57" applyAlignment="1">
      <alignment horizontal="right"/>
      <protection/>
    </xf>
    <xf numFmtId="0" fontId="3" fillId="0" borderId="134" xfId="57" applyFont="1" applyFill="1" applyBorder="1" applyAlignment="1">
      <alignment horizontal="center" vertical="center" wrapText="1"/>
      <protection/>
    </xf>
    <xf numFmtId="0" fontId="3" fillId="0" borderId="43" xfId="57" applyFont="1" applyFill="1" applyBorder="1" applyAlignment="1">
      <alignment horizontal="center" vertical="center" wrapText="1"/>
      <protection/>
    </xf>
    <xf numFmtId="0" fontId="3" fillId="0" borderId="135" xfId="57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horizontal="center" vertical="center" wrapText="1"/>
      <protection/>
    </xf>
    <xf numFmtId="0" fontId="5" fillId="0" borderId="96" xfId="57" applyFont="1" applyFill="1" applyBorder="1" applyAlignment="1">
      <alignment horizontal="center" vertical="center" wrapText="1"/>
      <protection/>
    </xf>
    <xf numFmtId="0" fontId="5" fillId="0" borderId="52" xfId="57" applyFont="1" applyFill="1" applyBorder="1" applyAlignment="1">
      <alignment horizontal="center" vertical="center" wrapText="1"/>
      <protection/>
    </xf>
    <xf numFmtId="0" fontId="5" fillId="0" borderId="16" xfId="57" applyFont="1" applyFill="1" applyBorder="1" applyAlignment="1">
      <alignment horizontal="center" vertical="center" wrapText="1"/>
      <protection/>
    </xf>
    <xf numFmtId="0" fontId="5" fillId="0" borderId="27" xfId="57" applyFont="1" applyFill="1" applyBorder="1" applyAlignment="1">
      <alignment horizontal="center" vertical="center" wrapText="1"/>
      <protection/>
    </xf>
    <xf numFmtId="0" fontId="5" fillId="0" borderId="28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21" xfId="57" applyFont="1" applyFill="1" applyBorder="1" applyAlignment="1">
      <alignment horizontal="center" vertical="center" wrapText="1"/>
      <protection/>
    </xf>
    <xf numFmtId="0" fontId="5" fillId="0" borderId="26" xfId="57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3" fontId="4" fillId="0" borderId="83" xfId="57" applyNumberFormat="1" applyFont="1" applyFill="1" applyBorder="1" applyAlignment="1">
      <alignment horizontal="center" vertical="center" wrapText="1"/>
      <protection/>
    </xf>
    <xf numFmtId="3" fontId="4" fillId="0" borderId="139" xfId="57" applyNumberFormat="1" applyFont="1" applyFill="1" applyBorder="1" applyAlignment="1">
      <alignment horizontal="center" vertical="center" wrapText="1"/>
      <protection/>
    </xf>
    <xf numFmtId="3" fontId="4" fillId="0" borderId="12" xfId="57" applyNumberFormat="1" applyFont="1" applyFill="1" applyBorder="1" applyAlignment="1">
      <alignment horizontal="center" vertical="center" wrapText="1"/>
      <protection/>
    </xf>
    <xf numFmtId="0" fontId="48" fillId="0" borderId="133" xfId="57" applyFont="1" applyFill="1" applyBorder="1" applyAlignment="1">
      <alignment horizontal="left" vertical="center"/>
      <protection/>
    </xf>
    <xf numFmtId="0" fontId="48" fillId="0" borderId="35" xfId="57" applyFont="1" applyFill="1" applyBorder="1" applyAlignment="1">
      <alignment horizontal="left" vertical="center"/>
      <protection/>
    </xf>
    <xf numFmtId="0" fontId="48" fillId="0" borderId="17" xfId="57" applyFont="1" applyFill="1" applyBorder="1" applyAlignment="1">
      <alignment horizontal="left" vertical="center"/>
      <protection/>
    </xf>
    <xf numFmtId="0" fontId="47" fillId="0" borderId="61" xfId="57" applyFont="1" applyFill="1" applyBorder="1" applyAlignment="1">
      <alignment horizontal="left" vertical="center"/>
      <protection/>
    </xf>
    <xf numFmtId="0" fontId="47" fillId="0" borderId="116" xfId="57" applyFont="1" applyFill="1" applyBorder="1" applyAlignment="1">
      <alignment horizontal="left" vertical="center"/>
      <protection/>
    </xf>
    <xf numFmtId="0" fontId="47" fillId="0" borderId="117" xfId="57" applyFont="1" applyFill="1" applyBorder="1" applyAlignment="1">
      <alignment horizontal="left" vertical="center"/>
      <protection/>
    </xf>
    <xf numFmtId="0" fontId="5" fillId="0" borderId="114" xfId="57" applyFont="1" applyFill="1" applyBorder="1" applyAlignment="1">
      <alignment horizontal="center" vertical="center"/>
      <protection/>
    </xf>
    <xf numFmtId="0" fontId="5" fillId="0" borderId="68" xfId="57" applyFont="1" applyFill="1" applyBorder="1" applyAlignment="1">
      <alignment horizontal="center" vertical="center"/>
      <protection/>
    </xf>
    <xf numFmtId="0" fontId="5" fillId="0" borderId="84" xfId="57" applyFont="1" applyFill="1" applyBorder="1" applyAlignment="1">
      <alignment horizontal="center" vertical="center"/>
      <protection/>
    </xf>
    <xf numFmtId="49" fontId="5" fillId="0" borderId="137" xfId="57" applyNumberFormat="1" applyFont="1" applyFill="1" applyBorder="1" applyAlignment="1">
      <alignment horizontal="center" vertical="center"/>
      <protection/>
    </xf>
    <xf numFmtId="49" fontId="5" fillId="0" borderId="76" xfId="57" applyNumberFormat="1" applyFont="1" applyFill="1" applyBorder="1" applyAlignment="1">
      <alignment horizontal="center" vertical="center"/>
      <protection/>
    </xf>
    <xf numFmtId="49" fontId="5" fillId="0" borderId="140" xfId="57" applyNumberFormat="1" applyFont="1" applyFill="1" applyBorder="1" applyAlignment="1">
      <alignment horizontal="center" vertical="center"/>
      <protection/>
    </xf>
    <xf numFmtId="0" fontId="15" fillId="0" borderId="116" xfId="57" applyFont="1" applyFill="1" applyBorder="1" applyAlignment="1">
      <alignment horizontal="center" vertical="center"/>
      <protection/>
    </xf>
    <xf numFmtId="0" fontId="15" fillId="0" borderId="117" xfId="57" applyFont="1" applyFill="1" applyBorder="1" applyAlignment="1">
      <alignment horizontal="center" vertical="center"/>
      <protection/>
    </xf>
    <xf numFmtId="0" fontId="43" fillId="0" borderId="141" xfId="57" applyFont="1" applyFill="1" applyBorder="1" applyAlignment="1">
      <alignment horizontal="left" vertical="center"/>
      <protection/>
    </xf>
    <xf numFmtId="0" fontId="43" fillId="0" borderId="116" xfId="57" applyFont="1" applyFill="1" applyBorder="1" applyAlignment="1">
      <alignment horizontal="left" vertical="center"/>
      <protection/>
    </xf>
    <xf numFmtId="0" fontId="43" fillId="0" borderId="117" xfId="57" applyFont="1" applyFill="1" applyBorder="1" applyAlignment="1">
      <alignment horizontal="left" vertical="center"/>
      <protection/>
    </xf>
    <xf numFmtId="0" fontId="30" fillId="0" borderId="89" xfId="56" applyFont="1" applyBorder="1" applyAlignment="1">
      <alignment horizontal="left" wrapText="1"/>
      <protection/>
    </xf>
    <xf numFmtId="0" fontId="30" fillId="0" borderId="0" xfId="56" applyFont="1" applyBorder="1" applyAlignment="1">
      <alignment horizontal="left" wrapText="1"/>
      <protection/>
    </xf>
    <xf numFmtId="0" fontId="30" fillId="0" borderId="44" xfId="56" applyFont="1" applyBorder="1" applyAlignment="1">
      <alignment horizontal="left" wrapText="1"/>
      <protection/>
    </xf>
    <xf numFmtId="0" fontId="25" fillId="0" borderId="0" xfId="56" applyFont="1" applyAlignment="1">
      <alignment horizontal="center"/>
      <protection/>
    </xf>
    <xf numFmtId="0" fontId="0" fillId="0" borderId="0" xfId="0" applyAlignment="1">
      <alignment/>
    </xf>
    <xf numFmtId="0" fontId="18" fillId="0" borderId="0" xfId="56" applyAlignment="1">
      <alignment horizontal="center"/>
      <protection/>
    </xf>
    <xf numFmtId="0" fontId="15" fillId="0" borderId="142" xfId="57" applyFont="1" applyFill="1" applyBorder="1" applyAlignment="1">
      <alignment horizontal="center" vertical="center" wrapText="1"/>
      <protection/>
    </xf>
    <xf numFmtId="0" fontId="0" fillId="0" borderId="143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73" fillId="0" borderId="44" xfId="56" applyFont="1" applyBorder="1" applyAlignment="1">
      <alignment horizontal="left" wrapText="1"/>
      <protection/>
    </xf>
    <xf numFmtId="0" fontId="73" fillId="0" borderId="0" xfId="56" applyFont="1" applyBorder="1" applyAlignment="1">
      <alignment horizontal="left" wrapText="1"/>
      <protection/>
    </xf>
    <xf numFmtId="0" fontId="30" fillId="0" borderId="0" xfId="56" applyFont="1" applyAlignment="1">
      <alignment horizontal="left" wrapText="1"/>
      <protection/>
    </xf>
    <xf numFmtId="0" fontId="53" fillId="0" borderId="100" xfId="56" applyFont="1" applyBorder="1" applyAlignment="1">
      <alignment horizontal="center"/>
      <protection/>
    </xf>
    <xf numFmtId="0" fontId="0" fillId="0" borderId="42" xfId="0" applyBorder="1" applyAlignment="1">
      <alignment horizontal="center"/>
    </xf>
    <xf numFmtId="0" fontId="0" fillId="0" borderId="126" xfId="0" applyBorder="1" applyAlignment="1">
      <alignment horizontal="center"/>
    </xf>
    <xf numFmtId="0" fontId="29" fillId="0" borderId="41" xfId="56" applyFont="1" applyBorder="1" applyAlignment="1">
      <alignment/>
      <protection/>
    </xf>
    <xf numFmtId="0" fontId="29" fillId="0" borderId="41" xfId="0" applyFont="1" applyBorder="1" applyAlignment="1">
      <alignment/>
    </xf>
    <xf numFmtId="0" fontId="29" fillId="0" borderId="145" xfId="0" applyFont="1" applyBorder="1" applyAlignment="1">
      <alignment/>
    </xf>
    <xf numFmtId="0" fontId="51" fillId="0" borderId="41" xfId="56" applyFont="1" applyBorder="1" applyAlignment="1">
      <alignment/>
      <protection/>
    </xf>
    <xf numFmtId="0" fontId="51" fillId="0" borderId="145" xfId="56" applyFont="1" applyBorder="1" applyAlignment="1">
      <alignment/>
      <protection/>
    </xf>
    <xf numFmtId="0" fontId="18" fillId="0" borderId="0" xfId="0" applyFont="1" applyAlignment="1">
      <alignment/>
    </xf>
    <xf numFmtId="0" fontId="48" fillId="0" borderId="146" xfId="57" applyFont="1" applyFill="1" applyBorder="1" applyAlignment="1">
      <alignment horizontal="center" vertical="center" wrapText="1"/>
      <protection/>
    </xf>
    <xf numFmtId="0" fontId="48" fillId="0" borderId="39" xfId="57" applyFont="1" applyFill="1" applyBorder="1" applyAlignment="1">
      <alignment horizontal="center" vertical="center" wrapText="1"/>
      <protection/>
    </xf>
    <xf numFmtId="0" fontId="48" fillId="0" borderId="147" xfId="57" applyFont="1" applyFill="1" applyBorder="1" applyAlignment="1">
      <alignment horizontal="center" vertical="center" wrapText="1"/>
      <protection/>
    </xf>
    <xf numFmtId="0" fontId="48" fillId="0" borderId="106" xfId="57" applyFont="1" applyFill="1" applyBorder="1" applyAlignment="1">
      <alignment horizontal="center" vertical="center" wrapText="1"/>
      <protection/>
    </xf>
    <xf numFmtId="0" fontId="48" fillId="0" borderId="25" xfId="57" applyFont="1" applyFill="1" applyBorder="1" applyAlignment="1">
      <alignment horizontal="center" vertical="center" wrapText="1"/>
      <protection/>
    </xf>
    <xf numFmtId="0" fontId="48" fillId="0" borderId="115" xfId="57" applyFont="1" applyFill="1" applyBorder="1" applyAlignment="1">
      <alignment horizontal="center" vertical="center" wrapText="1"/>
      <protection/>
    </xf>
    <xf numFmtId="3" fontId="29" fillId="0" borderId="119" xfId="56" applyNumberFormat="1" applyFont="1" applyBorder="1" applyAlignment="1">
      <alignment horizontal="right" vertical="center"/>
      <protection/>
    </xf>
    <xf numFmtId="0" fontId="30" fillId="0" borderId="44" xfId="56" applyFont="1" applyBorder="1" applyAlignment="1">
      <alignment horizontal="left"/>
      <protection/>
    </xf>
    <xf numFmtId="0" fontId="30" fillId="0" borderId="0" xfId="56" applyFont="1" applyBorder="1" applyAlignment="1">
      <alignment horizontal="left"/>
      <protection/>
    </xf>
    <xf numFmtId="0" fontId="51" fillId="36" borderId="100" xfId="56" applyFont="1" applyFill="1" applyBorder="1" applyAlignment="1">
      <alignment wrapText="1"/>
      <protection/>
    </xf>
    <xf numFmtId="0" fontId="63" fillId="36" borderId="42" xfId="0" applyFont="1" applyFill="1" applyBorder="1" applyAlignment="1">
      <alignment wrapText="1"/>
    </xf>
    <xf numFmtId="0" fontId="63" fillId="36" borderId="126" xfId="0" applyFont="1" applyFill="1" applyBorder="1" applyAlignment="1">
      <alignment wrapText="1"/>
    </xf>
    <xf numFmtId="0" fontId="29" fillId="36" borderId="41" xfId="56" applyFont="1" applyFill="1" applyBorder="1" applyAlignment="1">
      <alignment/>
      <protection/>
    </xf>
    <xf numFmtId="0" fontId="29" fillId="36" borderId="41" xfId="0" applyFont="1" applyFill="1" applyBorder="1" applyAlignment="1">
      <alignment/>
    </xf>
    <xf numFmtId="0" fontId="29" fillId="36" borderId="145" xfId="0" applyFont="1" applyFill="1" applyBorder="1" applyAlignment="1">
      <alignment/>
    </xf>
    <xf numFmtId="0" fontId="51" fillId="36" borderId="130" xfId="56" applyFont="1" applyFill="1" applyBorder="1" applyAlignment="1">
      <alignment/>
      <protection/>
    </xf>
    <xf numFmtId="0" fontId="51" fillId="36" borderId="81" xfId="56" applyFont="1" applyFill="1" applyBorder="1" applyAlignment="1">
      <alignment/>
      <protection/>
    </xf>
    <xf numFmtId="0" fontId="15" fillId="0" borderId="148" xfId="57" applyFont="1" applyFill="1" applyBorder="1" applyAlignment="1">
      <alignment horizontal="center" vertical="center" wrapText="1"/>
      <protection/>
    </xf>
    <xf numFmtId="0" fontId="0" fillId="0" borderId="149" xfId="0" applyBorder="1" applyAlignment="1">
      <alignment horizontal="center" vertical="center" wrapText="1"/>
    </xf>
    <xf numFmtId="0" fontId="30" fillId="0" borderId="89" xfId="56" applyFont="1" applyBorder="1" applyAlignment="1">
      <alignment horizontal="left"/>
      <protection/>
    </xf>
    <xf numFmtId="0" fontId="73" fillId="0" borderId="44" xfId="56" applyFont="1" applyBorder="1" applyAlignment="1">
      <alignment horizontal="left"/>
      <protection/>
    </xf>
    <xf numFmtId="0" fontId="73" fillId="0" borderId="0" xfId="56" applyFont="1" applyBorder="1" applyAlignment="1">
      <alignment horizontal="left"/>
      <protection/>
    </xf>
    <xf numFmtId="0" fontId="52" fillId="0" borderId="89" xfId="56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91" xfId="0" applyBorder="1" applyAlignment="1">
      <alignment horizontal="right"/>
    </xf>
    <xf numFmtId="3" fontId="29" fillId="0" borderId="134" xfId="56" applyNumberFormat="1" applyFont="1" applyBorder="1" applyAlignment="1">
      <alignment horizontal="right" vertical="center"/>
      <protection/>
    </xf>
    <xf numFmtId="3" fontId="29" fillId="0" borderId="43" xfId="56" applyNumberFormat="1" applyFont="1" applyBorder="1" applyAlignment="1">
      <alignment horizontal="right" vertical="center"/>
      <protection/>
    </xf>
    <xf numFmtId="0" fontId="52" fillId="0" borderId="150" xfId="56" applyFont="1" applyBorder="1" applyAlignment="1">
      <alignment horizontal="right"/>
      <protection/>
    </xf>
    <xf numFmtId="0" fontId="52" fillId="0" borderId="0" xfId="56" applyFont="1" applyBorder="1" applyAlignment="1">
      <alignment horizontal="right"/>
      <protection/>
    </xf>
    <xf numFmtId="0" fontId="52" fillId="0" borderId="91" xfId="56" applyFont="1" applyBorder="1" applyAlignment="1">
      <alignment horizontal="right"/>
      <protection/>
    </xf>
    <xf numFmtId="3" fontId="29" fillId="0" borderId="135" xfId="56" applyNumberFormat="1" applyFont="1" applyBorder="1" applyAlignment="1">
      <alignment horizontal="right" vertical="center"/>
      <protection/>
    </xf>
    <xf numFmtId="0" fontId="51" fillId="36" borderId="41" xfId="56" applyFont="1" applyFill="1" applyBorder="1" applyAlignment="1">
      <alignment/>
      <protection/>
    </xf>
    <xf numFmtId="0" fontId="51" fillId="36" borderId="145" xfId="56" applyFont="1" applyFill="1" applyBorder="1" applyAlignment="1">
      <alignment/>
      <protection/>
    </xf>
    <xf numFmtId="0" fontId="30" fillId="0" borderId="151" xfId="56" applyFont="1" applyBorder="1" applyAlignment="1">
      <alignment horizontal="left" wrapText="1"/>
      <protection/>
    </xf>
    <xf numFmtId="0" fontId="30" fillId="0" borderId="40" xfId="56" applyFont="1" applyBorder="1" applyAlignment="1">
      <alignment horizontal="left" wrapText="1"/>
      <protection/>
    </xf>
    <xf numFmtId="3" fontId="30" fillId="0" borderId="52" xfId="56" applyNumberFormat="1" applyFont="1" applyBorder="1" applyAlignment="1">
      <alignment horizontal="right"/>
      <protection/>
    </xf>
    <xf numFmtId="3" fontId="30" fillId="0" borderId="96" xfId="56" applyNumberFormat="1" applyFont="1" applyBorder="1" applyAlignment="1">
      <alignment horizontal="right"/>
      <protection/>
    </xf>
    <xf numFmtId="3" fontId="29" fillId="0" borderId="152" xfId="56" applyNumberFormat="1" applyFont="1" applyBorder="1" applyAlignment="1">
      <alignment horizontal="right" vertical="center"/>
      <protection/>
    </xf>
    <xf numFmtId="3" fontId="29" fillId="0" borderId="123" xfId="56" applyNumberFormat="1" applyFont="1" applyBorder="1" applyAlignment="1">
      <alignment horizontal="right" vertical="center"/>
      <protection/>
    </xf>
    <xf numFmtId="0" fontId="51" fillId="0" borderId="153" xfId="56" applyFont="1" applyBorder="1" applyAlignment="1">
      <alignment horizontal="center" wrapText="1"/>
      <protection/>
    </xf>
    <xf numFmtId="0" fontId="51" fillId="0" borderId="39" xfId="56" applyFont="1" applyBorder="1" applyAlignment="1">
      <alignment horizontal="center" wrapText="1"/>
      <protection/>
    </xf>
    <xf numFmtId="0" fontId="51" fillId="0" borderId="86" xfId="56" applyFont="1" applyBorder="1" applyAlignment="1">
      <alignment horizontal="center" wrapText="1"/>
      <protection/>
    </xf>
    <xf numFmtId="0" fontId="51" fillId="0" borderId="25" xfId="56" applyFont="1" applyBorder="1" applyAlignment="1">
      <alignment horizontal="center" wrapText="1"/>
      <protection/>
    </xf>
    <xf numFmtId="0" fontId="15" fillId="0" borderId="154" xfId="57" applyFont="1" applyFill="1" applyBorder="1" applyAlignment="1">
      <alignment horizontal="center" vertical="center" wrapText="1"/>
      <protection/>
    </xf>
    <xf numFmtId="0" fontId="0" fillId="0" borderId="149" xfId="0" applyBorder="1" applyAlignment="1">
      <alignment/>
    </xf>
    <xf numFmtId="0" fontId="0" fillId="0" borderId="155" xfId="0" applyBorder="1" applyAlignment="1">
      <alignment/>
    </xf>
    <xf numFmtId="0" fontId="51" fillId="0" borderId="153" xfId="56" applyFont="1" applyBorder="1" applyAlignment="1">
      <alignment horizontal="center" vertical="center"/>
      <protection/>
    </xf>
    <xf numFmtId="0" fontId="51" fillId="0" borderId="39" xfId="56" applyFont="1" applyBorder="1" applyAlignment="1">
      <alignment horizontal="center" vertical="center"/>
      <protection/>
    </xf>
    <xf numFmtId="0" fontId="51" fillId="0" borderId="74" xfId="56" applyFont="1" applyBorder="1" applyAlignment="1">
      <alignment horizontal="center" vertical="center"/>
      <protection/>
    </xf>
    <xf numFmtId="0" fontId="51" fillId="0" borderId="86" xfId="56" applyFont="1" applyBorder="1" applyAlignment="1">
      <alignment horizontal="center" vertical="center"/>
      <protection/>
    </xf>
    <xf numFmtId="0" fontId="51" fillId="0" borderId="25" xfId="56" applyFont="1" applyBorder="1" applyAlignment="1">
      <alignment horizontal="center" vertical="center"/>
      <protection/>
    </xf>
    <xf numFmtId="0" fontId="51" fillId="0" borderId="16" xfId="56" applyFont="1" applyBorder="1" applyAlignment="1">
      <alignment horizontal="center" vertical="center"/>
      <protection/>
    </xf>
    <xf numFmtId="0" fontId="48" fillId="0" borderId="74" xfId="57" applyFont="1" applyFill="1" applyBorder="1" applyAlignment="1">
      <alignment horizontal="center" vertical="center" wrapText="1"/>
      <protection/>
    </xf>
    <xf numFmtId="0" fontId="48" fillId="0" borderId="16" xfId="57" applyFont="1" applyFill="1" applyBorder="1" applyAlignment="1">
      <alignment horizontal="center" vertical="center" wrapText="1"/>
      <protection/>
    </xf>
    <xf numFmtId="0" fontId="29" fillId="36" borderId="120" xfId="56" applyFont="1" applyFill="1" applyBorder="1" applyAlignment="1">
      <alignment horizontal="right"/>
      <protection/>
    </xf>
    <xf numFmtId="0" fontId="0" fillId="36" borderId="41" xfId="0" applyFill="1" applyBorder="1" applyAlignment="1">
      <alignment horizontal="right"/>
    </xf>
    <xf numFmtId="0" fontId="0" fillId="36" borderId="156" xfId="0" applyFill="1" applyBorder="1" applyAlignment="1">
      <alignment horizontal="right"/>
    </xf>
    <xf numFmtId="0" fontId="52" fillId="0" borderId="116" xfId="56" applyFont="1" applyBorder="1" applyAlignment="1">
      <alignment horizontal="right"/>
      <protection/>
    </xf>
    <xf numFmtId="0" fontId="52" fillId="0" borderId="157" xfId="56" applyFont="1" applyBorder="1" applyAlignment="1">
      <alignment horizontal="right"/>
      <protection/>
    </xf>
    <xf numFmtId="0" fontId="30" fillId="0" borderId="116" xfId="56" applyFont="1" applyBorder="1" applyAlignment="1">
      <alignment horizontal="left"/>
      <protection/>
    </xf>
    <xf numFmtId="3" fontId="29" fillId="0" borderId="95" xfId="56" applyNumberFormat="1" applyFont="1" applyBorder="1" applyAlignment="1">
      <alignment horizontal="right" vertical="center"/>
      <protection/>
    </xf>
    <xf numFmtId="0" fontId="30" fillId="0" borderId="151" xfId="56" applyFont="1" applyBorder="1" applyAlignment="1">
      <alignment horizontal="left"/>
      <protection/>
    </xf>
    <xf numFmtId="0" fontId="30" fillId="0" borderId="40" xfId="56" applyFont="1" applyBorder="1" applyAlignment="1">
      <alignment horizontal="left"/>
      <protection/>
    </xf>
    <xf numFmtId="0" fontId="30" fillId="0" borderId="97" xfId="56" applyFont="1" applyBorder="1" applyAlignment="1">
      <alignment horizontal="left"/>
      <protection/>
    </xf>
    <xf numFmtId="0" fontId="30" fillId="0" borderId="42" xfId="56" applyFont="1" applyBorder="1" applyAlignment="1">
      <alignment horizontal="left"/>
      <protection/>
    </xf>
    <xf numFmtId="3" fontId="29" fillId="0" borderId="146" xfId="56" applyNumberFormat="1" applyFont="1" applyBorder="1" applyAlignment="1">
      <alignment horizontal="right" vertical="center"/>
      <protection/>
    </xf>
    <xf numFmtId="3" fontId="29" fillId="0" borderId="44" xfId="56" applyNumberFormat="1" applyFont="1" applyBorder="1" applyAlignment="1">
      <alignment horizontal="right" vertical="center"/>
      <protection/>
    </xf>
    <xf numFmtId="3" fontId="29" fillId="0" borderId="106" xfId="56" applyNumberFormat="1" applyFont="1" applyBorder="1" applyAlignment="1">
      <alignment horizontal="right" vertical="center"/>
      <protection/>
    </xf>
    <xf numFmtId="0" fontId="73" fillId="0" borderId="106" xfId="56" applyFont="1" applyBorder="1" applyAlignment="1">
      <alignment horizontal="left"/>
      <protection/>
    </xf>
    <xf numFmtId="0" fontId="73" fillId="0" borderId="25" xfId="56" applyFont="1" applyBorder="1" applyAlignment="1">
      <alignment horizontal="left"/>
      <protection/>
    </xf>
    <xf numFmtId="0" fontId="29" fillId="0" borderId="135" xfId="56" applyFont="1" applyBorder="1" applyAlignment="1">
      <alignment horizontal="right" vertical="center"/>
      <protection/>
    </xf>
    <xf numFmtId="0" fontId="30" fillId="0" borderId="89" xfId="56" applyFont="1" applyBorder="1" applyAlignment="1">
      <alignment horizontal="left" vertical="center" wrapText="1"/>
      <protection/>
    </xf>
    <xf numFmtId="0" fontId="30" fillId="0" borderId="0" xfId="56" applyFont="1" applyBorder="1" applyAlignment="1">
      <alignment horizontal="left" vertical="center" wrapText="1"/>
      <protection/>
    </xf>
    <xf numFmtId="0" fontId="30" fillId="0" borderId="93" xfId="56" applyFont="1" applyBorder="1" applyAlignment="1">
      <alignment horizontal="left" wrapText="1"/>
      <protection/>
    </xf>
    <xf numFmtId="0" fontId="15" fillId="0" borderId="158" xfId="57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0" fontId="0" fillId="0" borderId="147" xfId="0" applyBorder="1" applyAlignment="1">
      <alignment/>
    </xf>
    <xf numFmtId="0" fontId="0" fillId="0" borderId="106" xfId="0" applyBorder="1" applyAlignment="1">
      <alignment/>
    </xf>
    <xf numFmtId="0" fontId="0" fillId="0" borderId="25" xfId="0" applyBorder="1" applyAlignment="1">
      <alignment/>
    </xf>
    <xf numFmtId="0" fontId="0" fillId="0" borderId="115" xfId="0" applyBorder="1" applyAlignment="1">
      <alignment/>
    </xf>
    <xf numFmtId="0" fontId="0" fillId="0" borderId="159" xfId="0" applyBorder="1" applyAlignment="1">
      <alignment horizontal="center" vertical="center" wrapText="1"/>
    </xf>
    <xf numFmtId="0" fontId="12" fillId="0" borderId="0" xfId="57" applyFont="1" applyFill="1" applyAlignment="1">
      <alignment horizontal="right" vertical="center"/>
      <protection/>
    </xf>
    <xf numFmtId="0" fontId="75" fillId="0" borderId="0" xfId="57" applyFont="1" applyAlignment="1">
      <alignment horizontal="right"/>
      <protection/>
    </xf>
    <xf numFmtId="0" fontId="75" fillId="0" borderId="0" xfId="0" applyFont="1" applyAlignment="1">
      <alignment/>
    </xf>
    <xf numFmtId="0" fontId="15" fillId="0" borderId="160" xfId="57" applyFont="1" applyFill="1" applyBorder="1" applyAlignment="1">
      <alignment horizontal="center" vertical="center" wrapText="1"/>
      <protection/>
    </xf>
    <xf numFmtId="0" fontId="50" fillId="0" borderId="0" xfId="57" applyFont="1" applyFill="1" applyAlignment="1">
      <alignment horizontal="center" vertical="center" wrapText="1"/>
      <protection/>
    </xf>
    <xf numFmtId="0" fontId="50" fillId="0" borderId="41" xfId="57" applyFont="1" applyFill="1" applyBorder="1" applyAlignment="1">
      <alignment horizontal="center" vertical="center" wrapText="1"/>
      <protection/>
    </xf>
    <xf numFmtId="0" fontId="18" fillId="0" borderId="39" xfId="56" applyBorder="1" applyAlignment="1">
      <alignment horizontal="center" vertical="center"/>
      <protection/>
    </xf>
    <xf numFmtId="0" fontId="18" fillId="0" borderId="74" xfId="56" applyBorder="1" applyAlignment="1">
      <alignment horizontal="center" vertical="center"/>
      <protection/>
    </xf>
    <xf numFmtId="0" fontId="18" fillId="0" borderId="86" xfId="56" applyBorder="1" applyAlignment="1">
      <alignment horizontal="center" vertical="center"/>
      <protection/>
    </xf>
    <xf numFmtId="0" fontId="18" fillId="0" borderId="25" xfId="56" applyBorder="1" applyAlignment="1">
      <alignment horizontal="center" vertical="center"/>
      <protection/>
    </xf>
    <xf numFmtId="0" fontId="18" fillId="0" borderId="16" xfId="56" applyBorder="1" applyAlignment="1">
      <alignment horizontal="center" vertical="center"/>
      <protection/>
    </xf>
    <xf numFmtId="0" fontId="52" fillId="0" borderId="42" xfId="56" applyFont="1" applyBorder="1" applyAlignment="1">
      <alignment horizontal="right"/>
      <protection/>
    </xf>
    <xf numFmtId="0" fontId="52" fillId="0" borderId="126" xfId="56" applyFont="1" applyBorder="1" applyAlignment="1">
      <alignment horizontal="right"/>
      <protection/>
    </xf>
    <xf numFmtId="0" fontId="73" fillId="0" borderId="100" xfId="56" applyFont="1" applyBorder="1" applyAlignment="1">
      <alignment horizontal="left"/>
      <protection/>
    </xf>
    <xf numFmtId="0" fontId="73" fillId="0" borderId="42" xfId="56" applyFont="1" applyBorder="1" applyAlignment="1">
      <alignment horizontal="left"/>
      <protection/>
    </xf>
    <xf numFmtId="3" fontId="29" fillId="0" borderId="161" xfId="56" applyNumberFormat="1" applyFont="1" applyBorder="1" applyAlignment="1">
      <alignment horizontal="right" vertical="center"/>
      <protection/>
    </xf>
    <xf numFmtId="0" fontId="30" fillId="0" borderId="93" xfId="56" applyFont="1" applyBorder="1" applyAlignment="1">
      <alignment horizontal="left"/>
      <protection/>
    </xf>
    <xf numFmtId="0" fontId="30" fillId="0" borderId="106" xfId="56" applyFont="1" applyBorder="1" applyAlignment="1">
      <alignment horizontal="left"/>
      <protection/>
    </xf>
    <xf numFmtId="0" fontId="30" fillId="0" borderId="25" xfId="56" applyFont="1" applyBorder="1" applyAlignment="1">
      <alignment horizontal="left"/>
      <protection/>
    </xf>
    <xf numFmtId="0" fontId="52" fillId="0" borderId="44" xfId="56" applyFont="1" applyBorder="1" applyAlignment="1">
      <alignment horizontal="right"/>
      <protection/>
    </xf>
    <xf numFmtId="0" fontId="0" fillId="0" borderId="162" xfId="0" applyBorder="1" applyAlignment="1">
      <alignment/>
    </xf>
    <xf numFmtId="0" fontId="0" fillId="0" borderId="86" xfId="0" applyBorder="1" applyAlignment="1">
      <alignment/>
    </xf>
    <xf numFmtId="0" fontId="0" fillId="0" borderId="33" xfId="0" applyBorder="1" applyAlignment="1">
      <alignment/>
    </xf>
    <xf numFmtId="0" fontId="0" fillId="0" borderId="7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29" fillId="0" borderId="96" xfId="56" applyNumberFormat="1" applyFont="1" applyBorder="1" applyAlignment="1">
      <alignment horizontal="right" vertical="center"/>
      <protection/>
    </xf>
    <xf numFmtId="0" fontId="25" fillId="0" borderId="0" xfId="0" applyFont="1" applyAlignment="1">
      <alignment horizontal="center"/>
    </xf>
    <xf numFmtId="0" fontId="18" fillId="33" borderId="59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13" fillId="0" borderId="0" xfId="0" applyFont="1" applyFill="1" applyAlignment="1">
      <alignment horizontal="center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7" fillId="0" borderId="55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9" fillId="0" borderId="0" xfId="59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4" fillId="0" borderId="55" xfId="59" applyFont="1" applyBorder="1" applyAlignment="1">
      <alignment horizontal="center" vertical="center"/>
      <protection/>
    </xf>
    <xf numFmtId="0" fontId="24" fillId="0" borderId="30" xfId="59" applyFont="1" applyBorder="1" applyAlignment="1">
      <alignment horizontal="center" vertical="center"/>
      <protection/>
    </xf>
    <xf numFmtId="0" fontId="19" fillId="0" borderId="57" xfId="59" applyFont="1" applyBorder="1" applyAlignment="1">
      <alignment horizontal="center" vertical="center" wrapText="1"/>
      <protection/>
    </xf>
    <xf numFmtId="0" fontId="19" fillId="0" borderId="26" xfId="59" applyFont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3" fillId="0" borderId="13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25" fillId="35" borderId="18" xfId="58" applyFont="1" applyFill="1" applyBorder="1" applyAlignment="1">
      <alignment horizontal="left"/>
      <protection/>
    </xf>
    <xf numFmtId="0" fontId="25" fillId="35" borderId="21" xfId="58" applyFont="1" applyFill="1" applyBorder="1" applyAlignment="1">
      <alignment horizontal="left"/>
      <protection/>
    </xf>
    <xf numFmtId="49" fontId="25" fillId="34" borderId="18" xfId="58" applyNumberFormat="1" applyFont="1" applyFill="1" applyBorder="1" applyAlignment="1">
      <alignment horizontal="left" vertical="center"/>
      <protection/>
    </xf>
    <xf numFmtId="49" fontId="25" fillId="34" borderId="21" xfId="58" applyNumberFormat="1" applyFont="1" applyFill="1" applyBorder="1" applyAlignment="1">
      <alignment horizontal="left" vertical="center"/>
      <protection/>
    </xf>
    <xf numFmtId="0" fontId="25" fillId="0" borderId="18" xfId="58" applyFont="1" applyBorder="1" applyAlignment="1">
      <alignment horizontal="left"/>
      <protection/>
    </xf>
    <xf numFmtId="0" fontId="25" fillId="0" borderId="21" xfId="58" applyFont="1" applyBorder="1" applyAlignment="1">
      <alignment horizontal="left"/>
      <protection/>
    </xf>
    <xf numFmtId="0" fontId="18" fillId="0" borderId="18" xfId="58" applyFont="1" applyBorder="1" applyAlignment="1">
      <alignment horizontal="left"/>
      <protection/>
    </xf>
    <xf numFmtId="0" fontId="18" fillId="0" borderId="21" xfId="58" applyFont="1" applyBorder="1" applyAlignment="1">
      <alignment horizontal="left"/>
      <protection/>
    </xf>
    <xf numFmtId="0" fontId="3" fillId="34" borderId="26" xfId="58" applyFont="1" applyFill="1" applyBorder="1" applyAlignment="1">
      <alignment horizontal="right"/>
      <protection/>
    </xf>
    <xf numFmtId="0" fontId="3" fillId="34" borderId="18" xfId="58" applyFont="1" applyFill="1" applyBorder="1" applyAlignment="1">
      <alignment horizontal="right"/>
      <protection/>
    </xf>
    <xf numFmtId="0" fontId="30" fillId="35" borderId="18" xfId="58" applyFont="1" applyFill="1" applyBorder="1" applyAlignment="1">
      <alignment horizontal="left"/>
      <protection/>
    </xf>
    <xf numFmtId="0" fontId="30" fillId="35" borderId="21" xfId="58" applyFont="1" applyFill="1" applyBorder="1" applyAlignment="1">
      <alignment horizontal="left"/>
      <protection/>
    </xf>
    <xf numFmtId="0" fontId="3" fillId="35" borderId="18" xfId="58" applyFont="1" applyFill="1" applyBorder="1" applyAlignment="1">
      <alignment horizontal="left"/>
      <protection/>
    </xf>
    <xf numFmtId="0" fontId="3" fillId="35" borderId="21" xfId="58" applyFont="1" applyFill="1" applyBorder="1" applyAlignment="1">
      <alignment horizontal="left"/>
      <protection/>
    </xf>
    <xf numFmtId="0" fontId="3" fillId="34" borderId="26" xfId="58" applyFont="1" applyFill="1" applyBorder="1" applyAlignment="1">
      <alignment horizontal="left"/>
      <protection/>
    </xf>
    <xf numFmtId="0" fontId="3" fillId="34" borderId="18" xfId="58" applyFont="1" applyFill="1" applyBorder="1" applyAlignment="1">
      <alignment horizontal="left"/>
      <protection/>
    </xf>
    <xf numFmtId="0" fontId="18" fillId="0" borderId="18" xfId="58" applyFont="1" applyBorder="1" applyAlignment="1">
      <alignment horizontal="left"/>
      <protection/>
    </xf>
    <xf numFmtId="0" fontId="18" fillId="0" borderId="21" xfId="58" applyFont="1" applyBorder="1" applyAlignment="1">
      <alignment horizontal="left"/>
      <protection/>
    </xf>
    <xf numFmtId="0" fontId="50" fillId="34" borderId="26" xfId="58" applyFont="1" applyFill="1" applyBorder="1" applyAlignment="1">
      <alignment horizontal="left"/>
      <protection/>
    </xf>
    <xf numFmtId="0" fontId="50" fillId="34" borderId="18" xfId="58" applyFont="1" applyFill="1" applyBorder="1" applyAlignment="1">
      <alignment horizontal="left"/>
      <protection/>
    </xf>
    <xf numFmtId="0" fontId="2" fillId="0" borderId="134" xfId="58" applyFont="1" applyBorder="1" applyAlignment="1">
      <alignment horizontal="center" vertical="center" wrapText="1"/>
      <protection/>
    </xf>
    <xf numFmtId="0" fontId="18" fillId="0" borderId="51" xfId="58" applyBorder="1" applyAlignment="1">
      <alignment horizontal="center" vertical="center" wrapText="1"/>
      <protection/>
    </xf>
    <xf numFmtId="0" fontId="2" fillId="0" borderId="19" xfId="58" applyFont="1" applyBorder="1" applyAlignment="1">
      <alignment horizontal="left" vertical="center"/>
      <protection/>
    </xf>
    <xf numFmtId="0" fontId="2" fillId="0" borderId="32" xfId="58" applyFont="1" applyBorder="1" applyAlignment="1">
      <alignment horizontal="left" vertical="center"/>
      <protection/>
    </xf>
    <xf numFmtId="0" fontId="2" fillId="0" borderId="29" xfId="58" applyFont="1" applyBorder="1" applyAlignment="1">
      <alignment horizontal="left" vertical="center"/>
      <protection/>
    </xf>
    <xf numFmtId="0" fontId="2" fillId="0" borderId="27" xfId="58" applyFont="1" applyBorder="1" applyAlignment="1">
      <alignment horizontal="left" vertical="center"/>
      <protection/>
    </xf>
    <xf numFmtId="49" fontId="18" fillId="0" borderId="18" xfId="58" applyNumberFormat="1" applyBorder="1" applyAlignment="1">
      <alignment horizontal="left" vertical="center"/>
      <protection/>
    </xf>
    <xf numFmtId="49" fontId="18" fillId="0" borderId="21" xfId="58" applyNumberFormat="1" applyBorder="1" applyAlignment="1">
      <alignment horizontal="left" vertical="center"/>
      <protection/>
    </xf>
    <xf numFmtId="0" fontId="2" fillId="0" borderId="0" xfId="58" applyFont="1" applyAlignment="1">
      <alignment horizontal="center" wrapText="1"/>
      <protection/>
    </xf>
    <xf numFmtId="0" fontId="2" fillId="0" borderId="0" xfId="58" applyFont="1" applyAlignment="1">
      <alignment horizontal="center"/>
      <protection/>
    </xf>
    <xf numFmtId="0" fontId="2" fillId="0" borderId="57" xfId="58" applyFont="1" applyBorder="1" applyAlignment="1">
      <alignment horizontal="center" vertical="center"/>
      <protection/>
    </xf>
    <xf numFmtId="0" fontId="2" fillId="0" borderId="80" xfId="58" applyFont="1" applyBorder="1" applyAlignment="1">
      <alignment horizontal="center" vertical="center"/>
      <protection/>
    </xf>
    <xf numFmtId="0" fontId="2" fillId="0" borderId="55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55" xfId="58" applyFont="1" applyBorder="1" applyAlignment="1">
      <alignment horizontal="center" vertical="center" wrapText="1"/>
      <protection/>
    </xf>
    <xf numFmtId="0" fontId="2" fillId="0" borderId="56" xfId="58" applyFont="1" applyBorder="1" applyAlignment="1">
      <alignment horizontal="center" vertical="center" wrapText="1"/>
      <protection/>
    </xf>
    <xf numFmtId="0" fontId="2" fillId="0" borderId="57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51" fillId="0" borderId="163" xfId="0" applyFont="1" applyBorder="1" applyAlignment="1">
      <alignment horizontal="left"/>
    </xf>
    <xf numFmtId="0" fontId="51" fillId="0" borderId="164" xfId="0" applyFont="1" applyBorder="1" applyAlignment="1">
      <alignment horizontal="left"/>
    </xf>
    <xf numFmtId="0" fontId="51" fillId="0" borderId="154" xfId="0" applyFont="1" applyBorder="1" applyAlignment="1">
      <alignment horizontal="left"/>
    </xf>
    <xf numFmtId="0" fontId="25" fillId="0" borderId="14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3" fontId="0" fillId="0" borderId="57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0" fillId="0" borderId="61" xfId="0" applyBorder="1" applyAlignment="1">
      <alignment horizontal="center"/>
    </xf>
    <xf numFmtId="0" fontId="0" fillId="0" borderId="116" xfId="0" applyBorder="1" applyAlignment="1">
      <alignment horizontal="center"/>
    </xf>
    <xf numFmtId="0" fontId="51" fillId="0" borderId="165" xfId="0" applyFont="1" applyBorder="1" applyAlignment="1">
      <alignment horizontal="left"/>
    </xf>
    <xf numFmtId="0" fontId="51" fillId="0" borderId="166" xfId="0" applyFont="1" applyBorder="1" applyAlignment="1">
      <alignment horizontal="left"/>
    </xf>
    <xf numFmtId="0" fontId="51" fillId="0" borderId="167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51" fillId="0" borderId="158" xfId="0" applyFont="1" applyBorder="1" applyAlignment="1">
      <alignment horizontal="left"/>
    </xf>
    <xf numFmtId="0" fontId="51" fillId="0" borderId="143" xfId="0" applyFont="1" applyBorder="1" applyAlignment="1">
      <alignment horizontal="left"/>
    </xf>
    <xf numFmtId="0" fontId="51" fillId="0" borderId="78" xfId="0" applyFont="1" applyBorder="1" applyAlignment="1">
      <alignment horizontal="left"/>
    </xf>
    <xf numFmtId="3" fontId="25" fillId="0" borderId="80" xfId="0" applyNumberFormat="1" applyFont="1" applyFill="1" applyBorder="1" applyAlignment="1">
      <alignment horizontal="center"/>
    </xf>
    <xf numFmtId="3" fontId="25" fillId="0" borderId="138" xfId="0" applyNumberFormat="1" applyFont="1" applyFill="1" applyBorder="1" applyAlignment="1">
      <alignment horizontal="center"/>
    </xf>
    <xf numFmtId="3" fontId="25" fillId="0" borderId="56" xfId="0" applyNumberFormat="1" applyFont="1" applyFill="1" applyBorder="1" applyAlignment="1">
      <alignment horizontal="center"/>
    </xf>
    <xf numFmtId="0" fontId="25" fillId="0" borderId="80" xfId="0" applyFont="1" applyFill="1" applyBorder="1" applyAlignment="1">
      <alignment horizontal="center"/>
    </xf>
    <xf numFmtId="0" fontId="25" fillId="0" borderId="138" xfId="0" applyFont="1" applyFill="1" applyBorder="1" applyAlignment="1">
      <alignment horizontal="center"/>
    </xf>
    <xf numFmtId="0" fontId="25" fillId="0" borderId="168" xfId="0" applyFont="1" applyFill="1" applyBorder="1" applyAlignment="1">
      <alignment horizontal="center"/>
    </xf>
    <xf numFmtId="3" fontId="25" fillId="0" borderId="168" xfId="0" applyNumberFormat="1" applyFont="1" applyFill="1" applyBorder="1" applyAlignment="1">
      <alignment horizontal="center"/>
    </xf>
    <xf numFmtId="0" fontId="53" fillId="37" borderId="97" xfId="0" applyFont="1" applyFill="1" applyBorder="1" applyAlignment="1">
      <alignment horizontal="center" vertical="center"/>
    </xf>
    <xf numFmtId="0" fontId="53" fillId="37" borderId="42" xfId="0" applyFont="1" applyFill="1" applyBorder="1" applyAlignment="1">
      <alignment horizontal="center" vertical="center"/>
    </xf>
    <xf numFmtId="0" fontId="53" fillId="37" borderId="169" xfId="0" applyFont="1" applyFill="1" applyBorder="1" applyAlignment="1">
      <alignment horizontal="center" vertical="center"/>
    </xf>
    <xf numFmtId="0" fontId="23" fillId="0" borderId="13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52" fillId="0" borderId="151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79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2" fillId="0" borderId="80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3" fontId="18" fillId="6" borderId="55" xfId="0" applyNumberFormat="1" applyFont="1" applyFill="1" applyBorder="1" applyAlignment="1">
      <alignment horizontal="right"/>
    </xf>
    <xf numFmtId="3" fontId="18" fillId="6" borderId="30" xfId="0" applyNumberFormat="1" applyFont="1" applyFill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96" xfId="0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56" fillId="0" borderId="0" xfId="0" applyFont="1" applyAlignment="1">
      <alignment horizontal="center" wrapText="1"/>
    </xf>
    <xf numFmtId="0" fontId="57" fillId="0" borderId="134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_Kötelező, önként vállalt, állami feladatok szerinti bontás" xfId="56"/>
    <cellStyle name="Normál_Munka1" xfId="57"/>
    <cellStyle name="Normál_NORM09" xfId="58"/>
    <cellStyle name="Normál_TABLAK_táblák2012előter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48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5.125" style="0" customWidth="1"/>
    <col min="4" max="4" width="5.875" style="0" customWidth="1"/>
    <col min="5" max="5" width="47.125" style="0" customWidth="1"/>
    <col min="6" max="6" width="14.00390625" style="0" customWidth="1"/>
    <col min="7" max="7" width="13.625" style="0" customWidth="1"/>
    <col min="8" max="8" width="15.125" style="0" customWidth="1"/>
    <col min="9" max="9" width="14.625" style="0" customWidth="1"/>
  </cols>
  <sheetData>
    <row r="1" spans="1:9" ht="12.75">
      <c r="A1" s="140"/>
      <c r="B1" s="1"/>
      <c r="C1" s="1"/>
      <c r="D1" s="1"/>
      <c r="E1" s="2"/>
      <c r="F1" s="927" t="s">
        <v>1127</v>
      </c>
      <c r="G1" s="928"/>
      <c r="H1" s="928"/>
      <c r="I1" s="928"/>
    </row>
    <row r="2" spans="1:9" ht="15.75">
      <c r="A2" s="932" t="s">
        <v>879</v>
      </c>
      <c r="B2" s="932"/>
      <c r="C2" s="932"/>
      <c r="D2" s="932"/>
      <c r="E2" s="932"/>
      <c r="F2" s="932"/>
      <c r="G2" s="932"/>
      <c r="H2" s="932"/>
      <c r="I2" s="932"/>
    </row>
    <row r="3" spans="1:9" ht="12.75">
      <c r="A3" s="140"/>
      <c r="B3" s="3"/>
      <c r="C3" s="3"/>
      <c r="D3" s="3"/>
      <c r="E3" s="3"/>
      <c r="F3" s="1"/>
      <c r="G3" s="1"/>
      <c r="H3" s="1"/>
      <c r="I3" s="1"/>
    </row>
    <row r="4" spans="1:9" ht="12.75">
      <c r="A4" s="140"/>
      <c r="B4" s="1"/>
      <c r="C4" s="1"/>
      <c r="D4" s="1"/>
      <c r="E4" s="1"/>
      <c r="F4" s="1"/>
      <c r="G4" s="1"/>
      <c r="H4" s="1"/>
      <c r="I4" s="2" t="s">
        <v>619</v>
      </c>
    </row>
    <row r="5" spans="1:9" ht="36">
      <c r="A5" s="933" t="s">
        <v>1007</v>
      </c>
      <c r="B5" s="934"/>
      <c r="C5" s="934"/>
      <c r="D5" s="934"/>
      <c r="E5" s="935"/>
      <c r="F5" s="127" t="s">
        <v>1008</v>
      </c>
      <c r="G5" s="127" t="s">
        <v>1009</v>
      </c>
      <c r="H5" s="127" t="s">
        <v>880</v>
      </c>
      <c r="I5" s="127" t="s">
        <v>611</v>
      </c>
    </row>
    <row r="6" spans="1:9" s="713" customFormat="1" ht="15">
      <c r="A6" s="714" t="s">
        <v>692</v>
      </c>
      <c r="B6" s="929" t="s">
        <v>693</v>
      </c>
      <c r="C6" s="930"/>
      <c r="D6" s="930"/>
      <c r="E6" s="931"/>
      <c r="F6" s="715" t="s">
        <v>694</v>
      </c>
      <c r="G6" s="715" t="s">
        <v>695</v>
      </c>
      <c r="H6" s="715" t="s">
        <v>696</v>
      </c>
      <c r="I6" s="715" t="s">
        <v>697</v>
      </c>
    </row>
    <row r="7" spans="1:9" s="377" customFormat="1" ht="12.75">
      <c r="A7" s="375" t="s">
        <v>333</v>
      </c>
      <c r="B7" s="924" t="s">
        <v>334</v>
      </c>
      <c r="C7" s="924"/>
      <c r="D7" s="924"/>
      <c r="E7" s="924"/>
      <c r="F7" s="376">
        <f>SUM(F8+F15+F16+F17+F28+F29)</f>
        <v>985007</v>
      </c>
      <c r="G7" s="376">
        <f>SUM(G8+G15+G16+G17+G28+G29)</f>
        <v>2483</v>
      </c>
      <c r="H7" s="376">
        <f>SUM(H8+H15+H16+H17+H28+H29)</f>
        <v>5066</v>
      </c>
      <c r="I7" s="376">
        <f>SUM(F7:H7)</f>
        <v>992556</v>
      </c>
    </row>
    <row r="8" spans="1:9" ht="12.75">
      <c r="A8" s="344"/>
      <c r="B8" s="344" t="s">
        <v>335</v>
      </c>
      <c r="C8" s="923" t="s">
        <v>336</v>
      </c>
      <c r="D8" s="923"/>
      <c r="E8" s="923"/>
      <c r="F8" s="345">
        <f>SUM(F9:F14)</f>
        <v>606373</v>
      </c>
      <c r="G8" s="345">
        <f>SUM(G9:G14)</f>
        <v>0</v>
      </c>
      <c r="H8" s="345">
        <f>SUM(H9:H14)</f>
        <v>0</v>
      </c>
      <c r="I8" s="374">
        <f aca="true" t="shared" si="0" ref="I8:I71">SUM(F8:H8)</f>
        <v>606373</v>
      </c>
    </row>
    <row r="9" spans="1:9" ht="12.75">
      <c r="A9" s="353"/>
      <c r="B9" s="353"/>
      <c r="C9" s="353" t="s">
        <v>337</v>
      </c>
      <c r="D9" s="353"/>
      <c r="E9" s="353" t="s">
        <v>843</v>
      </c>
      <c r="F9" s="354">
        <f>208698+48355</f>
        <v>257053</v>
      </c>
      <c r="G9" s="354">
        <v>0</v>
      </c>
      <c r="H9" s="354">
        <v>0</v>
      </c>
      <c r="I9" s="372">
        <f t="shared" si="0"/>
        <v>257053</v>
      </c>
    </row>
    <row r="10" spans="1:9" ht="12.75">
      <c r="A10" s="353"/>
      <c r="B10" s="378"/>
      <c r="C10" s="353" t="s">
        <v>338</v>
      </c>
      <c r="D10" s="353"/>
      <c r="E10" s="353" t="s">
        <v>339</v>
      </c>
      <c r="F10" s="354">
        <v>128045</v>
      </c>
      <c r="G10" s="354">
        <v>0</v>
      </c>
      <c r="H10" s="354">
        <v>0</v>
      </c>
      <c r="I10" s="372">
        <f t="shared" si="0"/>
        <v>128045</v>
      </c>
    </row>
    <row r="11" spans="1:9" ht="12.75">
      <c r="A11" s="353"/>
      <c r="B11" s="353"/>
      <c r="C11" s="353" t="s">
        <v>340</v>
      </c>
      <c r="D11" s="353"/>
      <c r="E11" s="353" t="s">
        <v>341</v>
      </c>
      <c r="F11" s="354">
        <f>241547-6600-48355-1208</f>
        <v>185384</v>
      </c>
      <c r="G11" s="354">
        <v>0</v>
      </c>
      <c r="H11" s="354">
        <v>0</v>
      </c>
      <c r="I11" s="372">
        <f t="shared" si="0"/>
        <v>185384</v>
      </c>
    </row>
    <row r="12" spans="1:9" ht="12.75">
      <c r="A12" s="353"/>
      <c r="B12" s="353"/>
      <c r="C12" s="353" t="s">
        <v>342</v>
      </c>
      <c r="D12" s="353"/>
      <c r="E12" s="353" t="s">
        <v>343</v>
      </c>
      <c r="F12" s="354">
        <v>10609</v>
      </c>
      <c r="G12" s="354">
        <v>0</v>
      </c>
      <c r="H12" s="354">
        <v>0</v>
      </c>
      <c r="I12" s="372">
        <f t="shared" si="0"/>
        <v>10609</v>
      </c>
    </row>
    <row r="13" spans="1:9" ht="12.75">
      <c r="A13" s="353"/>
      <c r="B13" s="353"/>
      <c r="C13" s="353" t="s">
        <v>344</v>
      </c>
      <c r="D13" s="353"/>
      <c r="E13" s="353" t="s">
        <v>345</v>
      </c>
      <c r="F13" s="354">
        <f>4660+527+126+1239</f>
        <v>6552</v>
      </c>
      <c r="G13" s="354">
        <v>0</v>
      </c>
      <c r="H13" s="354">
        <v>0</v>
      </c>
      <c r="I13" s="372">
        <f t="shared" si="0"/>
        <v>6552</v>
      </c>
    </row>
    <row r="14" spans="1:9" ht="12.75">
      <c r="A14" s="358"/>
      <c r="B14" s="358"/>
      <c r="C14" s="353" t="s">
        <v>346</v>
      </c>
      <c r="D14" s="358"/>
      <c r="E14" s="353" t="s">
        <v>347</v>
      </c>
      <c r="F14" s="354">
        <f>70736-897-750+6047+1010-57416</f>
        <v>18730</v>
      </c>
      <c r="G14" s="354">
        <v>0</v>
      </c>
      <c r="H14" s="354">
        <v>0</v>
      </c>
      <c r="I14" s="372">
        <f t="shared" si="0"/>
        <v>18730</v>
      </c>
    </row>
    <row r="15" spans="1:9" ht="12.75">
      <c r="A15" s="344"/>
      <c r="B15" s="344" t="s">
        <v>348</v>
      </c>
      <c r="C15" s="923" t="s">
        <v>349</v>
      </c>
      <c r="D15" s="923"/>
      <c r="E15" s="923"/>
      <c r="F15" s="345">
        <f>9755+3610+120</f>
        <v>13485</v>
      </c>
      <c r="G15" s="345">
        <v>0</v>
      </c>
      <c r="H15" s="345">
        <v>0</v>
      </c>
      <c r="I15" s="374">
        <f t="shared" si="0"/>
        <v>13485</v>
      </c>
    </row>
    <row r="16" spans="1:9" ht="12.75">
      <c r="A16" s="344"/>
      <c r="B16" s="344" t="s">
        <v>350</v>
      </c>
      <c r="C16" s="923" t="s">
        <v>351</v>
      </c>
      <c r="D16" s="923"/>
      <c r="E16" s="923"/>
      <c r="F16" s="345">
        <v>0</v>
      </c>
      <c r="G16" s="345">
        <v>0</v>
      </c>
      <c r="H16" s="345">
        <v>0</v>
      </c>
      <c r="I16" s="374">
        <f>SUM(F16:H16)</f>
        <v>0</v>
      </c>
    </row>
    <row r="17" spans="1:9" ht="12.75">
      <c r="A17" s="344"/>
      <c r="B17" s="344" t="s">
        <v>352</v>
      </c>
      <c r="C17" s="923" t="s">
        <v>353</v>
      </c>
      <c r="D17" s="923"/>
      <c r="E17" s="923"/>
      <c r="F17" s="345">
        <f>SUM(F18:F27)</f>
        <v>3150</v>
      </c>
      <c r="G17" s="345">
        <f>SUM(G18:G27)</f>
        <v>0</v>
      </c>
      <c r="H17" s="345">
        <f>SUM(H18:H27)</f>
        <v>0</v>
      </c>
      <c r="I17" s="374">
        <f t="shared" si="0"/>
        <v>3150</v>
      </c>
    </row>
    <row r="18" spans="1:9" ht="12.75">
      <c r="A18" s="356"/>
      <c r="B18" s="356"/>
      <c r="C18" s="355" t="s">
        <v>1029</v>
      </c>
      <c r="D18" s="355" t="s">
        <v>239</v>
      </c>
      <c r="E18" s="355" t="s">
        <v>240</v>
      </c>
      <c r="F18" s="357">
        <v>0</v>
      </c>
      <c r="G18" s="357">
        <v>0</v>
      </c>
      <c r="H18" s="357">
        <v>0</v>
      </c>
      <c r="I18" s="359">
        <f t="shared" si="0"/>
        <v>0</v>
      </c>
    </row>
    <row r="19" spans="1:9" ht="12.75">
      <c r="A19" s="356"/>
      <c r="B19" s="356"/>
      <c r="C19" s="355"/>
      <c r="D19" s="355" t="s">
        <v>241</v>
      </c>
      <c r="E19" s="355" t="s">
        <v>242</v>
      </c>
      <c r="F19" s="357">
        <v>0</v>
      </c>
      <c r="G19" s="357">
        <v>0</v>
      </c>
      <c r="H19" s="357">
        <v>0</v>
      </c>
      <c r="I19" s="359">
        <f t="shared" si="0"/>
        <v>0</v>
      </c>
    </row>
    <row r="20" spans="1:9" ht="12.75">
      <c r="A20" s="356"/>
      <c r="B20" s="356"/>
      <c r="C20" s="355"/>
      <c r="D20" s="355" t="s">
        <v>243</v>
      </c>
      <c r="E20" s="355" t="s">
        <v>354</v>
      </c>
      <c r="F20" s="357">
        <v>0</v>
      </c>
      <c r="G20" s="357">
        <v>0</v>
      </c>
      <c r="H20" s="357">
        <v>0</v>
      </c>
      <c r="I20" s="359">
        <f t="shared" si="0"/>
        <v>0</v>
      </c>
    </row>
    <row r="21" spans="1:9" ht="12.75">
      <c r="A21" s="356"/>
      <c r="B21" s="356"/>
      <c r="C21" s="355"/>
      <c r="D21" s="355" t="s">
        <v>245</v>
      </c>
      <c r="E21" s="355" t="s">
        <v>246</v>
      </c>
      <c r="F21" s="357">
        <v>0</v>
      </c>
      <c r="G21" s="357">
        <v>0</v>
      </c>
      <c r="H21" s="357">
        <v>0</v>
      </c>
      <c r="I21" s="359">
        <f t="shared" si="0"/>
        <v>0</v>
      </c>
    </row>
    <row r="22" spans="1:9" ht="12.75">
      <c r="A22" s="356"/>
      <c r="B22" s="356"/>
      <c r="C22" s="355"/>
      <c r="D22" s="355" t="s">
        <v>247</v>
      </c>
      <c r="E22" s="355" t="s">
        <v>248</v>
      </c>
      <c r="F22" s="357">
        <v>0</v>
      </c>
      <c r="G22" s="357">
        <v>0</v>
      </c>
      <c r="H22" s="357">
        <v>0</v>
      </c>
      <c r="I22" s="359">
        <f t="shared" si="0"/>
        <v>0</v>
      </c>
    </row>
    <row r="23" spans="1:9" ht="12.75">
      <c r="A23" s="356"/>
      <c r="B23" s="356"/>
      <c r="C23" s="355"/>
      <c r="D23" s="355" t="s">
        <v>249</v>
      </c>
      <c r="E23" s="355" t="s">
        <v>250</v>
      </c>
      <c r="F23" s="357">
        <v>0</v>
      </c>
      <c r="G23" s="357">
        <v>0</v>
      </c>
      <c r="H23" s="357">
        <v>0</v>
      </c>
      <c r="I23" s="359">
        <f t="shared" si="0"/>
        <v>0</v>
      </c>
    </row>
    <row r="24" spans="1:9" ht="12.75">
      <c r="A24" s="356"/>
      <c r="B24" s="356"/>
      <c r="C24" s="355"/>
      <c r="D24" s="355" t="s">
        <v>251</v>
      </c>
      <c r="E24" s="355" t="s">
        <v>252</v>
      </c>
      <c r="F24" s="357">
        <v>0</v>
      </c>
      <c r="G24" s="357">
        <v>0</v>
      </c>
      <c r="H24" s="357">
        <v>0</v>
      </c>
      <c r="I24" s="359">
        <f t="shared" si="0"/>
        <v>0</v>
      </c>
    </row>
    <row r="25" spans="1:9" ht="12.75">
      <c r="A25" s="356"/>
      <c r="B25" s="356"/>
      <c r="C25" s="355"/>
      <c r="D25" s="355" t="s">
        <v>253</v>
      </c>
      <c r="E25" s="355" t="s">
        <v>254</v>
      </c>
      <c r="F25" s="357">
        <f>1677+1473</f>
        <v>3150</v>
      </c>
      <c r="G25" s="357">
        <v>0</v>
      </c>
      <c r="H25" s="357">
        <v>0</v>
      </c>
      <c r="I25" s="359">
        <f t="shared" si="0"/>
        <v>3150</v>
      </c>
    </row>
    <row r="26" spans="1:9" ht="12.75">
      <c r="A26" s="356"/>
      <c r="B26" s="356"/>
      <c r="C26" s="355"/>
      <c r="D26" s="355" t="s">
        <v>255</v>
      </c>
      <c r="E26" s="355" t="s">
        <v>256</v>
      </c>
      <c r="F26" s="357">
        <v>0</v>
      </c>
      <c r="G26" s="357">
        <v>0</v>
      </c>
      <c r="H26" s="357">
        <v>0</v>
      </c>
      <c r="I26" s="359">
        <f t="shared" si="0"/>
        <v>0</v>
      </c>
    </row>
    <row r="27" spans="1:9" ht="12.75">
      <c r="A27" s="356"/>
      <c r="B27" s="356"/>
      <c r="C27" s="355"/>
      <c r="D27" s="355" t="s">
        <v>257</v>
      </c>
      <c r="E27" s="355" t="s">
        <v>258</v>
      </c>
      <c r="F27" s="357">
        <v>0</v>
      </c>
      <c r="G27" s="357">
        <v>0</v>
      </c>
      <c r="H27" s="357">
        <v>0</v>
      </c>
      <c r="I27" s="359">
        <f t="shared" si="0"/>
        <v>0</v>
      </c>
    </row>
    <row r="28" spans="1:9" ht="12.75">
      <c r="A28" s="344"/>
      <c r="B28" s="344" t="s">
        <v>355</v>
      </c>
      <c r="C28" s="923" t="s">
        <v>356</v>
      </c>
      <c r="D28" s="923"/>
      <c r="E28" s="923"/>
      <c r="F28" s="345">
        <v>0</v>
      </c>
      <c r="G28" s="345">
        <v>0</v>
      </c>
      <c r="H28" s="345">
        <v>0</v>
      </c>
      <c r="I28" s="374">
        <f t="shared" si="0"/>
        <v>0</v>
      </c>
    </row>
    <row r="29" spans="1:9" ht="12.75">
      <c r="A29" s="344"/>
      <c r="B29" s="344" t="s">
        <v>357</v>
      </c>
      <c r="C29" s="923" t="s">
        <v>358</v>
      </c>
      <c r="D29" s="923"/>
      <c r="E29" s="923"/>
      <c r="F29" s="345">
        <f>SUM(F30:F39)</f>
        <v>361999</v>
      </c>
      <c r="G29" s="345">
        <f>SUM(G30:G39)</f>
        <v>2483</v>
      </c>
      <c r="H29" s="345">
        <f>SUM(H30:H39)</f>
        <v>5066</v>
      </c>
      <c r="I29" s="374">
        <f t="shared" si="0"/>
        <v>369548</v>
      </c>
    </row>
    <row r="30" spans="1:9" ht="12.75">
      <c r="A30" s="356"/>
      <c r="B30" s="356"/>
      <c r="C30" s="355" t="s">
        <v>1029</v>
      </c>
      <c r="D30" s="355" t="s">
        <v>239</v>
      </c>
      <c r="E30" s="355" t="s">
        <v>240</v>
      </c>
      <c r="F30" s="357">
        <v>0</v>
      </c>
      <c r="G30" s="357">
        <v>0</v>
      </c>
      <c r="H30" s="357">
        <v>0</v>
      </c>
      <c r="I30" s="359">
        <f t="shared" si="0"/>
        <v>0</v>
      </c>
    </row>
    <row r="31" spans="1:9" ht="12.75">
      <c r="A31" s="356"/>
      <c r="B31" s="356"/>
      <c r="C31" s="355"/>
      <c r="D31" s="355" t="s">
        <v>241</v>
      </c>
      <c r="E31" s="355" t="s">
        <v>242</v>
      </c>
      <c r="F31" s="357">
        <v>0</v>
      </c>
      <c r="G31" s="357">
        <v>0</v>
      </c>
      <c r="H31" s="357">
        <v>0</v>
      </c>
      <c r="I31" s="359">
        <f t="shared" si="0"/>
        <v>0</v>
      </c>
    </row>
    <row r="32" spans="1:9" ht="12.75">
      <c r="A32" s="363"/>
      <c r="B32" s="363"/>
      <c r="C32" s="364"/>
      <c r="D32" s="364" t="s">
        <v>243</v>
      </c>
      <c r="E32" s="364" t="s">
        <v>354</v>
      </c>
      <c r="F32" s="357">
        <f>19900+8363</f>
        <v>28263</v>
      </c>
      <c r="G32" s="357">
        <v>0</v>
      </c>
      <c r="H32" s="357">
        <v>5066</v>
      </c>
      <c r="I32" s="359">
        <f t="shared" si="0"/>
        <v>33329</v>
      </c>
    </row>
    <row r="33" spans="1:9" ht="12.75">
      <c r="A33" s="356"/>
      <c r="B33" s="356"/>
      <c r="C33" s="355"/>
      <c r="D33" s="355" t="s">
        <v>245</v>
      </c>
      <c r="E33" s="355" t="s">
        <v>246</v>
      </c>
      <c r="F33" s="357">
        <f>42300+140+6245</f>
        <v>48685</v>
      </c>
      <c r="G33" s="357">
        <f>1241+1241+1</f>
        <v>2483</v>
      </c>
      <c r="H33" s="357">
        <v>0</v>
      </c>
      <c r="I33" s="359">
        <f t="shared" si="0"/>
        <v>51168</v>
      </c>
    </row>
    <row r="34" spans="1:9" ht="12.75">
      <c r="A34" s="356"/>
      <c r="B34" s="356"/>
      <c r="C34" s="355"/>
      <c r="D34" s="355" t="s">
        <v>247</v>
      </c>
      <c r="E34" s="355" t="s">
        <v>248</v>
      </c>
      <c r="F34" s="357">
        <f>29220+373</f>
        <v>29593</v>
      </c>
      <c r="G34" s="357">
        <v>0</v>
      </c>
      <c r="H34" s="357">
        <v>0</v>
      </c>
      <c r="I34" s="359">
        <f t="shared" si="0"/>
        <v>29593</v>
      </c>
    </row>
    <row r="35" spans="1:9" ht="12.75">
      <c r="A35" s="356"/>
      <c r="B35" s="356"/>
      <c r="C35" s="355"/>
      <c r="D35" s="355" t="s">
        <v>249</v>
      </c>
      <c r="E35" s="355" t="s">
        <v>250</v>
      </c>
      <c r="F35" s="357">
        <f>116612+16108-14359-2680+58669+14510+45860+17987</f>
        <v>252707</v>
      </c>
      <c r="G35" s="357">
        <v>0</v>
      </c>
      <c r="H35" s="357">
        <v>0</v>
      </c>
      <c r="I35" s="359">
        <f t="shared" si="0"/>
        <v>252707</v>
      </c>
    </row>
    <row r="36" spans="1:9" ht="12.75">
      <c r="A36" s="356"/>
      <c r="B36" s="356"/>
      <c r="C36" s="355"/>
      <c r="D36" s="355" t="s">
        <v>251</v>
      </c>
      <c r="E36" s="355" t="s">
        <v>252</v>
      </c>
      <c r="F36" s="357">
        <f>2543+208</f>
        <v>2751</v>
      </c>
      <c r="G36" s="357">
        <v>0</v>
      </c>
      <c r="H36" s="357">
        <v>0</v>
      </c>
      <c r="I36" s="359">
        <f t="shared" si="0"/>
        <v>2751</v>
      </c>
    </row>
    <row r="37" spans="1:9" ht="12.75">
      <c r="A37" s="356"/>
      <c r="B37" s="356"/>
      <c r="C37" s="355"/>
      <c r="D37" s="355" t="s">
        <v>253</v>
      </c>
      <c r="E37" s="355" t="s">
        <v>254</v>
      </c>
      <c r="F37" s="357">
        <v>0</v>
      </c>
      <c r="G37" s="357">
        <v>0</v>
      </c>
      <c r="H37" s="357">
        <v>0</v>
      </c>
      <c r="I37" s="359">
        <f t="shared" si="0"/>
        <v>0</v>
      </c>
    </row>
    <row r="38" spans="1:9" ht="12.75">
      <c r="A38" s="356"/>
      <c r="B38" s="356"/>
      <c r="C38" s="355"/>
      <c r="D38" s="355" t="s">
        <v>255</v>
      </c>
      <c r="E38" s="355" t="s">
        <v>256</v>
      </c>
      <c r="F38" s="357">
        <v>0</v>
      </c>
      <c r="G38" s="357">
        <v>0</v>
      </c>
      <c r="H38" s="357">
        <v>0</v>
      </c>
      <c r="I38" s="359">
        <f t="shared" si="0"/>
        <v>0</v>
      </c>
    </row>
    <row r="39" spans="1:9" ht="12.75">
      <c r="A39" s="356"/>
      <c r="B39" s="356"/>
      <c r="C39" s="355"/>
      <c r="D39" s="355" t="s">
        <v>257</v>
      </c>
      <c r="E39" s="355" t="s">
        <v>258</v>
      </c>
      <c r="F39" s="357">
        <v>0</v>
      </c>
      <c r="G39" s="357">
        <v>0</v>
      </c>
      <c r="H39" s="357">
        <v>0</v>
      </c>
      <c r="I39" s="359">
        <f t="shared" si="0"/>
        <v>0</v>
      </c>
    </row>
    <row r="40" spans="1:9" s="377" customFormat="1" ht="12.75">
      <c r="A40" s="375" t="s">
        <v>359</v>
      </c>
      <c r="B40" s="924" t="s">
        <v>360</v>
      </c>
      <c r="C40" s="924"/>
      <c r="D40" s="924"/>
      <c r="E40" s="924"/>
      <c r="F40" s="376">
        <f>SUM(F41:F45)</f>
        <v>2974644</v>
      </c>
      <c r="G40" s="376">
        <f>SUM(G41:G45)</f>
        <v>0</v>
      </c>
      <c r="H40" s="376">
        <f>SUM(H41:H45)</f>
        <v>0</v>
      </c>
      <c r="I40" s="376">
        <f t="shared" si="0"/>
        <v>2974644</v>
      </c>
    </row>
    <row r="41" spans="1:9" ht="12.75">
      <c r="A41" s="344"/>
      <c r="B41" s="344" t="s">
        <v>361</v>
      </c>
      <c r="C41" s="923" t="s">
        <v>362</v>
      </c>
      <c r="D41" s="923"/>
      <c r="E41" s="923"/>
      <c r="F41" s="345">
        <f>188589+156+45</f>
        <v>188790</v>
      </c>
      <c r="G41" s="345">
        <v>0</v>
      </c>
      <c r="H41" s="345">
        <v>0</v>
      </c>
      <c r="I41" s="374">
        <f t="shared" si="0"/>
        <v>188790</v>
      </c>
    </row>
    <row r="42" spans="1:9" ht="12.75">
      <c r="A42" s="344"/>
      <c r="B42" s="344" t="s">
        <v>363</v>
      </c>
      <c r="C42" s="923" t="s">
        <v>364</v>
      </c>
      <c r="D42" s="923"/>
      <c r="E42" s="923"/>
      <c r="F42" s="345">
        <v>0</v>
      </c>
      <c r="G42" s="345">
        <v>0</v>
      </c>
      <c r="H42" s="345">
        <v>0</v>
      </c>
      <c r="I42" s="374">
        <f t="shared" si="0"/>
        <v>0</v>
      </c>
    </row>
    <row r="43" spans="1:9" ht="12.75">
      <c r="A43" s="344"/>
      <c r="B43" s="344" t="s">
        <v>365</v>
      </c>
      <c r="C43" s="923" t="s">
        <v>366</v>
      </c>
      <c r="D43" s="923"/>
      <c r="E43" s="923"/>
      <c r="F43" s="345">
        <v>0</v>
      </c>
      <c r="G43" s="345">
        <v>0</v>
      </c>
      <c r="H43" s="345">
        <v>0</v>
      </c>
      <c r="I43" s="374">
        <f t="shared" si="0"/>
        <v>0</v>
      </c>
    </row>
    <row r="44" spans="1:9" ht="12.75">
      <c r="A44" s="344"/>
      <c r="B44" s="344" t="s">
        <v>367</v>
      </c>
      <c r="C44" s="923" t="s">
        <v>368</v>
      </c>
      <c r="D44" s="923"/>
      <c r="E44" s="923"/>
      <c r="F44" s="345">
        <v>0</v>
      </c>
      <c r="G44" s="345">
        <v>0</v>
      </c>
      <c r="H44" s="345">
        <v>0</v>
      </c>
      <c r="I44" s="374">
        <f t="shared" si="0"/>
        <v>0</v>
      </c>
    </row>
    <row r="45" spans="1:9" ht="12.75">
      <c r="A45" s="344"/>
      <c r="B45" s="344" t="s">
        <v>369</v>
      </c>
      <c r="C45" s="923" t="s">
        <v>370</v>
      </c>
      <c r="D45" s="923"/>
      <c r="E45" s="923"/>
      <c r="F45" s="345">
        <f>SUM(F46:F55)</f>
        <v>2785854</v>
      </c>
      <c r="G45" s="345">
        <f>SUM(G46:G55)</f>
        <v>0</v>
      </c>
      <c r="H45" s="345">
        <f>SUM(H46:H55)</f>
        <v>0</v>
      </c>
      <c r="I45" s="374">
        <f t="shared" si="0"/>
        <v>2785854</v>
      </c>
    </row>
    <row r="46" spans="1:9" ht="12.75">
      <c r="A46" s="356"/>
      <c r="B46" s="356"/>
      <c r="C46" s="355" t="s">
        <v>1029</v>
      </c>
      <c r="D46" s="355" t="s">
        <v>239</v>
      </c>
      <c r="E46" s="355" t="s">
        <v>240</v>
      </c>
      <c r="F46" s="357">
        <v>0</v>
      </c>
      <c r="G46" s="357">
        <v>0</v>
      </c>
      <c r="H46" s="357">
        <v>0</v>
      </c>
      <c r="I46" s="359">
        <f t="shared" si="0"/>
        <v>0</v>
      </c>
    </row>
    <row r="47" spans="1:9" ht="12.75">
      <c r="A47" s="356"/>
      <c r="B47" s="356"/>
      <c r="C47" s="355"/>
      <c r="D47" s="355" t="s">
        <v>241</v>
      </c>
      <c r="E47" s="355" t="s">
        <v>242</v>
      </c>
      <c r="F47" s="357">
        <v>65000</v>
      </c>
      <c r="G47" s="357">
        <v>0</v>
      </c>
      <c r="H47" s="357">
        <v>0</v>
      </c>
      <c r="I47" s="359">
        <f t="shared" si="0"/>
        <v>65000</v>
      </c>
    </row>
    <row r="48" spans="1:9" ht="12.75">
      <c r="A48" s="363"/>
      <c r="B48" s="363"/>
      <c r="C48" s="364"/>
      <c r="D48" s="364" t="s">
        <v>243</v>
      </c>
      <c r="E48" s="364" t="s">
        <v>354</v>
      </c>
      <c r="F48" s="357">
        <f>394473+2301200+17299</f>
        <v>2712972</v>
      </c>
      <c r="G48" s="357">
        <v>0</v>
      </c>
      <c r="H48" s="357">
        <v>0</v>
      </c>
      <c r="I48" s="359">
        <f t="shared" si="0"/>
        <v>2712972</v>
      </c>
    </row>
    <row r="49" spans="1:9" ht="12.75">
      <c r="A49" s="356"/>
      <c r="B49" s="356"/>
      <c r="C49" s="355"/>
      <c r="D49" s="355" t="s">
        <v>245</v>
      </c>
      <c r="E49" s="355" t="s">
        <v>246</v>
      </c>
      <c r="F49" s="357">
        <v>0</v>
      </c>
      <c r="G49" s="357">
        <v>0</v>
      </c>
      <c r="H49" s="357">
        <v>0</v>
      </c>
      <c r="I49" s="359">
        <f t="shared" si="0"/>
        <v>0</v>
      </c>
    </row>
    <row r="50" spans="1:9" ht="12.75">
      <c r="A50" s="356"/>
      <c r="B50" s="356"/>
      <c r="C50" s="355"/>
      <c r="D50" s="355" t="s">
        <v>247</v>
      </c>
      <c r="E50" s="355" t="s">
        <v>248</v>
      </c>
      <c r="F50" s="357">
        <v>0</v>
      </c>
      <c r="G50" s="357">
        <v>0</v>
      </c>
      <c r="H50" s="357">
        <v>0</v>
      </c>
      <c r="I50" s="359">
        <f t="shared" si="0"/>
        <v>0</v>
      </c>
    </row>
    <row r="51" spans="1:9" ht="12.75">
      <c r="A51" s="356"/>
      <c r="B51" s="356"/>
      <c r="C51" s="355"/>
      <c r="D51" s="355" t="s">
        <v>249</v>
      </c>
      <c r="E51" s="355" t="s">
        <v>250</v>
      </c>
      <c r="F51" s="357">
        <f>2680+2695+2507</f>
        <v>7882</v>
      </c>
      <c r="G51" s="357">
        <v>0</v>
      </c>
      <c r="H51" s="357">
        <v>0</v>
      </c>
      <c r="I51" s="359">
        <f t="shared" si="0"/>
        <v>7882</v>
      </c>
    </row>
    <row r="52" spans="1:9" ht="12.75">
      <c r="A52" s="356"/>
      <c r="B52" s="356"/>
      <c r="C52" s="355"/>
      <c r="D52" s="355" t="s">
        <v>251</v>
      </c>
      <c r="E52" s="355" t="s">
        <v>252</v>
      </c>
      <c r="F52" s="357">
        <v>0</v>
      </c>
      <c r="G52" s="357">
        <v>0</v>
      </c>
      <c r="H52" s="357">
        <v>0</v>
      </c>
      <c r="I52" s="359">
        <f t="shared" si="0"/>
        <v>0</v>
      </c>
    </row>
    <row r="53" spans="1:9" ht="12.75">
      <c r="A53" s="356"/>
      <c r="B53" s="356"/>
      <c r="C53" s="355"/>
      <c r="D53" s="355" t="s">
        <v>253</v>
      </c>
      <c r="E53" s="355" t="s">
        <v>254</v>
      </c>
      <c r="F53" s="357">
        <v>0</v>
      </c>
      <c r="G53" s="357">
        <v>0</v>
      </c>
      <c r="H53" s="357">
        <v>0</v>
      </c>
      <c r="I53" s="359">
        <f t="shared" si="0"/>
        <v>0</v>
      </c>
    </row>
    <row r="54" spans="1:9" ht="12.75">
      <c r="A54" s="356"/>
      <c r="B54" s="356"/>
      <c r="C54" s="355"/>
      <c r="D54" s="355" t="s">
        <v>255</v>
      </c>
      <c r="E54" s="355" t="s">
        <v>256</v>
      </c>
      <c r="F54" s="357">
        <v>0</v>
      </c>
      <c r="G54" s="357">
        <v>0</v>
      </c>
      <c r="H54" s="357">
        <v>0</v>
      </c>
      <c r="I54" s="359">
        <f t="shared" si="0"/>
        <v>0</v>
      </c>
    </row>
    <row r="55" spans="1:9" ht="12.75">
      <c r="A55" s="356"/>
      <c r="B55" s="356"/>
      <c r="C55" s="355"/>
      <c r="D55" s="355" t="s">
        <v>257</v>
      </c>
      <c r="E55" s="355" t="s">
        <v>258</v>
      </c>
      <c r="F55" s="357">
        <v>0</v>
      </c>
      <c r="G55" s="357">
        <v>0</v>
      </c>
      <c r="H55" s="357">
        <v>0</v>
      </c>
      <c r="I55" s="359">
        <f t="shared" si="0"/>
        <v>0</v>
      </c>
    </row>
    <row r="56" spans="1:9" s="377" customFormat="1" ht="12.75">
      <c r="A56" s="375" t="s">
        <v>371</v>
      </c>
      <c r="B56" s="924" t="s">
        <v>372</v>
      </c>
      <c r="C56" s="924"/>
      <c r="D56" s="924"/>
      <c r="E56" s="924"/>
      <c r="F56" s="376">
        <f>SUM(F57+F58+F59+F60+F63+F75)</f>
        <v>139974</v>
      </c>
      <c r="G56" s="376">
        <f>SUM(G57+G58+G59+G60+G63+G75)</f>
        <v>375</v>
      </c>
      <c r="H56" s="376">
        <f>SUM(H57+H58+H59+H60+H63+H75)</f>
        <v>0</v>
      </c>
      <c r="I56" s="376">
        <f t="shared" si="0"/>
        <v>140349</v>
      </c>
    </row>
    <row r="57" spans="1:9" ht="12.75">
      <c r="A57" s="344"/>
      <c r="B57" s="344" t="s">
        <v>373</v>
      </c>
      <c r="C57" s="923" t="s">
        <v>374</v>
      </c>
      <c r="D57" s="923"/>
      <c r="E57" s="923"/>
      <c r="F57" s="345">
        <v>0</v>
      </c>
      <c r="G57" s="345">
        <v>0</v>
      </c>
      <c r="H57" s="345">
        <v>0</v>
      </c>
      <c r="I57" s="374">
        <f t="shared" si="0"/>
        <v>0</v>
      </c>
    </row>
    <row r="58" spans="1:9" ht="12.75">
      <c r="A58" s="344"/>
      <c r="B58" s="344" t="s">
        <v>375</v>
      </c>
      <c r="C58" s="923" t="s">
        <v>376</v>
      </c>
      <c r="D58" s="923"/>
      <c r="E58" s="923"/>
      <c r="F58" s="345">
        <v>0</v>
      </c>
      <c r="G58" s="345">
        <v>0</v>
      </c>
      <c r="H58" s="345">
        <v>0</v>
      </c>
      <c r="I58" s="374">
        <f t="shared" si="0"/>
        <v>0</v>
      </c>
    </row>
    <row r="59" spans="1:9" ht="12.75">
      <c r="A59" s="344"/>
      <c r="B59" s="344" t="s">
        <v>377</v>
      </c>
      <c r="C59" s="923" t="s">
        <v>378</v>
      </c>
      <c r="D59" s="923"/>
      <c r="E59" s="923"/>
      <c r="F59" s="345">
        <v>0</v>
      </c>
      <c r="G59" s="345">
        <v>0</v>
      </c>
      <c r="H59" s="345">
        <v>0</v>
      </c>
      <c r="I59" s="374">
        <f t="shared" si="0"/>
        <v>0</v>
      </c>
    </row>
    <row r="60" spans="1:9" ht="12.75">
      <c r="A60" s="344"/>
      <c r="B60" s="344" t="s">
        <v>379</v>
      </c>
      <c r="C60" s="923" t="s">
        <v>380</v>
      </c>
      <c r="D60" s="923"/>
      <c r="E60" s="923"/>
      <c r="F60" s="345">
        <f>SUM(F61:F62)</f>
        <v>27500</v>
      </c>
      <c r="G60" s="345">
        <f>SUM(G61:G62)</f>
        <v>0</v>
      </c>
      <c r="H60" s="345">
        <v>0</v>
      </c>
      <c r="I60" s="374">
        <f t="shared" si="0"/>
        <v>27500</v>
      </c>
    </row>
    <row r="61" spans="1:9" ht="12.75">
      <c r="A61" s="356"/>
      <c r="B61" s="356"/>
      <c r="C61" s="355"/>
      <c r="D61" s="355"/>
      <c r="E61" s="355" t="s">
        <v>381</v>
      </c>
      <c r="F61" s="357">
        <v>26500</v>
      </c>
      <c r="G61" s="357">
        <v>0</v>
      </c>
      <c r="H61" s="357">
        <v>0</v>
      </c>
      <c r="I61" s="359">
        <f t="shared" si="0"/>
        <v>26500</v>
      </c>
    </row>
    <row r="62" spans="1:9" ht="12.75">
      <c r="A62" s="356"/>
      <c r="B62" s="356"/>
      <c r="C62" s="355"/>
      <c r="D62" s="355"/>
      <c r="E62" s="355" t="s">
        <v>382</v>
      </c>
      <c r="F62" s="357">
        <v>1000</v>
      </c>
      <c r="G62" s="357">
        <v>0</v>
      </c>
      <c r="H62" s="357">
        <v>0</v>
      </c>
      <c r="I62" s="359">
        <f t="shared" si="0"/>
        <v>1000</v>
      </c>
    </row>
    <row r="63" spans="1:9" ht="12.75">
      <c r="A63" s="344"/>
      <c r="B63" s="344" t="s">
        <v>383</v>
      </c>
      <c r="C63" s="923" t="s">
        <v>384</v>
      </c>
      <c r="D63" s="923"/>
      <c r="E63" s="923"/>
      <c r="F63" s="345">
        <f>SUM(F64+F67+F68+F69+F71)</f>
        <v>110874</v>
      </c>
      <c r="G63" s="345">
        <f>SUM(G64+G67+G68+G69+G71)</f>
        <v>0</v>
      </c>
      <c r="H63" s="345">
        <v>0</v>
      </c>
      <c r="I63" s="374">
        <f t="shared" si="0"/>
        <v>110874</v>
      </c>
    </row>
    <row r="64" spans="1:9" ht="12.75">
      <c r="A64" s="353"/>
      <c r="B64" s="353"/>
      <c r="C64" s="353" t="s">
        <v>385</v>
      </c>
      <c r="D64" s="353" t="s">
        <v>386</v>
      </c>
      <c r="E64" s="353"/>
      <c r="F64" s="354">
        <f>SUM(F65:F66)</f>
        <v>90500</v>
      </c>
      <c r="G64" s="354">
        <f>SUM(G65:G66)</f>
        <v>0</v>
      </c>
      <c r="H64" s="354">
        <v>0</v>
      </c>
      <c r="I64" s="372">
        <f t="shared" si="0"/>
        <v>90500</v>
      </c>
    </row>
    <row r="65" spans="1:9" ht="12.75">
      <c r="A65" s="356"/>
      <c r="B65" s="356"/>
      <c r="C65" s="355"/>
      <c r="D65" s="355"/>
      <c r="E65" s="355" t="s">
        <v>387</v>
      </c>
      <c r="F65" s="357">
        <v>90000</v>
      </c>
      <c r="G65" s="357">
        <v>0</v>
      </c>
      <c r="H65" s="357">
        <v>0</v>
      </c>
      <c r="I65" s="359">
        <f t="shared" si="0"/>
        <v>90000</v>
      </c>
    </row>
    <row r="66" spans="1:9" ht="12.75">
      <c r="A66" s="356"/>
      <c r="B66" s="356"/>
      <c r="C66" s="355"/>
      <c r="D66" s="355"/>
      <c r="E66" s="355" t="s">
        <v>388</v>
      </c>
      <c r="F66" s="357">
        <v>500</v>
      </c>
      <c r="G66" s="357">
        <v>0</v>
      </c>
      <c r="H66" s="357">
        <v>0</v>
      </c>
      <c r="I66" s="359">
        <f t="shared" si="0"/>
        <v>500</v>
      </c>
    </row>
    <row r="67" spans="1:9" ht="12.75">
      <c r="A67" s="353"/>
      <c r="B67" s="353"/>
      <c r="C67" s="353" t="s">
        <v>389</v>
      </c>
      <c r="D67" s="353" t="s">
        <v>390</v>
      </c>
      <c r="E67" s="353"/>
      <c r="F67" s="354">
        <v>0</v>
      </c>
      <c r="G67" s="354">
        <v>0</v>
      </c>
      <c r="H67" s="354">
        <v>0</v>
      </c>
      <c r="I67" s="372">
        <f t="shared" si="0"/>
        <v>0</v>
      </c>
    </row>
    <row r="68" spans="1:9" ht="12.75">
      <c r="A68" s="353"/>
      <c r="B68" s="353"/>
      <c r="C68" s="353" t="s">
        <v>391</v>
      </c>
      <c r="D68" s="353" t="s">
        <v>392</v>
      </c>
      <c r="E68" s="353"/>
      <c r="F68" s="354">
        <v>0</v>
      </c>
      <c r="G68" s="354">
        <v>0</v>
      </c>
      <c r="H68" s="354">
        <v>0</v>
      </c>
      <c r="I68" s="372">
        <f t="shared" si="0"/>
        <v>0</v>
      </c>
    </row>
    <row r="69" spans="1:9" ht="12.75">
      <c r="A69" s="353"/>
      <c r="B69" s="353"/>
      <c r="C69" s="353" t="s">
        <v>393</v>
      </c>
      <c r="D69" s="353" t="s">
        <v>394</v>
      </c>
      <c r="E69" s="353"/>
      <c r="F69" s="354">
        <f>SUM(F70)</f>
        <v>19874</v>
      </c>
      <c r="G69" s="354">
        <f>SUM(G70:G70)</f>
        <v>0</v>
      </c>
      <c r="H69" s="354">
        <v>0</v>
      </c>
      <c r="I69" s="372">
        <f t="shared" si="0"/>
        <v>19874</v>
      </c>
    </row>
    <row r="70" spans="1:9" ht="12.75">
      <c r="A70" s="356"/>
      <c r="B70" s="356"/>
      <c r="C70" s="356"/>
      <c r="D70" s="355"/>
      <c r="E70" s="355" t="s">
        <v>395</v>
      </c>
      <c r="F70" s="357">
        <f>20000-126</f>
        <v>19874</v>
      </c>
      <c r="G70" s="357">
        <v>0</v>
      </c>
      <c r="H70" s="357">
        <v>0</v>
      </c>
      <c r="I70" s="359">
        <f t="shared" si="0"/>
        <v>19874</v>
      </c>
    </row>
    <row r="71" spans="1:9" ht="12.75">
      <c r="A71" s="353"/>
      <c r="B71" s="353"/>
      <c r="C71" s="353" t="s">
        <v>396</v>
      </c>
      <c r="D71" s="353" t="s">
        <v>397</v>
      </c>
      <c r="E71" s="353"/>
      <c r="F71" s="354">
        <f>SUM(F72:F74)</f>
        <v>500</v>
      </c>
      <c r="G71" s="354">
        <v>0</v>
      </c>
      <c r="H71" s="354">
        <v>0</v>
      </c>
      <c r="I71" s="372">
        <f t="shared" si="0"/>
        <v>500</v>
      </c>
    </row>
    <row r="72" spans="1:9" ht="12.75">
      <c r="A72" s="356"/>
      <c r="B72" s="356"/>
      <c r="C72" s="356"/>
      <c r="D72" s="355"/>
      <c r="E72" s="355" t="s">
        <v>398</v>
      </c>
      <c r="F72" s="357">
        <v>0</v>
      </c>
      <c r="G72" s="357">
        <v>0</v>
      </c>
      <c r="H72" s="357">
        <v>0</v>
      </c>
      <c r="I72" s="359">
        <f aca="true" t="shared" si="1" ref="I72:I135">SUM(F72:H72)</f>
        <v>0</v>
      </c>
    </row>
    <row r="73" spans="1:9" ht="12.75">
      <c r="A73" s="356"/>
      <c r="B73" s="356"/>
      <c r="C73" s="356"/>
      <c r="D73" s="355"/>
      <c r="E73" s="355" t="s">
        <v>399</v>
      </c>
      <c r="F73" s="357">
        <v>500</v>
      </c>
      <c r="G73" s="357">
        <v>0</v>
      </c>
      <c r="H73" s="357">
        <v>0</v>
      </c>
      <c r="I73" s="359">
        <f t="shared" si="1"/>
        <v>500</v>
      </c>
    </row>
    <row r="74" spans="1:9" ht="12.75">
      <c r="A74" s="356"/>
      <c r="B74" s="356"/>
      <c r="C74" s="356"/>
      <c r="D74" s="355"/>
      <c r="E74" s="355" t="s">
        <v>400</v>
      </c>
      <c r="F74" s="357">
        <v>0</v>
      </c>
      <c r="G74" s="357">
        <v>0</v>
      </c>
      <c r="H74" s="357">
        <v>0</v>
      </c>
      <c r="I74" s="359">
        <f t="shared" si="1"/>
        <v>0</v>
      </c>
    </row>
    <row r="75" spans="1:9" ht="12.75">
      <c r="A75" s="344"/>
      <c r="B75" s="344" t="s">
        <v>401</v>
      </c>
      <c r="C75" s="923" t="s">
        <v>402</v>
      </c>
      <c r="D75" s="923"/>
      <c r="E75" s="923"/>
      <c r="F75" s="345">
        <f>SUM(F76:F84)</f>
        <v>1600</v>
      </c>
      <c r="G75" s="345">
        <f>SUM(G76:G84)</f>
        <v>375</v>
      </c>
      <c r="H75" s="345">
        <f>SUM(H76:H84)</f>
        <v>0</v>
      </c>
      <c r="I75" s="374">
        <f t="shared" si="1"/>
        <v>1975</v>
      </c>
    </row>
    <row r="76" spans="1:9" ht="12.75">
      <c r="A76" s="365"/>
      <c r="B76" s="365"/>
      <c r="C76" s="365"/>
      <c r="D76" s="355"/>
      <c r="E76" s="355" t="s">
        <v>403</v>
      </c>
      <c r="F76" s="357">
        <v>0</v>
      </c>
      <c r="G76" s="357">
        <v>0</v>
      </c>
      <c r="H76" s="357">
        <v>0</v>
      </c>
      <c r="I76" s="359">
        <f t="shared" si="1"/>
        <v>0</v>
      </c>
    </row>
    <row r="77" spans="1:9" ht="12.75">
      <c r="A77" s="356"/>
      <c r="B77" s="356"/>
      <c r="C77" s="356"/>
      <c r="D77" s="355"/>
      <c r="E77" s="355" t="s">
        <v>404</v>
      </c>
      <c r="F77" s="357">
        <v>0</v>
      </c>
      <c r="G77" s="357">
        <v>375</v>
      </c>
      <c r="H77" s="357">
        <v>0</v>
      </c>
      <c r="I77" s="359">
        <f t="shared" si="1"/>
        <v>375</v>
      </c>
    </row>
    <row r="78" spans="1:9" ht="12.75">
      <c r="A78" s="365"/>
      <c r="B78" s="365"/>
      <c r="C78" s="365"/>
      <c r="D78" s="355"/>
      <c r="E78" s="355" t="s">
        <v>405</v>
      </c>
      <c r="F78" s="357">
        <v>0</v>
      </c>
      <c r="G78" s="357">
        <v>0</v>
      </c>
      <c r="H78" s="357">
        <v>0</v>
      </c>
      <c r="I78" s="359">
        <f t="shared" si="1"/>
        <v>0</v>
      </c>
    </row>
    <row r="79" spans="1:9" ht="12.75">
      <c r="A79" s="365"/>
      <c r="B79" s="365"/>
      <c r="C79" s="365"/>
      <c r="D79" s="355"/>
      <c r="E79" s="355" t="s">
        <v>406</v>
      </c>
      <c r="F79" s="357">
        <v>0</v>
      </c>
      <c r="G79" s="357">
        <v>0</v>
      </c>
      <c r="H79" s="357">
        <v>0</v>
      </c>
      <c r="I79" s="359">
        <f t="shared" si="1"/>
        <v>0</v>
      </c>
    </row>
    <row r="80" spans="1:9" ht="12.75">
      <c r="A80" s="365"/>
      <c r="B80" s="365"/>
      <c r="C80" s="365"/>
      <c r="D80" s="355"/>
      <c r="E80" s="355" t="s">
        <v>407</v>
      </c>
      <c r="F80" s="357">
        <v>0</v>
      </c>
      <c r="G80" s="357">
        <v>0</v>
      </c>
      <c r="H80" s="357">
        <v>0</v>
      </c>
      <c r="I80" s="359">
        <f t="shared" si="1"/>
        <v>0</v>
      </c>
    </row>
    <row r="81" spans="1:9" ht="12.75">
      <c r="A81" s="365"/>
      <c r="B81" s="365"/>
      <c r="C81" s="365"/>
      <c r="D81" s="355"/>
      <c r="E81" s="355" t="s">
        <v>408</v>
      </c>
      <c r="F81" s="357">
        <v>0</v>
      </c>
      <c r="G81" s="357">
        <v>0</v>
      </c>
      <c r="H81" s="357">
        <v>0</v>
      </c>
      <c r="I81" s="359">
        <f t="shared" si="1"/>
        <v>0</v>
      </c>
    </row>
    <row r="82" spans="1:9" ht="40.5" customHeight="1">
      <c r="A82" s="356"/>
      <c r="B82" s="356"/>
      <c r="C82" s="356"/>
      <c r="D82" s="356"/>
      <c r="E82" s="711" t="s">
        <v>409</v>
      </c>
      <c r="F82" s="357">
        <v>100</v>
      </c>
      <c r="G82" s="357">
        <v>0</v>
      </c>
      <c r="H82" s="357">
        <v>0</v>
      </c>
      <c r="I82" s="359">
        <f t="shared" si="1"/>
        <v>100</v>
      </c>
    </row>
    <row r="83" spans="1:9" ht="12.75">
      <c r="A83" s="365"/>
      <c r="B83" s="365"/>
      <c r="C83" s="365"/>
      <c r="D83" s="365"/>
      <c r="E83" s="355" t="s">
        <v>410</v>
      </c>
      <c r="F83" s="357">
        <v>0</v>
      </c>
      <c r="G83" s="357">
        <v>0</v>
      </c>
      <c r="H83" s="357">
        <v>0</v>
      </c>
      <c r="I83" s="359">
        <f t="shared" si="1"/>
        <v>0</v>
      </c>
    </row>
    <row r="84" spans="1:9" ht="12.75">
      <c r="A84" s="356"/>
      <c r="B84" s="356"/>
      <c r="C84" s="356"/>
      <c r="D84" s="356"/>
      <c r="E84" s="364" t="s">
        <v>411</v>
      </c>
      <c r="F84" s="357">
        <v>1500</v>
      </c>
      <c r="G84" s="357">
        <v>0</v>
      </c>
      <c r="H84" s="357">
        <v>0</v>
      </c>
      <c r="I84" s="359">
        <f t="shared" si="1"/>
        <v>1500</v>
      </c>
    </row>
    <row r="85" spans="1:9" s="377" customFormat="1" ht="12.75">
      <c r="A85" s="375" t="s">
        <v>412</v>
      </c>
      <c r="B85" s="924" t="s">
        <v>413</v>
      </c>
      <c r="C85" s="924"/>
      <c r="D85" s="924"/>
      <c r="E85" s="924"/>
      <c r="F85" s="376">
        <f>SUM(F86+F87+F89+F91+F94+F95+F96+F97+F98+F99)</f>
        <v>900408</v>
      </c>
      <c r="G85" s="376">
        <f>SUM(G86+G87+G89+G91+G94+G95+G96+G97+G98+G99)</f>
        <v>10192</v>
      </c>
      <c r="H85" s="376">
        <f>SUM(H86+H87+H89+H91+H94+H95+H96+H97+H98+H99)</f>
        <v>6760</v>
      </c>
      <c r="I85" s="376">
        <f t="shared" si="1"/>
        <v>917360</v>
      </c>
    </row>
    <row r="86" spans="1:9" ht="12.75">
      <c r="A86" s="353"/>
      <c r="B86" s="353"/>
      <c r="C86" s="353" t="s">
        <v>414</v>
      </c>
      <c r="D86" s="353" t="s">
        <v>560</v>
      </c>
      <c r="E86" s="353"/>
      <c r="F86" s="354">
        <v>100</v>
      </c>
      <c r="G86" s="354">
        <v>0</v>
      </c>
      <c r="H86" s="354">
        <v>0</v>
      </c>
      <c r="I86" s="372">
        <f t="shared" si="1"/>
        <v>100</v>
      </c>
    </row>
    <row r="87" spans="1:9" ht="12.75">
      <c r="A87" s="353"/>
      <c r="B87" s="353"/>
      <c r="C87" s="353" t="s">
        <v>415</v>
      </c>
      <c r="D87" s="353" t="s">
        <v>561</v>
      </c>
      <c r="E87" s="353"/>
      <c r="F87" s="354">
        <v>89421</v>
      </c>
      <c r="G87" s="354">
        <v>1792</v>
      </c>
      <c r="H87" s="354">
        <v>217</v>
      </c>
      <c r="I87" s="372">
        <f t="shared" si="1"/>
        <v>91430</v>
      </c>
    </row>
    <row r="88" spans="1:9" ht="12.75">
      <c r="A88" s="356"/>
      <c r="B88" s="356"/>
      <c r="C88" s="355" t="s">
        <v>1029</v>
      </c>
      <c r="D88" s="355"/>
      <c r="E88" s="355" t="s">
        <v>416</v>
      </c>
      <c r="F88" s="357">
        <v>12151</v>
      </c>
      <c r="G88" s="357">
        <v>0</v>
      </c>
      <c r="H88" s="357">
        <v>217</v>
      </c>
      <c r="I88" s="359">
        <f t="shared" si="1"/>
        <v>12368</v>
      </c>
    </row>
    <row r="89" spans="1:9" ht="12.75">
      <c r="A89" s="353"/>
      <c r="B89" s="353"/>
      <c r="C89" s="353" t="s">
        <v>417</v>
      </c>
      <c r="D89" s="353" t="s">
        <v>418</v>
      </c>
      <c r="E89" s="353"/>
      <c r="F89" s="354">
        <f>2033+3175</f>
        <v>5208</v>
      </c>
      <c r="G89" s="354">
        <f>5505+2126</f>
        <v>7631</v>
      </c>
      <c r="H89" s="354">
        <v>0</v>
      </c>
      <c r="I89" s="372">
        <f t="shared" si="1"/>
        <v>12839</v>
      </c>
    </row>
    <row r="90" spans="1:9" ht="12.75">
      <c r="A90" s="356"/>
      <c r="B90" s="356"/>
      <c r="C90" s="355" t="s">
        <v>1029</v>
      </c>
      <c r="D90" s="355"/>
      <c r="E90" s="355" t="s">
        <v>1076</v>
      </c>
      <c r="F90" s="357">
        <f>444+3175</f>
        <v>3619</v>
      </c>
      <c r="G90" s="357">
        <f>5417</f>
        <v>5417</v>
      </c>
      <c r="H90" s="357">
        <v>0</v>
      </c>
      <c r="I90" s="359">
        <f t="shared" si="1"/>
        <v>9036</v>
      </c>
    </row>
    <row r="91" spans="1:9" ht="12.75">
      <c r="A91" s="353"/>
      <c r="B91" s="353"/>
      <c r="C91" s="353" t="s">
        <v>419</v>
      </c>
      <c r="D91" s="353" t="s">
        <v>420</v>
      </c>
      <c r="E91" s="353"/>
      <c r="F91" s="354">
        <f>SUM(F92:F93)</f>
        <v>3000</v>
      </c>
      <c r="G91" s="354">
        <v>0</v>
      </c>
      <c r="H91" s="354">
        <v>0</v>
      </c>
      <c r="I91" s="372">
        <f t="shared" si="1"/>
        <v>3000</v>
      </c>
    </row>
    <row r="92" spans="1:9" ht="12.75">
      <c r="A92" s="356"/>
      <c r="B92" s="356"/>
      <c r="C92" s="355" t="s">
        <v>1029</v>
      </c>
      <c r="D92" s="355"/>
      <c r="E92" s="355" t="s">
        <v>421</v>
      </c>
      <c r="F92" s="357">
        <v>0</v>
      </c>
      <c r="G92" s="357">
        <v>0</v>
      </c>
      <c r="H92" s="357">
        <v>0</v>
      </c>
      <c r="I92" s="359">
        <f t="shared" si="1"/>
        <v>0</v>
      </c>
    </row>
    <row r="93" spans="1:9" ht="12.75">
      <c r="A93" s="356"/>
      <c r="B93" s="356"/>
      <c r="C93" s="355"/>
      <c r="D93" s="355"/>
      <c r="E93" s="355" t="s">
        <v>422</v>
      </c>
      <c r="F93" s="357">
        <f>7500-4500</f>
        <v>3000</v>
      </c>
      <c r="G93" s="357">
        <v>0</v>
      </c>
      <c r="H93" s="357">
        <v>0</v>
      </c>
      <c r="I93" s="359">
        <f t="shared" si="1"/>
        <v>3000</v>
      </c>
    </row>
    <row r="94" spans="1:9" ht="12.75">
      <c r="A94" s="353"/>
      <c r="B94" s="353"/>
      <c r="C94" s="353" t="s">
        <v>423</v>
      </c>
      <c r="D94" s="353" t="s">
        <v>424</v>
      </c>
      <c r="E94" s="353"/>
      <c r="F94" s="354">
        <v>3868</v>
      </c>
      <c r="G94" s="354">
        <v>0</v>
      </c>
      <c r="H94" s="354">
        <v>5034</v>
      </c>
      <c r="I94" s="372">
        <f t="shared" si="1"/>
        <v>8902</v>
      </c>
    </row>
    <row r="95" spans="1:9" ht="12.75">
      <c r="A95" s="353"/>
      <c r="B95" s="353"/>
      <c r="C95" s="353" t="s">
        <v>425</v>
      </c>
      <c r="D95" s="353" t="s">
        <v>426</v>
      </c>
      <c r="E95" s="353"/>
      <c r="F95" s="354">
        <f>23662-1215</f>
        <v>22447</v>
      </c>
      <c r="G95" s="354">
        <f>45+574</f>
        <v>619</v>
      </c>
      <c r="H95" s="354">
        <v>1359</v>
      </c>
      <c r="I95" s="372">
        <f t="shared" si="1"/>
        <v>24425</v>
      </c>
    </row>
    <row r="96" spans="1:9" ht="12.75">
      <c r="A96" s="353"/>
      <c r="B96" s="353"/>
      <c r="C96" s="353" t="s">
        <v>427</v>
      </c>
      <c r="D96" s="353" t="s">
        <v>428</v>
      </c>
      <c r="E96" s="353"/>
      <c r="F96" s="354">
        <v>769434</v>
      </c>
      <c r="G96" s="354">
        <v>0</v>
      </c>
      <c r="H96" s="354">
        <v>0</v>
      </c>
      <c r="I96" s="372">
        <f t="shared" si="1"/>
        <v>769434</v>
      </c>
    </row>
    <row r="97" spans="1:9" ht="12.75">
      <c r="A97" s="353"/>
      <c r="B97" s="353"/>
      <c r="C97" s="353" t="s">
        <v>429</v>
      </c>
      <c r="D97" s="353" t="s">
        <v>430</v>
      </c>
      <c r="E97" s="353"/>
      <c r="F97" s="354">
        <v>2920</v>
      </c>
      <c r="G97" s="354">
        <v>150</v>
      </c>
      <c r="H97" s="354">
        <v>150</v>
      </c>
      <c r="I97" s="372">
        <f t="shared" si="1"/>
        <v>3220</v>
      </c>
    </row>
    <row r="98" spans="1:9" ht="12.75">
      <c r="A98" s="353"/>
      <c r="B98" s="353"/>
      <c r="C98" s="353" t="s">
        <v>431</v>
      </c>
      <c r="D98" s="353" t="s">
        <v>432</v>
      </c>
      <c r="E98" s="353"/>
      <c r="F98" s="354">
        <v>0</v>
      </c>
      <c r="G98" s="354">
        <v>0</v>
      </c>
      <c r="H98" s="354">
        <v>0</v>
      </c>
      <c r="I98" s="372">
        <f t="shared" si="1"/>
        <v>0</v>
      </c>
    </row>
    <row r="99" spans="1:9" ht="22.5" customHeight="1">
      <c r="A99" s="353"/>
      <c r="B99" s="353"/>
      <c r="C99" s="353" t="s">
        <v>433</v>
      </c>
      <c r="D99" s="925" t="s">
        <v>434</v>
      </c>
      <c r="E99" s="925"/>
      <c r="F99" s="354">
        <f>SUM(F100:F102)</f>
        <v>4010</v>
      </c>
      <c r="G99" s="354">
        <v>0</v>
      </c>
      <c r="H99" s="354">
        <v>0</v>
      </c>
      <c r="I99" s="372">
        <f t="shared" si="1"/>
        <v>4010</v>
      </c>
    </row>
    <row r="100" spans="1:9" ht="12.75">
      <c r="A100" s="358"/>
      <c r="B100" s="358"/>
      <c r="C100" s="355" t="s">
        <v>1029</v>
      </c>
      <c r="D100" s="355" t="s">
        <v>709</v>
      </c>
      <c r="E100" s="355" t="s">
        <v>435</v>
      </c>
      <c r="F100" s="357">
        <v>0</v>
      </c>
      <c r="G100" s="357">
        <v>0</v>
      </c>
      <c r="H100" s="357">
        <v>0</v>
      </c>
      <c r="I100" s="359">
        <f t="shared" si="1"/>
        <v>0</v>
      </c>
    </row>
    <row r="101" spans="1:9" ht="40.5" customHeight="1">
      <c r="A101" s="358"/>
      <c r="B101" s="358"/>
      <c r="C101" s="358"/>
      <c r="D101" s="711" t="s">
        <v>709</v>
      </c>
      <c r="E101" s="711" t="s">
        <v>436</v>
      </c>
      <c r="F101" s="357">
        <v>0</v>
      </c>
      <c r="G101" s="357">
        <v>0</v>
      </c>
      <c r="H101" s="357">
        <v>0</v>
      </c>
      <c r="I101" s="359">
        <f t="shared" si="1"/>
        <v>0</v>
      </c>
    </row>
    <row r="102" spans="1:9" ht="13.5" customHeight="1">
      <c r="A102" s="356"/>
      <c r="B102" s="356"/>
      <c r="C102" s="356"/>
      <c r="D102" s="355" t="s">
        <v>709</v>
      </c>
      <c r="E102" s="366" t="s">
        <v>437</v>
      </c>
      <c r="F102" s="357">
        <f>360+3650</f>
        <v>4010</v>
      </c>
      <c r="G102" s="357">
        <v>0</v>
      </c>
      <c r="H102" s="357">
        <v>0</v>
      </c>
      <c r="I102" s="359">
        <f t="shared" si="1"/>
        <v>4010</v>
      </c>
    </row>
    <row r="103" spans="1:9" s="377" customFormat="1" ht="12.75">
      <c r="A103" s="375" t="s">
        <v>438</v>
      </c>
      <c r="B103" s="924" t="s">
        <v>439</v>
      </c>
      <c r="C103" s="924"/>
      <c r="D103" s="924"/>
      <c r="E103" s="924"/>
      <c r="F103" s="376">
        <f>SUM(F104+F105+F107+F108+F109)</f>
        <v>25297</v>
      </c>
      <c r="G103" s="376">
        <f>SUM(G104+G105+G107+G108+G109)</f>
        <v>0</v>
      </c>
      <c r="H103" s="376">
        <f>SUM(H104+H105+H107+H108+H109)</f>
        <v>0</v>
      </c>
      <c r="I103" s="376">
        <f t="shared" si="1"/>
        <v>25297</v>
      </c>
    </row>
    <row r="104" spans="1:9" ht="12.75">
      <c r="A104" s="344"/>
      <c r="B104" s="344" t="s">
        <v>440</v>
      </c>
      <c r="C104" s="923" t="s">
        <v>562</v>
      </c>
      <c r="D104" s="923"/>
      <c r="E104" s="923"/>
      <c r="F104" s="345">
        <v>0</v>
      </c>
      <c r="G104" s="345">
        <v>0</v>
      </c>
      <c r="H104" s="345">
        <v>0</v>
      </c>
      <c r="I104" s="374">
        <f t="shared" si="1"/>
        <v>0</v>
      </c>
    </row>
    <row r="105" spans="1:9" ht="12.75">
      <c r="A105" s="344"/>
      <c r="B105" s="344" t="s">
        <v>441</v>
      </c>
      <c r="C105" s="923" t="s">
        <v>442</v>
      </c>
      <c r="D105" s="923"/>
      <c r="E105" s="923"/>
      <c r="F105" s="345">
        <v>25297</v>
      </c>
      <c r="G105" s="345">
        <v>0</v>
      </c>
      <c r="H105" s="345">
        <v>0</v>
      </c>
      <c r="I105" s="374">
        <f t="shared" si="1"/>
        <v>25297</v>
      </c>
    </row>
    <row r="106" spans="1:9" ht="12.75">
      <c r="A106" s="356"/>
      <c r="B106" s="356"/>
      <c r="C106" s="355" t="s">
        <v>1029</v>
      </c>
      <c r="D106" s="355" t="s">
        <v>709</v>
      </c>
      <c r="E106" s="355" t="s">
        <v>443</v>
      </c>
      <c r="F106" s="357">
        <v>15</v>
      </c>
      <c r="G106" s="357">
        <v>0</v>
      </c>
      <c r="H106" s="357">
        <v>0</v>
      </c>
      <c r="I106" s="359">
        <f t="shared" si="1"/>
        <v>15</v>
      </c>
    </row>
    <row r="107" spans="1:9" ht="12.75">
      <c r="A107" s="344"/>
      <c r="B107" s="344" t="s">
        <v>444</v>
      </c>
      <c r="C107" s="923" t="s">
        <v>445</v>
      </c>
      <c r="D107" s="923"/>
      <c r="E107" s="923"/>
      <c r="F107" s="345">
        <v>0</v>
      </c>
      <c r="G107" s="345">
        <v>0</v>
      </c>
      <c r="H107" s="345">
        <v>0</v>
      </c>
      <c r="I107" s="374">
        <f t="shared" si="1"/>
        <v>0</v>
      </c>
    </row>
    <row r="108" spans="1:9" ht="12.75">
      <c r="A108" s="344"/>
      <c r="B108" s="344" t="s">
        <v>446</v>
      </c>
      <c r="C108" s="923" t="s">
        <v>447</v>
      </c>
      <c r="D108" s="923"/>
      <c r="E108" s="923"/>
      <c r="F108" s="345">
        <v>0</v>
      </c>
      <c r="G108" s="345">
        <v>0</v>
      </c>
      <c r="H108" s="345">
        <v>0</v>
      </c>
      <c r="I108" s="374">
        <f t="shared" si="1"/>
        <v>0</v>
      </c>
    </row>
    <row r="109" spans="1:9" ht="12.75">
      <c r="A109" s="344"/>
      <c r="B109" s="344" t="s">
        <v>448</v>
      </c>
      <c r="C109" s="923" t="s">
        <v>449</v>
      </c>
      <c r="D109" s="923"/>
      <c r="E109" s="923"/>
      <c r="F109" s="345">
        <v>0</v>
      </c>
      <c r="G109" s="345">
        <v>0</v>
      </c>
      <c r="H109" s="345">
        <v>0</v>
      </c>
      <c r="I109" s="374">
        <f t="shared" si="1"/>
        <v>0</v>
      </c>
    </row>
    <row r="110" spans="1:9" s="377" customFormat="1" ht="12.75">
      <c r="A110" s="375" t="s">
        <v>450</v>
      </c>
      <c r="B110" s="924" t="s">
        <v>451</v>
      </c>
      <c r="C110" s="924"/>
      <c r="D110" s="924"/>
      <c r="E110" s="924"/>
      <c r="F110" s="376">
        <f>SUM(F111+F112+F123)</f>
        <v>15945</v>
      </c>
      <c r="G110" s="376">
        <f>SUM(G111+G112+G123)</f>
        <v>0</v>
      </c>
      <c r="H110" s="376">
        <f>SUM(H111+H112+H123)</f>
        <v>0</v>
      </c>
      <c r="I110" s="376">
        <f t="shared" si="1"/>
        <v>15945</v>
      </c>
    </row>
    <row r="111" spans="1:9" ht="12.75">
      <c r="A111" s="344"/>
      <c r="B111" s="344" t="s">
        <v>452</v>
      </c>
      <c r="C111" s="923" t="s">
        <v>453</v>
      </c>
      <c r="D111" s="923"/>
      <c r="E111" s="923"/>
      <c r="F111" s="345">
        <v>0</v>
      </c>
      <c r="G111" s="345">
        <v>0</v>
      </c>
      <c r="H111" s="345">
        <v>0</v>
      </c>
      <c r="I111" s="374">
        <f t="shared" si="1"/>
        <v>0</v>
      </c>
    </row>
    <row r="112" spans="1:9" ht="12.75">
      <c r="A112" s="344"/>
      <c r="B112" s="344" t="s">
        <v>454</v>
      </c>
      <c r="C112" s="923" t="s">
        <v>487</v>
      </c>
      <c r="D112" s="923"/>
      <c r="E112" s="923"/>
      <c r="F112" s="345">
        <f>SUM(F113:F122)</f>
        <v>15945</v>
      </c>
      <c r="G112" s="345">
        <v>0</v>
      </c>
      <c r="H112" s="345">
        <v>0</v>
      </c>
      <c r="I112" s="374">
        <f t="shared" si="1"/>
        <v>15945</v>
      </c>
    </row>
    <row r="113" spans="1:9" ht="12.75">
      <c r="A113" s="358"/>
      <c r="B113" s="358"/>
      <c r="C113" s="355" t="s">
        <v>1029</v>
      </c>
      <c r="D113" s="355" t="s">
        <v>239</v>
      </c>
      <c r="E113" s="355" t="s">
        <v>267</v>
      </c>
      <c r="F113" s="357">
        <v>0</v>
      </c>
      <c r="G113" s="357">
        <v>0</v>
      </c>
      <c r="H113" s="357">
        <v>0</v>
      </c>
      <c r="I113" s="359">
        <f t="shared" si="1"/>
        <v>0</v>
      </c>
    </row>
    <row r="114" spans="1:9" ht="12.75">
      <c r="A114" s="358"/>
      <c r="B114" s="358"/>
      <c r="C114" s="355"/>
      <c r="D114" s="355" t="s">
        <v>241</v>
      </c>
      <c r="E114" s="355" t="s">
        <v>268</v>
      </c>
      <c r="F114" s="357">
        <f>1945+10000</f>
        <v>11945</v>
      </c>
      <c r="G114" s="357">
        <v>0</v>
      </c>
      <c r="H114" s="357">
        <v>0</v>
      </c>
      <c r="I114" s="359">
        <f t="shared" si="1"/>
        <v>11945</v>
      </c>
    </row>
    <row r="115" spans="1:9" ht="12.75">
      <c r="A115" s="358"/>
      <c r="B115" s="358"/>
      <c r="C115" s="355"/>
      <c r="D115" s="355" t="s">
        <v>243</v>
      </c>
      <c r="E115" s="355" t="s">
        <v>269</v>
      </c>
      <c r="F115" s="357">
        <v>0</v>
      </c>
      <c r="G115" s="357">
        <v>0</v>
      </c>
      <c r="H115" s="357">
        <v>0</v>
      </c>
      <c r="I115" s="359">
        <f t="shared" si="1"/>
        <v>0</v>
      </c>
    </row>
    <row r="116" spans="1:9" ht="12.75">
      <c r="A116" s="358"/>
      <c r="B116" s="358"/>
      <c r="C116" s="355"/>
      <c r="D116" s="355" t="s">
        <v>245</v>
      </c>
      <c r="E116" s="355" t="s">
        <v>270</v>
      </c>
      <c r="F116" s="357">
        <v>0</v>
      </c>
      <c r="G116" s="357">
        <v>0</v>
      </c>
      <c r="H116" s="357">
        <v>0</v>
      </c>
      <c r="I116" s="359">
        <f t="shared" si="1"/>
        <v>0</v>
      </c>
    </row>
    <row r="117" spans="1:9" ht="12.75">
      <c r="A117" s="358"/>
      <c r="B117" s="358"/>
      <c r="C117" s="355"/>
      <c r="D117" s="355" t="s">
        <v>247</v>
      </c>
      <c r="E117" s="355" t="s">
        <v>271</v>
      </c>
      <c r="F117" s="357">
        <v>0</v>
      </c>
      <c r="G117" s="357">
        <v>0</v>
      </c>
      <c r="H117" s="357">
        <v>0</v>
      </c>
      <c r="I117" s="359">
        <f t="shared" si="1"/>
        <v>0</v>
      </c>
    </row>
    <row r="118" spans="1:9" ht="12.75">
      <c r="A118" s="358"/>
      <c r="B118" s="358"/>
      <c r="C118" s="355"/>
      <c r="D118" s="355" t="s">
        <v>249</v>
      </c>
      <c r="E118" s="355" t="s">
        <v>272</v>
      </c>
      <c r="F118" s="357">
        <v>4000</v>
      </c>
      <c r="G118" s="357">
        <v>0</v>
      </c>
      <c r="H118" s="357">
        <v>0</v>
      </c>
      <c r="I118" s="359">
        <f t="shared" si="1"/>
        <v>4000</v>
      </c>
    </row>
    <row r="119" spans="1:9" ht="12.75">
      <c r="A119" s="358"/>
      <c r="B119" s="358"/>
      <c r="C119" s="355"/>
      <c r="D119" s="355" t="s">
        <v>251</v>
      </c>
      <c r="E119" s="355" t="s">
        <v>273</v>
      </c>
      <c r="F119" s="357">
        <v>0</v>
      </c>
      <c r="G119" s="357">
        <v>0</v>
      </c>
      <c r="H119" s="357">
        <v>0</v>
      </c>
      <c r="I119" s="359">
        <f t="shared" si="1"/>
        <v>0</v>
      </c>
    </row>
    <row r="120" spans="1:9" ht="12.75">
      <c r="A120" s="358"/>
      <c r="B120" s="358"/>
      <c r="C120" s="355"/>
      <c r="D120" s="355" t="s">
        <v>253</v>
      </c>
      <c r="E120" s="355" t="s">
        <v>274</v>
      </c>
      <c r="F120" s="357">
        <v>0</v>
      </c>
      <c r="G120" s="357">
        <v>0</v>
      </c>
      <c r="H120" s="357">
        <v>0</v>
      </c>
      <c r="I120" s="359">
        <f t="shared" si="1"/>
        <v>0</v>
      </c>
    </row>
    <row r="121" spans="1:9" ht="12.75">
      <c r="A121" s="358"/>
      <c r="B121" s="358"/>
      <c r="C121" s="355"/>
      <c r="D121" s="355" t="s">
        <v>255</v>
      </c>
      <c r="E121" s="355" t="s">
        <v>275</v>
      </c>
      <c r="F121" s="357">
        <v>0</v>
      </c>
      <c r="G121" s="357">
        <v>0</v>
      </c>
      <c r="H121" s="357">
        <v>0</v>
      </c>
      <c r="I121" s="359">
        <f t="shared" si="1"/>
        <v>0</v>
      </c>
    </row>
    <row r="122" spans="1:9" ht="12.75">
      <c r="A122" s="358"/>
      <c r="B122" s="358"/>
      <c r="C122" s="355"/>
      <c r="D122" s="355" t="s">
        <v>257</v>
      </c>
      <c r="E122" s="355" t="s">
        <v>276</v>
      </c>
      <c r="F122" s="357">
        <v>0</v>
      </c>
      <c r="G122" s="357">
        <v>0</v>
      </c>
      <c r="H122" s="357">
        <v>0</v>
      </c>
      <c r="I122" s="359">
        <f t="shared" si="1"/>
        <v>0</v>
      </c>
    </row>
    <row r="123" spans="1:9" ht="12.75">
      <c r="A123" s="344"/>
      <c r="B123" s="344" t="s">
        <v>488</v>
      </c>
      <c r="C123" s="923" t="s">
        <v>489</v>
      </c>
      <c r="D123" s="923"/>
      <c r="E123" s="923"/>
      <c r="F123" s="345">
        <v>0</v>
      </c>
      <c r="G123" s="345">
        <v>0</v>
      </c>
      <c r="H123" s="345">
        <v>0</v>
      </c>
      <c r="I123" s="374">
        <f t="shared" si="1"/>
        <v>0</v>
      </c>
    </row>
    <row r="124" spans="1:9" s="377" customFormat="1" ht="12.75">
      <c r="A124" s="375" t="s">
        <v>490</v>
      </c>
      <c r="B124" s="924" t="s">
        <v>491</v>
      </c>
      <c r="C124" s="924"/>
      <c r="D124" s="924"/>
      <c r="E124" s="924"/>
      <c r="F124" s="376">
        <f>SUM(F125:F127)</f>
        <v>548556</v>
      </c>
      <c r="G124" s="376">
        <f>SUM(G125:G127)</f>
        <v>0</v>
      </c>
      <c r="H124" s="376">
        <f>SUM(H125:H127)</f>
        <v>0</v>
      </c>
      <c r="I124" s="376">
        <f t="shared" si="1"/>
        <v>548556</v>
      </c>
    </row>
    <row r="125" spans="1:9" ht="12.75">
      <c r="A125" s="344"/>
      <c r="B125" s="344" t="s">
        <v>492</v>
      </c>
      <c r="C125" s="923" t="s">
        <v>493</v>
      </c>
      <c r="D125" s="923"/>
      <c r="E125" s="923"/>
      <c r="F125" s="345">
        <v>0</v>
      </c>
      <c r="G125" s="345">
        <v>0</v>
      </c>
      <c r="H125" s="345">
        <v>0</v>
      </c>
      <c r="I125" s="374">
        <f t="shared" si="1"/>
        <v>0</v>
      </c>
    </row>
    <row r="126" spans="1:9" ht="12.75">
      <c r="A126" s="358"/>
      <c r="B126" s="344" t="s">
        <v>494</v>
      </c>
      <c r="C126" s="923" t="s">
        <v>495</v>
      </c>
      <c r="D126" s="923"/>
      <c r="E126" s="923"/>
      <c r="F126" s="345">
        <v>0</v>
      </c>
      <c r="G126" s="345">
        <v>0</v>
      </c>
      <c r="H126" s="345">
        <v>0</v>
      </c>
      <c r="I126" s="374">
        <f t="shared" si="1"/>
        <v>0</v>
      </c>
    </row>
    <row r="127" spans="1:9" ht="12.75">
      <c r="A127" s="358"/>
      <c r="B127" s="344" t="s">
        <v>496</v>
      </c>
      <c r="C127" s="923" t="s">
        <v>497</v>
      </c>
      <c r="D127" s="923"/>
      <c r="E127" s="923"/>
      <c r="F127" s="345">
        <v>548556</v>
      </c>
      <c r="G127" s="345">
        <v>0</v>
      </c>
      <c r="H127" s="345">
        <v>0</v>
      </c>
      <c r="I127" s="374">
        <f t="shared" si="1"/>
        <v>548556</v>
      </c>
    </row>
    <row r="128" spans="1:9" s="377" customFormat="1" ht="12.75">
      <c r="A128" s="375" t="s">
        <v>498</v>
      </c>
      <c r="B128" s="924" t="s">
        <v>499</v>
      </c>
      <c r="C128" s="924"/>
      <c r="D128" s="924"/>
      <c r="E128" s="924"/>
      <c r="F128" s="376">
        <f>SUM(F129+F145+F146)</f>
        <v>117966</v>
      </c>
      <c r="G128" s="376">
        <f>SUM(G129+G145+G146)</f>
        <v>3984</v>
      </c>
      <c r="H128" s="376">
        <f>SUM(H129+H145+H146)</f>
        <v>10018</v>
      </c>
      <c r="I128" s="376">
        <f t="shared" si="1"/>
        <v>131968</v>
      </c>
    </row>
    <row r="129" spans="1:9" ht="12.75">
      <c r="A129" s="358"/>
      <c r="B129" s="344" t="s">
        <v>500</v>
      </c>
      <c r="C129" s="923" t="s">
        <v>501</v>
      </c>
      <c r="D129" s="923"/>
      <c r="E129" s="923"/>
      <c r="F129" s="345">
        <f>SUM(F130+F134+F135+F140+F141+F142+F143+F144)</f>
        <v>117966</v>
      </c>
      <c r="G129" s="345">
        <f>SUM(G130+G134+G135+G140+G141+G142+G143+G144)</f>
        <v>3984</v>
      </c>
      <c r="H129" s="345">
        <f>SUM(H130+H134+H135+H140+H141+H142+H143+H144)</f>
        <v>10018</v>
      </c>
      <c r="I129" s="374">
        <f t="shared" si="1"/>
        <v>131968</v>
      </c>
    </row>
    <row r="130" spans="1:9" ht="12.75">
      <c r="A130" s="353"/>
      <c r="B130" s="353"/>
      <c r="C130" s="353" t="s">
        <v>502</v>
      </c>
      <c r="D130" s="353" t="s">
        <v>503</v>
      </c>
      <c r="E130" s="353"/>
      <c r="F130" s="354">
        <f>SUM(F131:F133)</f>
        <v>0</v>
      </c>
      <c r="G130" s="354">
        <f>SUM(G131:G133)</f>
        <v>0</v>
      </c>
      <c r="H130" s="354">
        <f>SUM(H131:H133)</f>
        <v>0</v>
      </c>
      <c r="I130" s="372">
        <f t="shared" si="1"/>
        <v>0</v>
      </c>
    </row>
    <row r="131" spans="1:9" ht="12.75">
      <c r="A131" s="346"/>
      <c r="B131" s="346"/>
      <c r="C131" s="346"/>
      <c r="D131" s="346" t="s">
        <v>504</v>
      </c>
      <c r="E131" s="346" t="s">
        <v>505</v>
      </c>
      <c r="F131" s="347">
        <f>65000-65000</f>
        <v>0</v>
      </c>
      <c r="G131" s="347">
        <v>0</v>
      </c>
      <c r="H131" s="347">
        <v>0</v>
      </c>
      <c r="I131" s="373">
        <f t="shared" si="1"/>
        <v>0</v>
      </c>
    </row>
    <row r="132" spans="1:9" ht="12.75">
      <c r="A132" s="346"/>
      <c r="B132" s="346"/>
      <c r="C132" s="346"/>
      <c r="D132" s="346" t="s">
        <v>506</v>
      </c>
      <c r="E132" s="346" t="s">
        <v>507</v>
      </c>
      <c r="F132" s="347">
        <v>0</v>
      </c>
      <c r="G132" s="347">
        <v>0</v>
      </c>
      <c r="H132" s="347">
        <v>0</v>
      </c>
      <c r="I132" s="373">
        <f t="shared" si="1"/>
        <v>0</v>
      </c>
    </row>
    <row r="133" spans="1:9" ht="12.75">
      <c r="A133" s="346"/>
      <c r="B133" s="346"/>
      <c r="C133" s="346"/>
      <c r="D133" s="346" t="s">
        <v>508</v>
      </c>
      <c r="E133" s="346" t="s">
        <v>509</v>
      </c>
      <c r="F133" s="347">
        <v>0</v>
      </c>
      <c r="G133" s="347">
        <v>0</v>
      </c>
      <c r="H133" s="347">
        <v>0</v>
      </c>
      <c r="I133" s="373">
        <f t="shared" si="1"/>
        <v>0</v>
      </c>
    </row>
    <row r="134" spans="1:9" ht="12.75">
      <c r="A134" s="353"/>
      <c r="B134" s="353"/>
      <c r="C134" s="353" t="s">
        <v>510</v>
      </c>
      <c r="D134" s="353" t="s">
        <v>511</v>
      </c>
      <c r="E134" s="353"/>
      <c r="F134" s="354">
        <v>0</v>
      </c>
      <c r="G134" s="354">
        <v>0</v>
      </c>
      <c r="H134" s="354">
        <v>0</v>
      </c>
      <c r="I134" s="372">
        <f t="shared" si="1"/>
        <v>0</v>
      </c>
    </row>
    <row r="135" spans="1:9" ht="12.75">
      <c r="A135" s="353"/>
      <c r="B135" s="353"/>
      <c r="C135" s="353" t="s">
        <v>512</v>
      </c>
      <c r="D135" s="353" t="s">
        <v>513</v>
      </c>
      <c r="E135" s="353"/>
      <c r="F135" s="354">
        <f>SUM(F136,F139)</f>
        <v>117966</v>
      </c>
      <c r="G135" s="354">
        <f>SUM(G136,G139)</f>
        <v>3984</v>
      </c>
      <c r="H135" s="354">
        <f>SUM(H136,H139)</f>
        <v>10018</v>
      </c>
      <c r="I135" s="372">
        <f t="shared" si="1"/>
        <v>131968</v>
      </c>
    </row>
    <row r="136" spans="1:9" ht="12.75">
      <c r="A136" s="346"/>
      <c r="B136" s="346"/>
      <c r="C136" s="346"/>
      <c r="D136" s="346" t="s">
        <v>514</v>
      </c>
      <c r="E136" s="346" t="s">
        <v>515</v>
      </c>
      <c r="F136" s="347">
        <f>SUM(F137:F138)</f>
        <v>117966</v>
      </c>
      <c r="G136" s="347">
        <f>SUM(G137:G138)</f>
        <v>3984</v>
      </c>
      <c r="H136" s="347">
        <f>SUM(H137:H138)</f>
        <v>10018</v>
      </c>
      <c r="I136" s="373">
        <f aca="true" t="shared" si="2" ref="I136:I146">SUM(F136:H136)</f>
        <v>131968</v>
      </c>
    </row>
    <row r="137" spans="1:9" s="759" customFormat="1" ht="12.75">
      <c r="A137" s="348"/>
      <c r="B137" s="348"/>
      <c r="C137" s="348"/>
      <c r="D137" s="348"/>
      <c r="E137" s="758" t="s">
        <v>34</v>
      </c>
      <c r="F137" s="351">
        <f>6721+897+226+750+105238</f>
        <v>113832</v>
      </c>
      <c r="G137" s="351">
        <v>3984</v>
      </c>
      <c r="H137" s="351">
        <v>10018</v>
      </c>
      <c r="I137" s="352">
        <f t="shared" si="2"/>
        <v>127834</v>
      </c>
    </row>
    <row r="138" spans="1:9" s="759" customFormat="1" ht="12.75">
      <c r="A138" s="348"/>
      <c r="B138" s="348"/>
      <c r="C138" s="348"/>
      <c r="D138" s="348"/>
      <c r="E138" s="758" t="s">
        <v>35</v>
      </c>
      <c r="F138" s="351">
        <v>4134</v>
      </c>
      <c r="G138" s="351">
        <v>0</v>
      </c>
      <c r="H138" s="351">
        <v>0</v>
      </c>
      <c r="I138" s="352">
        <f t="shared" si="2"/>
        <v>4134</v>
      </c>
    </row>
    <row r="139" spans="1:9" ht="12.75">
      <c r="A139" s="346"/>
      <c r="B139" s="346"/>
      <c r="C139" s="346"/>
      <c r="D139" s="346" t="s">
        <v>516</v>
      </c>
      <c r="E139" s="346" t="s">
        <v>517</v>
      </c>
      <c r="F139" s="347">
        <v>0</v>
      </c>
      <c r="G139" s="347">
        <v>0</v>
      </c>
      <c r="H139" s="347">
        <v>0</v>
      </c>
      <c r="I139" s="373">
        <f t="shared" si="2"/>
        <v>0</v>
      </c>
    </row>
    <row r="140" spans="1:9" ht="12.75">
      <c r="A140" s="353"/>
      <c r="B140" s="353"/>
      <c r="C140" s="353" t="s">
        <v>518</v>
      </c>
      <c r="D140" s="353" t="s">
        <v>519</v>
      </c>
      <c r="E140" s="353"/>
      <c r="F140" s="354">
        <v>0</v>
      </c>
      <c r="G140" s="354">
        <v>0</v>
      </c>
      <c r="H140" s="354">
        <v>0</v>
      </c>
      <c r="I140" s="372">
        <f t="shared" si="2"/>
        <v>0</v>
      </c>
    </row>
    <row r="141" spans="1:9" ht="12.75">
      <c r="A141" s="353"/>
      <c r="B141" s="353"/>
      <c r="C141" s="353" t="s">
        <v>520</v>
      </c>
      <c r="D141" s="353" t="s">
        <v>521</v>
      </c>
      <c r="E141" s="353"/>
      <c r="F141" s="354">
        <v>0</v>
      </c>
      <c r="G141" s="354">
        <v>0</v>
      </c>
      <c r="H141" s="354">
        <v>0</v>
      </c>
      <c r="I141" s="372">
        <f t="shared" si="2"/>
        <v>0</v>
      </c>
    </row>
    <row r="142" spans="1:9" ht="12.75">
      <c r="A142" s="353"/>
      <c r="B142" s="353"/>
      <c r="C142" s="353" t="s">
        <v>522</v>
      </c>
      <c r="D142" s="353" t="s">
        <v>523</v>
      </c>
      <c r="E142" s="353"/>
      <c r="F142" s="354">
        <v>0</v>
      </c>
      <c r="G142" s="354">
        <v>0</v>
      </c>
      <c r="H142" s="354">
        <v>0</v>
      </c>
      <c r="I142" s="372">
        <f t="shared" si="2"/>
        <v>0</v>
      </c>
    </row>
    <row r="143" spans="1:9" ht="12.75">
      <c r="A143" s="353"/>
      <c r="B143" s="353"/>
      <c r="C143" s="353" t="s">
        <v>524</v>
      </c>
      <c r="D143" s="353" t="s">
        <v>525</v>
      </c>
      <c r="E143" s="353"/>
      <c r="F143" s="354">
        <v>0</v>
      </c>
      <c r="G143" s="354">
        <v>0</v>
      </c>
      <c r="H143" s="354">
        <v>0</v>
      </c>
      <c r="I143" s="372">
        <f t="shared" si="2"/>
        <v>0</v>
      </c>
    </row>
    <row r="144" spans="1:9" ht="12.75">
      <c r="A144" s="353"/>
      <c r="B144" s="353"/>
      <c r="C144" s="353" t="s">
        <v>526</v>
      </c>
      <c r="D144" s="353" t="s">
        <v>527</v>
      </c>
      <c r="E144" s="353"/>
      <c r="F144" s="354">
        <v>0</v>
      </c>
      <c r="G144" s="354">
        <v>0</v>
      </c>
      <c r="H144" s="354">
        <v>0</v>
      </c>
      <c r="I144" s="372">
        <f t="shared" si="2"/>
        <v>0</v>
      </c>
    </row>
    <row r="145" spans="1:9" ht="12.75">
      <c r="A145" s="358"/>
      <c r="B145" s="344" t="s">
        <v>528</v>
      </c>
      <c r="C145" s="923" t="s">
        <v>529</v>
      </c>
      <c r="D145" s="923"/>
      <c r="E145" s="923"/>
      <c r="F145" s="345">
        <v>0</v>
      </c>
      <c r="G145" s="345">
        <v>0</v>
      </c>
      <c r="H145" s="345">
        <v>0</v>
      </c>
      <c r="I145" s="374">
        <f t="shared" si="2"/>
        <v>0</v>
      </c>
    </row>
    <row r="146" spans="1:9" ht="12.75">
      <c r="A146" s="358"/>
      <c r="B146" s="344" t="s">
        <v>530</v>
      </c>
      <c r="C146" s="923" t="s">
        <v>531</v>
      </c>
      <c r="D146" s="923"/>
      <c r="E146" s="923"/>
      <c r="F146" s="345">
        <v>0</v>
      </c>
      <c r="G146" s="345">
        <v>0</v>
      </c>
      <c r="H146" s="345">
        <v>0</v>
      </c>
      <c r="I146" s="374">
        <f t="shared" si="2"/>
        <v>0</v>
      </c>
    </row>
    <row r="147" spans="1:9" ht="12.75">
      <c r="A147" s="358"/>
      <c r="B147" s="358"/>
      <c r="C147" s="358"/>
      <c r="D147" s="358"/>
      <c r="E147" s="358"/>
      <c r="F147" s="343"/>
      <c r="G147" s="281"/>
      <c r="H147" s="281"/>
      <c r="I147" s="343"/>
    </row>
    <row r="148" spans="1:9" s="371" customFormat="1" ht="15.75">
      <c r="A148" s="926" t="s">
        <v>708</v>
      </c>
      <c r="B148" s="926"/>
      <c r="C148" s="926"/>
      <c r="D148" s="926"/>
      <c r="E148" s="926"/>
      <c r="F148" s="370">
        <f>SUM(F128+F124+F110+F103+F85+F56+F40+F7)</f>
        <v>5707797</v>
      </c>
      <c r="G148" s="370">
        <f>SUM(G128+G124+G110+G103+G85+G56+G40+G7)</f>
        <v>17034</v>
      </c>
      <c r="H148" s="370">
        <f>SUM(H128+H124+H110+H103+H85+H56+H40+H7)</f>
        <v>21844</v>
      </c>
      <c r="I148" s="370">
        <f>SUM(F148:H148)</f>
        <v>5746675</v>
      </c>
    </row>
  </sheetData>
  <sheetProtection/>
  <mergeCells count="45">
    <mergeCell ref="B56:E56"/>
    <mergeCell ref="C57:E57"/>
    <mergeCell ref="C44:E44"/>
    <mergeCell ref="C45:E45"/>
    <mergeCell ref="C16:E16"/>
    <mergeCell ref="C17:E17"/>
    <mergeCell ref="C28:E28"/>
    <mergeCell ref="C42:E42"/>
    <mergeCell ref="C29:E29"/>
    <mergeCell ref="F1:I1"/>
    <mergeCell ref="B6:E6"/>
    <mergeCell ref="A2:I2"/>
    <mergeCell ref="A5:E5"/>
    <mergeCell ref="B7:E7"/>
    <mergeCell ref="C146:E146"/>
    <mergeCell ref="B128:E128"/>
    <mergeCell ref="C108:E108"/>
    <mergeCell ref="C43:E43"/>
    <mergeCell ref="C58:E58"/>
    <mergeCell ref="C59:E59"/>
    <mergeCell ref="C60:E60"/>
    <mergeCell ref="C63:E63"/>
    <mergeCell ref="C75:E75"/>
    <mergeCell ref="C104:E104"/>
    <mergeCell ref="C109:E109"/>
    <mergeCell ref="B85:E85"/>
    <mergeCell ref="C105:E105"/>
    <mergeCell ref="A148:E148"/>
    <mergeCell ref="C111:E111"/>
    <mergeCell ref="C112:E112"/>
    <mergeCell ref="C123:E123"/>
    <mergeCell ref="B124:E124"/>
    <mergeCell ref="C125:E125"/>
    <mergeCell ref="C126:E126"/>
    <mergeCell ref="C145:E145"/>
    <mergeCell ref="C8:E8"/>
    <mergeCell ref="C15:E15"/>
    <mergeCell ref="C129:E129"/>
    <mergeCell ref="B40:E40"/>
    <mergeCell ref="C41:E41"/>
    <mergeCell ref="D99:E99"/>
    <mergeCell ref="B103:E103"/>
    <mergeCell ref="C127:E127"/>
    <mergeCell ref="C107:E107"/>
    <mergeCell ref="B110:E110"/>
  </mergeCells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70" r:id="rId1"/>
  <rowBreaks count="1" manualBreakCount="1">
    <brk id="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I16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5.75390625" style="0" customWidth="1"/>
    <col min="3" max="3" width="12.25390625" style="0" customWidth="1"/>
    <col min="4" max="4" width="18.625" style="0" customWidth="1"/>
    <col min="5" max="5" width="13.75390625" style="0" customWidth="1"/>
    <col min="6" max="6" width="20.75390625" style="0" customWidth="1"/>
    <col min="7" max="7" width="13.75390625" style="0" customWidth="1"/>
    <col min="8" max="9" width="13.25390625" style="0" customWidth="1"/>
  </cols>
  <sheetData>
    <row r="1" spans="1:9" ht="15.75">
      <c r="A1" s="892"/>
      <c r="B1" s="893"/>
      <c r="C1" s="893"/>
      <c r="D1" s="893"/>
      <c r="E1" s="893"/>
      <c r="F1" s="893"/>
      <c r="G1" s="893"/>
      <c r="H1" s="893"/>
      <c r="I1" s="894" t="s">
        <v>1136</v>
      </c>
    </row>
    <row r="2" spans="1:9" ht="15.75">
      <c r="A2" s="892"/>
      <c r="B2" s="893"/>
      <c r="C2" s="893"/>
      <c r="D2" s="893"/>
      <c r="E2" s="893"/>
      <c r="F2" s="893"/>
      <c r="G2" s="893"/>
      <c r="H2" s="893"/>
      <c r="I2" s="893"/>
    </row>
    <row r="3" spans="1:9" ht="42" customHeight="1">
      <c r="A3" s="1175" t="s">
        <v>981</v>
      </c>
      <c r="B3" s="1176"/>
      <c r="C3" s="1176"/>
      <c r="D3" s="1176"/>
      <c r="E3" s="1176"/>
      <c r="F3" s="1176"/>
      <c r="G3" s="1176"/>
      <c r="H3" s="1176"/>
      <c r="I3" s="1176"/>
    </row>
    <row r="4" spans="1:9" ht="16.5" thickBot="1">
      <c r="A4" s="892"/>
      <c r="B4" s="895"/>
      <c r="C4" s="895"/>
      <c r="D4" s="895"/>
      <c r="E4" s="895"/>
      <c r="F4" s="895"/>
      <c r="G4" s="895"/>
      <c r="H4" s="895"/>
      <c r="I4" s="895"/>
    </row>
    <row r="5" spans="1:9" ht="15.75">
      <c r="A5" s="1177" t="s">
        <v>698</v>
      </c>
      <c r="B5" s="1179" t="s">
        <v>982</v>
      </c>
      <c r="C5" s="1179" t="s">
        <v>983</v>
      </c>
      <c r="D5" s="1179"/>
      <c r="E5" s="1179"/>
      <c r="F5" s="1179"/>
      <c r="G5" s="1179"/>
      <c r="H5" s="1179"/>
      <c r="I5" s="1181" t="s">
        <v>687</v>
      </c>
    </row>
    <row r="6" spans="1:9" ht="102">
      <c r="A6" s="1178"/>
      <c r="B6" s="1180"/>
      <c r="C6" s="896" t="s">
        <v>984</v>
      </c>
      <c r="D6" s="896" t="s">
        <v>985</v>
      </c>
      <c r="E6" s="896" t="s">
        <v>986</v>
      </c>
      <c r="F6" s="896" t="s">
        <v>987</v>
      </c>
      <c r="G6" s="896" t="s">
        <v>988</v>
      </c>
      <c r="H6" s="896" t="s">
        <v>989</v>
      </c>
      <c r="I6" s="1182"/>
    </row>
    <row r="7" spans="1:9" ht="12.75">
      <c r="A7" s="1178"/>
      <c r="B7" s="897" t="s">
        <v>692</v>
      </c>
      <c r="C7" s="898" t="s">
        <v>693</v>
      </c>
      <c r="D7" s="898" t="s">
        <v>694</v>
      </c>
      <c r="E7" s="898" t="s">
        <v>695</v>
      </c>
      <c r="F7" s="898" t="s">
        <v>696</v>
      </c>
      <c r="G7" s="898" t="s">
        <v>697</v>
      </c>
      <c r="H7" s="898" t="s">
        <v>700</v>
      </c>
      <c r="I7" s="899" t="s">
        <v>701</v>
      </c>
    </row>
    <row r="8" spans="1:9" ht="15.75">
      <c r="A8" s="900">
        <v>1</v>
      </c>
      <c r="B8" s="901" t="s">
        <v>714</v>
      </c>
      <c r="C8" s="902">
        <v>118000</v>
      </c>
      <c r="D8" s="902">
        <f>25297+7500-4500</f>
        <v>28297</v>
      </c>
      <c r="E8" s="903">
        <v>2920</v>
      </c>
      <c r="F8" s="903">
        <v>0</v>
      </c>
      <c r="G8" s="902">
        <v>1600</v>
      </c>
      <c r="H8" s="903">
        <v>0</v>
      </c>
      <c r="I8" s="904">
        <f aca="true" t="shared" si="0" ref="I8:I16">SUM(C8:H8)</f>
        <v>150817</v>
      </c>
    </row>
    <row r="9" spans="1:9" ht="15.75">
      <c r="A9" s="900">
        <v>2</v>
      </c>
      <c r="B9" s="901" t="s">
        <v>990</v>
      </c>
      <c r="C9" s="905">
        <v>117550</v>
      </c>
      <c r="D9" s="903">
        <f>10000+6000</f>
        <v>16000</v>
      </c>
      <c r="E9" s="903">
        <v>2440</v>
      </c>
      <c r="F9" s="903">
        <v>0</v>
      </c>
      <c r="G9" s="905">
        <v>1335</v>
      </c>
      <c r="H9" s="903">
        <v>0</v>
      </c>
      <c r="I9" s="904">
        <f t="shared" si="0"/>
        <v>137325</v>
      </c>
    </row>
    <row r="10" spans="1:9" ht="15.75">
      <c r="A10" s="900">
        <v>3</v>
      </c>
      <c r="B10" s="901" t="s">
        <v>991</v>
      </c>
      <c r="C10" s="905">
        <v>119680</v>
      </c>
      <c r="D10" s="903">
        <f>6000+6000</f>
        <v>12000</v>
      </c>
      <c r="E10" s="903">
        <v>2480</v>
      </c>
      <c r="F10" s="903">
        <v>0</v>
      </c>
      <c r="G10" s="905">
        <v>1360</v>
      </c>
      <c r="H10" s="903">
        <v>0</v>
      </c>
      <c r="I10" s="904">
        <f t="shared" si="0"/>
        <v>135520</v>
      </c>
    </row>
    <row r="11" spans="1:9" ht="15.75">
      <c r="A11" s="900">
        <v>4</v>
      </c>
      <c r="B11" s="901" t="s">
        <v>992</v>
      </c>
      <c r="C11" s="905">
        <v>120165</v>
      </c>
      <c r="D11" s="903">
        <f>6000+6000</f>
        <v>12000</v>
      </c>
      <c r="E11" s="903">
        <v>2490</v>
      </c>
      <c r="F11" s="903">
        <v>0</v>
      </c>
      <c r="G11" s="905">
        <v>1365</v>
      </c>
      <c r="H11" s="903">
        <v>0</v>
      </c>
      <c r="I11" s="904">
        <f t="shared" si="0"/>
        <v>136020</v>
      </c>
    </row>
    <row r="12" spans="1:9" ht="15.75">
      <c r="A12" s="900">
        <v>5</v>
      </c>
      <c r="B12" s="901" t="s">
        <v>993</v>
      </c>
      <c r="C12" s="905">
        <v>123275</v>
      </c>
      <c r="D12" s="906">
        <v>6000</v>
      </c>
      <c r="E12" s="903">
        <v>2550</v>
      </c>
      <c r="F12" s="903">
        <v>0</v>
      </c>
      <c r="G12" s="905">
        <v>1400</v>
      </c>
      <c r="H12" s="903">
        <v>0</v>
      </c>
      <c r="I12" s="904">
        <f t="shared" si="0"/>
        <v>133225</v>
      </c>
    </row>
    <row r="13" spans="1:9" ht="15.75">
      <c r="A13" s="900">
        <v>6</v>
      </c>
      <c r="B13" s="901" t="s">
        <v>994</v>
      </c>
      <c r="C13" s="905">
        <v>125940</v>
      </c>
      <c r="D13" s="906">
        <v>6000</v>
      </c>
      <c r="E13" s="903">
        <v>2610</v>
      </c>
      <c r="F13" s="903">
        <v>0</v>
      </c>
      <c r="G13" s="905">
        <v>1430</v>
      </c>
      <c r="H13" s="903">
        <v>0</v>
      </c>
      <c r="I13" s="904">
        <f t="shared" si="0"/>
        <v>135980</v>
      </c>
    </row>
    <row r="14" spans="1:9" ht="15.75">
      <c r="A14" s="900">
        <v>7</v>
      </c>
      <c r="B14" s="901" t="s">
        <v>995</v>
      </c>
      <c r="C14" s="905">
        <v>127035</v>
      </c>
      <c r="D14" s="906">
        <v>6000</v>
      </c>
      <c r="E14" s="903">
        <v>2640</v>
      </c>
      <c r="F14" s="903">
        <v>0</v>
      </c>
      <c r="G14" s="905">
        <v>1445</v>
      </c>
      <c r="H14" s="903">
        <v>0</v>
      </c>
      <c r="I14" s="904">
        <f t="shared" si="0"/>
        <v>137120</v>
      </c>
    </row>
    <row r="15" spans="1:9" ht="15.75">
      <c r="A15" s="900">
        <v>8</v>
      </c>
      <c r="B15" s="901" t="s">
        <v>996</v>
      </c>
      <c r="C15" s="905">
        <v>128585</v>
      </c>
      <c r="D15" s="906">
        <v>6000</v>
      </c>
      <c r="E15" s="903">
        <v>2660</v>
      </c>
      <c r="F15" s="903">
        <v>0</v>
      </c>
      <c r="G15" s="905">
        <v>1460</v>
      </c>
      <c r="H15" s="903">
        <v>0</v>
      </c>
      <c r="I15" s="904">
        <f t="shared" si="0"/>
        <v>138705</v>
      </c>
    </row>
    <row r="16" spans="1:9" ht="15.75">
      <c r="A16" s="900">
        <v>9</v>
      </c>
      <c r="B16" s="901" t="s">
        <v>997</v>
      </c>
      <c r="C16" s="905">
        <v>130615</v>
      </c>
      <c r="D16" s="906">
        <v>6000</v>
      </c>
      <c r="E16" s="903">
        <v>2710</v>
      </c>
      <c r="F16" s="903">
        <v>0</v>
      </c>
      <c r="G16" s="905">
        <v>1485</v>
      </c>
      <c r="H16" s="903">
        <v>0</v>
      </c>
      <c r="I16" s="904">
        <f t="shared" si="0"/>
        <v>140810</v>
      </c>
    </row>
  </sheetData>
  <sheetProtection/>
  <mergeCells count="5">
    <mergeCell ref="A3:I3"/>
    <mergeCell ref="A5:A7"/>
    <mergeCell ref="B5:B6"/>
    <mergeCell ref="C5:H5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C8"/>
  <sheetViews>
    <sheetView tabSelected="1" zoomScalePageLayoutView="0" workbookViewId="0" topLeftCell="A1">
      <selection activeCell="A2" sqref="A2:C2"/>
    </sheetView>
  </sheetViews>
  <sheetFormatPr defaultColWidth="8.875" defaultRowHeight="12.75"/>
  <cols>
    <col min="1" max="1" width="55.125" style="911" customWidth="1"/>
    <col min="2" max="3" width="30.75390625" style="911" customWidth="1"/>
    <col min="4" max="16384" width="8.875" style="911" customWidth="1"/>
  </cols>
  <sheetData>
    <row r="1" s="910" customFormat="1" ht="15">
      <c r="C1" s="756" t="s">
        <v>1137</v>
      </c>
    </row>
    <row r="2" spans="1:3" ht="38.25" customHeight="1">
      <c r="A2" s="1183"/>
      <c r="B2" s="1183"/>
      <c r="C2" s="1183"/>
    </row>
    <row r="3" spans="1:3" ht="31.5" customHeight="1">
      <c r="A3" s="1184" t="s">
        <v>1115</v>
      </c>
      <c r="B3" s="1184"/>
      <c r="C3" s="1184"/>
    </row>
    <row r="4" spans="1:3" ht="44.25" customHeight="1" thickBot="1">
      <c r="A4" s="1185"/>
      <c r="B4" s="1185"/>
      <c r="C4" s="1185"/>
    </row>
    <row r="5" spans="1:3" s="915" customFormat="1" ht="30.75" customHeight="1">
      <c r="A5" s="912" t="s">
        <v>1116</v>
      </c>
      <c r="B5" s="913" t="s">
        <v>1117</v>
      </c>
      <c r="C5" s="914" t="s">
        <v>1118</v>
      </c>
    </row>
    <row r="6" spans="1:3" ht="15">
      <c r="A6" s="916"/>
      <c r="B6" s="917"/>
      <c r="C6" s="918"/>
    </row>
    <row r="7" spans="1:3" ht="15">
      <c r="A7" s="919" t="s">
        <v>709</v>
      </c>
      <c r="B7" s="917" t="s">
        <v>709</v>
      </c>
      <c r="C7" s="920" t="s">
        <v>709</v>
      </c>
    </row>
    <row r="8" spans="1:3" s="922" customFormat="1" ht="15" thickBot="1">
      <c r="A8" s="1186" t="s">
        <v>610</v>
      </c>
      <c r="B8" s="1187"/>
      <c r="C8" s="921">
        <f>SUM(C6:C7)</f>
        <v>0</v>
      </c>
    </row>
  </sheetData>
  <sheetProtection/>
  <mergeCells count="4">
    <mergeCell ref="A2:C2"/>
    <mergeCell ref="A3:C3"/>
    <mergeCell ref="A4:C4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55"/>
  <sheetViews>
    <sheetView zoomScalePageLayoutView="0" workbookViewId="0" topLeftCell="C1">
      <selection activeCell="L2" sqref="L2"/>
    </sheetView>
  </sheetViews>
  <sheetFormatPr defaultColWidth="9.00390625" defaultRowHeight="12.75"/>
  <cols>
    <col min="1" max="1" width="1.37890625" style="874" customWidth="1"/>
    <col min="2" max="2" width="7.25390625" style="875" customWidth="1"/>
    <col min="3" max="3" width="68.75390625" style="62" customWidth="1"/>
    <col min="4" max="4" width="9.75390625" style="62" bestFit="1" customWidth="1"/>
    <col min="5" max="5" width="10.375" style="62" bestFit="1" customWidth="1"/>
    <col min="6" max="6" width="16.125" style="62" bestFit="1" customWidth="1"/>
    <col min="7" max="7" width="9.75390625" style="62" bestFit="1" customWidth="1"/>
    <col min="8" max="8" width="11.25390625" style="62" customWidth="1"/>
    <col min="9" max="9" width="9.625" style="62" customWidth="1"/>
    <col min="10" max="10" width="11.25390625" style="62" customWidth="1"/>
    <col min="11" max="11" width="16.125" style="62" bestFit="1" customWidth="1"/>
    <col min="12" max="12" width="19.125" style="62" customWidth="1"/>
    <col min="13" max="13" width="9.125" style="62" customWidth="1"/>
    <col min="14" max="14" width="12.375" style="62" bestFit="1" customWidth="1"/>
    <col min="15" max="16384" width="9.125" style="62" customWidth="1"/>
  </cols>
  <sheetData>
    <row r="1" spans="9:12" ht="15">
      <c r="I1" s="755"/>
      <c r="L1" s="756" t="s">
        <v>1138</v>
      </c>
    </row>
    <row r="2" spans="1:12" s="49" customFormat="1" ht="15.75">
      <c r="A2" s="1216" t="s">
        <v>209</v>
      </c>
      <c r="B2" s="1216"/>
      <c r="C2" s="1216"/>
      <c r="D2" s="1216"/>
      <c r="E2" s="1216"/>
      <c r="F2" s="1216"/>
      <c r="G2" s="1216"/>
      <c r="H2" s="1216"/>
      <c r="I2" s="1216"/>
      <c r="J2" s="1216"/>
      <c r="K2" s="1216"/>
      <c r="L2" s="48"/>
    </row>
    <row r="3" spans="1:12" s="49" customFormat="1" ht="15.75">
      <c r="A3" s="1217" t="s">
        <v>980</v>
      </c>
      <c r="B3" s="1217"/>
      <c r="C3" s="1217"/>
      <c r="D3" s="1217"/>
      <c r="E3" s="1217"/>
      <c r="F3" s="1217"/>
      <c r="G3" s="1217"/>
      <c r="H3" s="1217"/>
      <c r="I3" s="1217"/>
      <c r="J3" s="1217"/>
      <c r="K3" s="1217"/>
      <c r="L3" s="50"/>
    </row>
    <row r="4" ht="13.5" thickBot="1"/>
    <row r="5" spans="1:14" s="56" customFormat="1" ht="40.5" customHeight="1">
      <c r="A5" s="1218" t="s">
        <v>715</v>
      </c>
      <c r="B5" s="1218"/>
      <c r="C5" s="1219"/>
      <c r="D5" s="1220" t="s">
        <v>713</v>
      </c>
      <c r="E5" s="1218"/>
      <c r="F5" s="1221"/>
      <c r="G5" s="1222" t="s">
        <v>880</v>
      </c>
      <c r="H5" s="1223"/>
      <c r="I5" s="1223"/>
      <c r="J5" s="1224"/>
      <c r="K5" s="1225"/>
      <c r="L5" s="1208" t="s">
        <v>612</v>
      </c>
      <c r="N5" s="56" t="s">
        <v>769</v>
      </c>
    </row>
    <row r="6" spans="1:12" s="56" customFormat="1" ht="25.5">
      <c r="A6" s="1210" t="s">
        <v>716</v>
      </c>
      <c r="B6" s="1211"/>
      <c r="C6" s="51" t="s">
        <v>717</v>
      </c>
      <c r="D6" s="52" t="s">
        <v>718</v>
      </c>
      <c r="E6" s="54" t="s">
        <v>719</v>
      </c>
      <c r="F6" s="55" t="s">
        <v>767</v>
      </c>
      <c r="G6" s="52" t="s">
        <v>721</v>
      </c>
      <c r="H6" s="53" t="s">
        <v>738</v>
      </c>
      <c r="I6" s="53" t="s">
        <v>722</v>
      </c>
      <c r="J6" s="53" t="s">
        <v>738</v>
      </c>
      <c r="K6" s="55" t="s">
        <v>720</v>
      </c>
      <c r="L6" s="1209"/>
    </row>
    <row r="7" spans="1:12" s="164" customFormat="1" ht="12">
      <c r="A7" s="1212"/>
      <c r="B7" s="1213"/>
      <c r="C7" s="159" t="s">
        <v>692</v>
      </c>
      <c r="D7" s="160" t="s">
        <v>693</v>
      </c>
      <c r="E7" s="161" t="s">
        <v>694</v>
      </c>
      <c r="F7" s="162" t="s">
        <v>695</v>
      </c>
      <c r="G7" s="160" t="s">
        <v>696</v>
      </c>
      <c r="H7" s="163" t="s">
        <v>739</v>
      </c>
      <c r="I7" s="163" t="s">
        <v>700</v>
      </c>
      <c r="J7" s="163" t="s">
        <v>701</v>
      </c>
      <c r="K7" s="162" t="s">
        <v>641</v>
      </c>
      <c r="L7" s="751" t="s">
        <v>642</v>
      </c>
    </row>
    <row r="8" spans="1:14" s="71" customFormat="1" ht="15">
      <c r="A8" s="1202" t="s">
        <v>154</v>
      </c>
      <c r="B8" s="1202"/>
      <c r="C8" s="1203"/>
      <c r="D8" s="220"/>
      <c r="E8" s="221"/>
      <c r="F8" s="222"/>
      <c r="G8" s="220"/>
      <c r="H8" s="223"/>
      <c r="I8" s="223"/>
      <c r="J8" s="221"/>
      <c r="K8" s="222"/>
      <c r="L8" s="750"/>
      <c r="M8" s="69"/>
      <c r="N8" s="70"/>
    </row>
    <row r="9" spans="1:14" s="200" customFormat="1" ht="28.5" customHeight="1">
      <c r="A9" s="1190"/>
      <c r="B9" s="1191"/>
      <c r="C9" s="204" t="s">
        <v>970</v>
      </c>
      <c r="D9" s="205"/>
      <c r="E9" s="206"/>
      <c r="F9" s="207">
        <f>SUM(F17+F16+F11+F10)</f>
        <v>257053224</v>
      </c>
      <c r="G9" s="205"/>
      <c r="H9" s="208"/>
      <c r="I9" s="208"/>
      <c r="J9" s="206"/>
      <c r="K9" s="207"/>
      <c r="L9" s="752">
        <f aca="true" t="shared" si="0" ref="L9:L15">F9+K9</f>
        <v>257053224</v>
      </c>
      <c r="M9" s="199"/>
      <c r="N9" s="199">
        <f>SUM(N10:N17)</f>
        <v>257053224</v>
      </c>
    </row>
    <row r="10" spans="1:14" s="196" customFormat="1" ht="16.5" customHeight="1">
      <c r="A10" s="1192" t="s">
        <v>740</v>
      </c>
      <c r="B10" s="1193"/>
      <c r="C10" s="190" t="s">
        <v>741</v>
      </c>
      <c r="D10" s="674">
        <v>27.03</v>
      </c>
      <c r="E10" s="192">
        <v>4580000</v>
      </c>
      <c r="F10" s="193">
        <f>D10*E10</f>
        <v>123797400</v>
      </c>
      <c r="G10" s="191"/>
      <c r="H10" s="194"/>
      <c r="I10" s="194"/>
      <c r="J10" s="192"/>
      <c r="K10" s="193"/>
      <c r="L10" s="753">
        <f t="shared" si="0"/>
        <v>123797400</v>
      </c>
      <c r="M10" s="195"/>
      <c r="N10" s="202">
        <f>SUM(L10)</f>
        <v>123797400</v>
      </c>
    </row>
    <row r="11" spans="1:14" s="196" customFormat="1" ht="19.5" customHeight="1">
      <c r="A11" s="1192" t="s">
        <v>742</v>
      </c>
      <c r="B11" s="1193"/>
      <c r="C11" s="190" t="s">
        <v>155</v>
      </c>
      <c r="D11" s="191"/>
      <c r="E11" s="192"/>
      <c r="F11" s="193">
        <f>SUM(F12:F15)</f>
        <v>59774739</v>
      </c>
      <c r="G11" s="191"/>
      <c r="H11" s="194"/>
      <c r="I11" s="194"/>
      <c r="J11" s="192"/>
      <c r="K11" s="193"/>
      <c r="L11" s="753">
        <f t="shared" si="0"/>
        <v>59774739</v>
      </c>
      <c r="M11" s="195"/>
      <c r="N11" s="202">
        <f>SUM(L12:L15)</f>
        <v>59774739</v>
      </c>
    </row>
    <row r="12" spans="1:14" ht="19.5" customHeight="1">
      <c r="A12" s="1194" t="s">
        <v>743</v>
      </c>
      <c r="B12" s="1195"/>
      <c r="C12" s="188" t="s">
        <v>744</v>
      </c>
      <c r="D12" s="57"/>
      <c r="E12" s="58"/>
      <c r="F12" s="59">
        <v>18158890</v>
      </c>
      <c r="G12" s="57"/>
      <c r="H12" s="60"/>
      <c r="I12" s="60"/>
      <c r="J12" s="58"/>
      <c r="K12" s="59"/>
      <c r="L12" s="754">
        <f t="shared" si="0"/>
        <v>18158890</v>
      </c>
      <c r="M12" s="61"/>
      <c r="N12" s="202"/>
    </row>
    <row r="13" spans="1:14" ht="12.75">
      <c r="A13" s="1194" t="s">
        <v>745</v>
      </c>
      <c r="B13" s="1195"/>
      <c r="C13" s="189" t="s">
        <v>746</v>
      </c>
      <c r="D13" s="57"/>
      <c r="E13" s="58"/>
      <c r="F13" s="59">
        <v>26564160</v>
      </c>
      <c r="G13" s="57"/>
      <c r="H13" s="60"/>
      <c r="I13" s="60"/>
      <c r="J13" s="58"/>
      <c r="K13" s="59"/>
      <c r="L13" s="754">
        <f t="shared" si="0"/>
        <v>26564160</v>
      </c>
      <c r="M13" s="61"/>
      <c r="N13" s="202"/>
    </row>
    <row r="14" spans="1:14" ht="12.75">
      <c r="A14" s="1194" t="s">
        <v>747</v>
      </c>
      <c r="B14" s="1195"/>
      <c r="C14" s="189" t="s">
        <v>748</v>
      </c>
      <c r="D14" s="57"/>
      <c r="E14" s="58"/>
      <c r="F14" s="59">
        <v>0</v>
      </c>
      <c r="G14" s="57"/>
      <c r="H14" s="60"/>
      <c r="I14" s="60"/>
      <c r="J14" s="58"/>
      <c r="K14" s="59"/>
      <c r="L14" s="754">
        <f t="shared" si="0"/>
        <v>0</v>
      </c>
      <c r="M14" s="61"/>
      <c r="N14" s="202"/>
    </row>
    <row r="15" spans="1:14" ht="12.75">
      <c r="A15" s="1194" t="s">
        <v>749</v>
      </c>
      <c r="B15" s="1195"/>
      <c r="C15" s="189" t="s">
        <v>750</v>
      </c>
      <c r="D15" s="57"/>
      <c r="E15" s="58"/>
      <c r="F15" s="59">
        <v>15051689</v>
      </c>
      <c r="G15" s="57"/>
      <c r="H15" s="60"/>
      <c r="I15" s="60"/>
      <c r="J15" s="58"/>
      <c r="K15" s="59"/>
      <c r="L15" s="754">
        <f t="shared" si="0"/>
        <v>15051689</v>
      </c>
      <c r="M15" s="61"/>
      <c r="N15" s="202"/>
    </row>
    <row r="16" spans="1:14" s="196" customFormat="1" ht="12.75">
      <c r="A16" s="1192" t="s">
        <v>751</v>
      </c>
      <c r="B16" s="1193"/>
      <c r="C16" s="197" t="s">
        <v>156</v>
      </c>
      <c r="D16" s="191"/>
      <c r="E16" s="192"/>
      <c r="F16" s="193">
        <v>25126200</v>
      </c>
      <c r="G16" s="191"/>
      <c r="H16" s="194"/>
      <c r="I16" s="194"/>
      <c r="J16" s="192"/>
      <c r="K16" s="193"/>
      <c r="L16" s="753">
        <f>F16+K16</f>
        <v>25126200</v>
      </c>
      <c r="M16" s="195"/>
      <c r="N16" s="202">
        <f>SUM(L16)</f>
        <v>25126200</v>
      </c>
    </row>
    <row r="17" spans="1:14" ht="12.75">
      <c r="A17" s="1192" t="s">
        <v>761</v>
      </c>
      <c r="B17" s="1193"/>
      <c r="C17" s="197" t="s">
        <v>762</v>
      </c>
      <c r="D17" s="191"/>
      <c r="E17" s="192"/>
      <c r="F17" s="193">
        <v>48354885</v>
      </c>
      <c r="G17" s="57"/>
      <c r="H17" s="60"/>
      <c r="I17" s="60"/>
      <c r="J17" s="58"/>
      <c r="K17" s="59"/>
      <c r="L17" s="753">
        <f>F17+K17</f>
        <v>48354885</v>
      </c>
      <c r="M17" s="61"/>
      <c r="N17" s="61">
        <f>L17</f>
        <v>48354885</v>
      </c>
    </row>
    <row r="18" spans="1:14" ht="25.5">
      <c r="A18" s="1190"/>
      <c r="B18" s="1191"/>
      <c r="C18" s="204" t="s">
        <v>157</v>
      </c>
      <c r="D18" s="209"/>
      <c r="E18" s="210"/>
      <c r="F18" s="211"/>
      <c r="G18" s="209"/>
      <c r="H18" s="212"/>
      <c r="I18" s="212"/>
      <c r="J18" s="210"/>
      <c r="K18" s="211">
        <f>SUM(K19+K23)-1</f>
        <v>128044905.66666667</v>
      </c>
      <c r="L18" s="749">
        <f>F18+K18</f>
        <v>128044905.66666667</v>
      </c>
      <c r="M18" s="61"/>
      <c r="N18" s="195">
        <f>SUM(N19:N23)</f>
        <v>128044906.66666667</v>
      </c>
    </row>
    <row r="19" spans="1:14" s="196" customFormat="1" ht="25.5">
      <c r="A19" s="1192" t="s">
        <v>753</v>
      </c>
      <c r="B19" s="1193"/>
      <c r="C19" s="190" t="s">
        <v>158</v>
      </c>
      <c r="D19" s="191"/>
      <c r="E19" s="192"/>
      <c r="F19" s="193"/>
      <c r="G19" s="191"/>
      <c r="H19" s="194"/>
      <c r="I19" s="194"/>
      <c r="J19" s="192"/>
      <c r="K19" s="193">
        <f>SUM(K20:K22)</f>
        <v>114679573.33333334</v>
      </c>
      <c r="L19" s="753">
        <f>SUM(K19,F19)</f>
        <v>114679573.33333334</v>
      </c>
      <c r="M19" s="195"/>
      <c r="N19" s="202">
        <f>SUM(L20:L22)</f>
        <v>114679573.33333334</v>
      </c>
    </row>
    <row r="20" spans="1:14" ht="16.5" customHeight="1">
      <c r="A20" s="1194" t="s">
        <v>756</v>
      </c>
      <c r="B20" s="1195"/>
      <c r="C20" s="188" t="s">
        <v>755</v>
      </c>
      <c r="D20" s="57"/>
      <c r="E20" s="64"/>
      <c r="F20" s="59"/>
      <c r="G20" s="675">
        <v>21.8</v>
      </c>
      <c r="H20" s="60">
        <v>4012000</v>
      </c>
      <c r="I20" s="677">
        <v>20.1</v>
      </c>
      <c r="J20" s="58">
        <v>4012000</v>
      </c>
      <c r="K20" s="59">
        <f>(G20/12*8*H20)+(I20/12*4*J20)</f>
        <v>85188133.33333334</v>
      </c>
      <c r="L20" s="754">
        <f aca="true" t="shared" si="1" ref="L20:L27">F20+K20</f>
        <v>85188133.33333334</v>
      </c>
      <c r="M20" s="61"/>
      <c r="N20" s="202"/>
    </row>
    <row r="21" spans="1:14" ht="18.75" customHeight="1">
      <c r="A21" s="1194" t="s">
        <v>757</v>
      </c>
      <c r="B21" s="1195"/>
      <c r="C21" s="679" t="s">
        <v>159</v>
      </c>
      <c r="D21" s="57"/>
      <c r="E21" s="64"/>
      <c r="F21" s="59"/>
      <c r="G21" s="675">
        <v>16</v>
      </c>
      <c r="H21" s="60">
        <v>1800000</v>
      </c>
      <c r="I21" s="677">
        <v>16</v>
      </c>
      <c r="J21" s="58">
        <v>1800000</v>
      </c>
      <c r="K21" s="59">
        <f>(G21/12*8*H21)+(I21/12*4*J21)</f>
        <v>28800000</v>
      </c>
      <c r="L21" s="754">
        <f t="shared" si="1"/>
        <v>28800000</v>
      </c>
      <c r="M21" s="61"/>
      <c r="N21" s="202"/>
    </row>
    <row r="22" spans="1:14" ht="16.5" customHeight="1">
      <c r="A22" s="1204" t="s">
        <v>160</v>
      </c>
      <c r="B22" s="1205"/>
      <c r="C22" s="679" t="s">
        <v>210</v>
      </c>
      <c r="D22" s="57"/>
      <c r="E22" s="64"/>
      <c r="F22" s="59"/>
      <c r="G22" s="675"/>
      <c r="H22" s="60"/>
      <c r="I22" s="677">
        <v>20.1</v>
      </c>
      <c r="J22" s="58">
        <f>34400*3</f>
        <v>103200</v>
      </c>
      <c r="K22" s="59">
        <f>(G22/12*8*H22)+(I22/12*4*J22)</f>
        <v>691440</v>
      </c>
      <c r="L22" s="754">
        <f t="shared" si="1"/>
        <v>691440</v>
      </c>
      <c r="M22" s="61"/>
      <c r="N22" s="202"/>
    </row>
    <row r="23" spans="1:14" s="196" customFormat="1" ht="18" customHeight="1">
      <c r="A23" s="1192" t="s">
        <v>758</v>
      </c>
      <c r="B23" s="1193"/>
      <c r="C23" s="197" t="s">
        <v>759</v>
      </c>
      <c r="D23" s="203"/>
      <c r="E23" s="198"/>
      <c r="F23" s="193"/>
      <c r="G23" s="676">
        <v>246</v>
      </c>
      <c r="H23" s="194">
        <v>56000</v>
      </c>
      <c r="I23" s="678">
        <v>224</v>
      </c>
      <c r="J23" s="192">
        <v>56000</v>
      </c>
      <c r="K23" s="193">
        <f>(G23/12*8*H23)+(I23/12*4*J23)</f>
        <v>13365333.333333334</v>
      </c>
      <c r="L23" s="753">
        <f t="shared" si="1"/>
        <v>13365333.333333334</v>
      </c>
      <c r="M23" s="195"/>
      <c r="N23" s="202">
        <f>SUM(L23)</f>
        <v>13365333.333333334</v>
      </c>
    </row>
    <row r="24" spans="1:14" ht="12.75">
      <c r="A24" s="1214"/>
      <c r="B24" s="1215"/>
      <c r="C24" s="63"/>
      <c r="D24" s="57"/>
      <c r="E24" s="58"/>
      <c r="F24" s="59"/>
      <c r="G24" s="57"/>
      <c r="H24" s="60"/>
      <c r="I24" s="60"/>
      <c r="J24" s="58"/>
      <c r="K24" s="201"/>
      <c r="L24" s="754"/>
      <c r="M24" s="61"/>
      <c r="N24" s="61"/>
    </row>
    <row r="25" spans="1:14" s="196" customFormat="1" ht="25.5">
      <c r="A25" s="1190"/>
      <c r="B25" s="1191"/>
      <c r="C25" s="204" t="s">
        <v>161</v>
      </c>
      <c r="D25" s="214"/>
      <c r="E25" s="215"/>
      <c r="F25" s="211">
        <f>SUM(F26:F27,F30)</f>
        <v>185384060</v>
      </c>
      <c r="G25" s="216"/>
      <c r="H25" s="213"/>
      <c r="I25" s="217"/>
      <c r="J25" s="215"/>
      <c r="K25" s="211">
        <f>SUM(K26:K27,K30)</f>
        <v>0</v>
      </c>
      <c r="L25" s="749">
        <f t="shared" si="1"/>
        <v>185384060</v>
      </c>
      <c r="M25" s="195"/>
      <c r="N25" s="195">
        <f>SUM(N26:N27,N30)</f>
        <v>185384060</v>
      </c>
    </row>
    <row r="26" spans="1:14" s="196" customFormat="1" ht="12.75">
      <c r="A26" s="1192" t="s">
        <v>760</v>
      </c>
      <c r="B26" s="1193"/>
      <c r="C26" s="197" t="s">
        <v>768</v>
      </c>
      <c r="D26" s="191"/>
      <c r="E26" s="192"/>
      <c r="F26" s="849">
        <f>120950000-6600000</f>
        <v>114350000</v>
      </c>
      <c r="G26" s="191"/>
      <c r="H26" s="194"/>
      <c r="I26" s="194"/>
      <c r="J26" s="192"/>
      <c r="K26" s="193"/>
      <c r="L26" s="753">
        <f t="shared" si="1"/>
        <v>114350000</v>
      </c>
      <c r="M26" s="195"/>
      <c r="N26" s="202">
        <f>SUM(L26)</f>
        <v>114350000</v>
      </c>
    </row>
    <row r="27" spans="1:14" s="196" customFormat="1" ht="12.75">
      <c r="A27" s="1192" t="s">
        <v>763</v>
      </c>
      <c r="B27" s="1193"/>
      <c r="C27" s="197" t="s">
        <v>764</v>
      </c>
      <c r="D27" s="191"/>
      <c r="E27" s="192"/>
      <c r="F27" s="193">
        <f>SUM(F28:F29)</f>
        <v>7351740</v>
      </c>
      <c r="G27" s="219"/>
      <c r="H27" s="194"/>
      <c r="I27" s="218"/>
      <c r="J27" s="192"/>
      <c r="K27" s="193"/>
      <c r="L27" s="753">
        <f t="shared" si="1"/>
        <v>7351740</v>
      </c>
      <c r="M27" s="195"/>
      <c r="N27" s="202">
        <f>SUM(L28:L29)</f>
        <v>7351740</v>
      </c>
    </row>
    <row r="28" spans="1:14" ht="12.75">
      <c r="A28" s="1204" t="s">
        <v>162</v>
      </c>
      <c r="B28" s="1205"/>
      <c r="C28" s="189" t="s">
        <v>727</v>
      </c>
      <c r="D28" s="57"/>
      <c r="E28" s="58"/>
      <c r="F28" s="59">
        <v>3675870</v>
      </c>
      <c r="G28" s="66"/>
      <c r="H28" s="60"/>
      <c r="I28" s="65"/>
      <c r="J28" s="58"/>
      <c r="K28" s="59"/>
      <c r="L28" s="754">
        <f aca="true" t="shared" si="2" ref="L28:L34">F28+K28</f>
        <v>3675870</v>
      </c>
      <c r="M28" s="61"/>
      <c r="N28" s="61"/>
    </row>
    <row r="29" spans="1:14" ht="12.75">
      <c r="A29" s="1204" t="s">
        <v>163</v>
      </c>
      <c r="B29" s="1205"/>
      <c r="C29" s="189" t="s">
        <v>765</v>
      </c>
      <c r="D29" s="57"/>
      <c r="E29" s="58"/>
      <c r="F29" s="59">
        <v>3675870</v>
      </c>
      <c r="G29" s="66"/>
      <c r="H29" s="60"/>
      <c r="I29" s="65"/>
      <c r="J29" s="58"/>
      <c r="K29" s="59"/>
      <c r="L29" s="754">
        <f t="shared" si="2"/>
        <v>3675870</v>
      </c>
      <c r="M29" s="61"/>
      <c r="N29" s="61"/>
    </row>
    <row r="30" spans="1:14" ht="12.75">
      <c r="A30" s="1192" t="s">
        <v>164</v>
      </c>
      <c r="B30" s="1193"/>
      <c r="C30" s="197" t="s">
        <v>165</v>
      </c>
      <c r="D30" s="57"/>
      <c r="E30" s="58"/>
      <c r="F30" s="193">
        <f>SUM(F31:F32)</f>
        <v>63682320</v>
      </c>
      <c r="G30" s="57"/>
      <c r="H30" s="60"/>
      <c r="I30" s="60"/>
      <c r="J30" s="58"/>
      <c r="K30" s="193">
        <f>SUM(K31:K32)</f>
        <v>0</v>
      </c>
      <c r="L30" s="753">
        <f t="shared" si="2"/>
        <v>63682320</v>
      </c>
      <c r="M30" s="61"/>
      <c r="N30" s="202">
        <f>SUM(L30)</f>
        <v>63682320</v>
      </c>
    </row>
    <row r="31" spans="1:14" ht="16.5" customHeight="1">
      <c r="A31" s="1204" t="s">
        <v>1119</v>
      </c>
      <c r="B31" s="1205"/>
      <c r="C31" s="679" t="s">
        <v>1120</v>
      </c>
      <c r="D31" s="762">
        <f>12.76-0.74</f>
        <v>12.02</v>
      </c>
      <c r="E31" s="58">
        <v>1632000</v>
      </c>
      <c r="F31" s="59">
        <f>E31*D31</f>
        <v>19616640</v>
      </c>
      <c r="G31" s="680"/>
      <c r="H31" s="763"/>
      <c r="I31" s="764"/>
      <c r="J31" s="58"/>
      <c r="K31" s="59"/>
      <c r="L31" s="754">
        <f t="shared" si="2"/>
        <v>19616640</v>
      </c>
      <c r="M31" s="61"/>
      <c r="N31" s="61"/>
    </row>
    <row r="32" spans="1:14" ht="12.75">
      <c r="A32" s="1204" t="s">
        <v>166</v>
      </c>
      <c r="B32" s="1205"/>
      <c r="C32" s="679" t="s">
        <v>167</v>
      </c>
      <c r="D32" s="680"/>
      <c r="E32" s="58"/>
      <c r="F32" s="59">
        <v>44065680</v>
      </c>
      <c r="G32" s="57"/>
      <c r="H32" s="60"/>
      <c r="I32" s="60"/>
      <c r="J32" s="58"/>
      <c r="K32" s="59"/>
      <c r="L32" s="754">
        <f t="shared" si="2"/>
        <v>44065680</v>
      </c>
      <c r="M32" s="61"/>
      <c r="N32" s="61"/>
    </row>
    <row r="33" spans="1:14" s="196" customFormat="1" ht="12.75">
      <c r="A33" s="876" t="s">
        <v>766</v>
      </c>
      <c r="B33" s="877"/>
      <c r="C33" s="204" t="s">
        <v>736</v>
      </c>
      <c r="D33" s="214"/>
      <c r="E33" s="215"/>
      <c r="F33" s="211">
        <f>SUM(F34)</f>
        <v>10608840</v>
      </c>
      <c r="G33" s="216"/>
      <c r="H33" s="213"/>
      <c r="I33" s="217"/>
      <c r="J33" s="215"/>
      <c r="K33" s="211"/>
      <c r="L33" s="749">
        <f t="shared" si="2"/>
        <v>10608840</v>
      </c>
      <c r="M33" s="195"/>
      <c r="N33" s="195">
        <f>SUM(L34)</f>
        <v>10608840</v>
      </c>
    </row>
    <row r="34" spans="1:14" ht="25.5">
      <c r="A34" s="1204" t="s">
        <v>752</v>
      </c>
      <c r="B34" s="1205"/>
      <c r="C34" s="679" t="s">
        <v>168</v>
      </c>
      <c r="D34" s="57">
        <v>9306</v>
      </c>
      <c r="E34" s="58">
        <v>1140</v>
      </c>
      <c r="F34" s="59">
        <f>D34*E34</f>
        <v>10608840</v>
      </c>
      <c r="G34" s="68"/>
      <c r="H34" s="67"/>
      <c r="I34" s="65"/>
      <c r="J34" s="64"/>
      <c r="K34" s="59"/>
      <c r="L34" s="754">
        <f t="shared" si="2"/>
        <v>10608840</v>
      </c>
      <c r="M34" s="61"/>
      <c r="N34" s="61"/>
    </row>
    <row r="35" spans="1:14" s="71" customFormat="1" ht="15">
      <c r="A35" s="1196" t="s">
        <v>770</v>
      </c>
      <c r="B35" s="1196"/>
      <c r="C35" s="1197"/>
      <c r="D35" s="220" t="s">
        <v>723</v>
      </c>
      <c r="E35" s="221" t="s">
        <v>723</v>
      </c>
      <c r="F35" s="222">
        <f>SUM(F33,F25,F18,F9)</f>
        <v>453046124</v>
      </c>
      <c r="G35" s="220" t="s">
        <v>723</v>
      </c>
      <c r="H35" s="223" t="s">
        <v>723</v>
      </c>
      <c r="I35" s="223" t="s">
        <v>723</v>
      </c>
      <c r="J35" s="221" t="s">
        <v>723</v>
      </c>
      <c r="K35" s="222">
        <f>SUM(K33,K25,K18,K9)</f>
        <v>128044905.66666667</v>
      </c>
      <c r="L35" s="750">
        <f>SUM(L33,L25,L18,L9)</f>
        <v>581091029.6666667</v>
      </c>
      <c r="M35" s="69"/>
      <c r="N35" s="70">
        <f>SUM(N33,N25,N18,N9)</f>
        <v>581091030.6666667</v>
      </c>
    </row>
    <row r="36" ht="10.5" customHeight="1"/>
    <row r="37" spans="1:14" s="71" customFormat="1" ht="15">
      <c r="A37" s="1202" t="s">
        <v>149</v>
      </c>
      <c r="B37" s="1202"/>
      <c r="C37" s="1203"/>
      <c r="D37" s="220"/>
      <c r="E37" s="221"/>
      <c r="F37" s="222"/>
      <c r="G37" s="220"/>
      <c r="H37" s="223"/>
      <c r="I37" s="223"/>
      <c r="J37" s="221"/>
      <c r="K37" s="222"/>
      <c r="L37" s="750"/>
      <c r="M37" s="69"/>
      <c r="N37" s="70"/>
    </row>
    <row r="38" spans="1:14" s="848" customFormat="1" ht="19.5" customHeight="1">
      <c r="A38" s="1188" t="s">
        <v>971</v>
      </c>
      <c r="B38" s="1189"/>
      <c r="C38" s="850" t="s">
        <v>932</v>
      </c>
      <c r="D38" s="851"/>
      <c r="E38" s="852"/>
      <c r="F38" s="853">
        <v>126000</v>
      </c>
      <c r="G38" s="851"/>
      <c r="H38" s="854"/>
      <c r="I38" s="854"/>
      <c r="J38" s="852"/>
      <c r="K38" s="853"/>
      <c r="L38" s="855">
        <f>F38+K38</f>
        <v>126000</v>
      </c>
      <c r="M38" s="846"/>
      <c r="N38" s="856">
        <f>SUM(L38)</f>
        <v>126000</v>
      </c>
    </row>
    <row r="39" spans="1:14" s="848" customFormat="1" ht="19.5" customHeight="1">
      <c r="A39" s="1188" t="s">
        <v>1121</v>
      </c>
      <c r="B39" s="1189"/>
      <c r="C39" s="850" t="s">
        <v>1122</v>
      </c>
      <c r="D39" s="851"/>
      <c r="E39" s="852"/>
      <c r="F39" s="853">
        <v>1239040</v>
      </c>
      <c r="G39" s="851"/>
      <c r="H39" s="854"/>
      <c r="I39" s="854"/>
      <c r="J39" s="852"/>
      <c r="K39" s="853"/>
      <c r="L39" s="855">
        <f>F39+K39</f>
        <v>1239040</v>
      </c>
      <c r="M39" s="846"/>
      <c r="N39" s="856">
        <f>SUM(L39)</f>
        <v>1239040</v>
      </c>
    </row>
    <row r="40" spans="1:14" s="848" customFormat="1" ht="15">
      <c r="A40" s="1188" t="s">
        <v>972</v>
      </c>
      <c r="B40" s="1189"/>
      <c r="C40" s="850" t="s">
        <v>973</v>
      </c>
      <c r="D40" s="851"/>
      <c r="E40" s="852"/>
      <c r="F40" s="853">
        <f>156000+45000</f>
        <v>201000</v>
      </c>
      <c r="G40" s="851"/>
      <c r="H40" s="854"/>
      <c r="I40" s="854"/>
      <c r="J40" s="852"/>
      <c r="K40" s="853"/>
      <c r="L40" s="855">
        <f>F40+K40</f>
        <v>201000</v>
      </c>
      <c r="M40" s="846"/>
      <c r="N40" s="856">
        <f>SUM(L40)</f>
        <v>201000</v>
      </c>
    </row>
    <row r="41" spans="1:14" s="848" customFormat="1" ht="15">
      <c r="A41" s="1188" t="s">
        <v>974</v>
      </c>
      <c r="B41" s="1189"/>
      <c r="C41" s="850" t="s">
        <v>975</v>
      </c>
      <c r="D41" s="851"/>
      <c r="E41" s="852"/>
      <c r="F41" s="853">
        <v>526542</v>
      </c>
      <c r="G41" s="851"/>
      <c r="H41" s="854"/>
      <c r="I41" s="854"/>
      <c r="J41" s="852"/>
      <c r="K41" s="853"/>
      <c r="L41" s="855">
        <f>F41+K41</f>
        <v>526542</v>
      </c>
      <c r="M41" s="846"/>
      <c r="N41" s="856">
        <f>SUM(L41)</f>
        <v>526542</v>
      </c>
    </row>
    <row r="42" spans="1:14" s="863" customFormat="1" ht="17.25" customHeight="1">
      <c r="A42" s="1188" t="s">
        <v>169</v>
      </c>
      <c r="B42" s="1189"/>
      <c r="C42" s="850" t="s">
        <v>145</v>
      </c>
      <c r="D42" s="857"/>
      <c r="E42" s="858"/>
      <c r="F42" s="859">
        <f>SUM(F43)</f>
        <v>3840000</v>
      </c>
      <c r="G42" s="860"/>
      <c r="H42" s="861"/>
      <c r="I42" s="862"/>
      <c r="J42" s="858"/>
      <c r="K42" s="859"/>
      <c r="L42" s="855">
        <f>F42+K42</f>
        <v>3840000</v>
      </c>
      <c r="M42" s="856"/>
      <c r="N42" s="856">
        <f>SUM(L42)</f>
        <v>3840000</v>
      </c>
    </row>
    <row r="43" spans="1:14" s="872" customFormat="1" ht="12.75">
      <c r="A43" s="1198" t="s">
        <v>170</v>
      </c>
      <c r="B43" s="1199"/>
      <c r="C43" s="864" t="s">
        <v>171</v>
      </c>
      <c r="D43" s="865"/>
      <c r="E43" s="866"/>
      <c r="F43" s="867">
        <v>3840000</v>
      </c>
      <c r="G43" s="868"/>
      <c r="H43" s="869"/>
      <c r="I43" s="870"/>
      <c r="J43" s="866"/>
      <c r="K43" s="867"/>
      <c r="L43" s="867">
        <v>3840000</v>
      </c>
      <c r="M43" s="871"/>
      <c r="N43" s="871"/>
    </row>
    <row r="44" spans="1:14" s="863" customFormat="1" ht="12.75">
      <c r="A44" s="1188" t="s">
        <v>172</v>
      </c>
      <c r="B44" s="1189"/>
      <c r="C44" s="850" t="s">
        <v>108</v>
      </c>
      <c r="D44" s="857"/>
      <c r="E44" s="858"/>
      <c r="F44" s="859">
        <v>820009</v>
      </c>
      <c r="G44" s="860"/>
      <c r="H44" s="861"/>
      <c r="I44" s="862"/>
      <c r="J44" s="858"/>
      <c r="K44" s="859"/>
      <c r="L44" s="855">
        <f>F44+K44</f>
        <v>820009</v>
      </c>
      <c r="M44" s="856"/>
      <c r="N44" s="856">
        <f>SUM(L44)</f>
        <v>820009</v>
      </c>
    </row>
    <row r="45" spans="1:14" s="71" customFormat="1" ht="15">
      <c r="A45" s="1196" t="s">
        <v>173</v>
      </c>
      <c r="B45" s="1196"/>
      <c r="C45" s="1197"/>
      <c r="D45" s="220" t="s">
        <v>723</v>
      </c>
      <c r="E45" s="221" t="s">
        <v>723</v>
      </c>
      <c r="F45" s="222">
        <f>SUM(F38:F42,F44)</f>
        <v>6752591</v>
      </c>
      <c r="G45" s="220" t="s">
        <v>723</v>
      </c>
      <c r="H45" s="223" t="s">
        <v>723</v>
      </c>
      <c r="I45" s="223" t="s">
        <v>723</v>
      </c>
      <c r="J45" s="221" t="s">
        <v>723</v>
      </c>
      <c r="K45" s="222">
        <f>SUM(K42+K44)</f>
        <v>0</v>
      </c>
      <c r="L45" s="749">
        <f>SUM(L38:L42,L44)</f>
        <v>6752591</v>
      </c>
      <c r="M45" s="69"/>
      <c r="N45" s="70">
        <f>SUM(N38:N44)</f>
        <v>6752591</v>
      </c>
    </row>
    <row r="46" spans="1:14" s="848" customFormat="1" ht="10.5" customHeight="1">
      <c r="A46" s="878"/>
      <c r="B46" s="878"/>
      <c r="C46" s="842"/>
      <c r="D46" s="843"/>
      <c r="E46" s="843"/>
      <c r="F46" s="844"/>
      <c r="G46" s="843"/>
      <c r="H46" s="843"/>
      <c r="I46" s="843"/>
      <c r="J46" s="843"/>
      <c r="K46" s="844"/>
      <c r="L46" s="845"/>
      <c r="M46" s="846"/>
      <c r="N46" s="847"/>
    </row>
    <row r="47" spans="1:14" s="71" customFormat="1" ht="14.25" customHeight="1">
      <c r="A47" s="1202" t="s">
        <v>976</v>
      </c>
      <c r="B47" s="1202"/>
      <c r="C47" s="1203"/>
      <c r="D47" s="220"/>
      <c r="E47" s="221"/>
      <c r="F47" s="222"/>
      <c r="G47" s="220"/>
      <c r="H47" s="223"/>
      <c r="I47" s="223"/>
      <c r="J47" s="221"/>
      <c r="K47" s="222"/>
      <c r="L47" s="750"/>
      <c r="M47" s="69"/>
      <c r="N47" s="70"/>
    </row>
    <row r="48" spans="1:14" s="848" customFormat="1" ht="15">
      <c r="A48" s="1200"/>
      <c r="B48" s="1201"/>
      <c r="C48" s="850" t="s">
        <v>1123</v>
      </c>
      <c r="D48" s="851"/>
      <c r="E48" s="852"/>
      <c r="F48" s="873">
        <f>69089000-57416000</f>
        <v>11673000</v>
      </c>
      <c r="G48" s="851"/>
      <c r="H48" s="854"/>
      <c r="I48" s="854"/>
      <c r="J48" s="852"/>
      <c r="K48" s="853"/>
      <c r="L48" s="855">
        <f>F48+K48</f>
        <v>11673000</v>
      </c>
      <c r="M48" s="846"/>
      <c r="N48" s="856">
        <f>SUM(L48)</f>
        <v>11673000</v>
      </c>
    </row>
    <row r="49" spans="1:14" s="848" customFormat="1" ht="15">
      <c r="A49" s="1200"/>
      <c r="B49" s="1201"/>
      <c r="C49" s="850" t="s">
        <v>930</v>
      </c>
      <c r="D49" s="851"/>
      <c r="E49" s="852"/>
      <c r="F49" s="873">
        <v>6047000</v>
      </c>
      <c r="G49" s="851"/>
      <c r="H49" s="854"/>
      <c r="I49" s="854"/>
      <c r="J49" s="852"/>
      <c r="K49" s="853"/>
      <c r="L49" s="855">
        <f>F49+K49</f>
        <v>6047000</v>
      </c>
      <c r="M49" s="846"/>
      <c r="N49" s="856">
        <f>SUM(L49)</f>
        <v>6047000</v>
      </c>
    </row>
    <row r="50" spans="1:14" s="848" customFormat="1" ht="25.5">
      <c r="A50" s="1200"/>
      <c r="B50" s="1201"/>
      <c r="C50" s="850" t="s">
        <v>977</v>
      </c>
      <c r="D50" s="851"/>
      <c r="E50" s="852"/>
      <c r="F50" s="853">
        <v>1010000</v>
      </c>
      <c r="G50" s="851"/>
      <c r="H50" s="854"/>
      <c r="I50" s="854"/>
      <c r="J50" s="852"/>
      <c r="K50" s="853"/>
      <c r="L50" s="855">
        <f>F50+K50</f>
        <v>1010000</v>
      </c>
      <c r="M50" s="846"/>
      <c r="N50" s="856">
        <f>SUM(L50)</f>
        <v>1010000</v>
      </c>
    </row>
    <row r="51" spans="1:14" s="71" customFormat="1" ht="15">
      <c r="A51" s="1196" t="s">
        <v>979</v>
      </c>
      <c r="B51" s="1196"/>
      <c r="C51" s="1197"/>
      <c r="D51" s="220" t="s">
        <v>723</v>
      </c>
      <c r="E51" s="221" t="s">
        <v>723</v>
      </c>
      <c r="F51" s="222">
        <f>SUM(F48:F50)</f>
        <v>18730000</v>
      </c>
      <c r="G51" s="220" t="s">
        <v>723</v>
      </c>
      <c r="H51" s="223" t="s">
        <v>723</v>
      </c>
      <c r="I51" s="223" t="s">
        <v>723</v>
      </c>
      <c r="J51" s="221" t="s">
        <v>723</v>
      </c>
      <c r="K51" s="222">
        <v>0</v>
      </c>
      <c r="L51" s="749">
        <f>SUM(L48:L50)</f>
        <v>18730000</v>
      </c>
      <c r="M51" s="69"/>
      <c r="N51" s="195">
        <f>SUM(L51)</f>
        <v>18730000</v>
      </c>
    </row>
    <row r="52" ht="10.5" customHeight="1"/>
    <row r="53" spans="1:14" s="71" customFormat="1" ht="16.5">
      <c r="A53" s="1206" t="s">
        <v>174</v>
      </c>
      <c r="B53" s="1206"/>
      <c r="C53" s="1207"/>
      <c r="D53" s="681" t="s">
        <v>723</v>
      </c>
      <c r="E53" s="682" t="s">
        <v>723</v>
      </c>
      <c r="F53" s="683">
        <f>SUM(F35+F45+F51)</f>
        <v>478528715</v>
      </c>
      <c r="G53" s="681" t="s">
        <v>723</v>
      </c>
      <c r="H53" s="684" t="s">
        <v>723</v>
      </c>
      <c r="I53" s="684" t="s">
        <v>723</v>
      </c>
      <c r="J53" s="682" t="s">
        <v>723</v>
      </c>
      <c r="K53" s="683">
        <f>SUM(K35+K45)</f>
        <v>128044905.66666667</v>
      </c>
      <c r="L53" s="748">
        <f>SUM(K53+F53)</f>
        <v>606573620.6666666</v>
      </c>
      <c r="M53" s="69"/>
      <c r="N53" s="70">
        <f>SUM(N51+N45+N35)</f>
        <v>606573621.6666667</v>
      </c>
    </row>
    <row r="55" spans="1:14" s="71" customFormat="1" ht="16.5">
      <c r="A55" s="1206" t="s">
        <v>978</v>
      </c>
      <c r="B55" s="1206"/>
      <c r="C55" s="1207"/>
      <c r="D55" s="681"/>
      <c r="E55" s="682"/>
      <c r="F55" s="683">
        <v>188588762</v>
      </c>
      <c r="G55" s="681"/>
      <c r="H55" s="684"/>
      <c r="I55" s="684"/>
      <c r="J55" s="682"/>
      <c r="K55" s="683"/>
      <c r="L55" s="683">
        <f>F55+K55</f>
        <v>188588762</v>
      </c>
      <c r="M55" s="69"/>
      <c r="N55" s="70"/>
    </row>
  </sheetData>
  <sheetProtection/>
  <mergeCells count="50">
    <mergeCell ref="A2:K2"/>
    <mergeCell ref="A3:K3"/>
    <mergeCell ref="A5:C5"/>
    <mergeCell ref="D5:F5"/>
    <mergeCell ref="G5:K5"/>
    <mergeCell ref="A37:C37"/>
    <mergeCell ref="A18:B18"/>
    <mergeCell ref="A19:B19"/>
    <mergeCell ref="A30:B30"/>
    <mergeCell ref="A31:B31"/>
    <mergeCell ref="L5:L6"/>
    <mergeCell ref="A35:C35"/>
    <mergeCell ref="A6:B7"/>
    <mergeCell ref="A8:C8"/>
    <mergeCell ref="A24:B24"/>
    <mergeCell ref="A25:B25"/>
    <mergeCell ref="A26:B26"/>
    <mergeCell ref="A27:B27"/>
    <mergeCell ref="A28:B28"/>
    <mergeCell ref="A29:B29"/>
    <mergeCell ref="A55:C55"/>
    <mergeCell ref="A53:C53"/>
    <mergeCell ref="A49:B49"/>
    <mergeCell ref="A50:B50"/>
    <mergeCell ref="A51:C51"/>
    <mergeCell ref="A23:B23"/>
    <mergeCell ref="A38:B38"/>
    <mergeCell ref="A40:B40"/>
    <mergeCell ref="A32:B32"/>
    <mergeCell ref="A34:B34"/>
    <mergeCell ref="A42:B42"/>
    <mergeCell ref="A44:B44"/>
    <mergeCell ref="A48:B48"/>
    <mergeCell ref="A47:C47"/>
    <mergeCell ref="A13:B13"/>
    <mergeCell ref="A14:B14"/>
    <mergeCell ref="A15:B15"/>
    <mergeCell ref="A20:B20"/>
    <mergeCell ref="A21:B21"/>
    <mergeCell ref="A22:B22"/>
    <mergeCell ref="A39:B39"/>
    <mergeCell ref="A9:B9"/>
    <mergeCell ref="A10:B10"/>
    <mergeCell ref="A11:B11"/>
    <mergeCell ref="A12:B12"/>
    <mergeCell ref="A45:C45"/>
    <mergeCell ref="A16:B16"/>
    <mergeCell ref="A17:B17"/>
    <mergeCell ref="A43:B43"/>
    <mergeCell ref="A41:B41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P90"/>
  <sheetViews>
    <sheetView zoomScalePageLayoutView="0" workbookViewId="0" topLeftCell="B1">
      <selection activeCell="B2" sqref="B2"/>
    </sheetView>
  </sheetViews>
  <sheetFormatPr defaultColWidth="13.25390625" defaultRowHeight="12.75"/>
  <cols>
    <col min="1" max="1" width="4.625" style="259" customWidth="1"/>
    <col min="2" max="2" width="36.125" style="165" customWidth="1"/>
    <col min="3" max="3" width="15.00390625" style="165" customWidth="1"/>
    <col min="4" max="4" width="10.00390625" style="165" customWidth="1"/>
    <col min="5" max="5" width="11.875" style="165" customWidth="1"/>
    <col min="6" max="6" width="11.75390625" style="165" customWidth="1"/>
    <col min="7" max="7" width="11.25390625" style="165" customWidth="1"/>
    <col min="8" max="8" width="11.75390625" style="165" customWidth="1"/>
    <col min="9" max="9" width="15.375" style="165" customWidth="1"/>
    <col min="10" max="10" width="16.625" style="165" customWidth="1"/>
    <col min="11" max="11" width="9.25390625" style="165" customWidth="1"/>
    <col min="12" max="12" width="9.75390625" style="165" customWidth="1"/>
    <col min="13" max="13" width="7.875" style="165" customWidth="1"/>
    <col min="14" max="14" width="9.625" style="165" customWidth="1"/>
    <col min="15" max="15" width="15.875" style="165" customWidth="1"/>
    <col min="16" max="16" width="17.25390625" style="165" customWidth="1"/>
    <col min="17" max="16384" width="13.25390625" style="165" customWidth="1"/>
  </cols>
  <sheetData>
    <row r="1" spans="2:10" ht="15">
      <c r="B1" s="1272" t="s">
        <v>1139</v>
      </c>
      <c r="C1" s="1272"/>
      <c r="D1" s="1272"/>
      <c r="E1" s="1272"/>
      <c r="F1" s="1272"/>
      <c r="G1" s="1272"/>
      <c r="H1" s="1272"/>
      <c r="I1" s="1272"/>
      <c r="J1" s="1272"/>
    </row>
    <row r="3" ht="16.5" customHeight="1"/>
    <row r="4" spans="2:10" ht="34.5" customHeight="1">
      <c r="B4" s="1273" t="s">
        <v>549</v>
      </c>
      <c r="C4" s="1273"/>
      <c r="D4" s="1273"/>
      <c r="E4" s="1273"/>
      <c r="F4" s="1273"/>
      <c r="G4" s="1273"/>
      <c r="H4" s="1273"/>
      <c r="I4" s="1273"/>
      <c r="J4" s="1273"/>
    </row>
    <row r="5" ht="6.75" customHeight="1" hidden="1"/>
    <row r="6" ht="12.75" customHeight="1"/>
    <row r="7" ht="12.75" customHeight="1" thickBot="1"/>
    <row r="8" spans="1:10" ht="12.75" customHeight="1">
      <c r="A8" s="1255" t="s">
        <v>698</v>
      </c>
      <c r="B8" s="1258" t="s">
        <v>607</v>
      </c>
      <c r="C8" s="1261" t="s">
        <v>534</v>
      </c>
      <c r="D8" s="1262"/>
      <c r="E8" s="1262"/>
      <c r="F8" s="1262"/>
      <c r="G8" s="1262"/>
      <c r="H8" s="1263"/>
      <c r="I8" s="1274" t="s">
        <v>550</v>
      </c>
      <c r="J8" s="1274" t="s">
        <v>551</v>
      </c>
    </row>
    <row r="9" spans="1:16" s="166" customFormat="1" ht="12.75" customHeight="1">
      <c r="A9" s="1256"/>
      <c r="B9" s="1259"/>
      <c r="C9" s="1264" t="s">
        <v>687</v>
      </c>
      <c r="D9" s="1265" t="s">
        <v>535</v>
      </c>
      <c r="E9" s="1266"/>
      <c r="F9" s="1266"/>
      <c r="G9" s="1266"/>
      <c r="H9" s="1267"/>
      <c r="I9" s="1275"/>
      <c r="J9" s="1275"/>
      <c r="K9" s="165"/>
      <c r="L9" s="165"/>
      <c r="M9" s="165"/>
      <c r="N9" s="165"/>
      <c r="O9" s="165"/>
      <c r="P9" s="165"/>
    </row>
    <row r="10" spans="1:10" ht="44.25" customHeight="1">
      <c r="A10" s="1257"/>
      <c r="B10" s="1260"/>
      <c r="C10" s="1264"/>
      <c r="D10" s="261" t="s">
        <v>710</v>
      </c>
      <c r="E10" s="261" t="s">
        <v>706</v>
      </c>
      <c r="F10" s="261" t="s">
        <v>711</v>
      </c>
      <c r="G10" s="261" t="s">
        <v>712</v>
      </c>
      <c r="H10" s="262" t="s">
        <v>714</v>
      </c>
      <c r="I10" s="1276"/>
      <c r="J10" s="1276"/>
    </row>
    <row r="11" spans="1:10" ht="19.5" customHeight="1" thickBot="1">
      <c r="A11" s="260" t="s">
        <v>692</v>
      </c>
      <c r="B11" s="263" t="s">
        <v>693</v>
      </c>
      <c r="C11" s="264" t="s">
        <v>694</v>
      </c>
      <c r="D11" s="265" t="s">
        <v>695</v>
      </c>
      <c r="E11" s="266" t="s">
        <v>696</v>
      </c>
      <c r="F11" s="266" t="s">
        <v>697</v>
      </c>
      <c r="G11" s="266" t="s">
        <v>700</v>
      </c>
      <c r="H11" s="266" t="s">
        <v>701</v>
      </c>
      <c r="I11" s="267" t="s">
        <v>641</v>
      </c>
      <c r="J11" s="268" t="s">
        <v>642</v>
      </c>
    </row>
    <row r="12" spans="1:10" ht="29.25" customHeight="1" thickBot="1" thickTop="1">
      <c r="A12" s="269">
        <v>1</v>
      </c>
      <c r="B12" s="1252" t="s">
        <v>104</v>
      </c>
      <c r="C12" s="1253"/>
      <c r="D12" s="1253"/>
      <c r="E12" s="1253"/>
      <c r="F12" s="1253"/>
      <c r="G12" s="1253"/>
      <c r="H12" s="1253"/>
      <c r="I12" s="1253"/>
      <c r="J12" s="1254"/>
    </row>
    <row r="13" spans="1:10" ht="16.5" thickBot="1" thickTop="1">
      <c r="A13" s="270">
        <v>2</v>
      </c>
      <c r="B13" s="1236" t="s">
        <v>175</v>
      </c>
      <c r="C13" s="1237"/>
      <c r="D13" s="1237"/>
      <c r="E13" s="1237"/>
      <c r="F13" s="1237"/>
      <c r="G13" s="1237"/>
      <c r="H13" s="1237"/>
      <c r="I13" s="1238"/>
      <c r="J13" s="271"/>
    </row>
    <row r="14" spans="1:10" ht="14.25" customHeight="1">
      <c r="A14" s="272">
        <v>3</v>
      </c>
      <c r="B14" s="273" t="s">
        <v>536</v>
      </c>
      <c r="C14" s="685">
        <f>SUM(H14+G14+F14+E14+D14)</f>
        <v>0</v>
      </c>
      <c r="D14" s="276"/>
      <c r="E14" s="276"/>
      <c r="F14" s="276"/>
      <c r="G14" s="276"/>
      <c r="H14" s="276"/>
      <c r="I14" s="277"/>
      <c r="J14" s="277">
        <v>0</v>
      </c>
    </row>
    <row r="15" spans="1:10" ht="14.25" customHeight="1" thickBot="1">
      <c r="A15" s="272">
        <v>4</v>
      </c>
      <c r="B15" s="278" t="s">
        <v>537</v>
      </c>
      <c r="C15" s="686">
        <f>SUM(H15+G15+F15+E15+D15)</f>
        <v>21900</v>
      </c>
      <c r="D15" s="757"/>
      <c r="E15" s="281"/>
      <c r="F15" s="281"/>
      <c r="G15" s="281">
        <v>2670</v>
      </c>
      <c r="H15" s="281">
        <v>19230</v>
      </c>
      <c r="I15" s="282">
        <v>21900</v>
      </c>
      <c r="J15" s="282"/>
    </row>
    <row r="16" spans="1:10" ht="14.25" customHeight="1" thickBot="1">
      <c r="A16" s="272">
        <v>5</v>
      </c>
      <c r="B16" s="283" t="s">
        <v>538</v>
      </c>
      <c r="C16" s="284">
        <f>SUM(H16+G16+F16+E16+D16)</f>
        <v>21900</v>
      </c>
      <c r="D16" s="285">
        <f aca="true" t="shared" si="0" ref="D16:J16">SUM(D14+D15)</f>
        <v>0</v>
      </c>
      <c r="E16" s="285">
        <f t="shared" si="0"/>
        <v>0</v>
      </c>
      <c r="F16" s="285">
        <f t="shared" si="0"/>
        <v>0</v>
      </c>
      <c r="G16" s="285">
        <f t="shared" si="0"/>
        <v>2670</v>
      </c>
      <c r="H16" s="286">
        <f t="shared" si="0"/>
        <v>19230</v>
      </c>
      <c r="I16" s="287">
        <f t="shared" si="0"/>
        <v>21900</v>
      </c>
      <c r="J16" s="288">
        <f t="shared" si="0"/>
        <v>0</v>
      </c>
    </row>
    <row r="17" spans="1:10" ht="6" customHeight="1" thickBot="1">
      <c r="A17" s="272"/>
      <c r="B17" s="1234"/>
      <c r="C17" s="1270"/>
      <c r="D17" s="1235"/>
      <c r="E17" s="1235"/>
      <c r="F17" s="1235"/>
      <c r="G17" s="1235"/>
      <c r="H17" s="1235"/>
      <c r="I17" s="1271"/>
      <c r="J17" s="271"/>
    </row>
    <row r="18" spans="1:10" ht="14.25" customHeight="1">
      <c r="A18" s="289">
        <v>6</v>
      </c>
      <c r="B18" s="290" t="s">
        <v>539</v>
      </c>
      <c r="C18" s="274">
        <f>SUM(D18:H18)</f>
        <v>2000</v>
      </c>
      <c r="D18" s="291"/>
      <c r="E18" s="281"/>
      <c r="F18" s="281"/>
      <c r="G18" s="291"/>
      <c r="H18" s="281">
        <v>2000</v>
      </c>
      <c r="I18" s="277"/>
      <c r="J18" s="277">
        <v>2000</v>
      </c>
    </row>
    <row r="19" spans="1:10" ht="14.25" customHeight="1">
      <c r="A19" s="289">
        <v>7</v>
      </c>
      <c r="B19" s="290" t="s">
        <v>540</v>
      </c>
      <c r="C19" s="279">
        <f>SUM(D19:H19)</f>
        <v>0</v>
      </c>
      <c r="D19" s="291"/>
      <c r="E19" s="291"/>
      <c r="F19" s="291"/>
      <c r="G19" s="291"/>
      <c r="H19" s="291"/>
      <c r="I19" s="292"/>
      <c r="J19" s="292"/>
    </row>
    <row r="20" spans="1:10" ht="14.25" customHeight="1">
      <c r="A20" s="289">
        <v>8</v>
      </c>
      <c r="B20" s="293" t="s">
        <v>541</v>
      </c>
      <c r="C20" s="279">
        <f>SUM(D20:H20)</f>
        <v>19900</v>
      </c>
      <c r="D20" s="294"/>
      <c r="E20" s="294"/>
      <c r="F20" s="281"/>
      <c r="G20" s="281">
        <v>2670</v>
      </c>
      <c r="H20" s="281">
        <v>17230</v>
      </c>
      <c r="I20" s="295"/>
      <c r="J20" s="295">
        <v>19900</v>
      </c>
    </row>
    <row r="21" spans="1:10" ht="14.25" customHeight="1" thickBot="1">
      <c r="A21" s="289">
        <v>9</v>
      </c>
      <c r="B21" s="293" t="s">
        <v>542</v>
      </c>
      <c r="C21" s="296">
        <f>SUM(D21:H21)</f>
        <v>0</v>
      </c>
      <c r="D21" s="297"/>
      <c r="E21" s="297"/>
      <c r="F21" s="297"/>
      <c r="G21" s="297"/>
      <c r="H21" s="297"/>
      <c r="I21" s="298"/>
      <c r="J21" s="298"/>
    </row>
    <row r="22" spans="1:16" s="167" customFormat="1" ht="14.25" customHeight="1" thickBot="1">
      <c r="A22" s="299">
        <v>10</v>
      </c>
      <c r="B22" s="300" t="s">
        <v>616</v>
      </c>
      <c r="C22" s="301">
        <f aca="true" t="shared" si="1" ref="C22:J22">SUM(C18:C21)</f>
        <v>21900</v>
      </c>
      <c r="D22" s="302">
        <f t="shared" si="1"/>
        <v>0</v>
      </c>
      <c r="E22" s="302">
        <f t="shared" si="1"/>
        <v>0</v>
      </c>
      <c r="F22" s="302">
        <f t="shared" si="1"/>
        <v>0</v>
      </c>
      <c r="G22" s="302">
        <f t="shared" si="1"/>
        <v>2670</v>
      </c>
      <c r="H22" s="302">
        <f t="shared" si="1"/>
        <v>19230</v>
      </c>
      <c r="I22" s="303">
        <f t="shared" si="1"/>
        <v>0</v>
      </c>
      <c r="J22" s="304">
        <f t="shared" si="1"/>
        <v>21900</v>
      </c>
      <c r="K22" s="165"/>
      <c r="L22" s="165"/>
      <c r="M22" s="165"/>
      <c r="N22" s="165"/>
      <c r="O22" s="165"/>
      <c r="P22" s="165"/>
    </row>
    <row r="23" spans="1:16" s="167" customFormat="1" ht="14.25" thickBot="1" thickTop="1">
      <c r="A23" s="305"/>
      <c r="B23" s="1229"/>
      <c r="C23" s="1230"/>
      <c r="D23" s="1230"/>
      <c r="E23" s="1230"/>
      <c r="F23" s="1230"/>
      <c r="G23" s="1230"/>
      <c r="H23" s="1230"/>
      <c r="I23" s="1230"/>
      <c r="J23" s="1231"/>
      <c r="K23" s="165"/>
      <c r="L23" s="165"/>
      <c r="M23" s="165"/>
      <c r="N23" s="165"/>
      <c r="O23" s="165"/>
      <c r="P23" s="165"/>
    </row>
    <row r="24" spans="1:10" ht="16.5" thickBot="1" thickTop="1">
      <c r="A24" s="306">
        <v>11</v>
      </c>
      <c r="B24" s="1236" t="s">
        <v>543</v>
      </c>
      <c r="C24" s="1237"/>
      <c r="D24" s="1237"/>
      <c r="E24" s="1237"/>
      <c r="F24" s="1237"/>
      <c r="G24" s="1237"/>
      <c r="H24" s="1237"/>
      <c r="I24" s="1238"/>
      <c r="J24" s="307"/>
    </row>
    <row r="25" spans="1:10" ht="14.25" customHeight="1">
      <c r="A25" s="272">
        <v>12</v>
      </c>
      <c r="B25" s="273" t="s">
        <v>473</v>
      </c>
      <c r="C25" s="1268">
        <f>SUM(H26+G25+F25+E25+D26)</f>
        <v>556341</v>
      </c>
      <c r="D25" s="275"/>
      <c r="E25" s="1232">
        <v>139387</v>
      </c>
      <c r="F25" s="1232">
        <v>272571</v>
      </c>
      <c r="G25" s="1232">
        <v>144383</v>
      </c>
      <c r="H25" s="276"/>
      <c r="I25" s="277">
        <f>531818+532</f>
        <v>532350</v>
      </c>
      <c r="J25" s="277"/>
    </row>
    <row r="26" spans="1:10" ht="14.25" customHeight="1">
      <c r="A26" s="272">
        <v>13</v>
      </c>
      <c r="B26" s="278" t="s">
        <v>474</v>
      </c>
      <c r="C26" s="1269"/>
      <c r="D26" s="280"/>
      <c r="E26" s="1233"/>
      <c r="F26" s="1233"/>
      <c r="G26" s="1233"/>
      <c r="H26" s="281"/>
      <c r="I26" s="282">
        <f>16738+25</f>
        <v>16763</v>
      </c>
      <c r="J26" s="282"/>
    </row>
    <row r="27" spans="1:16" s="167" customFormat="1" ht="14.25" customHeight="1">
      <c r="A27" s="308">
        <v>14</v>
      </c>
      <c r="B27" s="278" t="s">
        <v>544</v>
      </c>
      <c r="C27" s="309">
        <f>SUM(H27+G27+F27+E27+D27)</f>
        <v>2481729</v>
      </c>
      <c r="D27" s="280"/>
      <c r="E27" s="281">
        <v>621776</v>
      </c>
      <c r="F27" s="281">
        <v>1215886</v>
      </c>
      <c r="G27" s="281">
        <v>644067</v>
      </c>
      <c r="H27" s="281"/>
      <c r="I27" s="282">
        <v>2301200</v>
      </c>
      <c r="J27" s="282"/>
      <c r="K27" s="165"/>
      <c r="L27" s="165"/>
      <c r="M27" s="165"/>
      <c r="N27" s="165"/>
      <c r="O27" s="165"/>
      <c r="P27" s="165"/>
    </row>
    <row r="28" spans="1:16" s="167" customFormat="1" ht="14.25" customHeight="1" thickBot="1">
      <c r="A28" s="308">
        <v>15</v>
      </c>
      <c r="B28" s="278" t="s">
        <v>545</v>
      </c>
      <c r="C28" s="310"/>
      <c r="D28" s="757"/>
      <c r="E28" s="311"/>
      <c r="F28" s="311"/>
      <c r="G28" s="311"/>
      <c r="H28" s="311"/>
      <c r="I28" s="312">
        <v>769434</v>
      </c>
      <c r="J28" s="298"/>
      <c r="K28" s="165"/>
      <c r="L28" s="165"/>
      <c r="M28" s="165"/>
      <c r="N28" s="165"/>
      <c r="O28" s="165"/>
      <c r="P28" s="165"/>
    </row>
    <row r="29" spans="1:10" ht="14.25" customHeight="1" thickBot="1">
      <c r="A29" s="272">
        <v>16</v>
      </c>
      <c r="B29" s="283" t="s">
        <v>538</v>
      </c>
      <c r="C29" s="284">
        <f>SUM(C25:C28)</f>
        <v>3038070</v>
      </c>
      <c r="D29" s="285">
        <f>SUM(D26:D27)</f>
        <v>0</v>
      </c>
      <c r="E29" s="285">
        <f>SUM(E25:E27)</f>
        <v>761163</v>
      </c>
      <c r="F29" s="285">
        <f>SUM(F25:F27)</f>
        <v>1488457</v>
      </c>
      <c r="G29" s="285">
        <f>SUM(G25:G27)</f>
        <v>788450</v>
      </c>
      <c r="H29" s="286">
        <f>SUM(H26:H27)</f>
        <v>0</v>
      </c>
      <c r="I29" s="287">
        <f>SUM(I25:I28)</f>
        <v>3619747</v>
      </c>
      <c r="J29" s="288">
        <f>SUM(J26:J28)</f>
        <v>0</v>
      </c>
    </row>
    <row r="30" spans="1:16" s="166" customFormat="1" ht="6" customHeight="1" thickBot="1">
      <c r="A30" s="272"/>
      <c r="B30" s="1239"/>
      <c r="C30" s="1240"/>
      <c r="D30" s="1240"/>
      <c r="E30" s="1240"/>
      <c r="F30" s="1240"/>
      <c r="G30" s="1240"/>
      <c r="H30" s="1240"/>
      <c r="I30" s="1241"/>
      <c r="J30" s="271"/>
      <c r="K30" s="165"/>
      <c r="L30" s="165"/>
      <c r="M30" s="165"/>
      <c r="N30" s="165"/>
      <c r="O30" s="165"/>
      <c r="P30" s="165"/>
    </row>
    <row r="31" spans="1:16" s="166" customFormat="1" ht="15" customHeight="1">
      <c r="A31" s="289">
        <v>17</v>
      </c>
      <c r="B31" s="313" t="s">
        <v>539</v>
      </c>
      <c r="C31" s="274">
        <f>SUM(D31:H31)</f>
        <v>3038070</v>
      </c>
      <c r="D31" s="314"/>
      <c r="E31" s="276">
        <v>761163</v>
      </c>
      <c r="F31" s="276">
        <v>1488457</v>
      </c>
      <c r="G31" s="276">
        <v>788450</v>
      </c>
      <c r="H31" s="315"/>
      <c r="I31" s="277"/>
      <c r="J31" s="277">
        <f>3597933+532</f>
        <v>3598465</v>
      </c>
      <c r="K31" s="165"/>
      <c r="L31" s="165"/>
      <c r="M31" s="165"/>
      <c r="N31" s="165"/>
      <c r="O31" s="165"/>
      <c r="P31" s="165"/>
    </row>
    <row r="32" spans="1:16" s="166" customFormat="1" ht="15" customHeight="1">
      <c r="A32" s="289">
        <v>18</v>
      </c>
      <c r="B32" s="316" t="s">
        <v>540</v>
      </c>
      <c r="C32" s="279"/>
      <c r="D32" s="317"/>
      <c r="E32" s="317"/>
      <c r="F32" s="317"/>
      <c r="G32" s="317"/>
      <c r="H32" s="318"/>
      <c r="I32" s="282"/>
      <c r="J32" s="282">
        <v>21257</v>
      </c>
      <c r="K32" s="165"/>
      <c r="L32" s="165"/>
      <c r="M32" s="165"/>
      <c r="N32" s="165"/>
      <c r="O32" s="165"/>
      <c r="P32" s="165"/>
    </row>
    <row r="33" spans="1:16" s="166" customFormat="1" ht="15" customHeight="1">
      <c r="A33" s="289">
        <v>19</v>
      </c>
      <c r="B33" s="293" t="s">
        <v>541</v>
      </c>
      <c r="C33" s="279"/>
      <c r="D33" s="317"/>
      <c r="E33" s="317"/>
      <c r="F33" s="317"/>
      <c r="G33" s="317"/>
      <c r="H33" s="318"/>
      <c r="I33" s="282"/>
      <c r="J33" s="282"/>
      <c r="K33" s="165"/>
      <c r="L33" s="165"/>
      <c r="M33" s="165"/>
      <c r="N33" s="165"/>
      <c r="O33" s="165"/>
      <c r="P33" s="165"/>
    </row>
    <row r="34" spans="1:10" ht="14.25" customHeight="1" thickBot="1">
      <c r="A34" s="289">
        <v>20</v>
      </c>
      <c r="B34" s="293" t="s">
        <v>542</v>
      </c>
      <c r="C34" s="296"/>
      <c r="D34" s="319"/>
      <c r="E34" s="319"/>
      <c r="F34" s="319"/>
      <c r="G34" s="319"/>
      <c r="H34" s="320"/>
      <c r="I34" s="321"/>
      <c r="J34" s="282">
        <v>25</v>
      </c>
    </row>
    <row r="35" spans="1:10" ht="14.25" customHeight="1" thickBot="1">
      <c r="A35" s="322">
        <v>21</v>
      </c>
      <c r="B35" s="323" t="s">
        <v>616</v>
      </c>
      <c r="C35" s="301">
        <f>SUM(H35+G35+F35+E35+D35)</f>
        <v>3038070</v>
      </c>
      <c r="D35" s="302">
        <v>0</v>
      </c>
      <c r="E35" s="302">
        <v>761163</v>
      </c>
      <c r="F35" s="302">
        <v>1488457</v>
      </c>
      <c r="G35" s="302">
        <v>788450</v>
      </c>
      <c r="H35" s="302">
        <v>0</v>
      </c>
      <c r="I35" s="301">
        <f>SUM(I34)</f>
        <v>0</v>
      </c>
      <c r="J35" s="304">
        <f>SUM(J31:J34)</f>
        <v>3619747</v>
      </c>
    </row>
    <row r="36" spans="1:10" ht="14.25" thickBot="1" thickTop="1">
      <c r="A36" s="324"/>
      <c r="B36" s="1229"/>
      <c r="C36" s="1230"/>
      <c r="D36" s="1230"/>
      <c r="E36" s="1230"/>
      <c r="F36" s="1230"/>
      <c r="G36" s="1230"/>
      <c r="H36" s="1230"/>
      <c r="I36" s="1230"/>
      <c r="J36" s="1231"/>
    </row>
    <row r="37" spans="1:10" ht="16.5" thickBot="1" thickTop="1">
      <c r="A37" s="306">
        <v>22</v>
      </c>
      <c r="B37" s="1226" t="s">
        <v>1126</v>
      </c>
      <c r="C37" s="1227"/>
      <c r="D37" s="1227"/>
      <c r="E37" s="1227"/>
      <c r="F37" s="1227"/>
      <c r="G37" s="1227"/>
      <c r="H37" s="1227"/>
      <c r="I37" s="1228"/>
      <c r="J37" s="307"/>
    </row>
    <row r="38" spans="1:10" ht="14.25" customHeight="1">
      <c r="A38" s="272">
        <v>23</v>
      </c>
      <c r="B38" s="278" t="s">
        <v>536</v>
      </c>
      <c r="C38" s="274">
        <f>66350-500</f>
        <v>65850</v>
      </c>
      <c r="D38" s="275"/>
      <c r="E38" s="276"/>
      <c r="F38" s="276"/>
      <c r="G38" s="276"/>
      <c r="H38" s="276"/>
      <c r="I38" s="277">
        <f>66350-500</f>
        <v>65850</v>
      </c>
      <c r="J38" s="277"/>
    </row>
    <row r="39" spans="1:16" s="166" customFormat="1" ht="14.25" customHeight="1" thickBot="1">
      <c r="A39" s="272">
        <v>24</v>
      </c>
      <c r="B39" s="278" t="s">
        <v>537</v>
      </c>
      <c r="C39" s="279">
        <v>373150</v>
      </c>
      <c r="D39" s="280"/>
      <c r="E39" s="281"/>
      <c r="F39" s="281"/>
      <c r="G39" s="281"/>
      <c r="H39" s="281"/>
      <c r="I39" s="282">
        <v>373150</v>
      </c>
      <c r="J39" s="282"/>
      <c r="K39" s="165"/>
      <c r="L39" s="165"/>
      <c r="M39" s="165"/>
      <c r="N39" s="165"/>
      <c r="O39" s="165"/>
      <c r="P39" s="165"/>
    </row>
    <row r="40" spans="1:10" ht="13.5" thickBot="1">
      <c r="A40" s="272">
        <v>25</v>
      </c>
      <c r="B40" s="283" t="s">
        <v>538</v>
      </c>
      <c r="C40" s="284">
        <f aca="true" t="shared" si="2" ref="C40:I40">SUM(C38:C39)</f>
        <v>439000</v>
      </c>
      <c r="D40" s="285">
        <f t="shared" si="2"/>
        <v>0</v>
      </c>
      <c r="E40" s="285">
        <f t="shared" si="2"/>
        <v>0</v>
      </c>
      <c r="F40" s="285">
        <f t="shared" si="2"/>
        <v>0</v>
      </c>
      <c r="G40" s="285">
        <f t="shared" si="2"/>
        <v>0</v>
      </c>
      <c r="H40" s="286">
        <f t="shared" si="2"/>
        <v>0</v>
      </c>
      <c r="I40" s="287">
        <f t="shared" si="2"/>
        <v>439000</v>
      </c>
      <c r="J40" s="288">
        <v>0</v>
      </c>
    </row>
    <row r="41" spans="1:10" ht="5.25" customHeight="1" thickBot="1">
      <c r="A41" s="272"/>
      <c r="B41" s="1239"/>
      <c r="C41" s="1240"/>
      <c r="D41" s="1240"/>
      <c r="E41" s="1240"/>
      <c r="F41" s="1240"/>
      <c r="G41" s="1240"/>
      <c r="H41" s="1240"/>
      <c r="I41" s="1241"/>
      <c r="J41" s="271"/>
    </row>
    <row r="42" spans="1:16" s="166" customFormat="1" ht="15" customHeight="1">
      <c r="A42" s="289">
        <v>26</v>
      </c>
      <c r="B42" s="313" t="s">
        <v>539</v>
      </c>
      <c r="C42" s="274">
        <v>439000</v>
      </c>
      <c r="D42" s="314"/>
      <c r="E42" s="276"/>
      <c r="F42" s="276"/>
      <c r="G42" s="276"/>
      <c r="H42" s="315"/>
      <c r="I42" s="277"/>
      <c r="J42" s="277">
        <v>439000</v>
      </c>
      <c r="K42" s="165"/>
      <c r="L42" s="165"/>
      <c r="M42" s="165"/>
      <c r="N42" s="165"/>
      <c r="O42" s="165"/>
      <c r="P42" s="165"/>
    </row>
    <row r="43" spans="1:16" s="166" customFormat="1" ht="15" customHeight="1" thickBot="1">
      <c r="A43" s="289">
        <v>27</v>
      </c>
      <c r="B43" s="316" t="s">
        <v>540</v>
      </c>
      <c r="C43" s="279">
        <v>0</v>
      </c>
      <c r="D43" s="317"/>
      <c r="E43" s="317"/>
      <c r="F43" s="317"/>
      <c r="G43" s="317"/>
      <c r="H43" s="318"/>
      <c r="I43" s="282"/>
      <c r="J43" s="282">
        <v>0</v>
      </c>
      <c r="K43" s="165"/>
      <c r="L43" s="165"/>
      <c r="M43" s="165"/>
      <c r="N43" s="165"/>
      <c r="O43" s="165"/>
      <c r="P43" s="165"/>
    </row>
    <row r="44" spans="1:10" ht="13.5" thickBot="1">
      <c r="A44" s="322">
        <v>28</v>
      </c>
      <c r="B44" s="323" t="s">
        <v>616</v>
      </c>
      <c r="C44" s="301">
        <f>SUM(C42:C43)</f>
        <v>439000</v>
      </c>
      <c r="D44" s="302">
        <f>SUM(D42:D43)</f>
        <v>0</v>
      </c>
      <c r="E44" s="302">
        <f>SUM(E42:E43)</f>
        <v>0</v>
      </c>
      <c r="F44" s="302">
        <f>SUM(F42:F43)</f>
        <v>0</v>
      </c>
      <c r="G44" s="302">
        <v>0</v>
      </c>
      <c r="H44" s="302">
        <v>0</v>
      </c>
      <c r="I44" s="301">
        <f>SUM(I42:I43)</f>
        <v>0</v>
      </c>
      <c r="J44" s="304">
        <f>SUM(J42:J43)</f>
        <v>439000</v>
      </c>
    </row>
    <row r="45" spans="1:10" ht="14.25" thickBot="1" thickTop="1">
      <c r="A45" s="324"/>
      <c r="B45" s="1229"/>
      <c r="C45" s="1230"/>
      <c r="D45" s="1230"/>
      <c r="E45" s="1230"/>
      <c r="F45" s="1230"/>
      <c r="G45" s="1230"/>
      <c r="H45" s="1230"/>
      <c r="I45" s="1230"/>
      <c r="J45" s="1231"/>
    </row>
    <row r="46" spans="1:10" ht="16.5" thickBot="1" thickTop="1">
      <c r="A46" s="306">
        <v>29</v>
      </c>
      <c r="B46" s="1236" t="s">
        <v>176</v>
      </c>
      <c r="C46" s="1237"/>
      <c r="D46" s="1237"/>
      <c r="E46" s="1237"/>
      <c r="F46" s="1237"/>
      <c r="G46" s="1237"/>
      <c r="H46" s="1237"/>
      <c r="I46" s="1238"/>
      <c r="J46" s="325"/>
    </row>
    <row r="47" spans="1:10" ht="14.25" customHeight="1">
      <c r="A47" s="272">
        <v>30</v>
      </c>
      <c r="B47" s="273" t="s">
        <v>536</v>
      </c>
      <c r="C47" s="274">
        <f>2195+307</f>
        <v>2502</v>
      </c>
      <c r="D47" s="275"/>
      <c r="E47" s="276"/>
      <c r="F47" s="276"/>
      <c r="G47" s="276"/>
      <c r="H47" s="276"/>
      <c r="I47" s="277">
        <f>2195+307</f>
        <v>2502</v>
      </c>
      <c r="J47" s="277"/>
    </row>
    <row r="48" spans="1:16" s="167" customFormat="1" ht="14.25" customHeight="1" thickBot="1">
      <c r="A48" s="308">
        <v>31</v>
      </c>
      <c r="B48" s="278" t="s">
        <v>537</v>
      </c>
      <c r="C48" s="279">
        <v>8128</v>
      </c>
      <c r="D48" s="280"/>
      <c r="E48" s="281"/>
      <c r="F48" s="281"/>
      <c r="G48" s="281"/>
      <c r="H48" s="281"/>
      <c r="I48" s="282">
        <v>8128</v>
      </c>
      <c r="J48" s="282"/>
      <c r="K48" s="165"/>
      <c r="L48" s="165"/>
      <c r="M48" s="165"/>
      <c r="N48" s="165"/>
      <c r="O48" s="165"/>
      <c r="P48" s="165"/>
    </row>
    <row r="49" spans="1:10" ht="13.5" thickBot="1">
      <c r="A49" s="272">
        <v>32</v>
      </c>
      <c r="B49" s="283" t="s">
        <v>538</v>
      </c>
      <c r="C49" s="284">
        <f>SUM(C47:C48)</f>
        <v>10630</v>
      </c>
      <c r="D49" s="285">
        <f aca="true" t="shared" si="3" ref="D49:J49">SUM(D47:D48)</f>
        <v>0</v>
      </c>
      <c r="E49" s="285">
        <f t="shared" si="3"/>
        <v>0</v>
      </c>
      <c r="F49" s="285">
        <f t="shared" si="3"/>
        <v>0</v>
      </c>
      <c r="G49" s="285">
        <f t="shared" si="3"/>
        <v>0</v>
      </c>
      <c r="H49" s="286">
        <f t="shared" si="3"/>
        <v>0</v>
      </c>
      <c r="I49" s="287">
        <f t="shared" si="3"/>
        <v>10630</v>
      </c>
      <c r="J49" s="288">
        <f t="shared" si="3"/>
        <v>0</v>
      </c>
    </row>
    <row r="50" spans="1:10" ht="6" customHeight="1" thickBot="1">
      <c r="A50" s="272"/>
      <c r="B50" s="1234"/>
      <c r="C50" s="1235"/>
      <c r="D50" s="1235"/>
      <c r="E50" s="1235"/>
      <c r="F50" s="1235"/>
      <c r="G50" s="1235"/>
      <c r="H50" s="1235"/>
      <c r="I50" s="1235"/>
      <c r="J50" s="271"/>
    </row>
    <row r="51" spans="1:16" s="166" customFormat="1" ht="15" customHeight="1">
      <c r="A51" s="289">
        <v>33</v>
      </c>
      <c r="B51" s="882" t="s">
        <v>539</v>
      </c>
      <c r="C51" s="883">
        <f>10323-317</f>
        <v>10006</v>
      </c>
      <c r="D51" s="879"/>
      <c r="E51" s="880"/>
      <c r="F51" s="880"/>
      <c r="G51" s="880"/>
      <c r="H51" s="884"/>
      <c r="I51" s="881"/>
      <c r="J51" s="881">
        <f>10323-317</f>
        <v>10006</v>
      </c>
      <c r="K51" s="165"/>
      <c r="L51" s="165"/>
      <c r="M51" s="165"/>
      <c r="N51" s="165"/>
      <c r="O51" s="165"/>
      <c r="P51" s="165"/>
    </row>
    <row r="52" spans="1:16" s="166" customFormat="1" ht="15" customHeight="1" thickBot="1">
      <c r="A52" s="289">
        <v>34</v>
      </c>
      <c r="B52" s="885" t="s">
        <v>541</v>
      </c>
      <c r="C52" s="886">
        <v>624</v>
      </c>
      <c r="D52" s="319"/>
      <c r="E52" s="757"/>
      <c r="F52" s="757"/>
      <c r="G52" s="757"/>
      <c r="H52" s="887"/>
      <c r="I52" s="321"/>
      <c r="J52" s="321">
        <v>624</v>
      </c>
      <c r="K52" s="165"/>
      <c r="L52" s="165"/>
      <c r="M52" s="165"/>
      <c r="N52" s="165"/>
      <c r="O52" s="165"/>
      <c r="P52" s="165"/>
    </row>
    <row r="53" spans="1:10" ht="13.5" thickBot="1">
      <c r="A53" s="322">
        <v>35</v>
      </c>
      <c r="B53" s="300" t="s">
        <v>616</v>
      </c>
      <c r="C53" s="301">
        <f>SUM(C51:C52)</f>
        <v>10630</v>
      </c>
      <c r="D53" s="302">
        <v>0</v>
      </c>
      <c r="E53" s="302"/>
      <c r="F53" s="302">
        <v>0</v>
      </c>
      <c r="G53" s="302">
        <v>0</v>
      </c>
      <c r="H53" s="302">
        <v>0</v>
      </c>
      <c r="I53" s="304">
        <v>0</v>
      </c>
      <c r="J53" s="304">
        <f>SUM(J51:J52)</f>
        <v>10630</v>
      </c>
    </row>
    <row r="54" spans="1:10" ht="14.25" thickBot="1" thickTop="1">
      <c r="A54" s="324"/>
      <c r="B54" s="326"/>
      <c r="C54" s="687"/>
      <c r="D54" s="327"/>
      <c r="E54" s="327"/>
      <c r="F54" s="327"/>
      <c r="G54" s="327"/>
      <c r="H54" s="327"/>
      <c r="I54" s="687"/>
      <c r="J54" s="688"/>
    </row>
    <row r="55" spans="1:10" ht="16.5" thickBot="1" thickTop="1">
      <c r="A55" s="306">
        <v>36</v>
      </c>
      <c r="B55" s="1242" t="s">
        <v>177</v>
      </c>
      <c r="C55" s="1243"/>
      <c r="D55" s="1243"/>
      <c r="E55" s="1243"/>
      <c r="F55" s="1243"/>
      <c r="G55" s="1243"/>
      <c r="H55" s="1243"/>
      <c r="I55" s="1243"/>
      <c r="J55" s="1244"/>
    </row>
    <row r="56" spans="1:10" ht="14.25" customHeight="1">
      <c r="A56" s="272">
        <v>37</v>
      </c>
      <c r="B56" s="328" t="s">
        <v>536</v>
      </c>
      <c r="C56" s="274">
        <v>2276</v>
      </c>
      <c r="D56" s="275"/>
      <c r="E56" s="276"/>
      <c r="F56" s="276"/>
      <c r="G56" s="276"/>
      <c r="H56" s="276"/>
      <c r="I56" s="277">
        <v>2276</v>
      </c>
      <c r="J56" s="277"/>
    </row>
    <row r="57" spans="1:16" s="166" customFormat="1" ht="14.25" customHeight="1" thickBot="1">
      <c r="A57" s="272">
        <v>38</v>
      </c>
      <c r="B57" s="278" t="s">
        <v>537</v>
      </c>
      <c r="C57" s="296">
        <v>11195</v>
      </c>
      <c r="D57" s="280"/>
      <c r="E57" s="281"/>
      <c r="F57" s="281"/>
      <c r="G57" s="281"/>
      <c r="H57" s="281"/>
      <c r="I57" s="282">
        <v>11195</v>
      </c>
      <c r="J57" s="282"/>
      <c r="K57" s="165"/>
      <c r="L57" s="165"/>
      <c r="M57" s="165"/>
      <c r="N57" s="165"/>
      <c r="O57" s="165"/>
      <c r="P57" s="165"/>
    </row>
    <row r="58" spans="1:10" ht="13.5" thickBot="1">
      <c r="A58" s="272">
        <v>39</v>
      </c>
      <c r="B58" s="283" t="s">
        <v>538</v>
      </c>
      <c r="C58" s="284">
        <f aca="true" t="shared" si="4" ref="C58:H58">SUM(C56:C57)</f>
        <v>13471</v>
      </c>
      <c r="D58" s="285">
        <f t="shared" si="4"/>
        <v>0</v>
      </c>
      <c r="E58" s="285">
        <f t="shared" si="4"/>
        <v>0</v>
      </c>
      <c r="F58" s="285">
        <f t="shared" si="4"/>
        <v>0</v>
      </c>
      <c r="G58" s="285">
        <f t="shared" si="4"/>
        <v>0</v>
      </c>
      <c r="H58" s="286">
        <f t="shared" si="4"/>
        <v>0</v>
      </c>
      <c r="I58" s="287">
        <f>SUM(I56+I57)</f>
        <v>13471</v>
      </c>
      <c r="J58" s="288">
        <f>SUM(J56+J57)</f>
        <v>0</v>
      </c>
    </row>
    <row r="59" spans="1:10" ht="5.25" customHeight="1" thickBot="1">
      <c r="A59" s="272"/>
      <c r="B59" s="1239"/>
      <c r="C59" s="1240"/>
      <c r="D59" s="1240"/>
      <c r="E59" s="1240"/>
      <c r="F59" s="1240"/>
      <c r="G59" s="1240"/>
      <c r="H59" s="1240"/>
      <c r="I59" s="1241"/>
      <c r="J59" s="271">
        <v>0</v>
      </c>
    </row>
    <row r="60" spans="1:16" s="166" customFormat="1" ht="15" customHeight="1">
      <c r="A60" s="289">
        <v>40</v>
      </c>
      <c r="B60" s="313" t="s">
        <v>539</v>
      </c>
      <c r="C60" s="274">
        <v>13171</v>
      </c>
      <c r="D60" s="314"/>
      <c r="E60" s="276"/>
      <c r="F60" s="276"/>
      <c r="G60" s="276"/>
      <c r="H60" s="315"/>
      <c r="I60" s="277"/>
      <c r="J60" s="277">
        <v>13171</v>
      </c>
      <c r="K60" s="165"/>
      <c r="L60" s="165"/>
      <c r="M60" s="165"/>
      <c r="N60" s="165"/>
      <c r="O60" s="165"/>
      <c r="P60" s="165"/>
    </row>
    <row r="61" spans="1:16" s="166" customFormat="1" ht="15" customHeight="1" thickBot="1">
      <c r="A61" s="289">
        <v>41</v>
      </c>
      <c r="B61" s="316" t="s">
        <v>540</v>
      </c>
      <c r="C61" s="279">
        <v>300</v>
      </c>
      <c r="D61" s="317"/>
      <c r="E61" s="317"/>
      <c r="F61" s="317"/>
      <c r="G61" s="317"/>
      <c r="H61" s="318"/>
      <c r="I61" s="282"/>
      <c r="J61" s="282">
        <v>300</v>
      </c>
      <c r="K61" s="165"/>
      <c r="L61" s="165"/>
      <c r="M61" s="165"/>
      <c r="N61" s="165"/>
      <c r="O61" s="165"/>
      <c r="P61" s="165"/>
    </row>
    <row r="62" spans="1:10" ht="14.25" customHeight="1" thickBot="1">
      <c r="A62" s="322">
        <v>42</v>
      </c>
      <c r="B62" s="323" t="s">
        <v>616</v>
      </c>
      <c r="C62" s="301">
        <f>SUM(C60:C61)</f>
        <v>13471</v>
      </c>
      <c r="D62" s="302">
        <v>0</v>
      </c>
      <c r="E62" s="302">
        <v>0</v>
      </c>
      <c r="F62" s="302">
        <v>0</v>
      </c>
      <c r="G62" s="302">
        <v>0</v>
      </c>
      <c r="H62" s="302">
        <v>0</v>
      </c>
      <c r="I62" s="301">
        <v>0</v>
      </c>
      <c r="J62" s="304">
        <f>SUM(J59:J61)</f>
        <v>13471</v>
      </c>
    </row>
    <row r="63" spans="1:10" s="798" customFormat="1" ht="14.25" customHeight="1" thickBot="1" thickTop="1">
      <c r="A63" s="890"/>
      <c r="B63" s="891"/>
      <c r="C63" s="687"/>
      <c r="D63" s="687"/>
      <c r="E63" s="687"/>
      <c r="F63" s="687"/>
      <c r="G63" s="687"/>
      <c r="H63" s="687"/>
      <c r="I63" s="687"/>
      <c r="J63" s="688"/>
    </row>
    <row r="64" spans="1:10" ht="16.5" thickBot="1" thickTop="1">
      <c r="A64" s="306">
        <v>43</v>
      </c>
      <c r="B64" s="1242" t="s">
        <v>463</v>
      </c>
      <c r="C64" s="1243"/>
      <c r="D64" s="1243"/>
      <c r="E64" s="1243"/>
      <c r="F64" s="1243"/>
      <c r="G64" s="1243"/>
      <c r="H64" s="1243"/>
      <c r="I64" s="1243"/>
      <c r="J64" s="1244"/>
    </row>
    <row r="65" spans="1:10" ht="14.25" customHeight="1">
      <c r="A65" s="786">
        <v>44</v>
      </c>
      <c r="B65" s="787"/>
      <c r="C65" s="1245" t="s">
        <v>464</v>
      </c>
      <c r="D65" s="1246"/>
      <c r="E65" s="1246"/>
      <c r="F65" s="1246"/>
      <c r="G65" s="1246"/>
      <c r="H65" s="1247"/>
      <c r="I65" s="1245" t="s">
        <v>465</v>
      </c>
      <c r="J65" s="1251"/>
    </row>
    <row r="66" spans="1:10" ht="14.25" customHeight="1">
      <c r="A66" s="786">
        <v>45</v>
      </c>
      <c r="B66" s="888" t="s">
        <v>536</v>
      </c>
      <c r="C66" s="790">
        <v>5822.7</v>
      </c>
      <c r="D66" s="799"/>
      <c r="E66" s="799"/>
      <c r="F66" s="799"/>
      <c r="G66" s="802">
        <v>5409.84</v>
      </c>
      <c r="H66" s="802">
        <v>412.86</v>
      </c>
      <c r="I66" s="805">
        <f>126+100</f>
        <v>226</v>
      </c>
      <c r="J66" s="789"/>
    </row>
    <row r="67" spans="1:10" ht="14.25" customHeight="1">
      <c r="A67" s="786">
        <v>46</v>
      </c>
      <c r="B67" s="888" t="s">
        <v>466</v>
      </c>
      <c r="C67" s="790">
        <v>11645.4</v>
      </c>
      <c r="D67" s="799"/>
      <c r="E67" s="799"/>
      <c r="F67" s="799"/>
      <c r="G67" s="802">
        <v>11645.4</v>
      </c>
      <c r="H67" s="802">
        <v>0</v>
      </c>
      <c r="I67" s="805">
        <v>7487</v>
      </c>
      <c r="J67" s="789"/>
    </row>
    <row r="68" spans="1:10" ht="14.25" customHeight="1" thickBot="1">
      <c r="A68" s="786">
        <v>47</v>
      </c>
      <c r="B68" s="889" t="s">
        <v>467</v>
      </c>
      <c r="C68" s="791">
        <v>98985.9</v>
      </c>
      <c r="D68" s="800"/>
      <c r="E68" s="800"/>
      <c r="F68" s="800"/>
      <c r="G68" s="803">
        <v>14847.89</v>
      </c>
      <c r="H68" s="803">
        <v>84138.01</v>
      </c>
      <c r="I68" s="804">
        <f>25662</f>
        <v>25662</v>
      </c>
      <c r="J68" s="792"/>
    </row>
    <row r="69" spans="1:12" ht="14.25" customHeight="1" thickBot="1">
      <c r="A69" s="786">
        <v>48</v>
      </c>
      <c r="B69" s="793" t="s">
        <v>538</v>
      </c>
      <c r="C69" s="794">
        <v>116454</v>
      </c>
      <c r="D69" s="801">
        <v>0</v>
      </c>
      <c r="E69" s="801">
        <v>0</v>
      </c>
      <c r="F69" s="801">
        <v>0</v>
      </c>
      <c r="G69" s="801">
        <f>SUM(G66:G68)</f>
        <v>31903.129999999997</v>
      </c>
      <c r="H69" s="801">
        <f>SUM(H66:H68)</f>
        <v>84550.87</v>
      </c>
      <c r="I69" s="795">
        <f>SUM(I66:I68)</f>
        <v>33375</v>
      </c>
      <c r="J69" s="796">
        <v>0</v>
      </c>
      <c r="L69" s="165" t="s">
        <v>472</v>
      </c>
    </row>
    <row r="70" spans="1:10" s="798" customFormat="1" ht="7.5" customHeight="1">
      <c r="A70" s="797"/>
      <c r="B70" s="1248"/>
      <c r="C70" s="1249"/>
      <c r="D70" s="1249"/>
      <c r="E70" s="1249"/>
      <c r="F70" s="1249"/>
      <c r="G70" s="1249"/>
      <c r="H70" s="1249"/>
      <c r="I70" s="1249"/>
      <c r="J70" s="1250"/>
    </row>
    <row r="71" spans="1:10" ht="14.25" customHeight="1">
      <c r="A71" s="786">
        <v>49</v>
      </c>
      <c r="B71" s="888" t="s">
        <v>468</v>
      </c>
      <c r="C71" s="790">
        <v>82240</v>
      </c>
      <c r="D71" s="799"/>
      <c r="E71" s="799"/>
      <c r="F71" s="799"/>
      <c r="G71" s="803">
        <v>30663.79</v>
      </c>
      <c r="H71" s="802">
        <v>51576.21</v>
      </c>
      <c r="I71" s="788"/>
      <c r="J71" s="806">
        <f>15731+7487</f>
        <v>23218</v>
      </c>
    </row>
    <row r="72" spans="1:10" ht="14.25" customHeight="1">
      <c r="A72" s="786">
        <v>50</v>
      </c>
      <c r="B72" s="888" t="s">
        <v>469</v>
      </c>
      <c r="C72" s="790">
        <v>0</v>
      </c>
      <c r="D72" s="799"/>
      <c r="E72" s="799"/>
      <c r="F72" s="799"/>
      <c r="G72" s="799"/>
      <c r="H72" s="802"/>
      <c r="I72" s="788"/>
      <c r="J72" s="806"/>
    </row>
    <row r="73" spans="1:10" ht="14.25" customHeight="1">
      <c r="A73" s="786">
        <v>51</v>
      </c>
      <c r="B73" s="888" t="s">
        <v>470</v>
      </c>
      <c r="C73" s="790">
        <v>5140</v>
      </c>
      <c r="D73" s="799"/>
      <c r="E73" s="799"/>
      <c r="F73" s="799"/>
      <c r="G73" s="799"/>
      <c r="H73" s="802">
        <v>5140</v>
      </c>
      <c r="I73" s="788"/>
      <c r="J73" s="806">
        <v>1568</v>
      </c>
    </row>
    <row r="74" spans="1:10" ht="14.25" customHeight="1">
      <c r="A74" s="786">
        <v>52</v>
      </c>
      <c r="B74" s="888" t="s">
        <v>471</v>
      </c>
      <c r="C74" s="790">
        <v>9480</v>
      </c>
      <c r="D74" s="799"/>
      <c r="E74" s="799"/>
      <c r="F74" s="799"/>
      <c r="G74" s="799"/>
      <c r="H74" s="802">
        <v>9480</v>
      </c>
      <c r="I74" s="788"/>
      <c r="J74" s="806">
        <v>2891</v>
      </c>
    </row>
    <row r="75" spans="1:10" ht="14.25" customHeight="1">
      <c r="A75" s="786">
        <v>53</v>
      </c>
      <c r="B75" s="888" t="s">
        <v>541</v>
      </c>
      <c r="C75" s="790">
        <v>19594</v>
      </c>
      <c r="D75" s="799"/>
      <c r="E75" s="799"/>
      <c r="F75" s="799"/>
      <c r="G75" s="802">
        <v>1239.34</v>
      </c>
      <c r="H75" s="802">
        <v>18354.66</v>
      </c>
      <c r="I75" s="788"/>
      <c r="J75" s="806">
        <v>5598</v>
      </c>
    </row>
    <row r="76" spans="1:10" ht="14.25" customHeight="1" thickBot="1">
      <c r="A76" s="786">
        <v>54</v>
      </c>
      <c r="B76" s="888" t="s">
        <v>542</v>
      </c>
      <c r="C76" s="788">
        <v>0</v>
      </c>
      <c r="D76" s="799"/>
      <c r="E76" s="799"/>
      <c r="F76" s="799"/>
      <c r="G76" s="799"/>
      <c r="H76" s="802"/>
      <c r="I76" s="788"/>
      <c r="J76" s="806">
        <v>100</v>
      </c>
    </row>
    <row r="77" spans="1:10" ht="14.25" customHeight="1" thickBot="1">
      <c r="A77" s="786">
        <v>55</v>
      </c>
      <c r="B77" s="793" t="s">
        <v>616</v>
      </c>
      <c r="C77" s="794">
        <v>116454</v>
      </c>
      <c r="D77" s="801">
        <v>0</v>
      </c>
      <c r="E77" s="801">
        <v>0</v>
      </c>
      <c r="F77" s="801">
        <v>0</v>
      </c>
      <c r="G77" s="801">
        <f>SUM(G71:G76)</f>
        <v>31903.13</v>
      </c>
      <c r="H77" s="801">
        <f>SUM(H71:H76)</f>
        <v>84550.87</v>
      </c>
      <c r="I77" s="795">
        <v>0</v>
      </c>
      <c r="J77" s="796">
        <f>SUM(J71:J76)</f>
        <v>33375</v>
      </c>
    </row>
    <row r="78" spans="1:10" ht="13.5" thickBot="1">
      <c r="A78" s="329"/>
      <c r="B78" s="771"/>
      <c r="C78" s="772"/>
      <c r="D78" s="772"/>
      <c r="E78" s="772"/>
      <c r="F78" s="772"/>
      <c r="G78" s="772"/>
      <c r="H78" s="772"/>
      <c r="I78" s="772"/>
      <c r="J78" s="773"/>
    </row>
    <row r="79" spans="1:10" ht="32.25" customHeight="1" thickBot="1" thickTop="1">
      <c r="A79" s="324"/>
      <c r="B79" s="1252" t="s">
        <v>880</v>
      </c>
      <c r="C79" s="1253"/>
      <c r="D79" s="1253"/>
      <c r="E79" s="1253"/>
      <c r="F79" s="1253"/>
      <c r="G79" s="1253"/>
      <c r="H79" s="1253"/>
      <c r="I79" s="1253"/>
      <c r="J79" s="1254"/>
    </row>
    <row r="80" spans="1:16" s="166" customFormat="1" ht="16.5" thickBot="1" thickTop="1">
      <c r="A80" s="306">
        <v>56</v>
      </c>
      <c r="B80" s="1226" t="s">
        <v>546</v>
      </c>
      <c r="C80" s="1227"/>
      <c r="D80" s="1227"/>
      <c r="E80" s="1227"/>
      <c r="F80" s="1227"/>
      <c r="G80" s="1227"/>
      <c r="H80" s="1227"/>
      <c r="I80" s="1228"/>
      <c r="J80" s="271"/>
      <c r="K80" s="165"/>
      <c r="L80" s="165"/>
      <c r="M80" s="165"/>
      <c r="N80" s="165"/>
      <c r="O80" s="165"/>
      <c r="P80" s="165"/>
    </row>
    <row r="81" spans="1:10" ht="14.25" customHeight="1">
      <c r="A81" s="270">
        <v>57</v>
      </c>
      <c r="B81" s="278" t="s">
        <v>536</v>
      </c>
      <c r="C81" s="274"/>
      <c r="D81" s="275"/>
      <c r="E81" s="276"/>
      <c r="F81" s="276"/>
      <c r="G81" s="276"/>
      <c r="H81" s="276"/>
      <c r="I81" s="277"/>
      <c r="J81" s="277"/>
    </row>
    <row r="82" spans="1:10" ht="14.25" customHeight="1" thickBot="1">
      <c r="A82" s="272">
        <v>58</v>
      </c>
      <c r="B82" s="330" t="s">
        <v>537</v>
      </c>
      <c r="C82" s="331">
        <v>16837</v>
      </c>
      <c r="D82" s="311"/>
      <c r="E82" s="332"/>
      <c r="F82" s="332"/>
      <c r="G82" s="332">
        <v>11771</v>
      </c>
      <c r="H82" s="332">
        <v>5066</v>
      </c>
      <c r="I82" s="298">
        <v>5066</v>
      </c>
      <c r="J82" s="298"/>
    </row>
    <row r="83" spans="1:10" ht="13.5" thickBot="1">
      <c r="A83" s="272">
        <v>59</v>
      </c>
      <c r="B83" s="283" t="s">
        <v>538</v>
      </c>
      <c r="C83" s="284">
        <f>SUM(H83+G83+F83+E83+D83)</f>
        <v>16837</v>
      </c>
      <c r="D83" s="285">
        <f>SUM(D81+D82)</f>
        <v>0</v>
      </c>
      <c r="E83" s="285">
        <f>SUM(E81+E82)</f>
        <v>0</v>
      </c>
      <c r="F83" s="285">
        <f>SUM(F81+F82)</f>
        <v>0</v>
      </c>
      <c r="G83" s="285">
        <f>SUM(G81+G82)</f>
        <v>11771</v>
      </c>
      <c r="H83" s="286">
        <f>SUM(H81+H82)</f>
        <v>5066</v>
      </c>
      <c r="I83" s="287">
        <f>SUM(I81:I82)</f>
        <v>5066</v>
      </c>
      <c r="J83" s="288">
        <f>SUM(J81:J82)</f>
        <v>0</v>
      </c>
    </row>
    <row r="84" spans="1:16" s="167" customFormat="1" ht="6.75" customHeight="1" thickBot="1">
      <c r="A84" s="272"/>
      <c r="B84" s="1234"/>
      <c r="C84" s="1235"/>
      <c r="D84" s="1235"/>
      <c r="E84" s="1235"/>
      <c r="F84" s="1235"/>
      <c r="G84" s="1235"/>
      <c r="H84" s="1235"/>
      <c r="I84" s="1235"/>
      <c r="J84" s="271"/>
      <c r="K84" s="165"/>
      <c r="L84" s="165"/>
      <c r="M84" s="165"/>
      <c r="N84" s="165"/>
      <c r="O84" s="165"/>
      <c r="P84" s="165"/>
    </row>
    <row r="85" spans="1:10" ht="14.25" customHeight="1">
      <c r="A85" s="308">
        <v>60</v>
      </c>
      <c r="B85" s="313" t="s">
        <v>539</v>
      </c>
      <c r="C85" s="274">
        <f>SUM(D85:H85)</f>
        <v>1072</v>
      </c>
      <c r="D85" s="314"/>
      <c r="E85" s="314"/>
      <c r="F85" s="333"/>
      <c r="G85" s="334">
        <v>1072</v>
      </c>
      <c r="H85" s="334"/>
      <c r="I85" s="277"/>
      <c r="J85" s="277"/>
    </row>
    <row r="86" spans="1:10" ht="14.25" customHeight="1">
      <c r="A86" s="289">
        <v>61</v>
      </c>
      <c r="B86" s="293" t="s">
        <v>547</v>
      </c>
      <c r="C86" s="279">
        <f>SUM(D86:H86)</f>
        <v>6622</v>
      </c>
      <c r="D86" s="297"/>
      <c r="E86" s="297"/>
      <c r="F86" s="335"/>
      <c r="G86" s="336">
        <v>5805</v>
      </c>
      <c r="H86" s="336">
        <v>817</v>
      </c>
      <c r="I86" s="298"/>
      <c r="J86" s="298">
        <v>817</v>
      </c>
    </row>
    <row r="87" spans="1:10" ht="15" customHeight="1">
      <c r="A87" s="289">
        <v>62</v>
      </c>
      <c r="B87" s="337" t="s">
        <v>548</v>
      </c>
      <c r="C87" s="279">
        <f>SUM(D87:H87)</f>
        <v>1788</v>
      </c>
      <c r="D87" s="317"/>
      <c r="E87" s="317"/>
      <c r="F87" s="338"/>
      <c r="G87" s="339">
        <v>1567</v>
      </c>
      <c r="H87" s="339">
        <v>221</v>
      </c>
      <c r="I87" s="282"/>
      <c r="J87" s="282">
        <v>221</v>
      </c>
    </row>
    <row r="88" spans="1:16" s="167" customFormat="1" ht="15" customHeight="1" thickBot="1">
      <c r="A88" s="289">
        <v>63</v>
      </c>
      <c r="B88" s="293" t="s">
        <v>541</v>
      </c>
      <c r="C88" s="296">
        <f>SUM(D88:H88)</f>
        <v>7355</v>
      </c>
      <c r="D88" s="297"/>
      <c r="E88" s="297"/>
      <c r="F88" s="335"/>
      <c r="G88" s="341">
        <v>3327</v>
      </c>
      <c r="H88" s="341">
        <v>4028</v>
      </c>
      <c r="I88" s="298"/>
      <c r="J88" s="298">
        <v>4028</v>
      </c>
      <c r="K88" s="165"/>
      <c r="L88" s="165"/>
      <c r="M88" s="165"/>
      <c r="N88" s="165"/>
      <c r="O88" s="165"/>
      <c r="P88" s="165"/>
    </row>
    <row r="89" spans="1:10" ht="14.25" customHeight="1" thickBot="1">
      <c r="A89" s="340">
        <v>64</v>
      </c>
      <c r="B89" s="323" t="s">
        <v>616</v>
      </c>
      <c r="C89" s="301">
        <f>SUM(C85:C88)</f>
        <v>16837</v>
      </c>
      <c r="D89" s="302">
        <v>0</v>
      </c>
      <c r="E89" s="302">
        <v>0</v>
      </c>
      <c r="F89" s="302">
        <v>0</v>
      </c>
      <c r="G89" s="302">
        <v>11771</v>
      </c>
      <c r="H89" s="302">
        <f>SUM(H85:H88)</f>
        <v>5066</v>
      </c>
      <c r="I89" s="304">
        <f>SUM(I85:I88)</f>
        <v>0</v>
      </c>
      <c r="J89" s="342">
        <f>SUM(J85:J88)</f>
        <v>5066</v>
      </c>
    </row>
    <row r="90" ht="13.5" thickTop="1">
      <c r="A90" s="807"/>
    </row>
  </sheetData>
  <sheetProtection/>
  <mergeCells count="34">
    <mergeCell ref="B1:J1"/>
    <mergeCell ref="B4:J4"/>
    <mergeCell ref="B12:J12"/>
    <mergeCell ref="B13:I13"/>
    <mergeCell ref="I8:I10"/>
    <mergeCell ref="J8:J10"/>
    <mergeCell ref="B80:I80"/>
    <mergeCell ref="C25:C26"/>
    <mergeCell ref="E25:E26"/>
    <mergeCell ref="B41:I41"/>
    <mergeCell ref="B30:I30"/>
    <mergeCell ref="B17:I17"/>
    <mergeCell ref="B23:J23"/>
    <mergeCell ref="B24:I24"/>
    <mergeCell ref="C65:H65"/>
    <mergeCell ref="B70:J70"/>
    <mergeCell ref="I65:J65"/>
    <mergeCell ref="B55:J55"/>
    <mergeCell ref="B79:J79"/>
    <mergeCell ref="A8:A10"/>
    <mergeCell ref="B8:B10"/>
    <mergeCell ref="C8:H8"/>
    <mergeCell ref="C9:C10"/>
    <mergeCell ref="D9:H9"/>
    <mergeCell ref="B37:I37"/>
    <mergeCell ref="B45:J45"/>
    <mergeCell ref="B36:J36"/>
    <mergeCell ref="F25:F26"/>
    <mergeCell ref="G25:G26"/>
    <mergeCell ref="B84:I84"/>
    <mergeCell ref="B46:I46"/>
    <mergeCell ref="B50:I50"/>
    <mergeCell ref="B59:I59"/>
    <mergeCell ref="B64:J6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63" r:id="rId1"/>
  <rowBreaks count="1" manualBreakCount="1">
    <brk id="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151"/>
  <sheetViews>
    <sheetView zoomScalePageLayoutView="0" workbookViewId="0" topLeftCell="A81">
      <selection activeCell="A2" sqref="A2"/>
    </sheetView>
  </sheetViews>
  <sheetFormatPr defaultColWidth="9.00390625" defaultRowHeight="12.75"/>
  <cols>
    <col min="1" max="1" width="6.00390625" style="0" customWidth="1"/>
    <col min="3" max="3" width="6.875" style="0" customWidth="1"/>
    <col min="4" max="4" width="7.75390625" style="0" customWidth="1"/>
    <col min="5" max="5" width="38.00390625" style="0" customWidth="1"/>
    <col min="6" max="6" width="12.875" style="0" customWidth="1"/>
    <col min="7" max="7" width="12.375" style="0" customWidth="1"/>
    <col min="8" max="8" width="15.00390625" style="0" customWidth="1"/>
    <col min="9" max="9" width="17.625" style="0" customWidth="1"/>
  </cols>
  <sheetData>
    <row r="1" spans="1:9" s="4" customFormat="1" ht="12.75">
      <c r="A1" s="953" t="s">
        <v>1128</v>
      </c>
      <c r="B1" s="953"/>
      <c r="C1" s="953"/>
      <c r="D1" s="953"/>
      <c r="E1" s="953"/>
      <c r="F1" s="953"/>
      <c r="G1" s="953"/>
      <c r="H1" s="953"/>
      <c r="I1" s="953"/>
    </row>
    <row r="2" s="4" customFormat="1" ht="9.75" customHeight="1">
      <c r="A2" s="128"/>
    </row>
    <row r="3" spans="1:9" s="4" customFormat="1" ht="16.5">
      <c r="A3" s="952" t="s">
        <v>881</v>
      </c>
      <c r="B3" s="952"/>
      <c r="C3" s="952"/>
      <c r="D3" s="952"/>
      <c r="E3" s="952"/>
      <c r="F3" s="952"/>
      <c r="G3" s="952"/>
      <c r="H3" s="952"/>
      <c r="I3" s="952"/>
    </row>
    <row r="4" s="4" customFormat="1" ht="12.75">
      <c r="A4" s="128"/>
    </row>
    <row r="5" spans="1:9" ht="36">
      <c r="A5" s="933" t="s">
        <v>1007</v>
      </c>
      <c r="B5" s="934"/>
      <c r="C5" s="934"/>
      <c r="D5" s="934"/>
      <c r="E5" s="935"/>
      <c r="F5" s="127" t="s">
        <v>1008</v>
      </c>
      <c r="G5" s="127" t="s">
        <v>1009</v>
      </c>
      <c r="H5" s="127" t="s">
        <v>880</v>
      </c>
      <c r="I5" s="127" t="s">
        <v>611</v>
      </c>
    </row>
    <row r="6" spans="1:9" s="713" customFormat="1" ht="15">
      <c r="A6" s="714" t="s">
        <v>692</v>
      </c>
      <c r="B6" s="929" t="s">
        <v>693</v>
      </c>
      <c r="C6" s="930"/>
      <c r="D6" s="930"/>
      <c r="E6" s="931"/>
      <c r="F6" s="715" t="s">
        <v>694</v>
      </c>
      <c r="G6" s="715" t="s">
        <v>695</v>
      </c>
      <c r="H6" s="715" t="s">
        <v>696</v>
      </c>
      <c r="I6" s="715" t="s">
        <v>697</v>
      </c>
    </row>
    <row r="7" spans="1:9" s="369" customFormat="1" ht="12.75">
      <c r="A7" s="367" t="s">
        <v>1010</v>
      </c>
      <c r="B7" s="936" t="s">
        <v>568</v>
      </c>
      <c r="C7" s="936"/>
      <c r="D7" s="936"/>
      <c r="E7" s="936"/>
      <c r="F7" s="368">
        <f>SUM(F8+F18)+354+15769+39+34+51+26+2+521+595+630+226+10-2-790+45924+12384-756+34802+15848</f>
        <v>311405</v>
      </c>
      <c r="G7" s="368">
        <f>SUM(G8+G18)+805+808+543+104+28+13+1210+316+65</f>
        <v>100588</v>
      </c>
      <c r="H7" s="368">
        <f>SUM(H8+H18)+118+1198+4260+183</f>
        <v>111837</v>
      </c>
      <c r="I7" s="368">
        <f>SUM(F7:H7)</f>
        <v>523830</v>
      </c>
    </row>
    <row r="8" spans="1:9" ht="12.75" hidden="1">
      <c r="A8" s="344"/>
      <c r="B8" s="344" t="s">
        <v>1011</v>
      </c>
      <c r="C8" s="923" t="s">
        <v>1012</v>
      </c>
      <c r="D8" s="923"/>
      <c r="E8" s="923"/>
      <c r="F8" s="345">
        <f>SUM(F9:F16)</f>
        <v>180616</v>
      </c>
      <c r="G8" s="345">
        <f>SUM(G9:G16)</f>
        <v>73987</v>
      </c>
      <c r="H8" s="345">
        <f>SUM(H9:H16)</f>
        <v>104591</v>
      </c>
      <c r="I8" s="343">
        <f aca="true" t="shared" si="0" ref="I8:I59">SUM(F8:H8)</f>
        <v>359194</v>
      </c>
    </row>
    <row r="9" spans="1:9" ht="12.75" hidden="1">
      <c r="A9" s="346"/>
      <c r="B9" s="346"/>
      <c r="C9" s="346"/>
      <c r="D9" s="346" t="s">
        <v>1013</v>
      </c>
      <c r="E9" s="346" t="s">
        <v>1014</v>
      </c>
      <c r="F9" s="347">
        <v>167109</v>
      </c>
      <c r="G9" s="347">
        <v>64670</v>
      </c>
      <c r="H9" s="347">
        <f>93646+7542</f>
        <v>101188</v>
      </c>
      <c r="I9" s="372">
        <f t="shared" si="0"/>
        <v>332967</v>
      </c>
    </row>
    <row r="10" spans="1:9" ht="12.75" hidden="1">
      <c r="A10" s="346"/>
      <c r="B10" s="346"/>
      <c r="C10" s="346"/>
      <c r="D10" s="346" t="s">
        <v>1015</v>
      </c>
      <c r="E10" s="346" t="s">
        <v>1016</v>
      </c>
      <c r="F10" s="347">
        <v>0</v>
      </c>
      <c r="G10" s="347">
        <v>464</v>
      </c>
      <c r="H10" s="347">
        <v>0</v>
      </c>
      <c r="I10" s="372">
        <f t="shared" si="0"/>
        <v>464</v>
      </c>
    </row>
    <row r="11" spans="1:9" ht="12.75" hidden="1">
      <c r="A11" s="346"/>
      <c r="B11" s="346"/>
      <c r="C11" s="346"/>
      <c r="D11" s="346" t="s">
        <v>1017</v>
      </c>
      <c r="E11" s="346" t="s">
        <v>1018</v>
      </c>
      <c r="F11" s="347">
        <v>9654</v>
      </c>
      <c r="G11" s="347">
        <v>0</v>
      </c>
      <c r="H11" s="347">
        <v>0</v>
      </c>
      <c r="I11" s="372">
        <f t="shared" si="0"/>
        <v>9654</v>
      </c>
    </row>
    <row r="12" spans="1:9" ht="12.75" hidden="1">
      <c r="A12" s="346"/>
      <c r="B12" s="346"/>
      <c r="C12" s="346"/>
      <c r="D12" s="346" t="s">
        <v>1019</v>
      </c>
      <c r="E12" s="346" t="s">
        <v>1020</v>
      </c>
      <c r="F12" s="347">
        <v>673</v>
      </c>
      <c r="G12" s="347">
        <v>2245</v>
      </c>
      <c r="H12" s="347">
        <v>1025</v>
      </c>
      <c r="I12" s="372">
        <f t="shared" si="0"/>
        <v>3943</v>
      </c>
    </row>
    <row r="13" spans="1:9" ht="12.75" hidden="1">
      <c r="A13" s="346"/>
      <c r="B13" s="346"/>
      <c r="C13" s="346"/>
      <c r="D13" s="346" t="s">
        <v>1021</v>
      </c>
      <c r="E13" s="346" t="s">
        <v>1022</v>
      </c>
      <c r="F13" s="347">
        <v>0</v>
      </c>
      <c r="G13" s="347">
        <v>5117</v>
      </c>
      <c r="H13" s="347">
        <v>200</v>
      </c>
      <c r="I13" s="372">
        <f t="shared" si="0"/>
        <v>5317</v>
      </c>
    </row>
    <row r="14" spans="1:9" ht="12.75" hidden="1">
      <c r="A14" s="346"/>
      <c r="B14" s="346"/>
      <c r="C14" s="346"/>
      <c r="D14" s="346" t="s">
        <v>1023</v>
      </c>
      <c r="E14" s="346" t="s">
        <v>1024</v>
      </c>
      <c r="F14" s="347">
        <v>48</v>
      </c>
      <c r="G14" s="347">
        <v>100</v>
      </c>
      <c r="H14" s="347">
        <f>40+148</f>
        <v>188</v>
      </c>
      <c r="I14" s="372">
        <f t="shared" si="0"/>
        <v>336</v>
      </c>
    </row>
    <row r="15" spans="1:9" ht="12.75" hidden="1">
      <c r="A15" s="346"/>
      <c r="B15" s="346"/>
      <c r="C15" s="346"/>
      <c r="D15" s="346" t="s">
        <v>1025</v>
      </c>
      <c r="E15" s="346" t="s">
        <v>1026</v>
      </c>
      <c r="F15" s="347">
        <v>751</v>
      </c>
      <c r="G15" s="347">
        <v>622</v>
      </c>
      <c r="H15" s="347">
        <v>90</v>
      </c>
      <c r="I15" s="372">
        <f t="shared" si="0"/>
        <v>1463</v>
      </c>
    </row>
    <row r="16" spans="1:9" ht="12.75" hidden="1">
      <c r="A16" s="346"/>
      <c r="B16" s="346"/>
      <c r="C16" s="346"/>
      <c r="D16" s="346" t="s">
        <v>1027</v>
      </c>
      <c r="E16" s="346" t="s">
        <v>1028</v>
      </c>
      <c r="F16" s="347">
        <f>105+2276</f>
        <v>2381</v>
      </c>
      <c r="G16" s="347">
        <f>100+669</f>
        <v>769</v>
      </c>
      <c r="H16" s="347">
        <v>1900</v>
      </c>
      <c r="I16" s="372">
        <f t="shared" si="0"/>
        <v>5050</v>
      </c>
    </row>
    <row r="17" spans="1:9" ht="12.75" hidden="1">
      <c r="A17" s="348"/>
      <c r="B17" s="348"/>
      <c r="C17" s="349"/>
      <c r="D17" s="350" t="s">
        <v>1029</v>
      </c>
      <c r="E17" s="350" t="s">
        <v>1030</v>
      </c>
      <c r="F17" s="351">
        <v>105</v>
      </c>
      <c r="G17" s="351">
        <v>0</v>
      </c>
      <c r="H17" s="351">
        <v>0</v>
      </c>
      <c r="I17" s="372">
        <f t="shared" si="0"/>
        <v>105</v>
      </c>
    </row>
    <row r="18" spans="1:9" ht="12.75" hidden="1">
      <c r="A18" s="344"/>
      <c r="B18" s="344" t="s">
        <v>1031</v>
      </c>
      <c r="C18" s="923" t="s">
        <v>1032</v>
      </c>
      <c r="D18" s="923"/>
      <c r="E18" s="923"/>
      <c r="F18" s="345">
        <f>SUM(F19:F21)</f>
        <v>5122</v>
      </c>
      <c r="G18" s="345">
        <f>SUM(G19:G21)</f>
        <v>22709</v>
      </c>
      <c r="H18" s="345">
        <f>SUM(H19:H21)</f>
        <v>1487</v>
      </c>
      <c r="I18" s="343">
        <f t="shared" si="0"/>
        <v>29318</v>
      </c>
    </row>
    <row r="19" spans="1:9" ht="12.75" hidden="1">
      <c r="A19" s="353"/>
      <c r="B19" s="353"/>
      <c r="C19" s="353" t="s">
        <v>1033</v>
      </c>
      <c r="D19" s="353" t="s">
        <v>1034</v>
      </c>
      <c r="E19" s="353"/>
      <c r="F19" s="354">
        <v>0</v>
      </c>
      <c r="G19" s="354">
        <v>22582</v>
      </c>
      <c r="H19" s="354">
        <v>0</v>
      </c>
      <c r="I19" s="372">
        <f t="shared" si="0"/>
        <v>22582</v>
      </c>
    </row>
    <row r="20" spans="1:9" ht="25.5" customHeight="1" hidden="1">
      <c r="A20" s="353"/>
      <c r="B20" s="353"/>
      <c r="C20" s="353" t="s">
        <v>1035</v>
      </c>
      <c r="D20" s="939" t="s">
        <v>1036</v>
      </c>
      <c r="E20" s="940"/>
      <c r="F20" s="354">
        <v>4995</v>
      </c>
      <c r="G20" s="354">
        <v>0</v>
      </c>
      <c r="H20" s="354">
        <f>670+817</f>
        <v>1487</v>
      </c>
      <c r="I20" s="372">
        <f t="shared" si="0"/>
        <v>6482</v>
      </c>
    </row>
    <row r="21" spans="1:9" ht="12.75" hidden="1">
      <c r="A21" s="353"/>
      <c r="B21" s="353"/>
      <c r="C21" s="353" t="s">
        <v>1037</v>
      </c>
      <c r="D21" s="941" t="s">
        <v>1038</v>
      </c>
      <c r="E21" s="942"/>
      <c r="F21" s="354">
        <v>127</v>
      </c>
      <c r="G21" s="354">
        <v>127</v>
      </c>
      <c r="H21" s="354"/>
      <c r="I21" s="372">
        <f t="shared" si="0"/>
        <v>254</v>
      </c>
    </row>
    <row r="22" spans="1:9" s="369" customFormat="1" ht="12.75">
      <c r="A22" s="367" t="s">
        <v>1039</v>
      </c>
      <c r="B22" s="936" t="s">
        <v>1040</v>
      </c>
      <c r="C22" s="936"/>
      <c r="D22" s="936"/>
      <c r="E22" s="936"/>
      <c r="F22" s="368">
        <f>SUM(F23:F27)+96+2129+11+9+14+7+141+160+170+61+5+2-107+6200+1672-102+4698+2139</f>
        <v>57574</v>
      </c>
      <c r="G22" s="368">
        <f>SUM(G23:G27)+228+223+119+28+8+3+327+85+18</f>
        <v>27152</v>
      </c>
      <c r="H22" s="368">
        <f>SUM(H23:H27)+32+324+1150+50</f>
        <v>32173</v>
      </c>
      <c r="I22" s="368">
        <f t="shared" si="0"/>
        <v>116899</v>
      </c>
    </row>
    <row r="23" spans="1:9" ht="12.75" hidden="1">
      <c r="A23" s="346"/>
      <c r="B23" s="346"/>
      <c r="C23" s="346"/>
      <c r="D23" s="355" t="s">
        <v>1029</v>
      </c>
      <c r="E23" s="355" t="s">
        <v>1041</v>
      </c>
      <c r="F23" s="347">
        <f>36278+615</f>
        <v>36893</v>
      </c>
      <c r="G23" s="347">
        <f>24571-600-90</f>
        <v>23881</v>
      </c>
      <c r="H23" s="347">
        <f>26255+2036+221</f>
        <v>28512</v>
      </c>
      <c r="I23" s="372">
        <f t="shared" si="0"/>
        <v>89286</v>
      </c>
    </row>
    <row r="24" spans="1:9" ht="12.75" hidden="1">
      <c r="A24" s="346"/>
      <c r="B24" s="346"/>
      <c r="C24" s="346"/>
      <c r="D24" s="355"/>
      <c r="E24" s="355" t="s">
        <v>1042</v>
      </c>
      <c r="F24" s="347">
        <v>2411</v>
      </c>
      <c r="G24" s="347">
        <v>1423</v>
      </c>
      <c r="H24" s="347">
        <v>2030</v>
      </c>
      <c r="I24" s="372">
        <f t="shared" si="0"/>
        <v>5864</v>
      </c>
    </row>
    <row r="25" spans="1:9" ht="12.75" hidden="1">
      <c r="A25" s="346"/>
      <c r="B25" s="346"/>
      <c r="C25" s="346"/>
      <c r="D25" s="355"/>
      <c r="E25" s="355" t="s">
        <v>1043</v>
      </c>
      <c r="F25" s="347">
        <v>823</v>
      </c>
      <c r="G25" s="347">
        <v>600</v>
      </c>
      <c r="H25" s="347">
        <v>0</v>
      </c>
      <c r="I25" s="372">
        <f t="shared" si="0"/>
        <v>1423</v>
      </c>
    </row>
    <row r="26" spans="1:9" ht="12.75" hidden="1">
      <c r="A26" s="346"/>
      <c r="B26" s="346"/>
      <c r="C26" s="346"/>
      <c r="D26" s="355"/>
      <c r="E26" s="355" t="s">
        <v>1044</v>
      </c>
      <c r="F26" s="347">
        <v>87</v>
      </c>
      <c r="G26" s="347">
        <v>131</v>
      </c>
      <c r="H26" s="347">
        <v>28</v>
      </c>
      <c r="I26" s="372">
        <f t="shared" si="0"/>
        <v>246</v>
      </c>
    </row>
    <row r="27" spans="1:9" ht="12.75" hidden="1">
      <c r="A27" s="346"/>
      <c r="B27" s="346"/>
      <c r="C27" s="346"/>
      <c r="D27" s="355"/>
      <c r="E27" s="355" t="s">
        <v>1045</v>
      </c>
      <c r="F27" s="347">
        <v>55</v>
      </c>
      <c r="G27" s="347">
        <v>78</v>
      </c>
      <c r="H27" s="347">
        <v>47</v>
      </c>
      <c r="I27" s="372">
        <f t="shared" si="0"/>
        <v>180</v>
      </c>
    </row>
    <row r="28" spans="1:9" s="369" customFormat="1" ht="12.75">
      <c r="A28" s="367" t="s">
        <v>1046</v>
      </c>
      <c r="B28" s="936" t="s">
        <v>1047</v>
      </c>
      <c r="C28" s="936"/>
      <c r="D28" s="936"/>
      <c r="E28" s="936"/>
      <c r="F28" s="368">
        <f>SUM(F29+F32+F35+F49+F52)+114+302+4271+2077+25+3018+12+21+94+10+5219+466+1460+214+27+1010+379+3175-400-5872-1640-6890-15+624-9718+6545+454+1261-80+1239-942-3625-1208-1215+6360+295-295+4797+100</f>
        <v>291119</v>
      </c>
      <c r="G28" s="368">
        <f>SUM(G29+G32+G35+G49+G52)+208+7-7+210+2700+451+254+1</f>
        <v>33196</v>
      </c>
      <c r="H28" s="368">
        <f>SUM(H29+H32+H35+H49+H52)+835+30+897</f>
        <v>53330</v>
      </c>
      <c r="I28" s="368">
        <f t="shared" si="0"/>
        <v>377645</v>
      </c>
    </row>
    <row r="29" spans="1:9" ht="12.75" hidden="1">
      <c r="A29" s="344"/>
      <c r="B29" s="344" t="s">
        <v>1048</v>
      </c>
      <c r="C29" s="923" t="s">
        <v>1049</v>
      </c>
      <c r="D29" s="923"/>
      <c r="E29" s="923"/>
      <c r="F29" s="345">
        <f>SUM(F30:F31)</f>
        <v>83629</v>
      </c>
      <c r="G29" s="345">
        <f>SUM(G30:G31)</f>
        <v>2711</v>
      </c>
      <c r="H29" s="345">
        <f>SUM(H30:H31)</f>
        <v>2594</v>
      </c>
      <c r="I29" s="343">
        <f t="shared" si="0"/>
        <v>88934</v>
      </c>
    </row>
    <row r="30" spans="1:9" ht="12.75" hidden="1">
      <c r="A30" s="353"/>
      <c r="B30" s="353"/>
      <c r="C30" s="353" t="s">
        <v>1050</v>
      </c>
      <c r="D30" s="353" t="s">
        <v>1051</v>
      </c>
      <c r="E30" s="353"/>
      <c r="F30" s="354">
        <v>1386</v>
      </c>
      <c r="G30" s="354">
        <v>250</v>
      </c>
      <c r="H30" s="354">
        <f>20+50+70+40+500+10+10+50</f>
        <v>750</v>
      </c>
      <c r="I30" s="372">
        <f t="shared" si="0"/>
        <v>2386</v>
      </c>
    </row>
    <row r="31" spans="1:9" ht="12.75" hidden="1">
      <c r="A31" s="353"/>
      <c r="B31" s="353"/>
      <c r="C31" s="353" t="s">
        <v>1052</v>
      </c>
      <c r="D31" s="353" t="s">
        <v>1053</v>
      </c>
      <c r="E31" s="353"/>
      <c r="F31" s="354">
        <v>82243</v>
      </c>
      <c r="G31" s="354">
        <f>1000+420+160+881</f>
        <v>2461</v>
      </c>
      <c r="H31" s="354">
        <f>160+60+60+200+400+500+100+100+40+20+30+50+4+120</f>
        <v>1844</v>
      </c>
      <c r="I31" s="372">
        <f t="shared" si="0"/>
        <v>86548</v>
      </c>
    </row>
    <row r="32" spans="1:9" ht="12.75" hidden="1">
      <c r="A32" s="344"/>
      <c r="B32" s="344" t="s">
        <v>1054</v>
      </c>
      <c r="C32" s="923" t="s">
        <v>1055</v>
      </c>
      <c r="D32" s="923"/>
      <c r="E32" s="923"/>
      <c r="F32" s="345">
        <f>SUM(F33:F34)</f>
        <v>2169</v>
      </c>
      <c r="G32" s="345">
        <f>SUM(G33:G34)</f>
        <v>3659</v>
      </c>
      <c r="H32" s="345">
        <f>SUM(H33:H34)</f>
        <v>436</v>
      </c>
      <c r="I32" s="343">
        <f t="shared" si="0"/>
        <v>6264</v>
      </c>
    </row>
    <row r="33" spans="1:9" ht="12.75" hidden="1">
      <c r="A33" s="353"/>
      <c r="B33" s="353"/>
      <c r="C33" s="353" t="s">
        <v>1056</v>
      </c>
      <c r="D33" s="353" t="s">
        <v>1057</v>
      </c>
      <c r="E33" s="353"/>
      <c r="F33" s="354">
        <v>1096</v>
      </c>
      <c r="G33" s="354">
        <f>120+1055+1380</f>
        <v>2555</v>
      </c>
      <c r="H33" s="354">
        <v>100</v>
      </c>
      <c r="I33" s="372">
        <f t="shared" si="0"/>
        <v>3751</v>
      </c>
    </row>
    <row r="34" spans="1:9" ht="12.75" hidden="1">
      <c r="A34" s="353"/>
      <c r="B34" s="353"/>
      <c r="C34" s="353" t="s">
        <v>1058</v>
      </c>
      <c r="D34" s="353" t="s">
        <v>1059</v>
      </c>
      <c r="E34" s="353"/>
      <c r="F34" s="354">
        <v>1073</v>
      </c>
      <c r="G34" s="354">
        <v>1104</v>
      </c>
      <c r="H34" s="354">
        <f>324+12</f>
        <v>336</v>
      </c>
      <c r="I34" s="372">
        <f t="shared" si="0"/>
        <v>2513</v>
      </c>
    </row>
    <row r="35" spans="1:9" ht="12.75" hidden="1">
      <c r="A35" s="344"/>
      <c r="B35" s="344" t="s">
        <v>1060</v>
      </c>
      <c r="C35" s="923" t="s">
        <v>1061</v>
      </c>
      <c r="D35" s="923"/>
      <c r="E35" s="923"/>
      <c r="F35" s="345">
        <f>SUM(F36+F41+F42+F43+F44+F46+F47)</f>
        <v>139047</v>
      </c>
      <c r="G35" s="345">
        <f>SUM(G36+G41+G42+G43+G44+G46+G47)</f>
        <v>17308</v>
      </c>
      <c r="H35" s="345">
        <f>SUM(H36+H41+H42+H43+H44+H46+H47)</f>
        <v>37560</v>
      </c>
      <c r="I35" s="343">
        <f t="shared" si="0"/>
        <v>193915</v>
      </c>
    </row>
    <row r="36" spans="1:9" ht="12.75" hidden="1">
      <c r="A36" s="353"/>
      <c r="B36" s="353"/>
      <c r="C36" s="353" t="s">
        <v>1062</v>
      </c>
      <c r="D36" s="353" t="s">
        <v>1063</v>
      </c>
      <c r="E36" s="353"/>
      <c r="F36" s="354">
        <f>SUM(F37:F40)</f>
        <v>40501</v>
      </c>
      <c r="G36" s="354">
        <f>SUM(G37:G40)</f>
        <v>3650</v>
      </c>
      <c r="H36" s="354">
        <f>SUM(H37:H40)</f>
        <v>7300</v>
      </c>
      <c r="I36" s="372">
        <f t="shared" si="0"/>
        <v>51451</v>
      </c>
    </row>
    <row r="37" spans="1:9" ht="12.75" hidden="1">
      <c r="A37" s="346"/>
      <c r="B37" s="346"/>
      <c r="C37" s="346"/>
      <c r="D37" s="355" t="s">
        <v>1029</v>
      </c>
      <c r="E37" s="355" t="s">
        <v>1064</v>
      </c>
      <c r="F37" s="347">
        <v>22329</v>
      </c>
      <c r="G37" s="347">
        <v>1800</v>
      </c>
      <c r="H37" s="347">
        <v>1500</v>
      </c>
      <c r="I37" s="373">
        <f t="shared" si="0"/>
        <v>25629</v>
      </c>
    </row>
    <row r="38" spans="1:9" ht="12.75" hidden="1">
      <c r="A38" s="346"/>
      <c r="B38" s="346"/>
      <c r="C38" s="346"/>
      <c r="D38" s="355"/>
      <c r="E38" s="355" t="s">
        <v>1065</v>
      </c>
      <c r="F38" s="347">
        <v>15351</v>
      </c>
      <c r="G38" s="347">
        <v>1700</v>
      </c>
      <c r="H38" s="347">
        <v>5200</v>
      </c>
      <c r="I38" s="373">
        <f t="shared" si="0"/>
        <v>22251</v>
      </c>
    </row>
    <row r="39" spans="1:9" ht="12.75" hidden="1">
      <c r="A39" s="346"/>
      <c r="B39" s="346"/>
      <c r="C39" s="346"/>
      <c r="D39" s="355"/>
      <c r="E39" s="355" t="s">
        <v>1066</v>
      </c>
      <c r="F39" s="347">
        <v>150</v>
      </c>
      <c r="G39" s="347">
        <v>0</v>
      </c>
      <c r="H39" s="347">
        <v>0</v>
      </c>
      <c r="I39" s="373">
        <f t="shared" si="0"/>
        <v>150</v>
      </c>
    </row>
    <row r="40" spans="1:9" ht="12.75" hidden="1">
      <c r="A40" s="346"/>
      <c r="B40" s="346"/>
      <c r="C40" s="346"/>
      <c r="D40" s="355"/>
      <c r="E40" s="355" t="s">
        <v>1067</v>
      </c>
      <c r="F40" s="347">
        <v>2671</v>
      </c>
      <c r="G40" s="347">
        <v>150</v>
      </c>
      <c r="H40" s="347">
        <v>600</v>
      </c>
      <c r="I40" s="373">
        <f t="shared" si="0"/>
        <v>3421</v>
      </c>
    </row>
    <row r="41" spans="1:9" ht="12.75" hidden="1">
      <c r="A41" s="353"/>
      <c r="B41" s="353"/>
      <c r="C41" s="353" t="s">
        <v>1068</v>
      </c>
      <c r="D41" s="353" t="s">
        <v>1069</v>
      </c>
      <c r="E41" s="353"/>
      <c r="F41" s="354">
        <v>40</v>
      </c>
      <c r="G41" s="354">
        <v>0</v>
      </c>
      <c r="H41" s="354">
        <v>25077</v>
      </c>
      <c r="I41" s="372">
        <f t="shared" si="0"/>
        <v>25117</v>
      </c>
    </row>
    <row r="42" spans="1:9" ht="12.75" hidden="1">
      <c r="A42" s="353"/>
      <c r="B42" s="353"/>
      <c r="C42" s="353" t="s">
        <v>1070</v>
      </c>
      <c r="D42" s="353" t="s">
        <v>1071</v>
      </c>
      <c r="E42" s="353"/>
      <c r="F42" s="354">
        <v>917</v>
      </c>
      <c r="G42" s="354">
        <v>1499</v>
      </c>
      <c r="H42" s="354">
        <v>0</v>
      </c>
      <c r="I42" s="372">
        <f t="shared" si="0"/>
        <v>2416</v>
      </c>
    </row>
    <row r="43" spans="1:9" ht="12.75" hidden="1">
      <c r="A43" s="353"/>
      <c r="B43" s="353"/>
      <c r="C43" s="353" t="s">
        <v>1072</v>
      </c>
      <c r="D43" s="353" t="s">
        <v>1073</v>
      </c>
      <c r="E43" s="353"/>
      <c r="F43" s="354">
        <v>4365</v>
      </c>
      <c r="G43" s="354">
        <v>635</v>
      </c>
      <c r="H43" s="354">
        <v>894</v>
      </c>
      <c r="I43" s="372">
        <f t="shared" si="0"/>
        <v>5894</v>
      </c>
    </row>
    <row r="44" spans="1:9" ht="12.75" hidden="1">
      <c r="A44" s="353"/>
      <c r="B44" s="353"/>
      <c r="C44" s="353" t="s">
        <v>1074</v>
      </c>
      <c r="D44" s="353" t="s">
        <v>1075</v>
      </c>
      <c r="E44" s="353"/>
      <c r="F44" s="354">
        <v>1693</v>
      </c>
      <c r="G44" s="354">
        <f>4239+88</f>
        <v>4327</v>
      </c>
      <c r="H44" s="354">
        <v>0</v>
      </c>
      <c r="I44" s="372">
        <f t="shared" si="0"/>
        <v>6020</v>
      </c>
    </row>
    <row r="45" spans="1:9" ht="12.75" hidden="1">
      <c r="A45" s="346"/>
      <c r="B45" s="346"/>
      <c r="C45" s="346"/>
      <c r="D45" s="355" t="s">
        <v>1029</v>
      </c>
      <c r="E45" s="355" t="s">
        <v>1076</v>
      </c>
      <c r="F45" s="351">
        <v>390</v>
      </c>
      <c r="G45" s="351">
        <v>4239</v>
      </c>
      <c r="H45" s="347">
        <v>0</v>
      </c>
      <c r="I45" s="352">
        <f t="shared" si="0"/>
        <v>4629</v>
      </c>
    </row>
    <row r="46" spans="1:9" ht="12.75" hidden="1">
      <c r="A46" s="353"/>
      <c r="B46" s="353"/>
      <c r="C46" s="353" t="s">
        <v>1077</v>
      </c>
      <c r="D46" s="353" t="s">
        <v>1078</v>
      </c>
      <c r="E46" s="353"/>
      <c r="F46" s="354">
        <f>65293+5353</f>
        <v>70646</v>
      </c>
      <c r="G46" s="354">
        <f>173+492</f>
        <v>665</v>
      </c>
      <c r="H46" s="354">
        <f>258+9+3172</f>
        <v>3439</v>
      </c>
      <c r="I46" s="372">
        <f t="shared" si="0"/>
        <v>74750</v>
      </c>
    </row>
    <row r="47" spans="1:9" ht="12.75" hidden="1">
      <c r="A47" s="353"/>
      <c r="B47" s="353"/>
      <c r="C47" s="353" t="s">
        <v>1079</v>
      </c>
      <c r="D47" s="353" t="s">
        <v>1080</v>
      </c>
      <c r="E47" s="353"/>
      <c r="F47" s="354">
        <f>20540+245+100</f>
        <v>20885</v>
      </c>
      <c r="G47" s="354">
        <f>5631+800+80+21</f>
        <v>6532</v>
      </c>
      <c r="H47" s="354">
        <f>750+50+50</f>
        <v>850</v>
      </c>
      <c r="I47" s="372">
        <f t="shared" si="0"/>
        <v>28267</v>
      </c>
    </row>
    <row r="48" spans="1:9" ht="12.75" hidden="1">
      <c r="A48" s="346"/>
      <c r="B48" s="346"/>
      <c r="C48" s="346"/>
      <c r="D48" s="355" t="s">
        <v>1029</v>
      </c>
      <c r="E48" s="355" t="s">
        <v>1030</v>
      </c>
      <c r="F48" s="351">
        <v>2752</v>
      </c>
      <c r="G48" s="351">
        <v>0</v>
      </c>
      <c r="H48" s="347">
        <v>0</v>
      </c>
      <c r="I48" s="352">
        <f t="shared" si="0"/>
        <v>2752</v>
      </c>
    </row>
    <row r="49" spans="1:9" ht="12.75" hidden="1">
      <c r="A49" s="344"/>
      <c r="B49" s="344" t="s">
        <v>1081</v>
      </c>
      <c r="C49" s="923" t="s">
        <v>1082</v>
      </c>
      <c r="D49" s="923"/>
      <c r="E49" s="923"/>
      <c r="F49" s="345">
        <f>SUM(F50:F51)</f>
        <v>674</v>
      </c>
      <c r="G49" s="345">
        <f>SUM(G50:G51)</f>
        <v>480</v>
      </c>
      <c r="H49" s="345">
        <f>SUM(H50:H51)</f>
        <v>100</v>
      </c>
      <c r="I49" s="343">
        <f t="shared" si="0"/>
        <v>1254</v>
      </c>
    </row>
    <row r="50" spans="1:9" ht="12.75" hidden="1">
      <c r="A50" s="353"/>
      <c r="B50" s="353"/>
      <c r="C50" s="353" t="s">
        <v>1083</v>
      </c>
      <c r="D50" s="353" t="s">
        <v>1084</v>
      </c>
      <c r="E50" s="353"/>
      <c r="F50" s="354">
        <v>280</v>
      </c>
      <c r="G50" s="354">
        <v>480</v>
      </c>
      <c r="H50" s="354">
        <v>100</v>
      </c>
      <c r="I50" s="372">
        <f t="shared" si="0"/>
        <v>860</v>
      </c>
    </row>
    <row r="51" spans="1:9" ht="12.75" hidden="1">
      <c r="A51" s="353"/>
      <c r="B51" s="353"/>
      <c r="C51" s="353" t="s">
        <v>1085</v>
      </c>
      <c r="D51" s="353" t="s">
        <v>1086</v>
      </c>
      <c r="E51" s="353"/>
      <c r="F51" s="354">
        <v>394</v>
      </c>
      <c r="G51" s="354">
        <v>0</v>
      </c>
      <c r="H51" s="354">
        <v>0</v>
      </c>
      <c r="I51" s="372">
        <f t="shared" si="0"/>
        <v>394</v>
      </c>
    </row>
    <row r="52" spans="1:9" ht="12.75" hidden="1">
      <c r="A52" s="344"/>
      <c r="B52" s="344" t="s">
        <v>1087</v>
      </c>
      <c r="C52" s="923" t="s">
        <v>1088</v>
      </c>
      <c r="D52" s="923"/>
      <c r="E52" s="923"/>
      <c r="F52" s="345">
        <f>SUM(F53:F55)</f>
        <v>53931</v>
      </c>
      <c r="G52" s="345">
        <f>SUM(G53:G55)</f>
        <v>5214</v>
      </c>
      <c r="H52" s="345">
        <f>SUM(H53:H55)</f>
        <v>10878</v>
      </c>
      <c r="I52" s="343">
        <f t="shared" si="0"/>
        <v>70023</v>
      </c>
    </row>
    <row r="53" spans="1:9" ht="12.75" hidden="1">
      <c r="A53" s="353"/>
      <c r="B53" s="353"/>
      <c r="C53" s="353" t="s">
        <v>1089</v>
      </c>
      <c r="D53" s="353" t="s">
        <v>1090</v>
      </c>
      <c r="E53" s="353"/>
      <c r="F53" s="354">
        <v>49961</v>
      </c>
      <c r="G53" s="354">
        <f>4755-54-27</f>
        <v>4674</v>
      </c>
      <c r="H53" s="354">
        <f>9937+856</f>
        <v>10793</v>
      </c>
      <c r="I53" s="372">
        <f t="shared" si="0"/>
        <v>65428</v>
      </c>
    </row>
    <row r="54" spans="1:9" ht="12.75" hidden="1">
      <c r="A54" s="353"/>
      <c r="B54" s="353"/>
      <c r="C54" s="353" t="s">
        <v>1091</v>
      </c>
      <c r="D54" s="353" t="s">
        <v>1092</v>
      </c>
      <c r="E54" s="353"/>
      <c r="F54" s="354">
        <v>1679</v>
      </c>
      <c r="G54" s="354">
        <v>0</v>
      </c>
      <c r="H54" s="354">
        <v>0</v>
      </c>
      <c r="I54" s="372">
        <f t="shared" si="0"/>
        <v>1679</v>
      </c>
    </row>
    <row r="55" spans="1:9" ht="12.75" hidden="1">
      <c r="A55" s="353"/>
      <c r="B55" s="353"/>
      <c r="C55" s="353" t="s">
        <v>1093</v>
      </c>
      <c r="D55" s="353" t="s">
        <v>1094</v>
      </c>
      <c r="E55" s="353"/>
      <c r="F55" s="354">
        <v>2291</v>
      </c>
      <c r="G55" s="354">
        <v>540</v>
      </c>
      <c r="H55" s="354">
        <v>85</v>
      </c>
      <c r="I55" s="372">
        <f t="shared" si="0"/>
        <v>2916</v>
      </c>
    </row>
    <row r="56" spans="1:9" s="369" customFormat="1" ht="12.75">
      <c r="A56" s="367" t="s">
        <v>1095</v>
      </c>
      <c r="B56" s="936" t="s">
        <v>0</v>
      </c>
      <c r="C56" s="936"/>
      <c r="D56" s="936"/>
      <c r="E56" s="936"/>
      <c r="F56" s="368">
        <f>SUM(F57+F58+F62+F63+F66+F70+F68+F71)</f>
        <v>2800</v>
      </c>
      <c r="G56" s="368">
        <f>SUM(G57+G58+G62+G63+G66+G70+G68+G71)-8250</f>
        <v>148825</v>
      </c>
      <c r="H56" s="368">
        <f>SUM(H57+H58+H62+H63+H66+H70+H68+H71)</f>
        <v>0</v>
      </c>
      <c r="I56" s="368">
        <f t="shared" si="0"/>
        <v>151625</v>
      </c>
    </row>
    <row r="57" spans="1:9" ht="12.75" hidden="1">
      <c r="A57" s="344"/>
      <c r="B57" s="344" t="s">
        <v>1</v>
      </c>
      <c r="C57" s="923" t="s">
        <v>2</v>
      </c>
      <c r="D57" s="923"/>
      <c r="E57" s="923"/>
      <c r="F57" s="345">
        <v>0</v>
      </c>
      <c r="G57" s="345">
        <v>0</v>
      </c>
      <c r="H57" s="345">
        <v>0</v>
      </c>
      <c r="I57" s="343">
        <f t="shared" si="0"/>
        <v>0</v>
      </c>
    </row>
    <row r="58" spans="1:9" ht="12.75" hidden="1">
      <c r="A58" s="344"/>
      <c r="B58" s="344" t="s">
        <v>3</v>
      </c>
      <c r="C58" s="923" t="s">
        <v>4</v>
      </c>
      <c r="D58" s="923"/>
      <c r="E58" s="923"/>
      <c r="F58" s="345">
        <f>SUM(F59:F61)</f>
        <v>0</v>
      </c>
      <c r="G58" s="345">
        <f>SUM(G59:G61)</f>
        <v>13750</v>
      </c>
      <c r="H58" s="345">
        <f>SUM(H59:H61)</f>
        <v>0</v>
      </c>
      <c r="I58" s="343">
        <f t="shared" si="0"/>
        <v>13750</v>
      </c>
    </row>
    <row r="59" spans="1:9" ht="12.75" hidden="1">
      <c r="A59" s="353"/>
      <c r="B59" s="353"/>
      <c r="C59" s="353"/>
      <c r="D59" s="937" t="s">
        <v>5</v>
      </c>
      <c r="E59" s="938"/>
      <c r="F59" s="354">
        <v>0</v>
      </c>
      <c r="G59" s="354">
        <v>11455</v>
      </c>
      <c r="H59" s="354">
        <v>0</v>
      </c>
      <c r="I59" s="372">
        <f t="shared" si="0"/>
        <v>11455</v>
      </c>
    </row>
    <row r="60" spans="1:9" ht="26.25" customHeight="1" hidden="1">
      <c r="A60" s="353"/>
      <c r="B60" s="353"/>
      <c r="C60" s="353"/>
      <c r="D60" s="939" t="s">
        <v>6</v>
      </c>
      <c r="E60" s="940"/>
      <c r="F60" s="354">
        <v>0</v>
      </c>
      <c r="G60" s="354">
        <f>245+50</f>
        <v>295</v>
      </c>
      <c r="H60" s="354">
        <v>0</v>
      </c>
      <c r="I60" s="372">
        <f aca="true" t="shared" si="1" ref="I60:I93">SUM(F60:H60)</f>
        <v>295</v>
      </c>
    </row>
    <row r="61" spans="1:9" ht="12.75" hidden="1">
      <c r="A61" s="353"/>
      <c r="B61" s="353"/>
      <c r="C61" s="353"/>
      <c r="D61" s="937" t="s">
        <v>816</v>
      </c>
      <c r="E61" s="938"/>
      <c r="F61" s="354">
        <v>0</v>
      </c>
      <c r="G61" s="354">
        <v>2000</v>
      </c>
      <c r="H61" s="354">
        <v>0</v>
      </c>
      <c r="I61" s="372">
        <f t="shared" si="1"/>
        <v>2000</v>
      </c>
    </row>
    <row r="62" spans="1:9" ht="12.75" hidden="1">
      <c r="A62" s="344"/>
      <c r="B62" s="344" t="s">
        <v>211</v>
      </c>
      <c r="C62" s="923" t="s">
        <v>212</v>
      </c>
      <c r="D62" s="923"/>
      <c r="E62" s="923"/>
      <c r="F62" s="345">
        <v>0</v>
      </c>
      <c r="G62" s="345">
        <v>15</v>
      </c>
      <c r="H62" s="345">
        <v>0</v>
      </c>
      <c r="I62" s="343">
        <f t="shared" si="1"/>
        <v>15</v>
      </c>
    </row>
    <row r="63" spans="1:9" ht="12.75" hidden="1">
      <c r="A63" s="344"/>
      <c r="B63" s="344" t="s">
        <v>213</v>
      </c>
      <c r="C63" s="943" t="s">
        <v>214</v>
      </c>
      <c r="D63" s="944"/>
      <c r="E63" s="945"/>
      <c r="F63" s="345">
        <f>SUM(F64:F65)</f>
        <v>0</v>
      </c>
      <c r="G63" s="345">
        <f>SUM(G64:G65)</f>
        <v>6394</v>
      </c>
      <c r="H63" s="345">
        <f>SUM(H64:H65)</f>
        <v>0</v>
      </c>
      <c r="I63" s="343">
        <f t="shared" si="1"/>
        <v>6394</v>
      </c>
    </row>
    <row r="64" spans="1:9" ht="27" customHeight="1" hidden="1">
      <c r="A64" s="353"/>
      <c r="B64" s="353"/>
      <c r="C64" s="353"/>
      <c r="D64" s="939" t="s">
        <v>215</v>
      </c>
      <c r="E64" s="940"/>
      <c r="F64" s="354">
        <v>0</v>
      </c>
      <c r="G64" s="354">
        <v>5874</v>
      </c>
      <c r="H64" s="354">
        <v>0</v>
      </c>
      <c r="I64" s="372">
        <f t="shared" si="1"/>
        <v>5874</v>
      </c>
    </row>
    <row r="65" spans="1:9" ht="12.75" hidden="1">
      <c r="A65" s="353"/>
      <c r="B65" s="353"/>
      <c r="C65" s="353"/>
      <c r="D65" s="937" t="s">
        <v>216</v>
      </c>
      <c r="E65" s="938"/>
      <c r="F65" s="354">
        <v>0</v>
      </c>
      <c r="G65" s="354">
        <v>520</v>
      </c>
      <c r="H65" s="354">
        <v>0</v>
      </c>
      <c r="I65" s="372">
        <f t="shared" si="1"/>
        <v>520</v>
      </c>
    </row>
    <row r="66" spans="1:9" ht="12.75" hidden="1">
      <c r="A66" s="344"/>
      <c r="B66" s="344" t="s">
        <v>217</v>
      </c>
      <c r="C66" s="943" t="s">
        <v>218</v>
      </c>
      <c r="D66" s="944"/>
      <c r="E66" s="945"/>
      <c r="F66" s="345">
        <f>SUM(F67)</f>
        <v>0</v>
      </c>
      <c r="G66" s="345">
        <f>SUM(G67)</f>
        <v>95760</v>
      </c>
      <c r="H66" s="345">
        <f>SUM(H67)</f>
        <v>0</v>
      </c>
      <c r="I66" s="343">
        <f t="shared" si="1"/>
        <v>95760</v>
      </c>
    </row>
    <row r="67" spans="1:9" ht="12.75" hidden="1">
      <c r="A67" s="353"/>
      <c r="B67" s="353"/>
      <c r="C67" s="353"/>
      <c r="D67" s="937" t="s">
        <v>219</v>
      </c>
      <c r="E67" s="938"/>
      <c r="F67" s="354">
        <v>0</v>
      </c>
      <c r="G67" s="354">
        <v>95760</v>
      </c>
      <c r="H67" s="354">
        <v>0</v>
      </c>
      <c r="I67" s="372">
        <f t="shared" si="1"/>
        <v>95760</v>
      </c>
    </row>
    <row r="68" spans="1:9" ht="12.75" hidden="1">
      <c r="A68" s="344"/>
      <c r="B68" s="344" t="s">
        <v>220</v>
      </c>
      <c r="C68" s="943" t="s">
        <v>221</v>
      </c>
      <c r="D68" s="944"/>
      <c r="E68" s="945"/>
      <c r="F68" s="345">
        <f>SUM(F69:F69)</f>
        <v>0</v>
      </c>
      <c r="G68" s="345">
        <f>SUM(G69:G69)</f>
        <v>31950</v>
      </c>
      <c r="H68" s="345">
        <f>SUM(H69:H69)</f>
        <v>0</v>
      </c>
      <c r="I68" s="343">
        <f t="shared" si="1"/>
        <v>31950</v>
      </c>
    </row>
    <row r="69" spans="1:9" ht="12.75" hidden="1">
      <c r="A69" s="353"/>
      <c r="B69" s="353"/>
      <c r="C69" s="353"/>
      <c r="D69" s="937" t="s">
        <v>222</v>
      </c>
      <c r="E69" s="938"/>
      <c r="F69" s="354">
        <v>0</v>
      </c>
      <c r="G69" s="354">
        <v>31950</v>
      </c>
      <c r="H69" s="354">
        <v>0</v>
      </c>
      <c r="I69" s="372">
        <f t="shared" si="1"/>
        <v>31950</v>
      </c>
    </row>
    <row r="70" spans="1:9" ht="12.75" hidden="1">
      <c r="A70" s="344"/>
      <c r="B70" s="344" t="s">
        <v>223</v>
      </c>
      <c r="C70" s="923" t="s">
        <v>7</v>
      </c>
      <c r="D70" s="923"/>
      <c r="E70" s="923"/>
      <c r="F70" s="345">
        <v>0</v>
      </c>
      <c r="G70" s="345">
        <v>0</v>
      </c>
      <c r="H70" s="345">
        <v>0</v>
      </c>
      <c r="I70" s="343">
        <f t="shared" si="1"/>
        <v>0</v>
      </c>
    </row>
    <row r="71" spans="1:9" ht="12.75" hidden="1">
      <c r="A71" s="344"/>
      <c r="B71" s="344" t="s">
        <v>224</v>
      </c>
      <c r="C71" s="943" t="s">
        <v>225</v>
      </c>
      <c r="D71" s="944"/>
      <c r="E71" s="945"/>
      <c r="F71" s="345">
        <f>SUM(F72:F74)</f>
        <v>2800</v>
      </c>
      <c r="G71" s="345">
        <f>SUM(G72:G74)</f>
        <v>9206</v>
      </c>
      <c r="H71" s="345">
        <f>SUM(H72:H74)</f>
        <v>0</v>
      </c>
      <c r="I71" s="343">
        <f t="shared" si="1"/>
        <v>12006</v>
      </c>
    </row>
    <row r="72" spans="1:9" ht="12.75" hidden="1">
      <c r="A72" s="353"/>
      <c r="B72" s="353"/>
      <c r="C72" s="353"/>
      <c r="D72" s="937" t="s">
        <v>226</v>
      </c>
      <c r="E72" s="938"/>
      <c r="F72" s="354">
        <v>0</v>
      </c>
      <c r="G72" s="354">
        <v>9206</v>
      </c>
      <c r="H72" s="354">
        <v>0</v>
      </c>
      <c r="I72" s="372">
        <f t="shared" si="1"/>
        <v>9206</v>
      </c>
    </row>
    <row r="73" spans="1:9" ht="12.75" hidden="1">
      <c r="A73" s="353"/>
      <c r="B73" s="353"/>
      <c r="C73" s="353"/>
      <c r="D73" s="937" t="s">
        <v>227</v>
      </c>
      <c r="E73" s="938"/>
      <c r="F73" s="354">
        <v>1500</v>
      </c>
      <c r="G73" s="354">
        <v>0</v>
      </c>
      <c r="H73" s="354">
        <v>0</v>
      </c>
      <c r="I73" s="372">
        <f t="shared" si="1"/>
        <v>1500</v>
      </c>
    </row>
    <row r="74" spans="1:9" ht="12.75" hidden="1">
      <c r="A74" s="353"/>
      <c r="B74" s="353"/>
      <c r="C74" s="353"/>
      <c r="D74" s="937" t="s">
        <v>228</v>
      </c>
      <c r="E74" s="938"/>
      <c r="F74" s="354">
        <v>1300</v>
      </c>
      <c r="G74" s="354">
        <v>0</v>
      </c>
      <c r="H74" s="354">
        <v>0</v>
      </c>
      <c r="I74" s="372">
        <f t="shared" si="1"/>
        <v>1300</v>
      </c>
    </row>
    <row r="75" spans="1:9" s="369" customFormat="1" ht="12.75">
      <c r="A75" s="367" t="s">
        <v>229</v>
      </c>
      <c r="B75" s="949" t="s">
        <v>230</v>
      </c>
      <c r="C75" s="950"/>
      <c r="D75" s="950"/>
      <c r="E75" s="951"/>
      <c r="F75" s="368">
        <f>SUM(F76+F77+F78+F79+F80+F81+F92+F93+F94+F96+F107)</f>
        <v>239634</v>
      </c>
      <c r="G75" s="368">
        <f>SUM(G76+G77+G78+G79+G80+G81+G92+G93+G94+G96+G107)</f>
        <v>3730</v>
      </c>
      <c r="H75" s="368">
        <f>SUM(H76+H77+H78+H79+H80+H81+H92+H93+H94+H96+H107)</f>
        <v>9755</v>
      </c>
      <c r="I75" s="368">
        <f t="shared" si="1"/>
        <v>253119</v>
      </c>
    </row>
    <row r="76" spans="1:9" ht="12.75">
      <c r="A76" s="353"/>
      <c r="B76" s="353"/>
      <c r="C76" s="353" t="s">
        <v>231</v>
      </c>
      <c r="D76" s="353" t="s">
        <v>232</v>
      </c>
      <c r="E76" s="353"/>
      <c r="F76" s="354">
        <v>0</v>
      </c>
      <c r="G76" s="354">
        <v>0</v>
      </c>
      <c r="H76" s="354">
        <v>0</v>
      </c>
      <c r="I76" s="372">
        <f t="shared" si="1"/>
        <v>0</v>
      </c>
    </row>
    <row r="77" spans="1:9" ht="12.75">
      <c r="A77" s="353"/>
      <c r="B77" s="353"/>
      <c r="C77" s="353" t="s">
        <v>233</v>
      </c>
      <c r="D77" s="353" t="s">
        <v>234</v>
      </c>
      <c r="E77" s="353"/>
      <c r="F77" s="354">
        <f>20513+256</f>
        <v>20769</v>
      </c>
      <c r="G77" s="354">
        <f>3610+120</f>
        <v>3730</v>
      </c>
      <c r="H77" s="354">
        <v>9755</v>
      </c>
      <c r="I77" s="372">
        <f t="shared" si="1"/>
        <v>34254</v>
      </c>
    </row>
    <row r="78" spans="1:9" ht="24" customHeight="1">
      <c r="A78" s="353"/>
      <c r="B78" s="353"/>
      <c r="C78" s="353" t="s">
        <v>235</v>
      </c>
      <c r="D78" s="941" t="s">
        <v>236</v>
      </c>
      <c r="E78" s="942"/>
      <c r="F78" s="354">
        <v>0</v>
      </c>
      <c r="G78" s="354">
        <v>0</v>
      </c>
      <c r="H78" s="354">
        <v>0</v>
      </c>
      <c r="I78" s="372">
        <f t="shared" si="1"/>
        <v>0</v>
      </c>
    </row>
    <row r="79" spans="1:9" ht="26.25" customHeight="1">
      <c r="A79" s="353"/>
      <c r="B79" s="353"/>
      <c r="C79" s="353" t="s">
        <v>237</v>
      </c>
      <c r="D79" s="941" t="s">
        <v>238</v>
      </c>
      <c r="E79" s="942"/>
      <c r="F79" s="354">
        <v>1473</v>
      </c>
      <c r="G79" s="354">
        <v>0</v>
      </c>
      <c r="H79" s="354">
        <v>0</v>
      </c>
      <c r="I79" s="372">
        <f t="shared" si="1"/>
        <v>1473</v>
      </c>
    </row>
    <row r="80" spans="1:9" ht="24" customHeight="1">
      <c r="A80" s="353"/>
      <c r="B80" s="353"/>
      <c r="C80" s="353" t="s">
        <v>259</v>
      </c>
      <c r="D80" s="941" t="s">
        <v>260</v>
      </c>
      <c r="E80" s="942"/>
      <c r="F80" s="354">
        <v>0</v>
      </c>
      <c r="G80" s="354">
        <v>0</v>
      </c>
      <c r="H80" s="354">
        <v>0</v>
      </c>
      <c r="I80" s="372">
        <f t="shared" si="1"/>
        <v>0</v>
      </c>
    </row>
    <row r="81" spans="1:9" ht="12.75">
      <c r="A81" s="353"/>
      <c r="B81" s="353"/>
      <c r="C81" s="353" t="s">
        <v>261</v>
      </c>
      <c r="D81" s="941" t="s">
        <v>262</v>
      </c>
      <c r="E81" s="942"/>
      <c r="F81" s="354">
        <f>SUM(F82:F91)+92</f>
        <v>469</v>
      </c>
      <c r="G81" s="354">
        <f>SUM(G82:G91)</f>
        <v>0</v>
      </c>
      <c r="H81" s="354">
        <f>SUM(H82:H91)</f>
        <v>0</v>
      </c>
      <c r="I81" s="372">
        <f t="shared" si="1"/>
        <v>469</v>
      </c>
    </row>
    <row r="82" spans="1:9" ht="12.75" hidden="1">
      <c r="A82" s="356"/>
      <c r="B82" s="356"/>
      <c r="C82" s="355" t="s">
        <v>1029</v>
      </c>
      <c r="D82" s="355" t="s">
        <v>239</v>
      </c>
      <c r="E82" s="355" t="s">
        <v>240</v>
      </c>
      <c r="F82" s="357">
        <v>0</v>
      </c>
      <c r="G82" s="357">
        <v>0</v>
      </c>
      <c r="H82" s="357">
        <v>0</v>
      </c>
      <c r="I82" s="359">
        <f t="shared" si="1"/>
        <v>0</v>
      </c>
    </row>
    <row r="83" spans="1:9" ht="12.75" hidden="1">
      <c r="A83" s="356"/>
      <c r="B83" s="356"/>
      <c r="C83" s="355"/>
      <c r="D83" s="355" t="s">
        <v>241</v>
      </c>
      <c r="E83" s="355" t="s">
        <v>242</v>
      </c>
      <c r="F83" s="357">
        <v>0</v>
      </c>
      <c r="G83" s="357">
        <v>0</v>
      </c>
      <c r="H83" s="357">
        <v>0</v>
      </c>
      <c r="I83" s="359">
        <f t="shared" si="1"/>
        <v>0</v>
      </c>
    </row>
    <row r="84" spans="1:9" ht="12.75" hidden="1">
      <c r="A84" s="356"/>
      <c r="B84" s="356"/>
      <c r="C84" s="355"/>
      <c r="D84" s="355" t="s">
        <v>243</v>
      </c>
      <c r="E84" s="355" t="s">
        <v>244</v>
      </c>
      <c r="F84" s="357">
        <v>0</v>
      </c>
      <c r="G84" s="357">
        <v>0</v>
      </c>
      <c r="H84" s="357">
        <v>0</v>
      </c>
      <c r="I84" s="359">
        <f t="shared" si="1"/>
        <v>0</v>
      </c>
    </row>
    <row r="85" spans="1:9" ht="12.75" hidden="1">
      <c r="A85" s="356"/>
      <c r="B85" s="356"/>
      <c r="C85" s="355"/>
      <c r="D85" s="355" t="s">
        <v>245</v>
      </c>
      <c r="E85" s="355" t="s">
        <v>246</v>
      </c>
      <c r="F85" s="357">
        <v>0</v>
      </c>
      <c r="G85" s="357">
        <v>0</v>
      </c>
      <c r="H85" s="357">
        <v>0</v>
      </c>
      <c r="I85" s="359">
        <f t="shared" si="1"/>
        <v>0</v>
      </c>
    </row>
    <row r="86" spans="1:9" ht="12.75" hidden="1">
      <c r="A86" s="356"/>
      <c r="B86" s="356"/>
      <c r="C86" s="355"/>
      <c r="D86" s="355" t="s">
        <v>247</v>
      </c>
      <c r="E86" s="355" t="s">
        <v>248</v>
      </c>
      <c r="F86" s="357">
        <v>0</v>
      </c>
      <c r="G86" s="357">
        <v>0</v>
      </c>
      <c r="H86" s="357">
        <v>0</v>
      </c>
      <c r="I86" s="359">
        <f t="shared" si="1"/>
        <v>0</v>
      </c>
    </row>
    <row r="87" spans="1:9" ht="12.75" hidden="1">
      <c r="A87" s="356"/>
      <c r="B87" s="356"/>
      <c r="C87" s="355"/>
      <c r="D87" s="355" t="s">
        <v>249</v>
      </c>
      <c r="E87" s="355" t="s">
        <v>250</v>
      </c>
      <c r="F87" s="357">
        <v>0</v>
      </c>
      <c r="G87" s="357">
        <v>0</v>
      </c>
      <c r="H87" s="357">
        <v>0</v>
      </c>
      <c r="I87" s="359">
        <f t="shared" si="1"/>
        <v>0</v>
      </c>
    </row>
    <row r="88" spans="1:9" ht="12.75" hidden="1">
      <c r="A88" s="356"/>
      <c r="B88" s="356"/>
      <c r="C88" s="355"/>
      <c r="D88" s="355" t="s">
        <v>251</v>
      </c>
      <c r="E88" s="355" t="s">
        <v>252</v>
      </c>
      <c r="F88" s="357">
        <v>280</v>
      </c>
      <c r="G88" s="357">
        <v>0</v>
      </c>
      <c r="H88" s="357">
        <v>0</v>
      </c>
      <c r="I88" s="359">
        <f t="shared" si="1"/>
        <v>280</v>
      </c>
    </row>
    <row r="89" spans="1:9" ht="12.75" hidden="1">
      <c r="A89" s="356"/>
      <c r="B89" s="356"/>
      <c r="C89" s="355"/>
      <c r="D89" s="355" t="s">
        <v>253</v>
      </c>
      <c r="E89" s="355" t="s">
        <v>254</v>
      </c>
      <c r="F89" s="357">
        <v>97</v>
      </c>
      <c r="G89" s="357">
        <v>0</v>
      </c>
      <c r="H89" s="357">
        <v>0</v>
      </c>
      <c r="I89" s="359">
        <f t="shared" si="1"/>
        <v>97</v>
      </c>
    </row>
    <row r="90" spans="1:9" ht="12.75" hidden="1">
      <c r="A90" s="356"/>
      <c r="B90" s="356"/>
      <c r="C90" s="355"/>
      <c r="D90" s="355" t="s">
        <v>255</v>
      </c>
      <c r="E90" s="355" t="s">
        <v>256</v>
      </c>
      <c r="F90" s="357">
        <v>0</v>
      </c>
      <c r="G90" s="357">
        <v>0</v>
      </c>
      <c r="H90" s="357">
        <v>0</v>
      </c>
      <c r="I90" s="359">
        <f t="shared" si="1"/>
        <v>0</v>
      </c>
    </row>
    <row r="91" spans="1:9" ht="12.75" hidden="1">
      <c r="A91" s="356"/>
      <c r="B91" s="356"/>
      <c r="C91" s="355"/>
      <c r="D91" s="355" t="s">
        <v>257</v>
      </c>
      <c r="E91" s="355" t="s">
        <v>258</v>
      </c>
      <c r="F91" s="357">
        <v>0</v>
      </c>
      <c r="G91" s="357">
        <v>0</v>
      </c>
      <c r="H91" s="357">
        <v>0</v>
      </c>
      <c r="I91" s="359">
        <f t="shared" si="1"/>
        <v>0</v>
      </c>
    </row>
    <row r="92" spans="1:9" ht="25.5" customHeight="1">
      <c r="A92" s="353"/>
      <c r="B92" s="353"/>
      <c r="C92" s="353" t="s">
        <v>263</v>
      </c>
      <c r="D92" s="941" t="s">
        <v>264</v>
      </c>
      <c r="E92" s="942"/>
      <c r="F92" s="354">
        <v>0</v>
      </c>
      <c r="G92" s="354">
        <v>0</v>
      </c>
      <c r="H92" s="354">
        <v>0</v>
      </c>
      <c r="I92" s="372">
        <f t="shared" si="1"/>
        <v>0</v>
      </c>
    </row>
    <row r="93" spans="1:9" ht="24" customHeight="1">
      <c r="A93" s="353"/>
      <c r="B93" s="353"/>
      <c r="C93" s="353" t="s">
        <v>265</v>
      </c>
      <c r="D93" s="941" t="s">
        <v>266</v>
      </c>
      <c r="E93" s="942"/>
      <c r="F93" s="354">
        <f>1945+10000</f>
        <v>11945</v>
      </c>
      <c r="G93" s="354">
        <v>0</v>
      </c>
      <c r="H93" s="354">
        <v>0</v>
      </c>
      <c r="I93" s="372">
        <f t="shared" si="1"/>
        <v>11945</v>
      </c>
    </row>
    <row r="94" spans="1:9" ht="12.75">
      <c r="A94" s="353"/>
      <c r="B94" s="353"/>
      <c r="C94" s="353" t="s">
        <v>277</v>
      </c>
      <c r="D94" s="941" t="s">
        <v>278</v>
      </c>
      <c r="E94" s="942"/>
      <c r="F94" s="354">
        <v>0</v>
      </c>
      <c r="G94" s="354">
        <v>0</v>
      </c>
      <c r="H94" s="354">
        <v>0</v>
      </c>
      <c r="I94" s="372">
        <f aca="true" t="shared" si="2" ref="I94:I131">SUM(F94:H94)</f>
        <v>0</v>
      </c>
    </row>
    <row r="95" spans="1:9" ht="12.75">
      <c r="A95" s="353"/>
      <c r="B95" s="353"/>
      <c r="C95" s="353" t="s">
        <v>279</v>
      </c>
      <c r="D95" s="941" t="s">
        <v>280</v>
      </c>
      <c r="E95" s="942"/>
      <c r="F95" s="354">
        <v>0</v>
      </c>
      <c r="G95" s="354">
        <v>0</v>
      </c>
      <c r="H95" s="354">
        <v>0</v>
      </c>
      <c r="I95" s="372">
        <f t="shared" si="2"/>
        <v>0</v>
      </c>
    </row>
    <row r="96" spans="1:9" ht="12.75">
      <c r="A96" s="353"/>
      <c r="B96" s="353"/>
      <c r="C96" s="353" t="s">
        <v>281</v>
      </c>
      <c r="D96" s="941" t="s">
        <v>282</v>
      </c>
      <c r="E96" s="942"/>
      <c r="F96" s="354">
        <f>SUM(F97:F106)+4500-500+400+5872+1640+6890+42305-42305+1061-1061-100</f>
        <v>193967</v>
      </c>
      <c r="G96" s="354">
        <f>SUM(G97:G106)</f>
        <v>0</v>
      </c>
      <c r="H96" s="354">
        <f>SUM(H97:H106)</f>
        <v>0</v>
      </c>
      <c r="I96" s="372">
        <f t="shared" si="2"/>
        <v>193967</v>
      </c>
    </row>
    <row r="97" spans="1:9" ht="12.75" hidden="1">
      <c r="A97" s="358"/>
      <c r="B97" s="358"/>
      <c r="C97" s="355" t="s">
        <v>1029</v>
      </c>
      <c r="D97" s="355" t="s">
        <v>239</v>
      </c>
      <c r="E97" s="355" t="s">
        <v>267</v>
      </c>
      <c r="F97" s="357">
        <v>0</v>
      </c>
      <c r="G97" s="357">
        <v>0</v>
      </c>
      <c r="H97" s="357">
        <v>0</v>
      </c>
      <c r="I97" s="359">
        <f t="shared" si="2"/>
        <v>0</v>
      </c>
    </row>
    <row r="98" spans="1:9" ht="12.75" hidden="1">
      <c r="A98" s="358"/>
      <c r="B98" s="358"/>
      <c r="C98" s="355"/>
      <c r="D98" s="355" t="s">
        <v>241</v>
      </c>
      <c r="E98" s="355" t="s">
        <v>268</v>
      </c>
      <c r="F98" s="357">
        <v>0</v>
      </c>
      <c r="G98" s="357">
        <v>0</v>
      </c>
      <c r="H98" s="357">
        <v>0</v>
      </c>
      <c r="I98" s="359">
        <f t="shared" si="2"/>
        <v>0</v>
      </c>
    </row>
    <row r="99" spans="1:9" ht="12.75" hidden="1">
      <c r="A99" s="358"/>
      <c r="B99" s="358"/>
      <c r="C99" s="355"/>
      <c r="D99" s="355" t="s">
        <v>243</v>
      </c>
      <c r="E99" s="355" t="s">
        <v>269</v>
      </c>
      <c r="F99" s="357">
        <v>0</v>
      </c>
      <c r="G99" s="357">
        <v>0</v>
      </c>
      <c r="H99" s="357">
        <v>0</v>
      </c>
      <c r="I99" s="359">
        <f t="shared" si="2"/>
        <v>0</v>
      </c>
    </row>
    <row r="100" spans="1:9" ht="12.75" hidden="1">
      <c r="A100" s="358"/>
      <c r="B100" s="358"/>
      <c r="C100" s="355"/>
      <c r="D100" s="355" t="s">
        <v>245</v>
      </c>
      <c r="E100" s="355" t="s">
        <v>270</v>
      </c>
      <c r="F100" s="357">
        <v>0</v>
      </c>
      <c r="G100" s="357">
        <v>0</v>
      </c>
      <c r="H100" s="357">
        <v>0</v>
      </c>
      <c r="I100" s="359">
        <f t="shared" si="2"/>
        <v>0</v>
      </c>
    </row>
    <row r="101" spans="1:9" ht="12.75" hidden="1">
      <c r="A101" s="358"/>
      <c r="B101" s="358"/>
      <c r="C101" s="355"/>
      <c r="D101" s="355" t="s">
        <v>247</v>
      </c>
      <c r="E101" s="355" t="s">
        <v>271</v>
      </c>
      <c r="F101" s="357">
        <v>0</v>
      </c>
      <c r="G101" s="357">
        <v>0</v>
      </c>
      <c r="H101" s="357">
        <v>0</v>
      </c>
      <c r="I101" s="359">
        <f t="shared" si="2"/>
        <v>0</v>
      </c>
    </row>
    <row r="102" spans="1:9" ht="12.75" hidden="1">
      <c r="A102" s="356"/>
      <c r="B102" s="356"/>
      <c r="C102" s="355"/>
      <c r="D102" s="355" t="s">
        <v>249</v>
      </c>
      <c r="E102" s="355" t="s">
        <v>272</v>
      </c>
      <c r="F102" s="357">
        <v>175165</v>
      </c>
      <c r="G102" s="357">
        <v>0</v>
      </c>
      <c r="H102" s="357">
        <v>0</v>
      </c>
      <c r="I102" s="359">
        <f>SUM(F102:H102)</f>
        <v>175165</v>
      </c>
    </row>
    <row r="103" spans="1:9" ht="12.75" hidden="1">
      <c r="A103" s="356"/>
      <c r="B103" s="356"/>
      <c r="C103" s="355"/>
      <c r="D103" s="355" t="s">
        <v>251</v>
      </c>
      <c r="E103" s="355" t="s">
        <v>273</v>
      </c>
      <c r="F103" s="357">
        <v>100</v>
      </c>
      <c r="G103" s="357">
        <v>0</v>
      </c>
      <c r="H103" s="357">
        <v>0</v>
      </c>
      <c r="I103" s="359">
        <f t="shared" si="2"/>
        <v>100</v>
      </c>
    </row>
    <row r="104" spans="1:9" ht="12.75" hidden="1">
      <c r="A104" s="358"/>
      <c r="B104" s="358"/>
      <c r="C104" s="355"/>
      <c r="D104" s="355" t="s">
        <v>253</v>
      </c>
      <c r="E104" s="355" t="s">
        <v>274</v>
      </c>
      <c r="F104" s="357">
        <v>0</v>
      </c>
      <c r="G104" s="357">
        <v>0</v>
      </c>
      <c r="H104" s="357">
        <v>0</v>
      </c>
      <c r="I104" s="359">
        <f t="shared" si="2"/>
        <v>0</v>
      </c>
    </row>
    <row r="105" spans="1:9" ht="12.75" hidden="1">
      <c r="A105" s="358"/>
      <c r="B105" s="358"/>
      <c r="C105" s="355"/>
      <c r="D105" s="355" t="s">
        <v>255</v>
      </c>
      <c r="E105" s="355" t="s">
        <v>275</v>
      </c>
      <c r="F105" s="357">
        <v>0</v>
      </c>
      <c r="G105" s="357">
        <v>0</v>
      </c>
      <c r="H105" s="357">
        <v>0</v>
      </c>
      <c r="I105" s="359">
        <f t="shared" si="2"/>
        <v>0</v>
      </c>
    </row>
    <row r="106" spans="1:9" ht="12.75" hidden="1">
      <c r="A106" s="358"/>
      <c r="B106" s="358"/>
      <c r="C106" s="355"/>
      <c r="D106" s="355" t="s">
        <v>257</v>
      </c>
      <c r="E106" s="355" t="s">
        <v>276</v>
      </c>
      <c r="F106" s="357">
        <v>0</v>
      </c>
      <c r="G106" s="357">
        <v>0</v>
      </c>
      <c r="H106" s="357">
        <v>0</v>
      </c>
      <c r="I106" s="359">
        <f t="shared" si="2"/>
        <v>0</v>
      </c>
    </row>
    <row r="107" spans="1:9" ht="12.75">
      <c r="A107" s="358"/>
      <c r="B107" s="358"/>
      <c r="C107" s="353" t="s">
        <v>283</v>
      </c>
      <c r="D107" s="941" t="s">
        <v>284</v>
      </c>
      <c r="E107" s="942"/>
      <c r="F107" s="354">
        <f>SUM(F108:F113)</f>
        <v>11011</v>
      </c>
      <c r="G107" s="354">
        <f>SUM(G108:G113)</f>
        <v>0</v>
      </c>
      <c r="H107" s="354">
        <f>SUM(H108:H113)</f>
        <v>0</v>
      </c>
      <c r="I107" s="372">
        <f t="shared" si="2"/>
        <v>11011</v>
      </c>
    </row>
    <row r="108" spans="1:9" ht="12.75">
      <c r="A108" s="356"/>
      <c r="B108" s="356"/>
      <c r="C108" s="355"/>
      <c r="D108" s="360"/>
      <c r="E108" s="361" t="s">
        <v>691</v>
      </c>
      <c r="F108" s="357">
        <v>1000</v>
      </c>
      <c r="G108" s="357">
        <v>0</v>
      </c>
      <c r="H108" s="357">
        <v>0</v>
      </c>
      <c r="I108" s="359">
        <f t="shared" si="2"/>
        <v>1000</v>
      </c>
    </row>
    <row r="109" spans="1:9" ht="12.75">
      <c r="A109" s="356"/>
      <c r="B109" s="356"/>
      <c r="C109" s="355"/>
      <c r="D109" s="360"/>
      <c r="E109" s="361" t="s">
        <v>285</v>
      </c>
      <c r="F109" s="357">
        <f>500+2111</f>
        <v>2611</v>
      </c>
      <c r="G109" s="357">
        <v>0</v>
      </c>
      <c r="H109" s="357">
        <v>0</v>
      </c>
      <c r="I109" s="359">
        <f t="shared" si="2"/>
        <v>2611</v>
      </c>
    </row>
    <row r="110" spans="1:9" ht="12.75">
      <c r="A110" s="356"/>
      <c r="B110" s="356"/>
      <c r="C110" s="355"/>
      <c r="D110" s="360"/>
      <c r="E110" s="361" t="s">
        <v>885</v>
      </c>
      <c r="F110" s="357">
        <f>1596-1830+3134</f>
        <v>2900</v>
      </c>
      <c r="G110" s="357">
        <v>0</v>
      </c>
      <c r="H110" s="357">
        <v>0</v>
      </c>
      <c r="I110" s="359">
        <f t="shared" si="2"/>
        <v>2900</v>
      </c>
    </row>
    <row r="111" spans="1:9" ht="12.75">
      <c r="A111" s="356"/>
      <c r="B111" s="356"/>
      <c r="C111" s="355"/>
      <c r="D111" s="360"/>
      <c r="E111" s="361" t="s">
        <v>734</v>
      </c>
      <c r="F111" s="357">
        <f>1000-278-114-92-1112-4500+13365+120-307-96-451-680-3000-3855</f>
        <v>0</v>
      </c>
      <c r="G111" s="357">
        <v>0</v>
      </c>
      <c r="H111" s="357">
        <v>0</v>
      </c>
      <c r="I111" s="359">
        <f t="shared" si="2"/>
        <v>0</v>
      </c>
    </row>
    <row r="112" spans="1:9" ht="12.75">
      <c r="A112" s="356"/>
      <c r="B112" s="356"/>
      <c r="C112" s="355"/>
      <c r="D112" s="360"/>
      <c r="E112" s="361" t="s">
        <v>286</v>
      </c>
      <c r="F112" s="357">
        <f>6000+3000-4500</f>
        <v>4500</v>
      </c>
      <c r="G112" s="357">
        <v>0</v>
      </c>
      <c r="H112" s="357">
        <v>0</v>
      </c>
      <c r="I112" s="359">
        <f t="shared" si="2"/>
        <v>4500</v>
      </c>
    </row>
    <row r="113" spans="1:9" ht="12.75">
      <c r="A113" s="356"/>
      <c r="B113" s="356"/>
      <c r="C113" s="355"/>
      <c r="D113" s="360"/>
      <c r="E113" s="361" t="s">
        <v>886</v>
      </c>
      <c r="F113" s="357">
        <f>105238-20513-16503-3030-3155-575-10-7145-14359-214-283-3000-35509-942</f>
        <v>0</v>
      </c>
      <c r="G113" s="357">
        <f>3984-254-120-3610</f>
        <v>0</v>
      </c>
      <c r="H113" s="357">
        <f>10018-263-9755</f>
        <v>0</v>
      </c>
      <c r="I113" s="359">
        <f t="shared" si="2"/>
        <v>0</v>
      </c>
    </row>
    <row r="114" spans="1:9" s="369" customFormat="1" ht="12.75">
      <c r="A114" s="367" t="s">
        <v>192</v>
      </c>
      <c r="B114" s="949" t="s">
        <v>614</v>
      </c>
      <c r="C114" s="950"/>
      <c r="D114" s="950"/>
      <c r="E114" s="951"/>
      <c r="F114" s="368">
        <f>SUM(F115:F121)+1528+532+481-317+96+9718+2695+3000+80-7620-4642-70-500+2507+295-295</f>
        <v>4110421</v>
      </c>
      <c r="G114" s="368">
        <f>SUM(G115:G121)</f>
        <v>254</v>
      </c>
      <c r="H114" s="368">
        <f>SUM(H115:H121)</f>
        <v>0</v>
      </c>
      <c r="I114" s="368">
        <f t="shared" si="2"/>
        <v>4110675</v>
      </c>
    </row>
    <row r="115" spans="1:9" ht="12.75" hidden="1">
      <c r="A115" s="344"/>
      <c r="B115" s="344" t="s">
        <v>287</v>
      </c>
      <c r="C115" s="923" t="s">
        <v>288</v>
      </c>
      <c r="D115" s="923"/>
      <c r="E115" s="923"/>
      <c r="F115" s="345">
        <v>1575</v>
      </c>
      <c r="G115" s="345">
        <v>0</v>
      </c>
      <c r="H115" s="345">
        <v>0</v>
      </c>
      <c r="I115" s="343">
        <f t="shared" si="2"/>
        <v>1575</v>
      </c>
    </row>
    <row r="116" spans="1:9" ht="12.75" hidden="1">
      <c r="A116" s="344"/>
      <c r="B116" s="344" t="s">
        <v>289</v>
      </c>
      <c r="C116" s="923" t="s">
        <v>290</v>
      </c>
      <c r="D116" s="923"/>
      <c r="E116" s="923"/>
      <c r="F116" s="345">
        <f>3655+3619190</f>
        <v>3622845</v>
      </c>
      <c r="G116" s="345">
        <v>0</v>
      </c>
      <c r="H116" s="345">
        <v>0</v>
      </c>
      <c r="I116" s="343">
        <f t="shared" si="2"/>
        <v>3622845</v>
      </c>
    </row>
    <row r="117" spans="1:9" ht="12.75" hidden="1">
      <c r="A117" s="344" t="s">
        <v>291</v>
      </c>
      <c r="B117" s="344" t="s">
        <v>292</v>
      </c>
      <c r="C117" s="923" t="s">
        <v>293</v>
      </c>
      <c r="D117" s="923"/>
      <c r="E117" s="923"/>
      <c r="F117" s="345">
        <v>1811</v>
      </c>
      <c r="G117" s="345">
        <v>0</v>
      </c>
      <c r="H117" s="345">
        <v>0</v>
      </c>
      <c r="I117" s="343">
        <f t="shared" si="2"/>
        <v>1811</v>
      </c>
    </row>
    <row r="118" spans="1:9" ht="12.75" hidden="1">
      <c r="A118" s="344"/>
      <c r="B118" s="344" t="s">
        <v>294</v>
      </c>
      <c r="C118" s="923" t="s">
        <v>295</v>
      </c>
      <c r="D118" s="923"/>
      <c r="E118" s="923"/>
      <c r="F118" s="345">
        <f>371851+1568</f>
        <v>373419</v>
      </c>
      <c r="G118" s="345">
        <v>200</v>
      </c>
      <c r="H118" s="345">
        <f>120-120</f>
        <v>0</v>
      </c>
      <c r="I118" s="343">
        <f t="shared" si="2"/>
        <v>373619</v>
      </c>
    </row>
    <row r="119" spans="1:9" ht="12.75" hidden="1">
      <c r="A119" s="344"/>
      <c r="B119" s="344" t="s">
        <v>296</v>
      </c>
      <c r="C119" s="923" t="s">
        <v>297</v>
      </c>
      <c r="D119" s="923"/>
      <c r="E119" s="923"/>
      <c r="F119" s="345">
        <v>1000</v>
      </c>
      <c r="G119" s="345">
        <v>0</v>
      </c>
      <c r="H119" s="345">
        <v>0</v>
      </c>
      <c r="I119" s="343">
        <f t="shared" si="2"/>
        <v>1000</v>
      </c>
    </row>
    <row r="120" spans="1:9" ht="12.75" hidden="1">
      <c r="A120" s="344"/>
      <c r="B120" s="344" t="s">
        <v>298</v>
      </c>
      <c r="C120" s="923" t="s">
        <v>299</v>
      </c>
      <c r="D120" s="923"/>
      <c r="E120" s="923"/>
      <c r="F120" s="345">
        <v>0</v>
      </c>
      <c r="G120" s="345">
        <v>0</v>
      </c>
      <c r="H120" s="345">
        <v>0</v>
      </c>
      <c r="I120" s="343">
        <f t="shared" si="2"/>
        <v>0</v>
      </c>
    </row>
    <row r="121" spans="1:9" ht="12.75" hidden="1">
      <c r="A121" s="344"/>
      <c r="B121" s="344" t="s">
        <v>300</v>
      </c>
      <c r="C121" s="923" t="s">
        <v>301</v>
      </c>
      <c r="D121" s="923"/>
      <c r="E121" s="923"/>
      <c r="F121" s="345">
        <v>102283</v>
      </c>
      <c r="G121" s="345">
        <v>54</v>
      </c>
      <c r="H121" s="345">
        <f>32-32</f>
        <v>0</v>
      </c>
      <c r="I121" s="343">
        <f t="shared" si="2"/>
        <v>102337</v>
      </c>
    </row>
    <row r="122" spans="1:9" s="369" customFormat="1" ht="12.75">
      <c r="A122" s="367" t="s">
        <v>194</v>
      </c>
      <c r="B122" s="949" t="s">
        <v>193</v>
      </c>
      <c r="C122" s="950"/>
      <c r="D122" s="950"/>
      <c r="E122" s="951"/>
      <c r="F122" s="368">
        <f>SUM(F123:F126)+7487</f>
        <v>23218</v>
      </c>
      <c r="G122" s="368">
        <f>SUM(G123:G126)</f>
        <v>0</v>
      </c>
      <c r="H122" s="368">
        <f>SUM(H123:H126)</f>
        <v>0</v>
      </c>
      <c r="I122" s="368">
        <f t="shared" si="2"/>
        <v>23218</v>
      </c>
    </row>
    <row r="123" spans="1:9" ht="12.75" hidden="1">
      <c r="A123" s="344"/>
      <c r="B123" s="344" t="s">
        <v>302</v>
      </c>
      <c r="C123" s="923" t="s">
        <v>303</v>
      </c>
      <c r="D123" s="923"/>
      <c r="E123" s="923"/>
      <c r="F123" s="345">
        <v>15731</v>
      </c>
      <c r="G123" s="345">
        <v>0</v>
      </c>
      <c r="H123" s="345">
        <v>0</v>
      </c>
      <c r="I123" s="343">
        <f t="shared" si="2"/>
        <v>15731</v>
      </c>
    </row>
    <row r="124" spans="1:9" ht="12.75" hidden="1">
      <c r="A124" s="344"/>
      <c r="B124" s="344" t="s">
        <v>304</v>
      </c>
      <c r="C124" s="923" t="s">
        <v>305</v>
      </c>
      <c r="D124" s="923"/>
      <c r="E124" s="923"/>
      <c r="F124" s="345">
        <v>0</v>
      </c>
      <c r="G124" s="345">
        <v>0</v>
      </c>
      <c r="H124" s="345">
        <v>0</v>
      </c>
      <c r="I124" s="343">
        <f t="shared" si="2"/>
        <v>0</v>
      </c>
    </row>
    <row r="125" spans="1:9" ht="12.75" hidden="1">
      <c r="A125" s="344" t="s">
        <v>291</v>
      </c>
      <c r="B125" s="344" t="s">
        <v>306</v>
      </c>
      <c r="C125" s="923" t="s">
        <v>307</v>
      </c>
      <c r="D125" s="923"/>
      <c r="E125" s="923"/>
      <c r="F125" s="345">
        <v>0</v>
      </c>
      <c r="G125" s="345">
        <v>0</v>
      </c>
      <c r="H125" s="345">
        <v>0</v>
      </c>
      <c r="I125" s="343">
        <f t="shared" si="2"/>
        <v>0</v>
      </c>
    </row>
    <row r="126" spans="1:9" ht="12.75" hidden="1">
      <c r="A126" s="344"/>
      <c r="B126" s="344" t="s">
        <v>308</v>
      </c>
      <c r="C126" s="923" t="s">
        <v>309</v>
      </c>
      <c r="D126" s="923"/>
      <c r="E126" s="923"/>
      <c r="F126" s="345">
        <v>0</v>
      </c>
      <c r="G126" s="345">
        <v>0</v>
      </c>
      <c r="H126" s="345">
        <v>0</v>
      </c>
      <c r="I126" s="343">
        <f t="shared" si="2"/>
        <v>0</v>
      </c>
    </row>
    <row r="127" spans="1:9" s="369" customFormat="1" ht="12.75">
      <c r="A127" s="367" t="s">
        <v>196</v>
      </c>
      <c r="B127" s="949" t="s">
        <v>195</v>
      </c>
      <c r="C127" s="950"/>
      <c r="D127" s="950"/>
      <c r="E127" s="951"/>
      <c r="F127" s="368">
        <f>SUM(F128+F129+F130+F131++F132+F133+F134+F135)+278+156+45+500</f>
        <v>1454</v>
      </c>
      <c r="G127" s="368">
        <f>SUM(G128+G129+G130+G131++G132+G133+G134+G135)</f>
        <v>0</v>
      </c>
      <c r="H127" s="368">
        <f>SUM(H128+H129+H130+H131++H132+H133+H134+H135)</f>
        <v>0</v>
      </c>
      <c r="I127" s="368">
        <f t="shared" si="2"/>
        <v>1454</v>
      </c>
    </row>
    <row r="128" spans="1:9" ht="12.75" hidden="1">
      <c r="A128" s="344"/>
      <c r="B128" s="344" t="s">
        <v>310</v>
      </c>
      <c r="C128" s="923" t="s">
        <v>311</v>
      </c>
      <c r="D128" s="923"/>
      <c r="E128" s="923"/>
      <c r="F128" s="345">
        <v>0</v>
      </c>
      <c r="G128" s="345">
        <v>0</v>
      </c>
      <c r="H128" s="345">
        <v>0</v>
      </c>
      <c r="I128" s="343">
        <f t="shared" si="2"/>
        <v>0</v>
      </c>
    </row>
    <row r="129" spans="1:9" ht="12.75" hidden="1">
      <c r="A129" s="344"/>
      <c r="B129" s="344" t="s">
        <v>312</v>
      </c>
      <c r="C129" s="923" t="s">
        <v>313</v>
      </c>
      <c r="D129" s="923"/>
      <c r="E129" s="923"/>
      <c r="F129" s="345">
        <v>0</v>
      </c>
      <c r="G129" s="345">
        <v>0</v>
      </c>
      <c r="H129" s="345">
        <v>0</v>
      </c>
      <c r="I129" s="343">
        <f t="shared" si="2"/>
        <v>0</v>
      </c>
    </row>
    <row r="130" spans="1:9" ht="12.75" hidden="1">
      <c r="A130" s="344" t="s">
        <v>291</v>
      </c>
      <c r="B130" s="344" t="s">
        <v>314</v>
      </c>
      <c r="C130" s="923" t="s">
        <v>315</v>
      </c>
      <c r="D130" s="923"/>
      <c r="E130" s="923"/>
      <c r="F130" s="345">
        <v>0</v>
      </c>
      <c r="G130" s="345">
        <v>0</v>
      </c>
      <c r="H130" s="345">
        <v>0</v>
      </c>
      <c r="I130" s="343">
        <f t="shared" si="2"/>
        <v>0</v>
      </c>
    </row>
    <row r="131" spans="1:9" ht="12.75" hidden="1">
      <c r="A131" s="344"/>
      <c r="B131" s="344" t="s">
        <v>316</v>
      </c>
      <c r="C131" s="923" t="s">
        <v>317</v>
      </c>
      <c r="D131" s="923"/>
      <c r="E131" s="923"/>
      <c r="F131" s="345">
        <v>0</v>
      </c>
      <c r="G131" s="345">
        <v>0</v>
      </c>
      <c r="H131" s="345">
        <v>0</v>
      </c>
      <c r="I131" s="343">
        <f t="shared" si="2"/>
        <v>0</v>
      </c>
    </row>
    <row r="132" spans="1:9" ht="12.75" hidden="1">
      <c r="A132" s="344"/>
      <c r="B132" s="344" t="s">
        <v>318</v>
      </c>
      <c r="C132" s="923" t="s">
        <v>319</v>
      </c>
      <c r="D132" s="923"/>
      <c r="E132" s="923"/>
      <c r="F132" s="345">
        <v>0</v>
      </c>
      <c r="G132" s="345">
        <v>0</v>
      </c>
      <c r="H132" s="345">
        <v>0</v>
      </c>
      <c r="I132" s="343">
        <f aca="true" t="shared" si="3" ref="I132:I149">SUM(F132:H132)</f>
        <v>0</v>
      </c>
    </row>
    <row r="133" spans="1:9" ht="12.75" hidden="1">
      <c r="A133" s="344"/>
      <c r="B133" s="344" t="s">
        <v>320</v>
      </c>
      <c r="C133" s="923" t="s">
        <v>321</v>
      </c>
      <c r="D133" s="923"/>
      <c r="E133" s="923"/>
      <c r="F133" s="345">
        <v>0</v>
      </c>
      <c r="G133" s="345">
        <v>0</v>
      </c>
      <c r="H133" s="345">
        <v>0</v>
      </c>
      <c r="I133" s="343">
        <f t="shared" si="3"/>
        <v>0</v>
      </c>
    </row>
    <row r="134" spans="1:9" ht="12.75" hidden="1">
      <c r="A134" s="344"/>
      <c r="B134" s="344" t="s">
        <v>322</v>
      </c>
      <c r="C134" s="923" t="s">
        <v>323</v>
      </c>
      <c r="D134" s="923"/>
      <c r="E134" s="923"/>
      <c r="F134" s="345">
        <v>0</v>
      </c>
      <c r="G134" s="345">
        <v>0</v>
      </c>
      <c r="H134" s="345">
        <v>0</v>
      </c>
      <c r="I134" s="343">
        <f t="shared" si="3"/>
        <v>0</v>
      </c>
    </row>
    <row r="135" spans="1:9" ht="12.75" hidden="1">
      <c r="A135" s="344"/>
      <c r="B135" s="344" t="s">
        <v>324</v>
      </c>
      <c r="C135" s="923" t="s">
        <v>325</v>
      </c>
      <c r="D135" s="923"/>
      <c r="E135" s="923"/>
      <c r="F135" s="345">
        <f>SUM(F136:F145)</f>
        <v>475</v>
      </c>
      <c r="G135" s="345">
        <f>SUM(G136:G145)</f>
        <v>0</v>
      </c>
      <c r="H135" s="345">
        <f>SUM(H136:H145)</f>
        <v>0</v>
      </c>
      <c r="I135" s="343">
        <f t="shared" si="3"/>
        <v>475</v>
      </c>
    </row>
    <row r="136" spans="1:9" ht="12.75" hidden="1">
      <c r="A136" s="358"/>
      <c r="B136" s="358"/>
      <c r="C136" s="355" t="s">
        <v>1029</v>
      </c>
      <c r="D136" s="355" t="s">
        <v>239</v>
      </c>
      <c r="E136" s="355" t="s">
        <v>267</v>
      </c>
      <c r="F136" s="357">
        <v>0</v>
      </c>
      <c r="G136" s="357">
        <v>0</v>
      </c>
      <c r="H136" s="357">
        <v>0</v>
      </c>
      <c r="I136" s="359">
        <f t="shared" si="3"/>
        <v>0</v>
      </c>
    </row>
    <row r="137" spans="1:9" ht="12.75" hidden="1">
      <c r="A137" s="358"/>
      <c r="B137" s="358"/>
      <c r="C137" s="355"/>
      <c r="D137" s="355" t="s">
        <v>241</v>
      </c>
      <c r="E137" s="355" t="s">
        <v>268</v>
      </c>
      <c r="F137" s="357">
        <v>475</v>
      </c>
      <c r="G137" s="357">
        <v>0</v>
      </c>
      <c r="H137" s="357">
        <v>0</v>
      </c>
      <c r="I137" s="359">
        <f t="shared" si="3"/>
        <v>475</v>
      </c>
    </row>
    <row r="138" spans="1:9" ht="12.75" hidden="1">
      <c r="A138" s="358"/>
      <c r="B138" s="358"/>
      <c r="C138" s="355"/>
      <c r="D138" s="355" t="s">
        <v>243</v>
      </c>
      <c r="E138" s="355" t="s">
        <v>269</v>
      </c>
      <c r="F138" s="357">
        <v>0</v>
      </c>
      <c r="G138" s="357">
        <v>0</v>
      </c>
      <c r="H138" s="357">
        <v>0</v>
      </c>
      <c r="I138" s="359">
        <f t="shared" si="3"/>
        <v>0</v>
      </c>
    </row>
    <row r="139" spans="1:9" ht="12.75" hidden="1">
      <c r="A139" s="358"/>
      <c r="B139" s="358"/>
      <c r="C139" s="355"/>
      <c r="D139" s="355" t="s">
        <v>245</v>
      </c>
      <c r="E139" s="355" t="s">
        <v>270</v>
      </c>
      <c r="F139" s="357">
        <v>0</v>
      </c>
      <c r="G139" s="357">
        <v>0</v>
      </c>
      <c r="H139" s="357">
        <v>0</v>
      </c>
      <c r="I139" s="359">
        <f t="shared" si="3"/>
        <v>0</v>
      </c>
    </row>
    <row r="140" spans="1:9" ht="12.75" hidden="1">
      <c r="A140" s="358"/>
      <c r="B140" s="358"/>
      <c r="C140" s="355"/>
      <c r="D140" s="355" t="s">
        <v>247</v>
      </c>
      <c r="E140" s="355" t="s">
        <v>271</v>
      </c>
      <c r="F140" s="357">
        <v>0</v>
      </c>
      <c r="G140" s="357">
        <v>0</v>
      </c>
      <c r="H140" s="357">
        <v>0</v>
      </c>
      <c r="I140" s="359">
        <f t="shared" si="3"/>
        <v>0</v>
      </c>
    </row>
    <row r="141" spans="1:9" ht="12.75" hidden="1">
      <c r="A141" s="358"/>
      <c r="B141" s="358"/>
      <c r="C141" s="355"/>
      <c r="D141" s="355" t="s">
        <v>249</v>
      </c>
      <c r="E141" s="355" t="s">
        <v>272</v>
      </c>
      <c r="F141" s="357">
        <v>0</v>
      </c>
      <c r="G141" s="357">
        <v>0</v>
      </c>
      <c r="H141" s="357">
        <v>0</v>
      </c>
      <c r="I141" s="359">
        <f t="shared" si="3"/>
        <v>0</v>
      </c>
    </row>
    <row r="142" spans="1:9" ht="12.75" hidden="1">
      <c r="A142" s="358"/>
      <c r="B142" s="358"/>
      <c r="C142" s="355"/>
      <c r="D142" s="355" t="s">
        <v>251</v>
      </c>
      <c r="E142" s="355" t="s">
        <v>273</v>
      </c>
      <c r="F142" s="357">
        <v>0</v>
      </c>
      <c r="G142" s="357">
        <v>0</v>
      </c>
      <c r="H142" s="357">
        <v>0</v>
      </c>
      <c r="I142" s="359">
        <f t="shared" si="3"/>
        <v>0</v>
      </c>
    </row>
    <row r="143" spans="1:9" ht="12.75" hidden="1">
      <c r="A143" s="358"/>
      <c r="B143" s="358"/>
      <c r="C143" s="355"/>
      <c r="D143" s="355" t="s">
        <v>253</v>
      </c>
      <c r="E143" s="355" t="s">
        <v>274</v>
      </c>
      <c r="F143" s="357">
        <v>0</v>
      </c>
      <c r="G143" s="357">
        <v>0</v>
      </c>
      <c r="H143" s="357">
        <v>0</v>
      </c>
      <c r="I143" s="359">
        <f t="shared" si="3"/>
        <v>0</v>
      </c>
    </row>
    <row r="144" spans="1:9" ht="12.75" hidden="1">
      <c r="A144" s="358"/>
      <c r="B144" s="358"/>
      <c r="C144" s="355"/>
      <c r="D144" s="355" t="s">
        <v>255</v>
      </c>
      <c r="E144" s="355" t="s">
        <v>275</v>
      </c>
      <c r="F144" s="357">
        <v>0</v>
      </c>
      <c r="G144" s="357">
        <v>0</v>
      </c>
      <c r="H144" s="357">
        <v>0</v>
      </c>
      <c r="I144" s="359">
        <f t="shared" si="3"/>
        <v>0</v>
      </c>
    </row>
    <row r="145" spans="1:9" ht="12.75" hidden="1">
      <c r="A145" s="358"/>
      <c r="B145" s="358"/>
      <c r="C145" s="355"/>
      <c r="D145" s="355" t="s">
        <v>257</v>
      </c>
      <c r="E145" s="355" t="s">
        <v>276</v>
      </c>
      <c r="F145" s="357">
        <v>0</v>
      </c>
      <c r="G145" s="357">
        <v>0</v>
      </c>
      <c r="H145" s="357">
        <v>0</v>
      </c>
      <c r="I145" s="359">
        <f t="shared" si="3"/>
        <v>0</v>
      </c>
    </row>
    <row r="146" spans="1:9" s="369" customFormat="1" ht="12.75">
      <c r="A146" s="367" t="s">
        <v>198</v>
      </c>
      <c r="B146" s="949" t="s">
        <v>197</v>
      </c>
      <c r="C146" s="950"/>
      <c r="D146" s="950"/>
      <c r="E146" s="951"/>
      <c r="F146" s="368">
        <f>SUM(F147:F149)+1034+187176</f>
        <v>188210</v>
      </c>
      <c r="G146" s="368">
        <f>SUM(G147:G149)</f>
        <v>0</v>
      </c>
      <c r="H146" s="368">
        <f>SUM(H147:H149)</f>
        <v>0</v>
      </c>
      <c r="I146" s="368">
        <f t="shared" si="3"/>
        <v>188210</v>
      </c>
    </row>
    <row r="147" spans="1:9" ht="12.75" hidden="1">
      <c r="A147" s="344"/>
      <c r="B147" s="344" t="s">
        <v>326</v>
      </c>
      <c r="C147" s="923" t="s">
        <v>327</v>
      </c>
      <c r="D147" s="923"/>
      <c r="E147" s="923"/>
      <c r="F147" s="345">
        <v>0</v>
      </c>
      <c r="G147" s="345">
        <v>0</v>
      </c>
      <c r="H147" s="345">
        <v>0</v>
      </c>
      <c r="I147" s="343">
        <f t="shared" si="3"/>
        <v>0</v>
      </c>
    </row>
    <row r="148" spans="1:9" ht="12.75" hidden="1">
      <c r="A148" s="344"/>
      <c r="B148" s="344" t="s">
        <v>328</v>
      </c>
      <c r="C148" s="923" t="s">
        <v>329</v>
      </c>
      <c r="D148" s="923"/>
      <c r="E148" s="923"/>
      <c r="F148" s="345">
        <v>0</v>
      </c>
      <c r="G148" s="345">
        <v>0</v>
      </c>
      <c r="H148" s="345">
        <v>0</v>
      </c>
      <c r="I148" s="343">
        <f t="shared" si="3"/>
        <v>0</v>
      </c>
    </row>
    <row r="149" spans="1:9" ht="12.75" hidden="1">
      <c r="A149" s="344"/>
      <c r="B149" s="344" t="s">
        <v>330</v>
      </c>
      <c r="C149" s="923" t="s">
        <v>331</v>
      </c>
      <c r="D149" s="923"/>
      <c r="E149" s="923"/>
      <c r="F149" s="345">
        <v>0</v>
      </c>
      <c r="G149" s="345">
        <v>0</v>
      </c>
      <c r="H149" s="345">
        <v>0</v>
      </c>
      <c r="I149" s="343">
        <f t="shared" si="3"/>
        <v>0</v>
      </c>
    </row>
    <row r="150" spans="1:9" ht="12.75">
      <c r="A150" s="712"/>
      <c r="F150" s="343"/>
      <c r="G150" s="362"/>
      <c r="H150" s="281"/>
      <c r="I150" s="343"/>
    </row>
    <row r="151" spans="1:9" s="371" customFormat="1" ht="15.75">
      <c r="A151" s="946" t="s">
        <v>332</v>
      </c>
      <c r="B151" s="947"/>
      <c r="C151" s="947"/>
      <c r="D151" s="947"/>
      <c r="E151" s="948"/>
      <c r="F151" s="370">
        <f>SUM(F146+F127+F122+F114+F75+F56+F28+F22+F7)</f>
        <v>5225835</v>
      </c>
      <c r="G151" s="370">
        <f>SUM(G146+G127+G122+G114+G75+G56+G28+G22+G7)</f>
        <v>313745</v>
      </c>
      <c r="H151" s="370">
        <f>SUM(H146+H127+H122+H114+H75+H56+H28+H22+H7)</f>
        <v>207095</v>
      </c>
      <c r="I151" s="370">
        <f>SUM(I7+I22+I28+I56+I75+I114+I122+I127+I146)</f>
        <v>5746675</v>
      </c>
    </row>
  </sheetData>
  <sheetProtection/>
  <mergeCells count="73">
    <mergeCell ref="A3:I3"/>
    <mergeCell ref="C71:E71"/>
    <mergeCell ref="A1:I1"/>
    <mergeCell ref="C149:E149"/>
    <mergeCell ref="C148:E148"/>
    <mergeCell ref="C147:E147"/>
    <mergeCell ref="C133:E133"/>
    <mergeCell ref="C134:E134"/>
    <mergeCell ref="C135:E135"/>
    <mergeCell ref="C129:E129"/>
    <mergeCell ref="D72:E72"/>
    <mergeCell ref="D73:E73"/>
    <mergeCell ref="D74:E74"/>
    <mergeCell ref="D107:E107"/>
    <mergeCell ref="D79:E79"/>
    <mergeCell ref="D80:E80"/>
    <mergeCell ref="D81:E81"/>
    <mergeCell ref="D92:E92"/>
    <mergeCell ref="B75:E75"/>
    <mergeCell ref="D78:E78"/>
    <mergeCell ref="D93:E93"/>
    <mergeCell ref="D94:E94"/>
    <mergeCell ref="D95:E95"/>
    <mergeCell ref="C116:E116"/>
    <mergeCell ref="D96:E96"/>
    <mergeCell ref="C117:E117"/>
    <mergeCell ref="C115:E115"/>
    <mergeCell ref="C126:E126"/>
    <mergeCell ref="C128:E128"/>
    <mergeCell ref="C124:E124"/>
    <mergeCell ref="B114:E114"/>
    <mergeCell ref="C121:E121"/>
    <mergeCell ref="C123:E123"/>
    <mergeCell ref="C118:E118"/>
    <mergeCell ref="C119:E119"/>
    <mergeCell ref="B122:E122"/>
    <mergeCell ref="C120:E120"/>
    <mergeCell ref="D67:E67"/>
    <mergeCell ref="C68:E68"/>
    <mergeCell ref="D69:E69"/>
    <mergeCell ref="A151:E151"/>
    <mergeCell ref="B146:E146"/>
    <mergeCell ref="C131:E131"/>
    <mergeCell ref="C132:E132"/>
    <mergeCell ref="C125:E125"/>
    <mergeCell ref="C130:E130"/>
    <mergeCell ref="B127:E127"/>
    <mergeCell ref="D20:E20"/>
    <mergeCell ref="D21:E21"/>
    <mergeCell ref="B22:E22"/>
    <mergeCell ref="C49:E49"/>
    <mergeCell ref="C70:E70"/>
    <mergeCell ref="C62:E62"/>
    <mergeCell ref="C63:E63"/>
    <mergeCell ref="D64:E64"/>
    <mergeCell ref="D65:E65"/>
    <mergeCell ref="C66:E66"/>
    <mergeCell ref="C58:E58"/>
    <mergeCell ref="C57:E57"/>
    <mergeCell ref="B28:E28"/>
    <mergeCell ref="C29:E29"/>
    <mergeCell ref="C32:E32"/>
    <mergeCell ref="C35:E35"/>
    <mergeCell ref="A5:E5"/>
    <mergeCell ref="B7:E7"/>
    <mergeCell ref="C8:E8"/>
    <mergeCell ref="C18:E18"/>
    <mergeCell ref="B6:E6"/>
    <mergeCell ref="D61:E61"/>
    <mergeCell ref="D59:E59"/>
    <mergeCell ref="D60:E60"/>
    <mergeCell ref="C52:E52"/>
    <mergeCell ref="B56:E56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59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4.125" style="143" bestFit="1" customWidth="1"/>
    <col min="2" max="2" width="55.125" style="73" bestFit="1" customWidth="1"/>
    <col min="3" max="5" width="9.00390625" style="73" customWidth="1"/>
    <col min="6" max="6" width="53.875" style="73" bestFit="1" customWidth="1"/>
    <col min="7" max="7" width="9.00390625" style="73" customWidth="1"/>
    <col min="8" max="9" width="10.125" style="73" bestFit="1" customWidth="1"/>
    <col min="10" max="16384" width="9.125" style="73" customWidth="1"/>
  </cols>
  <sheetData>
    <row r="1" spans="6:10" ht="12.75" customHeight="1">
      <c r="F1" s="957" t="s">
        <v>1129</v>
      </c>
      <c r="G1" s="958"/>
      <c r="H1" s="958"/>
      <c r="I1" s="958"/>
      <c r="J1" s="125"/>
    </row>
    <row r="2" spans="2:9" ht="15.75">
      <c r="B2" s="959" t="s">
        <v>882</v>
      </c>
      <c r="C2" s="959"/>
      <c r="D2" s="959"/>
      <c r="E2" s="959"/>
      <c r="F2" s="959"/>
      <c r="G2" s="959"/>
      <c r="H2" s="959"/>
      <c r="I2" s="959"/>
    </row>
    <row r="3" ht="8.25" customHeight="1"/>
    <row r="4" spans="1:9" s="74" customFormat="1" ht="15" customHeight="1">
      <c r="A4" s="961" t="s">
        <v>698</v>
      </c>
      <c r="B4" s="960" t="s">
        <v>707</v>
      </c>
      <c r="C4" s="960"/>
      <c r="D4" s="960"/>
      <c r="E4" s="960"/>
      <c r="F4" s="960" t="s">
        <v>608</v>
      </c>
      <c r="G4" s="960"/>
      <c r="H4" s="960"/>
      <c r="I4" s="960"/>
    </row>
    <row r="5" spans="1:9" s="77" customFormat="1" ht="14.25">
      <c r="A5" s="961"/>
      <c r="B5" s="75" t="s">
        <v>607</v>
      </c>
      <c r="C5" s="76" t="s">
        <v>559</v>
      </c>
      <c r="D5" s="76" t="s">
        <v>558</v>
      </c>
      <c r="E5" s="76" t="s">
        <v>557</v>
      </c>
      <c r="F5" s="75" t="s">
        <v>607</v>
      </c>
      <c r="G5" s="76" t="s">
        <v>559</v>
      </c>
      <c r="H5" s="76" t="s">
        <v>558</v>
      </c>
      <c r="I5" s="76" t="s">
        <v>557</v>
      </c>
    </row>
    <row r="6" spans="1:9" s="142" customFormat="1" ht="12">
      <c r="A6" s="961"/>
      <c r="B6" s="141" t="s">
        <v>692</v>
      </c>
      <c r="C6" s="141" t="s">
        <v>693</v>
      </c>
      <c r="D6" s="141" t="s">
        <v>694</v>
      </c>
      <c r="E6" s="141" t="s">
        <v>695</v>
      </c>
      <c r="F6" s="141" t="s">
        <v>696</v>
      </c>
      <c r="G6" s="141" t="s">
        <v>697</v>
      </c>
      <c r="H6" s="141" t="s">
        <v>700</v>
      </c>
      <c r="I6" s="141" t="s">
        <v>701</v>
      </c>
    </row>
    <row r="7" spans="1:9" s="99" customFormat="1" ht="14.25">
      <c r="A7" s="141">
        <v>1</v>
      </c>
      <c r="B7" s="98" t="s">
        <v>876</v>
      </c>
      <c r="C7" s="116">
        <f>SUM(C8)</f>
        <v>1296776</v>
      </c>
      <c r="D7" s="116">
        <f>SUM(D32,D8)</f>
        <v>4317931</v>
      </c>
      <c r="E7" s="116">
        <f aca="true" t="shared" si="0" ref="E7:E30">SUM(C7:D7)</f>
        <v>5614707</v>
      </c>
      <c r="F7" s="98" t="s">
        <v>877</v>
      </c>
      <c r="G7" s="116">
        <f>SUM(G8,G32)</f>
        <v>1418239</v>
      </c>
      <c r="H7" s="116">
        <f>SUM(H8,H32)</f>
        <v>4140226</v>
      </c>
      <c r="I7" s="116">
        <f aca="true" t="shared" si="1" ref="I7:I12">SUM(G7:H7)</f>
        <v>5558465</v>
      </c>
    </row>
    <row r="8" spans="1:9" s="108" customFormat="1" ht="12.75">
      <c r="A8" s="144">
        <v>2</v>
      </c>
      <c r="B8" s="105" t="s">
        <v>725</v>
      </c>
      <c r="C8" s="106">
        <f>SUM(C28+C18+C14+C9)</f>
        <v>1296776</v>
      </c>
      <c r="D8" s="106">
        <f>SUM(D28+D18+D14+D9)</f>
        <v>769434</v>
      </c>
      <c r="E8" s="106">
        <f t="shared" si="0"/>
        <v>2066210</v>
      </c>
      <c r="F8" s="107" t="s">
        <v>731</v>
      </c>
      <c r="G8" s="106">
        <f>SUM(G13+G12+G11+G10+G9)</f>
        <v>1418239</v>
      </c>
      <c r="H8" s="106">
        <f>SUM(H13+H12+H11+H10+H9)</f>
        <v>4879</v>
      </c>
      <c r="I8" s="106">
        <f t="shared" si="1"/>
        <v>1423118</v>
      </c>
    </row>
    <row r="9" spans="1:9" s="80" customFormat="1" ht="12.75">
      <c r="A9" s="144">
        <v>3</v>
      </c>
      <c r="B9" s="114" t="s">
        <v>8</v>
      </c>
      <c r="C9" s="95">
        <f>SUM(C10:C13)</f>
        <v>992556</v>
      </c>
      <c r="D9" s="95">
        <v>0</v>
      </c>
      <c r="E9" s="95">
        <f t="shared" si="0"/>
        <v>992556</v>
      </c>
      <c r="F9" s="115" t="s">
        <v>732</v>
      </c>
      <c r="G9" s="95">
        <f>385419+817+2276+354+15769+39+34+51+26+2+521+595+630+226+10-2+805+808+543+104+28+13+1210+316+65+118+1198+4260+183+45924+12384-790-756+34802+15848</f>
        <v>523830</v>
      </c>
      <c r="H9" s="95">
        <v>0</v>
      </c>
      <c r="I9" s="95">
        <f t="shared" si="1"/>
        <v>523830</v>
      </c>
    </row>
    <row r="10" spans="1:9" s="80" customFormat="1" ht="12.75">
      <c r="A10" s="141">
        <v>4</v>
      </c>
      <c r="B10" s="92" t="s">
        <v>9</v>
      </c>
      <c r="C10" s="97">
        <f>664295-897-750-6600+527+6047+1010+126+48355-48355-57416-1208+1239</f>
        <v>606373</v>
      </c>
      <c r="D10" s="97">
        <v>0</v>
      </c>
      <c r="E10" s="97">
        <f t="shared" si="0"/>
        <v>606373</v>
      </c>
      <c r="F10" s="115" t="s">
        <v>40</v>
      </c>
      <c r="G10" s="95">
        <f>96163+221+615+96+2129+11+9+14+7+141+160+170+61+5+2+228+223+119+28+8+3+327+85+18+32+324+1150+50+6200+1672-107-102+4698+2139</f>
        <v>116899</v>
      </c>
      <c r="H10" s="95">
        <v>0</v>
      </c>
      <c r="I10" s="95">
        <f t="shared" si="1"/>
        <v>116899</v>
      </c>
    </row>
    <row r="11" spans="1:9" s="80" customFormat="1" ht="12.75">
      <c r="A11" s="144">
        <v>5</v>
      </c>
      <c r="B11" s="92" t="s">
        <v>10</v>
      </c>
      <c r="C11" s="97">
        <f>1677+1473</f>
        <v>3150</v>
      </c>
      <c r="D11" s="97">
        <v>0</v>
      </c>
      <c r="E11" s="97">
        <f t="shared" si="0"/>
        <v>3150</v>
      </c>
      <c r="F11" s="115" t="s">
        <v>41</v>
      </c>
      <c r="G11" s="95">
        <f>360390+114+302+4271+2077+25+3018+12+21+94+10+5219+466+1460+214+27+1010+3175-400-5872-1640-6890-15+624-9718+208+7-7+210+2700+451+254+835+30+6545+454+897+1261-80+1239-942-3625-1208-1215+6360+295-295+4797+100+1</f>
        <v>377266</v>
      </c>
      <c r="H11" s="95">
        <v>379</v>
      </c>
      <c r="I11" s="95">
        <f t="shared" si="1"/>
        <v>377645</v>
      </c>
    </row>
    <row r="12" spans="1:9" s="80" customFormat="1" ht="12.75">
      <c r="A12" s="144">
        <v>6</v>
      </c>
      <c r="B12" s="92" t="s">
        <v>11</v>
      </c>
      <c r="C12" s="97">
        <f>224004+16108+140-14359+6245-2680+1241+1241+58669+14510+208+373+45860+17987+1</f>
        <v>369548</v>
      </c>
      <c r="D12" s="97">
        <v>0</v>
      </c>
      <c r="E12" s="97">
        <f>SUM(C12:D12)</f>
        <v>369548</v>
      </c>
      <c r="F12" s="115" t="s">
        <v>42</v>
      </c>
      <c r="G12" s="95">
        <f>159875-8250</f>
        <v>151625</v>
      </c>
      <c r="H12" s="95">
        <v>0</v>
      </c>
      <c r="I12" s="95">
        <f t="shared" si="1"/>
        <v>151625</v>
      </c>
    </row>
    <row r="13" spans="1:9" s="80" customFormat="1" ht="12.75">
      <c r="A13" s="144">
        <v>7</v>
      </c>
      <c r="B13" s="92" t="s">
        <v>890</v>
      </c>
      <c r="C13" s="97">
        <f>9755+3610+120</f>
        <v>13485</v>
      </c>
      <c r="D13" s="97">
        <v>0</v>
      </c>
      <c r="E13" s="97">
        <f t="shared" si="0"/>
        <v>13485</v>
      </c>
      <c r="F13" s="119" t="s">
        <v>46</v>
      </c>
      <c r="G13" s="95">
        <f>SUM(G14:G19)</f>
        <v>248619</v>
      </c>
      <c r="H13" s="95">
        <f>SUM(H14:H19)</f>
        <v>4500</v>
      </c>
      <c r="I13" s="95">
        <f>SUM(I14:I19)</f>
        <v>253119</v>
      </c>
    </row>
    <row r="14" spans="1:9" s="80" customFormat="1" ht="12.75">
      <c r="A14" s="141">
        <v>8</v>
      </c>
      <c r="B14" s="114" t="s">
        <v>15</v>
      </c>
      <c r="C14" s="95">
        <f>SUM(C15:C17)</f>
        <v>140349</v>
      </c>
      <c r="D14" s="95">
        <f>SUM(D15:D17)</f>
        <v>0</v>
      </c>
      <c r="E14" s="95">
        <f t="shared" si="0"/>
        <v>140349</v>
      </c>
      <c r="F14" s="94" t="s">
        <v>43</v>
      </c>
      <c r="G14" s="97">
        <f>377+92</f>
        <v>469</v>
      </c>
      <c r="H14" s="97">
        <v>0</v>
      </c>
      <c r="I14" s="97">
        <f aca="true" t="shared" si="2" ref="I14:I19">SUM(G14:H14)</f>
        <v>469</v>
      </c>
    </row>
    <row r="15" spans="1:9" s="81" customFormat="1" ht="12.75">
      <c r="A15" s="144">
        <v>9</v>
      </c>
      <c r="B15" s="92" t="s">
        <v>153</v>
      </c>
      <c r="C15" s="97">
        <v>118500</v>
      </c>
      <c r="D15" s="97">
        <v>0</v>
      </c>
      <c r="E15" s="97">
        <f t="shared" si="0"/>
        <v>118500</v>
      </c>
      <c r="F15" s="94" t="s">
        <v>44</v>
      </c>
      <c r="G15" s="97">
        <v>1473</v>
      </c>
      <c r="H15" s="97">
        <v>0</v>
      </c>
      <c r="I15" s="97">
        <f t="shared" si="2"/>
        <v>1473</v>
      </c>
    </row>
    <row r="16" spans="1:9" s="81" customFormat="1" ht="12.75">
      <c r="A16" s="144">
        <v>10</v>
      </c>
      <c r="B16" s="93" t="s">
        <v>53</v>
      </c>
      <c r="C16" s="97">
        <f>20000-126</f>
        <v>19874</v>
      </c>
      <c r="D16" s="97">
        <v>0</v>
      </c>
      <c r="E16" s="97">
        <f t="shared" si="0"/>
        <v>19874</v>
      </c>
      <c r="F16" s="94" t="s">
        <v>45</v>
      </c>
      <c r="G16" s="97">
        <f>175265+4500-500+400+5872+1640+6890+42305-42305+1061-1061-100</f>
        <v>193967</v>
      </c>
      <c r="H16" s="97">
        <v>0</v>
      </c>
      <c r="I16" s="97">
        <f t="shared" si="2"/>
        <v>193967</v>
      </c>
    </row>
    <row r="17" spans="1:9" s="81" customFormat="1" ht="12.75">
      <c r="A17" s="141">
        <v>11</v>
      </c>
      <c r="B17" s="92" t="s">
        <v>16</v>
      </c>
      <c r="C17" s="97">
        <v>1975</v>
      </c>
      <c r="D17" s="97">
        <v>0</v>
      </c>
      <c r="E17" s="97">
        <f t="shared" si="0"/>
        <v>1975</v>
      </c>
      <c r="F17" s="94" t="s">
        <v>888</v>
      </c>
      <c r="G17" s="97">
        <f>1945+10000</f>
        <v>11945</v>
      </c>
      <c r="H17" s="97">
        <v>0</v>
      </c>
      <c r="I17" s="97">
        <f t="shared" si="2"/>
        <v>11945</v>
      </c>
    </row>
    <row r="18" spans="1:9" s="81" customFormat="1" ht="12.75">
      <c r="A18" s="144">
        <v>12</v>
      </c>
      <c r="B18" s="114" t="s">
        <v>17</v>
      </c>
      <c r="C18" s="95">
        <f>SUM(C19:C27)</f>
        <v>147926</v>
      </c>
      <c r="D18" s="95">
        <f>SUM(D19:D27)</f>
        <v>769434</v>
      </c>
      <c r="E18" s="95">
        <f t="shared" si="0"/>
        <v>917360</v>
      </c>
      <c r="F18" s="94" t="s">
        <v>887</v>
      </c>
      <c r="G18" s="97">
        <f>4096-278-114-92-1112-4500-1830+105238-20513+2111-16503-3030+3134-3155-575-10-7145-14359-214-283-3000+13365+120-307-96-451+3984-254-120-3610+10018-263-9755-680-3000-35509-3855-942</f>
        <v>6511</v>
      </c>
      <c r="H18" s="97">
        <f>6000+3000-4500</f>
        <v>4500</v>
      </c>
      <c r="I18" s="97">
        <f t="shared" si="2"/>
        <v>11011</v>
      </c>
    </row>
    <row r="19" spans="1:9" s="80" customFormat="1" ht="12.75">
      <c r="A19" s="144">
        <v>13</v>
      </c>
      <c r="B19" s="92" t="s">
        <v>18</v>
      </c>
      <c r="C19" s="97">
        <v>100</v>
      </c>
      <c r="D19" s="97">
        <v>0</v>
      </c>
      <c r="E19" s="97">
        <f t="shared" si="0"/>
        <v>100</v>
      </c>
      <c r="F19" s="94" t="s">
        <v>889</v>
      </c>
      <c r="G19" s="97">
        <f>20513+256+120+3610+9755</f>
        <v>34254</v>
      </c>
      <c r="H19" s="97">
        <v>0</v>
      </c>
      <c r="I19" s="97">
        <f t="shared" si="2"/>
        <v>34254</v>
      </c>
    </row>
    <row r="20" spans="1:9" s="80" customFormat="1" ht="12.75">
      <c r="A20" s="144">
        <v>14</v>
      </c>
      <c r="B20" s="92" t="s">
        <v>19</v>
      </c>
      <c r="C20" s="97">
        <v>91430</v>
      </c>
      <c r="D20" s="97">
        <v>0</v>
      </c>
      <c r="E20" s="97">
        <f t="shared" si="0"/>
        <v>91430</v>
      </c>
      <c r="F20" s="94"/>
      <c r="G20" s="97"/>
      <c r="H20" s="97"/>
      <c r="I20" s="97"/>
    </row>
    <row r="21" spans="1:9" s="80" customFormat="1" ht="12.75">
      <c r="A21" s="141">
        <v>15</v>
      </c>
      <c r="B21" s="92" t="s">
        <v>20</v>
      </c>
      <c r="C21" s="97">
        <f>7538+3175+2126</f>
        <v>12839</v>
      </c>
      <c r="D21" s="97">
        <v>0</v>
      </c>
      <c r="E21" s="97">
        <f t="shared" si="0"/>
        <v>12839</v>
      </c>
      <c r="F21" s="94"/>
      <c r="G21" s="97"/>
      <c r="H21" s="97"/>
      <c r="I21" s="97"/>
    </row>
    <row r="22" spans="1:9" s="80" customFormat="1" ht="12.75">
      <c r="A22" s="144">
        <v>16</v>
      </c>
      <c r="B22" s="92" t="s">
        <v>1111</v>
      </c>
      <c r="C22" s="97">
        <f>7500-4500</f>
        <v>3000</v>
      </c>
      <c r="D22" s="97">
        <v>0</v>
      </c>
      <c r="E22" s="97">
        <f t="shared" si="0"/>
        <v>3000</v>
      </c>
      <c r="F22" s="94"/>
      <c r="G22" s="97"/>
      <c r="H22" s="97"/>
      <c r="I22" s="97"/>
    </row>
    <row r="23" spans="1:9" s="80" customFormat="1" ht="12.75">
      <c r="A23" s="144">
        <v>17</v>
      </c>
      <c r="B23" s="92" t="s">
        <v>21</v>
      </c>
      <c r="C23" s="97">
        <v>8902</v>
      </c>
      <c r="D23" s="97">
        <v>0</v>
      </c>
      <c r="E23" s="97">
        <f t="shared" si="0"/>
        <v>8902</v>
      </c>
      <c r="F23" s="94"/>
      <c r="G23" s="97"/>
      <c r="H23" s="97"/>
      <c r="I23" s="97"/>
    </row>
    <row r="24" spans="1:9" s="80" customFormat="1" ht="12.75">
      <c r="A24" s="141">
        <v>18</v>
      </c>
      <c r="B24" s="92" t="s">
        <v>22</v>
      </c>
      <c r="C24" s="97">
        <f>25066+574-1215</f>
        <v>24425</v>
      </c>
      <c r="D24" s="97">
        <v>0</v>
      </c>
      <c r="E24" s="97">
        <f t="shared" si="0"/>
        <v>24425</v>
      </c>
      <c r="F24" s="94"/>
      <c r="G24" s="97"/>
      <c r="H24" s="97"/>
      <c r="I24" s="97"/>
    </row>
    <row r="25" spans="1:9" s="80" customFormat="1" ht="12.75">
      <c r="A25" s="144">
        <v>19</v>
      </c>
      <c r="B25" s="92" t="s">
        <v>476</v>
      </c>
      <c r="C25" s="97">
        <v>0</v>
      </c>
      <c r="D25" s="97">
        <v>769434</v>
      </c>
      <c r="E25" s="97">
        <f t="shared" si="0"/>
        <v>769434</v>
      </c>
      <c r="F25" s="94"/>
      <c r="G25" s="97"/>
      <c r="H25" s="97"/>
      <c r="I25" s="97"/>
    </row>
    <row r="26" spans="1:9" s="80" customFormat="1" ht="12.75">
      <c r="A26" s="144">
        <v>20</v>
      </c>
      <c r="B26" s="92" t="s">
        <v>23</v>
      </c>
      <c r="C26" s="97">
        <v>3220</v>
      </c>
      <c r="D26" s="97">
        <v>0</v>
      </c>
      <c r="E26" s="97">
        <f t="shared" si="0"/>
        <v>3220</v>
      </c>
      <c r="F26" s="79"/>
      <c r="G26" s="97"/>
      <c r="H26" s="96"/>
      <c r="I26" s="96"/>
    </row>
    <row r="27" spans="1:9" s="78" customFormat="1" ht="12.75">
      <c r="A27" s="144">
        <v>21</v>
      </c>
      <c r="B27" s="92" t="s">
        <v>24</v>
      </c>
      <c r="C27" s="97">
        <f>360+3650</f>
        <v>4010</v>
      </c>
      <c r="D27" s="97">
        <v>0</v>
      </c>
      <c r="E27" s="97">
        <f t="shared" si="0"/>
        <v>4010</v>
      </c>
      <c r="F27" s="79"/>
      <c r="G27" s="96"/>
      <c r="H27" s="96"/>
      <c r="I27" s="96"/>
    </row>
    <row r="28" spans="1:9" s="78" customFormat="1" ht="12.75">
      <c r="A28" s="141">
        <v>22</v>
      </c>
      <c r="B28" s="114" t="s">
        <v>30</v>
      </c>
      <c r="C28" s="95">
        <f>SUM(C29:C30)</f>
        <v>15945</v>
      </c>
      <c r="D28" s="95"/>
      <c r="E28" s="95">
        <f t="shared" si="0"/>
        <v>15945</v>
      </c>
      <c r="F28" s="79"/>
      <c r="G28" s="96"/>
      <c r="H28" s="96"/>
      <c r="I28" s="96"/>
    </row>
    <row r="29" spans="1:9" s="78" customFormat="1" ht="12.75">
      <c r="A29" s="144">
        <v>23</v>
      </c>
      <c r="B29" s="92" t="s">
        <v>31</v>
      </c>
      <c r="C29" s="97">
        <f>4000+1945+10000</f>
        <v>15945</v>
      </c>
      <c r="D29" s="97">
        <v>0</v>
      </c>
      <c r="E29" s="97">
        <f t="shared" si="0"/>
        <v>15945</v>
      </c>
      <c r="F29" s="79"/>
      <c r="G29" s="96"/>
      <c r="H29" s="96"/>
      <c r="I29" s="96"/>
    </row>
    <row r="30" spans="1:9" s="78" customFormat="1" ht="12.75">
      <c r="A30" s="144">
        <v>24</v>
      </c>
      <c r="B30" s="92" t="s">
        <v>32</v>
      </c>
      <c r="C30" s="97">
        <v>0</v>
      </c>
      <c r="D30" s="97">
        <v>0</v>
      </c>
      <c r="E30" s="97">
        <f t="shared" si="0"/>
        <v>0</v>
      </c>
      <c r="F30" s="79"/>
      <c r="G30" s="96"/>
      <c r="H30" s="96"/>
      <c r="I30" s="96"/>
    </row>
    <row r="31" spans="1:9" s="78" customFormat="1" ht="12.75">
      <c r="A31" s="141">
        <v>25</v>
      </c>
      <c r="B31" s="92"/>
      <c r="C31" s="97"/>
      <c r="D31" s="97"/>
      <c r="E31" s="97"/>
      <c r="F31" s="79"/>
      <c r="G31" s="96"/>
      <c r="H31" s="96"/>
      <c r="I31" s="96"/>
    </row>
    <row r="32" spans="1:9" s="108" customFormat="1" ht="12.75">
      <c r="A32" s="144">
        <v>26</v>
      </c>
      <c r="B32" s="109" t="s">
        <v>730</v>
      </c>
      <c r="C32" s="106">
        <f>SUM(C41+C36+C33)</f>
        <v>0</v>
      </c>
      <c r="D32" s="106">
        <f>SUM(D41+D36+D33)</f>
        <v>3548497</v>
      </c>
      <c r="E32" s="106">
        <f>SUM(D32:D32)</f>
        <v>3548497</v>
      </c>
      <c r="F32" s="107" t="s">
        <v>553</v>
      </c>
      <c r="G32" s="106">
        <f>SUM(G33:G35)</f>
        <v>0</v>
      </c>
      <c r="H32" s="106">
        <f>SUM(H33:H35)</f>
        <v>4135347</v>
      </c>
      <c r="I32" s="106">
        <f aca="true" t="shared" si="3" ref="I32:I40">SUM(G32:H32)</f>
        <v>4135347</v>
      </c>
    </row>
    <row r="33" spans="1:9" s="78" customFormat="1" ht="12.75">
      <c r="A33" s="144">
        <v>27</v>
      </c>
      <c r="B33" s="114" t="s">
        <v>12</v>
      </c>
      <c r="C33" s="95">
        <f>SUM(C34:C35)</f>
        <v>0</v>
      </c>
      <c r="D33" s="95">
        <f>SUM(D34:D35)</f>
        <v>2974644</v>
      </c>
      <c r="E33" s="95">
        <f>SUM(D33:D33)</f>
        <v>2974644</v>
      </c>
      <c r="F33" s="115" t="s">
        <v>47</v>
      </c>
      <c r="G33" s="95">
        <v>0</v>
      </c>
      <c r="H33" s="95">
        <f>482804-152+635-858+3597933+21257+1568+1528+532+481-317+96+9718+2695+3000+80-7620-4642-70-500+2507+295-295</f>
        <v>4110675</v>
      </c>
      <c r="I33" s="95">
        <f t="shared" si="3"/>
        <v>4110675</v>
      </c>
    </row>
    <row r="34" spans="1:9" s="78" customFormat="1" ht="12.75">
      <c r="A34" s="144">
        <v>28</v>
      </c>
      <c r="B34" s="92" t="s">
        <v>13</v>
      </c>
      <c r="C34" s="97">
        <v>0</v>
      </c>
      <c r="D34" s="97">
        <f>188589+156+45</f>
        <v>188790</v>
      </c>
      <c r="E34" s="97">
        <f aca="true" t="shared" si="4" ref="E34:E43">SUM(D34:D34)</f>
        <v>188790</v>
      </c>
      <c r="F34" s="115" t="s">
        <v>48</v>
      </c>
      <c r="G34" s="95">
        <v>0</v>
      </c>
      <c r="H34" s="95">
        <f>15731+7487</f>
        <v>23218</v>
      </c>
      <c r="I34" s="95">
        <f t="shared" si="3"/>
        <v>23218</v>
      </c>
    </row>
    <row r="35" spans="1:9" s="78" customFormat="1" ht="12.75">
      <c r="A35" s="141">
        <v>29</v>
      </c>
      <c r="B35" s="92" t="s">
        <v>14</v>
      </c>
      <c r="C35" s="97">
        <v>0</v>
      </c>
      <c r="D35" s="97">
        <f>2712972+2680+2695+2507+65000</f>
        <v>2785854</v>
      </c>
      <c r="E35" s="97">
        <f t="shared" si="4"/>
        <v>2785854</v>
      </c>
      <c r="F35" s="115" t="s">
        <v>49</v>
      </c>
      <c r="G35" s="95">
        <f>SUM(G36:G40)</f>
        <v>0</v>
      </c>
      <c r="H35" s="95">
        <f>SUM(H36:H40)</f>
        <v>1454</v>
      </c>
      <c r="I35" s="95">
        <f t="shared" si="3"/>
        <v>1454</v>
      </c>
    </row>
    <row r="36" spans="1:9" s="78" customFormat="1" ht="12.75">
      <c r="A36" s="144">
        <v>30</v>
      </c>
      <c r="B36" s="114" t="s">
        <v>25</v>
      </c>
      <c r="C36" s="95">
        <f>SUM(C37:C40)</f>
        <v>0</v>
      </c>
      <c r="D36" s="95">
        <f>SUM(D37:D40)</f>
        <v>25297</v>
      </c>
      <c r="E36" s="95">
        <f t="shared" si="4"/>
        <v>25297</v>
      </c>
      <c r="F36" s="94" t="s">
        <v>50</v>
      </c>
      <c r="G36" s="97">
        <v>0</v>
      </c>
      <c r="H36" s="97">
        <v>0</v>
      </c>
      <c r="I36" s="97">
        <f t="shared" si="3"/>
        <v>0</v>
      </c>
    </row>
    <row r="37" spans="1:9" s="78" customFormat="1" ht="12.75">
      <c r="A37" s="144">
        <v>31</v>
      </c>
      <c r="B37" s="92" t="s">
        <v>26</v>
      </c>
      <c r="C37" s="97">
        <v>0</v>
      </c>
      <c r="D37" s="97">
        <v>0</v>
      </c>
      <c r="E37" s="97">
        <f t="shared" si="4"/>
        <v>0</v>
      </c>
      <c r="F37" s="94" t="s">
        <v>51</v>
      </c>
      <c r="G37" s="97">
        <v>0</v>
      </c>
      <c r="H37" s="97">
        <v>0</v>
      </c>
      <c r="I37" s="97">
        <f t="shared" si="3"/>
        <v>0</v>
      </c>
    </row>
    <row r="38" spans="1:9" s="80" customFormat="1" ht="12.75">
      <c r="A38" s="141">
        <v>32</v>
      </c>
      <c r="B38" s="92" t="s">
        <v>27</v>
      </c>
      <c r="C38" s="97">
        <f>SUM(C39:C40)</f>
        <v>0</v>
      </c>
      <c r="D38" s="97">
        <v>25297</v>
      </c>
      <c r="E38" s="97">
        <f t="shared" si="4"/>
        <v>25297</v>
      </c>
      <c r="F38" s="94" t="s">
        <v>52</v>
      </c>
      <c r="G38" s="97">
        <v>0</v>
      </c>
      <c r="H38" s="97">
        <v>0</v>
      </c>
      <c r="I38" s="97">
        <f t="shared" si="3"/>
        <v>0</v>
      </c>
    </row>
    <row r="39" spans="1:9" s="80" customFormat="1" ht="12.75">
      <c r="A39" s="144">
        <v>33</v>
      </c>
      <c r="B39" s="92" t="s">
        <v>28</v>
      </c>
      <c r="C39" s="97">
        <v>0</v>
      </c>
      <c r="D39" s="97">
        <v>0</v>
      </c>
      <c r="E39" s="97">
        <f t="shared" si="4"/>
        <v>0</v>
      </c>
      <c r="F39" s="94" t="s">
        <v>54</v>
      </c>
      <c r="G39" s="97">
        <v>0</v>
      </c>
      <c r="H39" s="97">
        <v>0</v>
      </c>
      <c r="I39" s="97">
        <f t="shared" si="3"/>
        <v>0</v>
      </c>
    </row>
    <row r="40" spans="1:9" s="82" customFormat="1" ht="13.5">
      <c r="A40" s="144">
        <v>34</v>
      </c>
      <c r="B40" s="92" t="s">
        <v>29</v>
      </c>
      <c r="C40" s="97">
        <v>0</v>
      </c>
      <c r="D40" s="97">
        <v>0</v>
      </c>
      <c r="E40" s="97">
        <f t="shared" si="4"/>
        <v>0</v>
      </c>
      <c r="F40" s="94" t="s">
        <v>55</v>
      </c>
      <c r="G40" s="97">
        <v>0</v>
      </c>
      <c r="H40" s="97">
        <f>475+278+156+45+500</f>
        <v>1454</v>
      </c>
      <c r="I40" s="97">
        <f t="shared" si="3"/>
        <v>1454</v>
      </c>
    </row>
    <row r="41" spans="1:9" s="82" customFormat="1" ht="13.5">
      <c r="A41" s="144">
        <v>35</v>
      </c>
      <c r="B41" s="114" t="s">
        <v>33</v>
      </c>
      <c r="C41" s="95">
        <f>SUM(C42:C43)</f>
        <v>0</v>
      </c>
      <c r="D41" s="95">
        <f>SUM(D42:D43)</f>
        <v>548556</v>
      </c>
      <c r="E41" s="95">
        <f t="shared" si="4"/>
        <v>548556</v>
      </c>
      <c r="F41" s="94"/>
      <c r="G41" s="97"/>
      <c r="H41" s="97"/>
      <c r="I41" s="97"/>
    </row>
    <row r="42" spans="1:9" s="82" customFormat="1" ht="13.5">
      <c r="A42" s="141">
        <v>36</v>
      </c>
      <c r="B42" s="92" t="s">
        <v>36</v>
      </c>
      <c r="C42" s="97">
        <v>0</v>
      </c>
      <c r="D42" s="97">
        <v>0</v>
      </c>
      <c r="E42" s="97">
        <f t="shared" si="4"/>
        <v>0</v>
      </c>
      <c r="F42" s="83"/>
      <c r="G42" s="97"/>
      <c r="H42" s="97"/>
      <c r="I42" s="97"/>
    </row>
    <row r="43" spans="1:9" s="82" customFormat="1" ht="13.5">
      <c r="A43" s="144">
        <v>37</v>
      </c>
      <c r="B43" s="92" t="s">
        <v>37</v>
      </c>
      <c r="C43" s="97">
        <v>0</v>
      </c>
      <c r="D43" s="97">
        <v>548556</v>
      </c>
      <c r="E43" s="97">
        <f t="shared" si="4"/>
        <v>548556</v>
      </c>
      <c r="F43" s="83"/>
      <c r="G43" s="97"/>
      <c r="H43" s="97"/>
      <c r="I43" s="97"/>
    </row>
    <row r="44" spans="1:9" s="84" customFormat="1" ht="6" customHeight="1">
      <c r="A44" s="962"/>
      <c r="B44" s="963"/>
      <c r="C44" s="963"/>
      <c r="D44" s="963"/>
      <c r="E44" s="963"/>
      <c r="F44" s="963"/>
      <c r="G44" s="963"/>
      <c r="H44" s="963"/>
      <c r="I44" s="964"/>
    </row>
    <row r="45" spans="1:9" s="84" customFormat="1" ht="15">
      <c r="A45" s="144">
        <v>38</v>
      </c>
      <c r="B45" s="965" t="s">
        <v>878</v>
      </c>
      <c r="C45" s="966"/>
      <c r="D45" s="966"/>
      <c r="E45" s="966"/>
      <c r="F45" s="966"/>
      <c r="G45" s="247">
        <f>C7-G7</f>
        <v>-121463</v>
      </c>
      <c r="H45" s="247">
        <f>D7-H7</f>
        <v>177705</v>
      </c>
      <c r="I45" s="247">
        <f>SUM(G45:H45)</f>
        <v>56242</v>
      </c>
    </row>
    <row r="46" spans="1:9" s="84" customFormat="1" ht="6" customHeight="1">
      <c r="A46" s="954"/>
      <c r="B46" s="955"/>
      <c r="C46" s="955"/>
      <c r="D46" s="955"/>
      <c r="E46" s="955"/>
      <c r="F46" s="955"/>
      <c r="G46" s="955"/>
      <c r="H46" s="955"/>
      <c r="I46" s="956"/>
    </row>
    <row r="47" spans="1:9" s="102" customFormat="1" ht="28.5">
      <c r="A47" s="144">
        <v>39</v>
      </c>
      <c r="B47" s="98" t="s">
        <v>554</v>
      </c>
      <c r="C47" s="100">
        <f>SUM(C48)</f>
        <v>127834</v>
      </c>
      <c r="D47" s="100">
        <f>SUM(D48)</f>
        <v>4134</v>
      </c>
      <c r="E47" s="100">
        <f aca="true" t="shared" si="5" ref="E47:E52">SUM(C47:D47)</f>
        <v>131968</v>
      </c>
      <c r="F47" s="101"/>
      <c r="G47" s="100"/>
      <c r="H47" s="100"/>
      <c r="I47" s="100"/>
    </row>
    <row r="48" spans="1:9" s="111" customFormat="1" ht="13.5">
      <c r="A48" s="141">
        <v>40</v>
      </c>
      <c r="B48" s="112" t="s">
        <v>875</v>
      </c>
      <c r="C48" s="106">
        <f>7844+750+105238+3984+10018</f>
        <v>127834</v>
      </c>
      <c r="D48" s="106">
        <v>4134</v>
      </c>
      <c r="E48" s="106">
        <f t="shared" si="5"/>
        <v>131968</v>
      </c>
      <c r="F48" s="107"/>
      <c r="G48" s="106"/>
      <c r="H48" s="106"/>
      <c r="I48" s="106"/>
    </row>
    <row r="49" spans="1:9" s="102" customFormat="1" ht="28.5">
      <c r="A49" s="144">
        <v>41</v>
      </c>
      <c r="B49" s="98" t="s">
        <v>555</v>
      </c>
      <c r="C49" s="100">
        <f>SUM(C50:C51)</f>
        <v>0</v>
      </c>
      <c r="D49" s="100">
        <f>SUM(D50:D51)</f>
        <v>0</v>
      </c>
      <c r="E49" s="100">
        <f t="shared" si="5"/>
        <v>0</v>
      </c>
      <c r="F49" s="117" t="s">
        <v>556</v>
      </c>
      <c r="G49" s="100">
        <f>SUM(G50:G51)</f>
        <v>0</v>
      </c>
      <c r="H49" s="100">
        <f>SUM(H50:H51)</f>
        <v>188210</v>
      </c>
      <c r="I49" s="100">
        <f>SUM(G49:H49)</f>
        <v>188210</v>
      </c>
    </row>
    <row r="50" spans="1:9" s="111" customFormat="1" ht="13.5">
      <c r="A50" s="144">
        <v>42</v>
      </c>
      <c r="B50" s="110" t="s">
        <v>39</v>
      </c>
      <c r="C50" s="106">
        <v>0</v>
      </c>
      <c r="D50" s="106">
        <v>0</v>
      </c>
      <c r="E50" s="106">
        <f t="shared" si="5"/>
        <v>0</v>
      </c>
      <c r="F50" s="107" t="s">
        <v>552</v>
      </c>
      <c r="G50" s="106">
        <v>0</v>
      </c>
      <c r="H50" s="106">
        <v>0</v>
      </c>
      <c r="I50" s="106">
        <f>SUM(G50:H50)</f>
        <v>0</v>
      </c>
    </row>
    <row r="51" spans="1:9" s="113" customFormat="1" ht="12.75">
      <c r="A51" s="144">
        <v>43</v>
      </c>
      <c r="B51" s="110" t="s">
        <v>38</v>
      </c>
      <c r="C51" s="106">
        <v>0</v>
      </c>
      <c r="D51" s="106">
        <f>65000-65000</f>
        <v>0</v>
      </c>
      <c r="E51" s="106">
        <f t="shared" si="5"/>
        <v>0</v>
      </c>
      <c r="F51" s="107" t="s">
        <v>891</v>
      </c>
      <c r="G51" s="106">
        <v>0</v>
      </c>
      <c r="H51" s="106">
        <f>1034+187176</f>
        <v>188210</v>
      </c>
      <c r="I51" s="106">
        <f>SUM(G51:H51)</f>
        <v>188210</v>
      </c>
    </row>
    <row r="52" spans="1:9" s="104" customFormat="1" ht="15.75">
      <c r="A52" s="144">
        <v>44</v>
      </c>
      <c r="B52" s="103" t="s">
        <v>708</v>
      </c>
      <c r="C52" s="118">
        <f>SUM(C7,C47,C49)</f>
        <v>1424610</v>
      </c>
      <c r="D52" s="118">
        <f>SUM(D7,D47,D49)</f>
        <v>4322065</v>
      </c>
      <c r="E52" s="118">
        <f t="shared" si="5"/>
        <v>5746675</v>
      </c>
      <c r="F52" s="103" t="s">
        <v>569</v>
      </c>
      <c r="G52" s="118">
        <f>SUM(G7,G49)</f>
        <v>1418239</v>
      </c>
      <c r="H52" s="118">
        <f>SUM(H7,H49)</f>
        <v>4328436</v>
      </c>
      <c r="I52" s="118">
        <f>SUM(G52:H52)</f>
        <v>5746675</v>
      </c>
    </row>
    <row r="56" ht="15">
      <c r="B56" s="73" t="s">
        <v>110</v>
      </c>
    </row>
    <row r="59" ht="15">
      <c r="B59" s="85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Y57"/>
  <sheetViews>
    <sheetView zoomScale="95" zoomScaleNormal="95" zoomScalePageLayoutView="0" workbookViewId="0" topLeftCell="A37">
      <selection activeCell="B42" sqref="A42:IV46"/>
    </sheetView>
  </sheetViews>
  <sheetFormatPr defaultColWidth="8.875" defaultRowHeight="12.75"/>
  <cols>
    <col min="1" max="1" width="4.625" style="149" bestFit="1" customWidth="1"/>
    <col min="2" max="2" width="31.875" style="29" customWidth="1"/>
    <col min="3" max="3" width="8.375" style="29" customWidth="1"/>
    <col min="4" max="4" width="7.875" style="29" customWidth="1"/>
    <col min="5" max="5" width="8.125" style="29" customWidth="1"/>
    <col min="6" max="6" width="8.75390625" style="29" customWidth="1"/>
    <col min="7" max="7" width="8.375" style="29" customWidth="1"/>
    <col min="8" max="9" width="9.875" style="29" customWidth="1"/>
    <col min="10" max="15" width="8.25390625" style="29" customWidth="1"/>
    <col min="16" max="16" width="9.625" style="29" bestFit="1" customWidth="1"/>
    <col min="17" max="17" width="9.625" style="29" customWidth="1"/>
    <col min="18" max="18" width="9.625" style="29" bestFit="1" customWidth="1"/>
    <col min="19" max="19" width="7.625" style="29" customWidth="1"/>
    <col min="20" max="20" width="9.25390625" style="29" customWidth="1"/>
    <col min="21" max="21" width="7.75390625" style="29" customWidth="1"/>
    <col min="22" max="22" width="9.375" style="37" customWidth="1"/>
    <col min="23" max="23" width="14.375" style="29" customWidth="1"/>
    <col min="24" max="16384" width="8.875" style="29" customWidth="1"/>
  </cols>
  <sheetData>
    <row r="1" spans="11:22" ht="15">
      <c r="K1" s="30"/>
      <c r="L1" s="30"/>
      <c r="M1" s="30"/>
      <c r="N1" s="30"/>
      <c r="O1" s="30"/>
      <c r="P1" s="957" t="s">
        <v>1130</v>
      </c>
      <c r="Q1" s="957"/>
      <c r="R1" s="958"/>
      <c r="S1" s="958"/>
      <c r="T1" s="958"/>
      <c r="U1" s="958"/>
      <c r="V1" s="958"/>
    </row>
    <row r="2" spans="1:22" ht="15.75">
      <c r="A2" s="40"/>
      <c r="B2" s="980" t="s">
        <v>191</v>
      </c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</row>
    <row r="3" ht="12.75" thickBot="1">
      <c r="V3" s="31"/>
    </row>
    <row r="4" spans="1:22" s="32" customFormat="1" ht="12.75" customHeight="1">
      <c r="A4" s="981" t="s">
        <v>698</v>
      </c>
      <c r="B4" s="972" t="s">
        <v>607</v>
      </c>
      <c r="C4" s="975" t="s">
        <v>615</v>
      </c>
      <c r="D4" s="976"/>
      <c r="E4" s="976"/>
      <c r="F4" s="976"/>
      <c r="G4" s="976"/>
      <c r="H4" s="976"/>
      <c r="I4" s="976"/>
      <c r="J4" s="976"/>
      <c r="K4" s="976"/>
      <c r="L4" s="976"/>
      <c r="M4" s="976"/>
      <c r="N4" s="976"/>
      <c r="O4" s="976"/>
      <c r="P4" s="976"/>
      <c r="Q4" s="976"/>
      <c r="R4" s="976"/>
      <c r="S4" s="976"/>
      <c r="T4" s="976"/>
      <c r="U4" s="977"/>
      <c r="V4" s="984" t="s">
        <v>616</v>
      </c>
    </row>
    <row r="5" spans="1:22" s="33" customFormat="1" ht="12" customHeight="1">
      <c r="A5" s="982"/>
      <c r="B5" s="973"/>
      <c r="C5" s="970" t="s">
        <v>568</v>
      </c>
      <c r="D5" s="970" t="s">
        <v>567</v>
      </c>
      <c r="E5" s="970" t="s">
        <v>609</v>
      </c>
      <c r="F5" s="970" t="s">
        <v>0</v>
      </c>
      <c r="G5" s="970" t="s">
        <v>896</v>
      </c>
      <c r="H5" s="970" t="s">
        <v>892</v>
      </c>
      <c r="I5" s="970" t="s">
        <v>895</v>
      </c>
      <c r="J5" s="970" t="s">
        <v>897</v>
      </c>
      <c r="K5" s="970" t="s">
        <v>691</v>
      </c>
      <c r="L5" s="970" t="s">
        <v>705</v>
      </c>
      <c r="M5" s="970" t="s">
        <v>898</v>
      </c>
      <c r="N5" s="970" t="s">
        <v>734</v>
      </c>
      <c r="O5" s="970" t="s">
        <v>901</v>
      </c>
      <c r="P5" s="970" t="s">
        <v>56</v>
      </c>
      <c r="Q5" s="970" t="s">
        <v>234</v>
      </c>
      <c r="R5" s="987" t="s">
        <v>563</v>
      </c>
      <c r="S5" s="987" t="s">
        <v>617</v>
      </c>
      <c r="T5" s="970" t="s">
        <v>893</v>
      </c>
      <c r="U5" s="970" t="s">
        <v>1124</v>
      </c>
      <c r="V5" s="985"/>
    </row>
    <row r="6" spans="1:22" s="33" customFormat="1" ht="63" customHeight="1">
      <c r="A6" s="982"/>
      <c r="B6" s="974"/>
      <c r="C6" s="971"/>
      <c r="D6" s="971"/>
      <c r="E6" s="971"/>
      <c r="F6" s="971"/>
      <c r="G6" s="971"/>
      <c r="H6" s="971"/>
      <c r="I6" s="971"/>
      <c r="J6" s="971"/>
      <c r="K6" s="971"/>
      <c r="L6" s="971"/>
      <c r="M6" s="971"/>
      <c r="N6" s="971"/>
      <c r="O6" s="971"/>
      <c r="P6" s="971"/>
      <c r="Q6" s="971"/>
      <c r="R6" s="988"/>
      <c r="S6" s="988"/>
      <c r="T6" s="971"/>
      <c r="U6" s="971"/>
      <c r="V6" s="986"/>
    </row>
    <row r="7" spans="1:22" s="717" customFormat="1" ht="12">
      <c r="A7" s="983"/>
      <c r="B7" s="716" t="s">
        <v>692</v>
      </c>
      <c r="C7" s="718" t="s">
        <v>693</v>
      </c>
      <c r="D7" s="718" t="s">
        <v>694</v>
      </c>
      <c r="E7" s="719" t="s">
        <v>695</v>
      </c>
      <c r="F7" s="716" t="s">
        <v>696</v>
      </c>
      <c r="G7" s="716" t="s">
        <v>697</v>
      </c>
      <c r="H7" s="719" t="s">
        <v>700</v>
      </c>
      <c r="I7" s="719" t="s">
        <v>701</v>
      </c>
      <c r="J7" s="719" t="s">
        <v>641</v>
      </c>
      <c r="K7" s="719" t="s">
        <v>642</v>
      </c>
      <c r="L7" s="719" t="s">
        <v>643</v>
      </c>
      <c r="M7" s="719" t="s">
        <v>644</v>
      </c>
      <c r="N7" s="719" t="s">
        <v>645</v>
      </c>
      <c r="O7" s="719" t="s">
        <v>646</v>
      </c>
      <c r="P7" s="718" t="s">
        <v>647</v>
      </c>
      <c r="Q7" s="819" t="s">
        <v>648</v>
      </c>
      <c r="R7" s="819" t="s">
        <v>649</v>
      </c>
      <c r="S7" s="719" t="s">
        <v>676</v>
      </c>
      <c r="T7" s="720" t="s">
        <v>904</v>
      </c>
      <c r="U7" s="760" t="s">
        <v>905</v>
      </c>
      <c r="V7" s="761" t="s">
        <v>906</v>
      </c>
    </row>
    <row r="8" spans="1:22" s="36" customFormat="1" ht="12">
      <c r="A8" s="150" t="s">
        <v>650</v>
      </c>
      <c r="B8" s="168" t="s">
        <v>702</v>
      </c>
      <c r="C8" s="41">
        <v>0</v>
      </c>
      <c r="D8" s="41">
        <v>0</v>
      </c>
      <c r="E8" s="42">
        <f>1000+214+1010-942</f>
        <v>1282</v>
      </c>
      <c r="F8" s="42">
        <v>0</v>
      </c>
      <c r="G8" s="42">
        <v>97</v>
      </c>
      <c r="H8" s="42">
        <v>1473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5">
        <v>0</v>
      </c>
      <c r="S8" s="42">
        <v>0</v>
      </c>
      <c r="T8" s="42">
        <v>0</v>
      </c>
      <c r="U8" s="46">
        <v>0</v>
      </c>
      <c r="V8" s="38">
        <f aca="true" t="shared" si="0" ref="V8:V56">SUM(C8:U8)</f>
        <v>2852</v>
      </c>
    </row>
    <row r="9" spans="1:22" s="36" customFormat="1" ht="36">
      <c r="A9" s="150" t="s">
        <v>651</v>
      </c>
      <c r="B9" s="169" t="s">
        <v>57</v>
      </c>
      <c r="C9" s="34">
        <v>0</v>
      </c>
      <c r="D9" s="34">
        <v>0</v>
      </c>
      <c r="E9" s="35">
        <f>2415-1640</f>
        <v>775</v>
      </c>
      <c r="F9" s="35">
        <v>0</v>
      </c>
      <c r="G9" s="35">
        <v>0</v>
      </c>
      <c r="H9" s="35">
        <v>0</v>
      </c>
      <c r="I9" s="35">
        <v>0</v>
      </c>
      <c r="J9" s="35">
        <v>1640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1000</v>
      </c>
      <c r="S9" s="35">
        <v>0</v>
      </c>
      <c r="T9" s="35">
        <v>0</v>
      </c>
      <c r="U9" s="47">
        <v>0</v>
      </c>
      <c r="V9" s="38">
        <f t="shared" si="0"/>
        <v>3415</v>
      </c>
    </row>
    <row r="10" spans="1:22" s="36" customFormat="1" ht="24">
      <c r="A10" s="150" t="s">
        <v>652</v>
      </c>
      <c r="B10" s="169" t="s">
        <v>625</v>
      </c>
      <c r="C10" s="34">
        <v>0</v>
      </c>
      <c r="D10" s="34">
        <v>0</v>
      </c>
      <c r="E10" s="35">
        <v>9158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47">
        <v>0</v>
      </c>
      <c r="V10" s="38">
        <f t="shared" si="0"/>
        <v>9158</v>
      </c>
    </row>
    <row r="11" spans="1:22" s="36" customFormat="1" ht="24">
      <c r="A11" s="150" t="s">
        <v>653</v>
      </c>
      <c r="B11" s="169" t="s">
        <v>58</v>
      </c>
      <c r="C11" s="34">
        <v>0</v>
      </c>
      <c r="D11" s="34">
        <v>0</v>
      </c>
      <c r="E11" s="35">
        <v>25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f>3619190+532</f>
        <v>3619722</v>
      </c>
      <c r="S11" s="35">
        <v>0</v>
      </c>
      <c r="T11" s="35">
        <v>0</v>
      </c>
      <c r="U11" s="47">
        <v>0</v>
      </c>
      <c r="V11" s="38">
        <f t="shared" si="0"/>
        <v>3619747</v>
      </c>
    </row>
    <row r="12" spans="1:22" s="36" customFormat="1" ht="24">
      <c r="A12" s="150" t="s">
        <v>654</v>
      </c>
      <c r="B12" s="169" t="s">
        <v>566</v>
      </c>
      <c r="C12" s="34">
        <v>0</v>
      </c>
      <c r="D12" s="34">
        <v>0</v>
      </c>
      <c r="E12" s="35">
        <f>5872-5872</f>
        <v>0</v>
      </c>
      <c r="F12" s="35">
        <v>0</v>
      </c>
      <c r="G12" s="35">
        <v>0</v>
      </c>
      <c r="H12" s="35">
        <v>0</v>
      </c>
      <c r="I12" s="35">
        <v>0</v>
      </c>
      <c r="J12" s="35">
        <v>5872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47">
        <v>0</v>
      </c>
      <c r="V12" s="38">
        <f t="shared" si="0"/>
        <v>5872</v>
      </c>
    </row>
    <row r="13" spans="1:22" s="36" customFormat="1" ht="12">
      <c r="A13" s="150" t="s">
        <v>655</v>
      </c>
      <c r="B13" s="169" t="s">
        <v>626</v>
      </c>
      <c r="C13" s="34">
        <v>0</v>
      </c>
      <c r="D13" s="34">
        <v>0</v>
      </c>
      <c r="E13" s="35">
        <v>0</v>
      </c>
      <c r="F13" s="35">
        <v>0</v>
      </c>
      <c r="G13" s="35">
        <v>280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47">
        <v>0</v>
      </c>
      <c r="V13" s="38">
        <f t="shared" si="0"/>
        <v>280</v>
      </c>
    </row>
    <row r="14" spans="1:22" ht="12">
      <c r="A14" s="150" t="s">
        <v>656</v>
      </c>
      <c r="B14" s="169" t="s">
        <v>589</v>
      </c>
      <c r="C14" s="34">
        <f>25668+2</f>
        <v>25670</v>
      </c>
      <c r="D14" s="35">
        <v>6921</v>
      </c>
      <c r="E14" s="35">
        <f>97517+5219+1239-1208</f>
        <v>102767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f>7690-7620</f>
        <v>70</v>
      </c>
      <c r="S14" s="35">
        <v>0</v>
      </c>
      <c r="T14" s="35">
        <v>0</v>
      </c>
      <c r="U14" s="47">
        <v>0</v>
      </c>
      <c r="V14" s="38">
        <f t="shared" si="0"/>
        <v>135428</v>
      </c>
    </row>
    <row r="15" spans="1:22" s="36" customFormat="1" ht="24">
      <c r="A15" s="150" t="s">
        <v>657</v>
      </c>
      <c r="B15" s="169" t="s">
        <v>59</v>
      </c>
      <c r="C15" s="34">
        <v>0</v>
      </c>
      <c r="D15" s="34">
        <v>0</v>
      </c>
      <c r="E15" s="35">
        <f>17880+4271+466+3175</f>
        <v>25792</v>
      </c>
      <c r="F15" s="35">
        <v>0</v>
      </c>
      <c r="G15" s="35">
        <v>0</v>
      </c>
      <c r="H15" s="35">
        <v>0</v>
      </c>
      <c r="I15" s="35">
        <v>0</v>
      </c>
      <c r="J15" s="35">
        <v>42305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f>3000+80</f>
        <v>3080</v>
      </c>
      <c r="S15" s="35">
        <v>0</v>
      </c>
      <c r="T15" s="35">
        <v>475</v>
      </c>
      <c r="U15" s="47">
        <v>0</v>
      </c>
      <c r="V15" s="38">
        <f t="shared" si="0"/>
        <v>71652</v>
      </c>
    </row>
    <row r="16" spans="1:22" ht="12">
      <c r="A16" s="150" t="s">
        <v>658</v>
      </c>
      <c r="B16" s="169" t="s">
        <v>903</v>
      </c>
      <c r="C16" s="34">
        <f>16304+354+51+630</f>
        <v>17339</v>
      </c>
      <c r="D16" s="35">
        <f>4419+96+14+170</f>
        <v>4699</v>
      </c>
      <c r="E16" s="35">
        <f>21977+1460</f>
        <v>23437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47">
        <v>0</v>
      </c>
      <c r="V16" s="38">
        <f t="shared" si="0"/>
        <v>45475</v>
      </c>
    </row>
    <row r="17" spans="1:22" ht="12">
      <c r="A17" s="150" t="s">
        <v>659</v>
      </c>
      <c r="B17" s="169" t="s">
        <v>627</v>
      </c>
      <c r="C17" s="34">
        <v>0</v>
      </c>
      <c r="D17" s="35">
        <v>0</v>
      </c>
      <c r="E17" s="35">
        <f>550-400</f>
        <v>150</v>
      </c>
      <c r="F17" s="35">
        <v>0</v>
      </c>
      <c r="G17" s="35">
        <v>0</v>
      </c>
      <c r="H17" s="35">
        <v>0</v>
      </c>
      <c r="I17" s="35">
        <v>0</v>
      </c>
      <c r="J17" s="35">
        <f>19931+400</f>
        <v>20331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47">
        <v>0</v>
      </c>
      <c r="V17" s="38">
        <f t="shared" si="0"/>
        <v>20481</v>
      </c>
    </row>
    <row r="18" spans="1:22" ht="24">
      <c r="A18" s="150" t="s">
        <v>660</v>
      </c>
      <c r="B18" s="169" t="s">
        <v>60</v>
      </c>
      <c r="C18" s="34">
        <v>127</v>
      </c>
      <c r="D18" s="35">
        <v>2476</v>
      </c>
      <c r="E18" s="35">
        <f>9333+379-1215+4797</f>
        <v>13294</v>
      </c>
      <c r="F18" s="35">
        <v>0</v>
      </c>
      <c r="G18" s="35">
        <v>92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f>2300+96</f>
        <v>2396</v>
      </c>
      <c r="S18" s="35">
        <v>0</v>
      </c>
      <c r="T18" s="35">
        <v>0</v>
      </c>
      <c r="U18" s="47">
        <v>0</v>
      </c>
      <c r="V18" s="38">
        <f t="shared" si="0"/>
        <v>18385</v>
      </c>
    </row>
    <row r="19" spans="1:22" ht="12">
      <c r="A19" s="150" t="s">
        <v>661</v>
      </c>
      <c r="B19" s="169" t="s">
        <v>61</v>
      </c>
      <c r="C19" s="34">
        <v>4803</v>
      </c>
      <c r="D19" s="34">
        <v>1297</v>
      </c>
      <c r="E19" s="35">
        <v>13800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2000</v>
      </c>
      <c r="S19" s="35">
        <v>0</v>
      </c>
      <c r="T19" s="35">
        <v>0</v>
      </c>
      <c r="U19" s="47">
        <v>0</v>
      </c>
      <c r="V19" s="38">
        <f t="shared" si="0"/>
        <v>21900</v>
      </c>
    </row>
    <row r="20" spans="1:22" ht="24">
      <c r="A20" s="150" t="s">
        <v>662</v>
      </c>
      <c r="B20" s="169" t="s">
        <v>628</v>
      </c>
      <c r="C20" s="34">
        <v>10</v>
      </c>
      <c r="D20" s="34">
        <v>5</v>
      </c>
      <c r="E20" s="35">
        <f>950-15</f>
        <v>935</v>
      </c>
      <c r="F20" s="35">
        <v>0</v>
      </c>
      <c r="G20" s="35">
        <v>0</v>
      </c>
      <c r="H20" s="35">
        <v>0</v>
      </c>
      <c r="I20" s="35">
        <v>0</v>
      </c>
      <c r="J20" s="35">
        <v>4500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47">
        <v>0</v>
      </c>
      <c r="V20" s="38">
        <f t="shared" si="0"/>
        <v>5450</v>
      </c>
    </row>
    <row r="21" spans="1:22" ht="12">
      <c r="A21" s="150" t="s">
        <v>663</v>
      </c>
      <c r="B21" s="169" t="s">
        <v>629</v>
      </c>
      <c r="C21" s="35">
        <v>0</v>
      </c>
      <c r="D21" s="34">
        <v>0</v>
      </c>
      <c r="E21" s="35">
        <v>21564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47">
        <v>0</v>
      </c>
      <c r="V21" s="38">
        <f t="shared" si="0"/>
        <v>21564</v>
      </c>
    </row>
    <row r="22" spans="1:22" ht="12">
      <c r="A22" s="150" t="s">
        <v>664</v>
      </c>
      <c r="B22" s="169" t="s">
        <v>62</v>
      </c>
      <c r="C22" s="34">
        <v>192</v>
      </c>
      <c r="D22" s="34">
        <v>47</v>
      </c>
      <c r="E22" s="35">
        <f>13255+114+10-6890-80+100</f>
        <v>6509</v>
      </c>
      <c r="F22" s="35">
        <v>0</v>
      </c>
      <c r="G22" s="35">
        <v>0</v>
      </c>
      <c r="H22" s="35">
        <v>0</v>
      </c>
      <c r="I22" s="35">
        <v>0</v>
      </c>
      <c r="J22" s="35">
        <f>52450+6890-42305-100</f>
        <v>16935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f>439627-500</f>
        <v>439127</v>
      </c>
      <c r="S22" s="35">
        <v>0</v>
      </c>
      <c r="T22" s="35">
        <v>0</v>
      </c>
      <c r="U22" s="47">
        <v>0</v>
      </c>
      <c r="V22" s="38">
        <f t="shared" si="0"/>
        <v>462810</v>
      </c>
    </row>
    <row r="23" spans="1:22" ht="24">
      <c r="A23" s="150" t="s">
        <v>665</v>
      </c>
      <c r="B23" s="169" t="s">
        <v>630</v>
      </c>
      <c r="C23" s="34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1000</v>
      </c>
      <c r="L23" s="35">
        <f>500+2111</f>
        <v>2611</v>
      </c>
      <c r="M23" s="35">
        <f>105238-20513-16503-3030-3155-575-10-7145-14359-214-283-3000-35509-942</f>
        <v>0</v>
      </c>
      <c r="N23" s="35">
        <f>1000-278-114-92-1112-4500+13365+120-307-96-451-680-3000-3855</f>
        <v>0</v>
      </c>
      <c r="O23" s="35">
        <f>1596-1830+3134</f>
        <v>2900</v>
      </c>
      <c r="P23" s="35">
        <f>6000+3000-4500</f>
        <v>4500</v>
      </c>
      <c r="Q23" s="35">
        <v>0</v>
      </c>
      <c r="R23" s="35">
        <v>0</v>
      </c>
      <c r="S23" s="35">
        <v>0</v>
      </c>
      <c r="T23" s="35">
        <v>0</v>
      </c>
      <c r="U23" s="47">
        <v>0</v>
      </c>
      <c r="V23" s="38">
        <f t="shared" si="0"/>
        <v>11011</v>
      </c>
    </row>
    <row r="24" spans="1:22" ht="12">
      <c r="A24" s="150" t="s">
        <v>666</v>
      </c>
      <c r="B24" s="169" t="s">
        <v>63</v>
      </c>
      <c r="C24" s="34">
        <v>0</v>
      </c>
      <c r="D24" s="35">
        <v>0</v>
      </c>
      <c r="E24" s="35">
        <v>624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42">
        <v>0</v>
      </c>
      <c r="N24" s="35">
        <v>0</v>
      </c>
      <c r="O24" s="35">
        <v>0</v>
      </c>
      <c r="P24" s="35">
        <v>0</v>
      </c>
      <c r="Q24" s="35">
        <v>0</v>
      </c>
      <c r="R24" s="34">
        <f>10323-317</f>
        <v>10006</v>
      </c>
      <c r="S24" s="35">
        <v>0</v>
      </c>
      <c r="T24" s="35">
        <v>0</v>
      </c>
      <c r="U24" s="47">
        <v>0</v>
      </c>
      <c r="V24" s="38">
        <f t="shared" si="0"/>
        <v>10630</v>
      </c>
    </row>
    <row r="25" spans="1:22" ht="24">
      <c r="A25" s="150" t="s">
        <v>667</v>
      </c>
      <c r="B25" s="169" t="s">
        <v>64</v>
      </c>
      <c r="C25" s="34">
        <f>23139+26+226</f>
        <v>23391</v>
      </c>
      <c r="D25" s="35">
        <f>6237+7+61</f>
        <v>6305</v>
      </c>
      <c r="E25" s="35">
        <f>7398+94</f>
        <v>7492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4">
        <f>188+481</f>
        <v>669</v>
      </c>
      <c r="S25" s="35">
        <v>0</v>
      </c>
      <c r="T25" s="35">
        <v>0</v>
      </c>
      <c r="U25" s="47">
        <v>0</v>
      </c>
      <c r="V25" s="38">
        <f t="shared" si="0"/>
        <v>37857</v>
      </c>
    </row>
    <row r="26" spans="1:22" ht="24">
      <c r="A26" s="150" t="s">
        <v>668</v>
      </c>
      <c r="B26" s="169" t="s">
        <v>65</v>
      </c>
      <c r="C26" s="34">
        <v>0</v>
      </c>
      <c r="D26" s="34">
        <v>0</v>
      </c>
      <c r="E26" s="35">
        <v>1000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4">
        <v>0</v>
      </c>
      <c r="S26" s="35">
        <v>0</v>
      </c>
      <c r="T26" s="35">
        <v>0</v>
      </c>
      <c r="U26" s="47">
        <v>0</v>
      </c>
      <c r="V26" s="38">
        <f t="shared" si="0"/>
        <v>1000</v>
      </c>
    </row>
    <row r="27" spans="1:23" ht="12">
      <c r="A27" s="150" t="s">
        <v>669</v>
      </c>
      <c r="B27" s="169" t="s">
        <v>66</v>
      </c>
      <c r="C27" s="34">
        <f>1546-790-756</f>
        <v>0</v>
      </c>
      <c r="D27" s="34">
        <f>209-107-102</f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4">
        <f>5277-4642</f>
        <v>635</v>
      </c>
      <c r="S27" s="35">
        <v>0</v>
      </c>
      <c r="T27" s="35">
        <v>0</v>
      </c>
      <c r="U27" s="47">
        <v>0</v>
      </c>
      <c r="V27" s="38">
        <f t="shared" si="0"/>
        <v>635</v>
      </c>
      <c r="W27" s="39"/>
    </row>
    <row r="28" spans="1:23" ht="15" customHeight="1">
      <c r="A28" s="979" t="s">
        <v>67</v>
      </c>
      <c r="B28" s="169" t="s">
        <v>631</v>
      </c>
      <c r="C28" s="35">
        <v>0</v>
      </c>
      <c r="D28" s="35">
        <v>0</v>
      </c>
      <c r="E28" s="35">
        <v>360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8">
        <f t="shared" si="0"/>
        <v>360</v>
      </c>
      <c r="W28" s="39"/>
    </row>
    <row r="29" spans="1:22" ht="14.25" customHeight="1">
      <c r="A29" s="979"/>
      <c r="B29" s="169" t="s">
        <v>632</v>
      </c>
      <c r="C29" s="35">
        <f>11106+34+595</f>
        <v>11735</v>
      </c>
      <c r="D29" s="35">
        <f>2999+9+160</f>
        <v>3168</v>
      </c>
      <c r="E29" s="35">
        <f>13283+1261</f>
        <v>14544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216</v>
      </c>
      <c r="S29" s="35">
        <v>0</v>
      </c>
      <c r="T29" s="35">
        <v>0</v>
      </c>
      <c r="U29" s="35">
        <v>0</v>
      </c>
      <c r="V29" s="38">
        <f t="shared" si="0"/>
        <v>29663</v>
      </c>
    </row>
    <row r="30" spans="1:22" ht="12" customHeight="1">
      <c r="A30" s="979"/>
      <c r="B30" s="169" t="s">
        <v>633</v>
      </c>
      <c r="C30" s="35">
        <v>0</v>
      </c>
      <c r="D30" s="35">
        <v>0</v>
      </c>
      <c r="E30" s="35">
        <v>120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8">
        <f t="shared" si="0"/>
        <v>120</v>
      </c>
    </row>
    <row r="31" spans="1:22" s="36" customFormat="1" ht="24">
      <c r="A31" s="979"/>
      <c r="B31" s="169" t="s">
        <v>704</v>
      </c>
      <c r="C31" s="35">
        <f>10893+39+521</f>
        <v>11453</v>
      </c>
      <c r="D31" s="35">
        <f>2942+11+141</f>
        <v>3094</v>
      </c>
      <c r="E31" s="35">
        <f>1356+302+21</f>
        <v>1679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f>13+1528</f>
        <v>1541</v>
      </c>
      <c r="S31" s="35">
        <v>0</v>
      </c>
      <c r="T31" s="35">
        <v>0</v>
      </c>
      <c r="U31" s="35">
        <v>0</v>
      </c>
      <c r="V31" s="38">
        <f t="shared" si="0"/>
        <v>17767</v>
      </c>
    </row>
    <row r="32" spans="1:22" s="36" customFormat="1" ht="24" customHeight="1">
      <c r="A32" s="978" t="s">
        <v>75</v>
      </c>
      <c r="B32" s="170" t="s">
        <v>68</v>
      </c>
      <c r="C32" s="35">
        <v>0</v>
      </c>
      <c r="D32" s="35">
        <v>0</v>
      </c>
      <c r="E32" s="35">
        <v>16471</v>
      </c>
      <c r="F32" s="35">
        <v>0</v>
      </c>
      <c r="G32" s="35">
        <v>0</v>
      </c>
      <c r="H32" s="35">
        <v>0</v>
      </c>
      <c r="I32" s="35">
        <v>0</v>
      </c>
      <c r="J32" s="35">
        <v>17872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8">
        <f t="shared" si="0"/>
        <v>34343</v>
      </c>
    </row>
    <row r="33" spans="1:22" s="36" customFormat="1" ht="12">
      <c r="A33" s="978"/>
      <c r="B33" s="170" t="s">
        <v>69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2292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8">
        <f t="shared" si="0"/>
        <v>2292</v>
      </c>
    </row>
    <row r="34" spans="1:22" s="36" customFormat="1" ht="24">
      <c r="A34" s="978"/>
      <c r="B34" s="170" t="s">
        <v>70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2763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8">
        <f t="shared" si="0"/>
        <v>2763</v>
      </c>
    </row>
    <row r="35" spans="1:22" s="36" customFormat="1" ht="12">
      <c r="A35" s="978"/>
      <c r="B35" s="170" t="s">
        <v>71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13199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8">
        <f t="shared" si="0"/>
        <v>13199</v>
      </c>
    </row>
    <row r="36" spans="1:22" s="36" customFormat="1" ht="12">
      <c r="A36" s="978"/>
      <c r="B36" s="170" t="s">
        <v>72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3689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8">
        <f t="shared" si="0"/>
        <v>3689</v>
      </c>
    </row>
    <row r="37" spans="1:22" ht="12">
      <c r="A37" s="978"/>
      <c r="B37" s="169" t="s">
        <v>728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186">
        <v>0</v>
      </c>
      <c r="I37" s="186">
        <v>0</v>
      </c>
      <c r="J37" s="35">
        <v>5090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8">
        <f t="shared" si="0"/>
        <v>5090</v>
      </c>
    </row>
    <row r="38" spans="1:22" ht="12">
      <c r="A38" s="978"/>
      <c r="B38" s="169" t="s">
        <v>729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186">
        <v>0</v>
      </c>
      <c r="I38" s="186">
        <v>0</v>
      </c>
      <c r="J38" s="35">
        <v>2753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8">
        <f t="shared" si="0"/>
        <v>2753</v>
      </c>
    </row>
    <row r="39" spans="1:22" ht="12">
      <c r="A39" s="978"/>
      <c r="B39" s="169" t="s">
        <v>73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186">
        <v>0</v>
      </c>
      <c r="I39" s="186">
        <v>0</v>
      </c>
      <c r="J39" s="35">
        <v>8692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8">
        <f t="shared" si="0"/>
        <v>8692</v>
      </c>
    </row>
    <row r="40" spans="1:22" ht="24">
      <c r="A40" s="978"/>
      <c r="B40" s="169" t="s">
        <v>74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565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8">
        <f t="shared" si="0"/>
        <v>565</v>
      </c>
    </row>
    <row r="41" spans="1:22" ht="24">
      <c r="A41" s="150" t="s">
        <v>787</v>
      </c>
      <c r="B41" s="169" t="s">
        <v>97</v>
      </c>
      <c r="C41" s="35">
        <v>0</v>
      </c>
      <c r="D41" s="35">
        <v>0</v>
      </c>
      <c r="E41" s="35">
        <v>0</v>
      </c>
      <c r="F41" s="35">
        <v>2800</v>
      </c>
      <c r="G41" s="35">
        <v>0</v>
      </c>
      <c r="H41" s="186">
        <v>0</v>
      </c>
      <c r="I41" s="186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8">
        <f t="shared" si="0"/>
        <v>2800</v>
      </c>
    </row>
    <row r="42" spans="1:22" ht="12.75" customHeight="1">
      <c r="A42" s="967" t="s">
        <v>78</v>
      </c>
      <c r="B42" s="169" t="s">
        <v>76</v>
      </c>
      <c r="C42" s="35">
        <v>45927</v>
      </c>
      <c r="D42" s="35">
        <v>6200</v>
      </c>
      <c r="E42" s="35">
        <f>4912+295</f>
        <v>5207</v>
      </c>
      <c r="F42" s="35">
        <v>0</v>
      </c>
      <c r="G42" s="35">
        <v>0</v>
      </c>
      <c r="H42" s="186">
        <v>0</v>
      </c>
      <c r="I42" s="186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8">
        <f t="shared" si="0"/>
        <v>57334</v>
      </c>
    </row>
    <row r="43" spans="1:22" ht="12">
      <c r="A43" s="968"/>
      <c r="B43" s="169" t="s">
        <v>1140</v>
      </c>
      <c r="C43" s="35">
        <v>10860</v>
      </c>
      <c r="D43" s="35">
        <v>1466</v>
      </c>
      <c r="E43" s="35">
        <v>432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8">
        <f t="shared" si="0"/>
        <v>12758</v>
      </c>
    </row>
    <row r="44" spans="1:22" ht="12">
      <c r="A44" s="968"/>
      <c r="B44" s="169" t="s">
        <v>77</v>
      </c>
      <c r="C44" s="35">
        <f>31516+45924+34802</f>
        <v>112242</v>
      </c>
      <c r="D44" s="35">
        <f>4255+6200+4698</f>
        <v>15153</v>
      </c>
      <c r="E44" s="35">
        <f>9477+3018+12-9718+6545+6360</f>
        <v>15694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f>9718+2695+2507-295</f>
        <v>14625</v>
      </c>
      <c r="S44" s="35">
        <v>0</v>
      </c>
      <c r="T44" s="35">
        <v>0</v>
      </c>
      <c r="U44" s="35">
        <v>0</v>
      </c>
      <c r="V44" s="38">
        <f t="shared" si="0"/>
        <v>157714</v>
      </c>
    </row>
    <row r="45" spans="1:22" ht="12">
      <c r="A45" s="968"/>
      <c r="B45" s="169" t="s">
        <v>908</v>
      </c>
      <c r="C45" s="35">
        <f>15769+12384+15848</f>
        <v>44001</v>
      </c>
      <c r="D45" s="35">
        <f>2129+1672+2139</f>
        <v>5940</v>
      </c>
      <c r="E45" s="35">
        <f>454-295</f>
        <v>159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295</v>
      </c>
      <c r="S45" s="35">
        <v>0</v>
      </c>
      <c r="T45" s="35">
        <v>0</v>
      </c>
      <c r="U45" s="35">
        <v>0</v>
      </c>
      <c r="V45" s="38">
        <f>SUM(C45:U45)</f>
        <v>50395</v>
      </c>
    </row>
    <row r="46" spans="1:22" ht="12" customHeight="1">
      <c r="A46" s="969"/>
      <c r="B46" s="169" t="s">
        <v>724</v>
      </c>
      <c r="C46" s="35">
        <f>1381-2</f>
        <v>1379</v>
      </c>
      <c r="D46" s="35">
        <f>186+2</f>
        <v>188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8">
        <f>SUM(C46:U46)</f>
        <v>1567</v>
      </c>
    </row>
    <row r="47" spans="1:22" ht="12">
      <c r="A47" s="150">
        <v>25</v>
      </c>
      <c r="B47" s="169" t="s">
        <v>634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f>5130-1061</f>
        <v>4069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f>278+45</f>
        <v>323</v>
      </c>
      <c r="U47" s="35">
        <v>0</v>
      </c>
      <c r="V47" s="38">
        <f t="shared" si="0"/>
        <v>4392</v>
      </c>
    </row>
    <row r="48" spans="1:22" ht="12">
      <c r="A48" s="150" t="s">
        <v>733</v>
      </c>
      <c r="B48" s="169" t="s">
        <v>902</v>
      </c>
      <c r="C48" s="35"/>
      <c r="D48" s="35"/>
      <c r="E48" s="35"/>
      <c r="F48" s="35"/>
      <c r="G48" s="35"/>
      <c r="H48" s="35"/>
      <c r="I48" s="35">
        <v>0</v>
      </c>
      <c r="J48" s="35">
        <v>1061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8">
        <f t="shared" si="0"/>
        <v>1061</v>
      </c>
    </row>
    <row r="49" spans="1:22" ht="12">
      <c r="A49" s="150" t="s">
        <v>794</v>
      </c>
      <c r="B49" s="169" t="s">
        <v>87</v>
      </c>
      <c r="C49" s="35">
        <v>0</v>
      </c>
      <c r="D49" s="35">
        <v>0</v>
      </c>
      <c r="E49" s="35">
        <v>47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8">
        <f t="shared" si="0"/>
        <v>47</v>
      </c>
    </row>
    <row r="50" spans="1:22" ht="35.25" customHeight="1">
      <c r="A50" s="150" t="s">
        <v>672</v>
      </c>
      <c r="B50" s="169" t="s">
        <v>79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f>5979-500</f>
        <v>5479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13471</v>
      </c>
      <c r="S50" s="35">
        <v>0</v>
      </c>
      <c r="T50" s="35">
        <f>156+500</f>
        <v>656</v>
      </c>
      <c r="U50" s="35">
        <v>0</v>
      </c>
      <c r="V50" s="38">
        <f t="shared" si="0"/>
        <v>19606</v>
      </c>
    </row>
    <row r="51" spans="1:22" ht="24">
      <c r="A51" s="150" t="s">
        <v>673</v>
      </c>
      <c r="B51" s="169" t="s">
        <v>80</v>
      </c>
      <c r="C51" s="35">
        <v>0</v>
      </c>
      <c r="D51" s="35">
        <v>0</v>
      </c>
      <c r="E51" s="35">
        <f>3625-3625</f>
        <v>0</v>
      </c>
      <c r="F51" s="35">
        <v>0</v>
      </c>
      <c r="G51" s="35">
        <v>0</v>
      </c>
      <c r="H51" s="35">
        <v>0</v>
      </c>
      <c r="I51" s="35">
        <v>0</v>
      </c>
      <c r="J51" s="35">
        <v>34860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f>70-70</f>
        <v>0</v>
      </c>
      <c r="S51" s="35">
        <v>0</v>
      </c>
      <c r="T51" s="35">
        <v>0</v>
      </c>
      <c r="U51" s="35">
        <v>0</v>
      </c>
      <c r="V51" s="38">
        <f t="shared" si="0"/>
        <v>34860</v>
      </c>
    </row>
    <row r="52" spans="1:22" ht="24">
      <c r="A52" s="809" t="s">
        <v>674</v>
      </c>
      <c r="B52" s="810" t="s">
        <v>911</v>
      </c>
      <c r="C52" s="811">
        <v>0</v>
      </c>
      <c r="D52" s="812">
        <v>0</v>
      </c>
      <c r="E52" s="812">
        <v>0</v>
      </c>
      <c r="F52" s="812">
        <v>0</v>
      </c>
      <c r="G52" s="812">
        <v>0</v>
      </c>
      <c r="H52" s="812">
        <v>0</v>
      </c>
      <c r="I52" s="812">
        <v>1945</v>
      </c>
      <c r="J52" s="812">
        <v>0</v>
      </c>
      <c r="K52" s="812">
        <v>0</v>
      </c>
      <c r="L52" s="812">
        <v>0</v>
      </c>
      <c r="M52" s="812">
        <v>0</v>
      </c>
      <c r="N52" s="812">
        <v>0</v>
      </c>
      <c r="O52" s="812">
        <v>0</v>
      </c>
      <c r="P52" s="812">
        <v>0</v>
      </c>
      <c r="Q52" s="812">
        <v>0</v>
      </c>
      <c r="R52" s="812">
        <v>0</v>
      </c>
      <c r="S52" s="812">
        <v>0</v>
      </c>
      <c r="T52" s="812">
        <v>0</v>
      </c>
      <c r="U52" s="812">
        <v>0</v>
      </c>
      <c r="V52" s="38">
        <f t="shared" si="0"/>
        <v>1945</v>
      </c>
    </row>
    <row r="53" spans="1:22" ht="24">
      <c r="A53" s="809" t="s">
        <v>796</v>
      </c>
      <c r="B53" s="810" t="s">
        <v>894</v>
      </c>
      <c r="C53" s="811">
        <v>0</v>
      </c>
      <c r="D53" s="812">
        <v>0</v>
      </c>
      <c r="E53" s="812">
        <v>0</v>
      </c>
      <c r="F53" s="812">
        <v>0</v>
      </c>
      <c r="G53" s="812">
        <v>0</v>
      </c>
      <c r="H53" s="812">
        <v>0</v>
      </c>
      <c r="I53" s="812">
        <v>10000</v>
      </c>
      <c r="J53" s="812">
        <v>0</v>
      </c>
      <c r="K53" s="812">
        <v>0</v>
      </c>
      <c r="L53" s="812">
        <v>0</v>
      </c>
      <c r="M53" s="812">
        <v>0</v>
      </c>
      <c r="N53" s="812">
        <v>0</v>
      </c>
      <c r="O53" s="812">
        <v>0</v>
      </c>
      <c r="P53" s="812">
        <v>0</v>
      </c>
      <c r="Q53" s="812">
        <v>0</v>
      </c>
      <c r="R53" s="812">
        <v>0</v>
      </c>
      <c r="S53" s="812">
        <v>0</v>
      </c>
      <c r="T53" s="812">
        <v>0</v>
      </c>
      <c r="U53" s="812">
        <v>0</v>
      </c>
      <c r="V53" s="38">
        <f t="shared" si="0"/>
        <v>10000</v>
      </c>
    </row>
    <row r="54" spans="1:22" ht="12">
      <c r="A54" s="809" t="s">
        <v>675</v>
      </c>
      <c r="B54" s="810" t="s">
        <v>899</v>
      </c>
      <c r="C54" s="811">
        <v>0</v>
      </c>
      <c r="D54" s="812">
        <v>0</v>
      </c>
      <c r="E54" s="812">
        <v>27</v>
      </c>
      <c r="F54" s="812">
        <v>0</v>
      </c>
      <c r="G54" s="812">
        <v>0</v>
      </c>
      <c r="H54" s="812">
        <v>0</v>
      </c>
      <c r="I54" s="812">
        <v>0</v>
      </c>
      <c r="J54" s="812">
        <v>0</v>
      </c>
      <c r="K54" s="812">
        <v>0</v>
      </c>
      <c r="L54" s="812">
        <v>0</v>
      </c>
      <c r="M54" s="812">
        <v>0</v>
      </c>
      <c r="N54" s="812">
        <v>0</v>
      </c>
      <c r="O54" s="812">
        <v>0</v>
      </c>
      <c r="P54" s="812">
        <v>0</v>
      </c>
      <c r="Q54" s="812">
        <f>20513+256</f>
        <v>20769</v>
      </c>
      <c r="R54" s="812">
        <v>0</v>
      </c>
      <c r="S54" s="812">
        <v>0</v>
      </c>
      <c r="T54" s="812">
        <v>0</v>
      </c>
      <c r="U54" s="812">
        <v>0</v>
      </c>
      <c r="V54" s="38">
        <f t="shared" si="0"/>
        <v>20796</v>
      </c>
    </row>
    <row r="55" spans="1:22" ht="12">
      <c r="A55" s="809" t="s">
        <v>703</v>
      </c>
      <c r="B55" s="810" t="s">
        <v>900</v>
      </c>
      <c r="C55" s="811">
        <v>0</v>
      </c>
      <c r="D55" s="812">
        <v>0</v>
      </c>
      <c r="E55" s="812">
        <v>2077</v>
      </c>
      <c r="F55" s="812">
        <v>0</v>
      </c>
      <c r="G55" s="812">
        <v>0</v>
      </c>
      <c r="H55" s="812">
        <v>0</v>
      </c>
      <c r="I55" s="812">
        <v>0</v>
      </c>
      <c r="J55" s="812">
        <v>0</v>
      </c>
      <c r="K55" s="812">
        <v>0</v>
      </c>
      <c r="L55" s="812">
        <v>0</v>
      </c>
      <c r="M55" s="812">
        <v>0</v>
      </c>
      <c r="N55" s="812">
        <v>0</v>
      </c>
      <c r="O55" s="812">
        <v>0</v>
      </c>
      <c r="P55" s="812">
        <v>0</v>
      </c>
      <c r="Q55" s="812">
        <v>0</v>
      </c>
      <c r="R55" s="812">
        <v>0</v>
      </c>
      <c r="S55" s="812">
        <v>0</v>
      </c>
      <c r="T55" s="812">
        <v>0</v>
      </c>
      <c r="U55" s="812">
        <f>1034+187176</f>
        <v>188210</v>
      </c>
      <c r="V55" s="38">
        <f t="shared" si="0"/>
        <v>190287</v>
      </c>
    </row>
    <row r="56" spans="1:22" ht="12">
      <c r="A56" s="809" t="s">
        <v>800</v>
      </c>
      <c r="B56" s="810" t="s">
        <v>475</v>
      </c>
      <c r="C56" s="811">
        <v>2276</v>
      </c>
      <c r="D56" s="812">
        <v>615</v>
      </c>
      <c r="E56" s="812">
        <v>5698</v>
      </c>
      <c r="F56" s="812">
        <v>0</v>
      </c>
      <c r="G56" s="812">
        <v>0</v>
      </c>
      <c r="H56" s="812">
        <v>0</v>
      </c>
      <c r="I56" s="812">
        <v>0</v>
      </c>
      <c r="J56" s="812">
        <v>0</v>
      </c>
      <c r="K56" s="812">
        <v>0</v>
      </c>
      <c r="L56" s="812">
        <v>0</v>
      </c>
      <c r="M56" s="812">
        <v>0</v>
      </c>
      <c r="N56" s="812">
        <v>0</v>
      </c>
      <c r="O56" s="812">
        <v>0</v>
      </c>
      <c r="P56" s="812">
        <v>0</v>
      </c>
      <c r="Q56" s="812">
        <v>0</v>
      </c>
      <c r="R56" s="812">
        <v>1568</v>
      </c>
      <c r="S56" s="812">
        <f>15731+7487</f>
        <v>23218</v>
      </c>
      <c r="T56" s="812">
        <v>0</v>
      </c>
      <c r="U56" s="812">
        <v>0</v>
      </c>
      <c r="V56" s="38">
        <f t="shared" si="0"/>
        <v>33375</v>
      </c>
    </row>
    <row r="57" spans="1:25" s="171" customFormat="1" ht="13.5" thickBot="1">
      <c r="A57" s="173" t="s">
        <v>801</v>
      </c>
      <c r="B57" s="174" t="s">
        <v>611</v>
      </c>
      <c r="C57" s="175">
        <f aca="true" t="shared" si="1" ref="C57:N57">SUM(C8:C56)</f>
        <v>311405</v>
      </c>
      <c r="D57" s="176">
        <f t="shared" si="1"/>
        <v>57574</v>
      </c>
      <c r="E57" s="176">
        <f t="shared" si="1"/>
        <v>291119</v>
      </c>
      <c r="F57" s="176">
        <f t="shared" si="1"/>
        <v>2800</v>
      </c>
      <c r="G57" s="176">
        <f t="shared" si="1"/>
        <v>469</v>
      </c>
      <c r="H57" s="176">
        <f t="shared" si="1"/>
        <v>1473</v>
      </c>
      <c r="I57" s="176">
        <f t="shared" si="1"/>
        <v>11945</v>
      </c>
      <c r="J57" s="176">
        <f t="shared" si="1"/>
        <v>193967</v>
      </c>
      <c r="K57" s="176">
        <f t="shared" si="1"/>
        <v>1000</v>
      </c>
      <c r="L57" s="176">
        <f t="shared" si="1"/>
        <v>2611</v>
      </c>
      <c r="M57" s="176">
        <f t="shared" si="1"/>
        <v>0</v>
      </c>
      <c r="N57" s="176">
        <f t="shared" si="1"/>
        <v>0</v>
      </c>
      <c r="O57" s="176">
        <f>SUM(O8:O51)</f>
        <v>2900</v>
      </c>
      <c r="P57" s="176">
        <f aca="true" t="shared" si="2" ref="P57:V57">SUM(P8:P56)</f>
        <v>4500</v>
      </c>
      <c r="Q57" s="176">
        <f t="shared" si="2"/>
        <v>20769</v>
      </c>
      <c r="R57" s="176">
        <f t="shared" si="2"/>
        <v>4110421</v>
      </c>
      <c r="S57" s="176">
        <f t="shared" si="2"/>
        <v>23218</v>
      </c>
      <c r="T57" s="176">
        <f t="shared" si="2"/>
        <v>1454</v>
      </c>
      <c r="U57" s="176">
        <f t="shared" si="2"/>
        <v>188210</v>
      </c>
      <c r="V57" s="177">
        <f t="shared" si="2"/>
        <v>5225835</v>
      </c>
      <c r="W57" s="178">
        <f>SUM(C57:U57)</f>
        <v>5225835</v>
      </c>
      <c r="X57" s="172"/>
      <c r="Y57" s="172"/>
    </row>
  </sheetData>
  <sheetProtection/>
  <mergeCells count="28">
    <mergeCell ref="D5:D6"/>
    <mergeCell ref="G5:G6"/>
    <mergeCell ref="V4:V6"/>
    <mergeCell ref="U5:U6"/>
    <mergeCell ref="S5:S6"/>
    <mergeCell ref="O5:O6"/>
    <mergeCell ref="I5:I6"/>
    <mergeCell ref="R5:R6"/>
    <mergeCell ref="P1:V1"/>
    <mergeCell ref="A32:A40"/>
    <mergeCell ref="A28:A31"/>
    <mergeCell ref="J5:J6"/>
    <mergeCell ref="F5:F6"/>
    <mergeCell ref="H5:H6"/>
    <mergeCell ref="B2:V2"/>
    <mergeCell ref="A4:A7"/>
    <mergeCell ref="L5:L6"/>
    <mergeCell ref="Q5:Q6"/>
    <mergeCell ref="A42:A46"/>
    <mergeCell ref="M5:M6"/>
    <mergeCell ref="E5:E6"/>
    <mergeCell ref="B4:B6"/>
    <mergeCell ref="C4:U4"/>
    <mergeCell ref="T5:T6"/>
    <mergeCell ref="K5:K6"/>
    <mergeCell ref="P5:P6"/>
    <mergeCell ref="N5:N6"/>
    <mergeCell ref="C5:C6"/>
  </mergeCells>
  <printOptions horizontalCentered="1"/>
  <pageMargins left="0.07874015748031496" right="0.07874015748031496" top="0.984251968503937" bottom="0.984251968503937" header="0.11811023622047245" footer="0.1968503937007874"/>
  <pageSetup horizontalDpi="600" verticalDpi="600" orientation="landscape" paperSize="9" scale="64" r:id="rId1"/>
  <rowBreaks count="1" manualBreakCount="1">
    <brk id="3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A81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10.375" style="0" customWidth="1"/>
    <col min="2" max="2" width="31.75390625" style="0" customWidth="1"/>
    <col min="3" max="3" width="14.375" style="0" customWidth="1"/>
    <col min="4" max="6" width="13.75390625" style="0" bestFit="1" customWidth="1"/>
    <col min="7" max="11" width="12.875" style="0" customWidth="1"/>
    <col min="12" max="12" width="15.00390625" style="0" customWidth="1"/>
    <col min="13" max="13" width="17.00390625" style="0" bestFit="1" customWidth="1"/>
  </cols>
  <sheetData>
    <row r="1" spans="1:21" ht="12.75">
      <c r="A1" s="224"/>
      <c r="B1" s="225"/>
      <c r="C1" s="226"/>
      <c r="D1" s="226"/>
      <c r="E1" s="226"/>
      <c r="F1" s="226"/>
      <c r="G1" s="989" t="s">
        <v>1131</v>
      </c>
      <c r="H1" s="989"/>
      <c r="I1" s="990"/>
      <c r="J1" s="990"/>
      <c r="K1" s="990"/>
      <c r="L1" s="990"/>
      <c r="M1" s="990"/>
      <c r="N1" s="225"/>
      <c r="O1" s="225"/>
      <c r="P1" s="225"/>
      <c r="Q1" s="225"/>
      <c r="R1" s="229"/>
      <c r="S1" s="229"/>
      <c r="T1" s="229"/>
      <c r="U1" s="225"/>
    </row>
    <row r="2" spans="1:21" ht="12.75">
      <c r="A2" s="224"/>
      <c r="B2" s="225"/>
      <c r="C2" s="226"/>
      <c r="D2" s="226"/>
      <c r="E2" s="226"/>
      <c r="F2" s="226"/>
      <c r="G2" s="227"/>
      <c r="H2" s="227"/>
      <c r="I2" s="228"/>
      <c r="J2" s="228"/>
      <c r="K2" s="228"/>
      <c r="L2" s="228"/>
      <c r="M2" s="228"/>
      <c r="N2" s="225"/>
      <c r="O2" s="225"/>
      <c r="P2" s="225"/>
      <c r="Q2" s="225"/>
      <c r="R2" s="229"/>
      <c r="S2" s="229"/>
      <c r="T2" s="229"/>
      <c r="U2" s="225"/>
    </row>
    <row r="3" spans="1:27" ht="15.75" customHeight="1">
      <c r="A3" s="994" t="s">
        <v>883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</row>
    <row r="4" spans="1:27" ht="13.5" thickBot="1">
      <c r="A4" s="994"/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</row>
    <row r="5" spans="1:27" ht="16.5" thickBot="1">
      <c r="A5" s="1016" t="s">
        <v>698</v>
      </c>
      <c r="B5" s="1013" t="s">
        <v>607</v>
      </c>
      <c r="C5" s="1019" t="s">
        <v>773</v>
      </c>
      <c r="D5" s="1019"/>
      <c r="E5" s="1019"/>
      <c r="F5" s="1019"/>
      <c r="G5" s="1019"/>
      <c r="H5" s="1019"/>
      <c r="I5" s="1019"/>
      <c r="J5" s="1019"/>
      <c r="K5" s="1019"/>
      <c r="L5" s="1019"/>
      <c r="M5" s="1020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32"/>
    </row>
    <row r="6" spans="1:13" ht="12.75" customHeight="1">
      <c r="A6" s="1017"/>
      <c r="B6" s="1014"/>
      <c r="C6" s="995" t="s">
        <v>774</v>
      </c>
      <c r="D6" s="998" t="s">
        <v>775</v>
      </c>
      <c r="E6" s="999"/>
      <c r="F6" s="1000"/>
      <c r="G6" s="998" t="s">
        <v>776</v>
      </c>
      <c r="H6" s="999"/>
      <c r="I6" s="1000"/>
      <c r="J6" s="998" t="s">
        <v>777</v>
      </c>
      <c r="K6" s="999"/>
      <c r="L6" s="1000"/>
      <c r="M6" s="991" t="s">
        <v>616</v>
      </c>
    </row>
    <row r="7" spans="1:13" ht="12.75" customHeight="1">
      <c r="A7" s="1017"/>
      <c r="B7" s="1014"/>
      <c r="C7" s="996"/>
      <c r="D7" s="1001"/>
      <c r="E7" s="1002"/>
      <c r="F7" s="1003"/>
      <c r="G7" s="1001"/>
      <c r="H7" s="1002"/>
      <c r="I7" s="1003"/>
      <c r="J7" s="1001"/>
      <c r="K7" s="1002"/>
      <c r="L7" s="1003"/>
      <c r="M7" s="992"/>
    </row>
    <row r="8" spans="1:13" ht="24" customHeight="1" thickBot="1">
      <c r="A8" s="1018"/>
      <c r="B8" s="1015"/>
      <c r="C8" s="997"/>
      <c r="D8" s="734" t="s">
        <v>88</v>
      </c>
      <c r="E8" s="735" t="s">
        <v>89</v>
      </c>
      <c r="F8" s="416" t="s">
        <v>90</v>
      </c>
      <c r="G8" s="736" t="s">
        <v>88</v>
      </c>
      <c r="H8" s="735" t="s">
        <v>89</v>
      </c>
      <c r="I8" s="416" t="s">
        <v>90</v>
      </c>
      <c r="J8" s="736" t="s">
        <v>88</v>
      </c>
      <c r="K8" s="735" t="s">
        <v>89</v>
      </c>
      <c r="L8" s="416" t="s">
        <v>90</v>
      </c>
      <c r="M8" s="993"/>
    </row>
    <row r="9" spans="1:13" ht="13.5" thickBot="1">
      <c r="A9" s="731"/>
      <c r="B9" s="1021" t="s">
        <v>778</v>
      </c>
      <c r="C9" s="1022"/>
      <c r="D9" s="1022"/>
      <c r="E9" s="1022"/>
      <c r="F9" s="1022"/>
      <c r="G9" s="1022"/>
      <c r="H9" s="1022"/>
      <c r="I9" s="1022"/>
      <c r="J9" s="1022"/>
      <c r="K9" s="1022"/>
      <c r="L9" s="1022"/>
      <c r="M9" s="1023"/>
    </row>
    <row r="10" spans="1:13" ht="29.25" customHeight="1">
      <c r="A10" s="732" t="s">
        <v>650</v>
      </c>
      <c r="B10" s="733" t="s">
        <v>702</v>
      </c>
      <c r="C10" s="383" t="s">
        <v>779</v>
      </c>
      <c r="D10" s="381">
        <f>3794-942</f>
        <v>2852</v>
      </c>
      <c r="E10" s="382"/>
      <c r="F10" s="383">
        <f>SUM(D10:E10)</f>
        <v>2852</v>
      </c>
      <c r="G10" s="394"/>
      <c r="H10" s="382"/>
      <c r="I10" s="400">
        <f>SUM(G10:H10)</f>
        <v>0</v>
      </c>
      <c r="J10" s="392"/>
      <c r="K10" s="393"/>
      <c r="L10" s="400">
        <f>SUM(J10:K10)</f>
        <v>0</v>
      </c>
      <c r="M10" s="739">
        <f>SUM(F10+I10+L10)</f>
        <v>2852</v>
      </c>
    </row>
    <row r="11" spans="1:13" ht="39.75" customHeight="1">
      <c r="A11" s="233" t="s">
        <v>651</v>
      </c>
      <c r="B11" s="721" t="s">
        <v>57</v>
      </c>
      <c r="C11" s="415" t="s">
        <v>780</v>
      </c>
      <c r="D11" s="384">
        <v>2415</v>
      </c>
      <c r="E11" s="385">
        <v>1000</v>
      </c>
      <c r="F11" s="386">
        <f aca="true" t="shared" si="0" ref="F11:F29">SUM(D11:E11)</f>
        <v>3415</v>
      </c>
      <c r="G11" s="395"/>
      <c r="H11" s="385"/>
      <c r="I11" s="386">
        <f>SUM(G11:H11)</f>
        <v>0</v>
      </c>
      <c r="J11" s="235"/>
      <c r="K11" s="236"/>
      <c r="L11" s="386">
        <f>SUM(J11:K11)</f>
        <v>0</v>
      </c>
      <c r="M11" s="740">
        <f>SUM(F11+I11+L11)</f>
        <v>3415</v>
      </c>
    </row>
    <row r="12" spans="1:13" ht="31.5" customHeight="1">
      <c r="A12" s="233" t="s">
        <v>652</v>
      </c>
      <c r="B12" s="721" t="s">
        <v>625</v>
      </c>
      <c r="C12" s="415" t="s">
        <v>781</v>
      </c>
      <c r="D12" s="384">
        <v>9158</v>
      </c>
      <c r="E12" s="385"/>
      <c r="F12" s="386">
        <f t="shared" si="0"/>
        <v>9158</v>
      </c>
      <c r="G12" s="395"/>
      <c r="H12" s="385"/>
      <c r="I12" s="386">
        <f aca="true" t="shared" si="1" ref="I12:I29">SUM(G12:H12)</f>
        <v>0</v>
      </c>
      <c r="J12" s="235"/>
      <c r="K12" s="236"/>
      <c r="L12" s="386">
        <f aca="true" t="shared" si="2" ref="L12:L29">SUM(J12:K12)</f>
        <v>0</v>
      </c>
      <c r="M12" s="740">
        <f aca="true" t="shared" si="3" ref="M12:M29">SUM(F12+I12+L12)</f>
        <v>9158</v>
      </c>
    </row>
    <row r="13" spans="1:13" ht="30" customHeight="1">
      <c r="A13" s="233" t="s">
        <v>653</v>
      </c>
      <c r="B13" s="721" t="s">
        <v>58</v>
      </c>
      <c r="C13" s="415" t="s">
        <v>786</v>
      </c>
      <c r="D13" s="384">
        <v>25</v>
      </c>
      <c r="E13" s="385">
        <v>3619722</v>
      </c>
      <c r="F13" s="386">
        <f t="shared" si="0"/>
        <v>3619747</v>
      </c>
      <c r="G13" s="395"/>
      <c r="H13" s="385"/>
      <c r="I13" s="386">
        <f t="shared" si="1"/>
        <v>0</v>
      </c>
      <c r="J13" s="235"/>
      <c r="K13" s="236"/>
      <c r="L13" s="386">
        <f t="shared" si="2"/>
        <v>0</v>
      </c>
      <c r="M13" s="740">
        <f t="shared" si="3"/>
        <v>3619747</v>
      </c>
    </row>
    <row r="14" spans="1:13" ht="29.25" customHeight="1">
      <c r="A14" s="233" t="s">
        <v>654</v>
      </c>
      <c r="B14" s="721" t="s">
        <v>566</v>
      </c>
      <c r="C14" s="415" t="s">
        <v>782</v>
      </c>
      <c r="D14" s="384">
        <v>5872</v>
      </c>
      <c r="E14" s="385"/>
      <c r="F14" s="386">
        <f t="shared" si="0"/>
        <v>5872</v>
      </c>
      <c r="G14" s="395"/>
      <c r="H14" s="385"/>
      <c r="I14" s="386">
        <f t="shared" si="1"/>
        <v>0</v>
      </c>
      <c r="J14" s="235"/>
      <c r="K14" s="236"/>
      <c r="L14" s="386">
        <f t="shared" si="2"/>
        <v>0</v>
      </c>
      <c r="M14" s="740">
        <f t="shared" si="3"/>
        <v>5872</v>
      </c>
    </row>
    <row r="15" spans="1:13" ht="21.75" customHeight="1">
      <c r="A15" s="233" t="s">
        <v>655</v>
      </c>
      <c r="B15" s="721" t="s">
        <v>626</v>
      </c>
      <c r="C15" s="728"/>
      <c r="D15" s="387"/>
      <c r="E15" s="388"/>
      <c r="F15" s="386">
        <f t="shared" si="0"/>
        <v>0</v>
      </c>
      <c r="G15" s="396">
        <v>280</v>
      </c>
      <c r="H15" s="388"/>
      <c r="I15" s="386">
        <f t="shared" si="1"/>
        <v>280</v>
      </c>
      <c r="J15" s="235"/>
      <c r="K15" s="236"/>
      <c r="L15" s="386">
        <f t="shared" si="2"/>
        <v>0</v>
      </c>
      <c r="M15" s="740">
        <f t="shared" si="3"/>
        <v>280</v>
      </c>
    </row>
    <row r="16" spans="1:13" ht="21" customHeight="1">
      <c r="A16" s="233" t="s">
        <v>656</v>
      </c>
      <c r="B16" s="721" t="s">
        <v>589</v>
      </c>
      <c r="C16" s="729" t="s">
        <v>783</v>
      </c>
      <c r="D16" s="387">
        <f>135327-1208</f>
        <v>134119</v>
      </c>
      <c r="E16" s="388">
        <f>7690-7620</f>
        <v>70</v>
      </c>
      <c r="F16" s="386">
        <f t="shared" si="0"/>
        <v>134189</v>
      </c>
      <c r="G16" s="396">
        <v>1239</v>
      </c>
      <c r="H16" s="388">
        <v>0</v>
      </c>
      <c r="I16" s="386">
        <f t="shared" si="1"/>
        <v>1239</v>
      </c>
      <c r="J16" s="235"/>
      <c r="K16" s="236"/>
      <c r="L16" s="386">
        <f t="shared" si="2"/>
        <v>0</v>
      </c>
      <c r="M16" s="740">
        <f t="shared" si="3"/>
        <v>135428</v>
      </c>
    </row>
    <row r="17" spans="1:13" ht="31.5" customHeight="1">
      <c r="A17" s="233" t="s">
        <v>657</v>
      </c>
      <c r="B17" s="721" t="s">
        <v>59</v>
      </c>
      <c r="C17" s="415" t="s">
        <v>784</v>
      </c>
      <c r="D17" s="384">
        <f>68097</f>
        <v>68097</v>
      </c>
      <c r="E17" s="385">
        <f>475+3000+80</f>
        <v>3555</v>
      </c>
      <c r="F17" s="386">
        <f t="shared" si="0"/>
        <v>71652</v>
      </c>
      <c r="G17" s="395"/>
      <c r="H17" s="385"/>
      <c r="I17" s="386">
        <f t="shared" si="1"/>
        <v>0</v>
      </c>
      <c r="J17" s="235"/>
      <c r="K17" s="236"/>
      <c r="L17" s="386">
        <f t="shared" si="2"/>
        <v>0</v>
      </c>
      <c r="M17" s="740">
        <f t="shared" si="3"/>
        <v>71652</v>
      </c>
    </row>
    <row r="18" spans="1:13" ht="23.25" customHeight="1">
      <c r="A18" s="233" t="s">
        <v>658</v>
      </c>
      <c r="B18" s="721" t="s">
        <v>907</v>
      </c>
      <c r="C18" s="415" t="s">
        <v>784</v>
      </c>
      <c r="D18" s="384">
        <v>45475</v>
      </c>
      <c r="E18" s="385"/>
      <c r="F18" s="386">
        <f t="shared" si="0"/>
        <v>45475</v>
      </c>
      <c r="G18" s="395"/>
      <c r="H18" s="385"/>
      <c r="I18" s="386">
        <f t="shared" si="1"/>
        <v>0</v>
      </c>
      <c r="J18" s="235"/>
      <c r="K18" s="236"/>
      <c r="L18" s="386">
        <f t="shared" si="2"/>
        <v>0</v>
      </c>
      <c r="M18" s="740">
        <f t="shared" si="3"/>
        <v>45475</v>
      </c>
    </row>
    <row r="19" spans="1:13" ht="21.75" customHeight="1">
      <c r="A19" s="233" t="s">
        <v>659</v>
      </c>
      <c r="B19" s="721" t="s">
        <v>627</v>
      </c>
      <c r="C19" s="415" t="s">
        <v>782</v>
      </c>
      <c r="D19" s="384">
        <v>20481</v>
      </c>
      <c r="E19" s="385"/>
      <c r="F19" s="386">
        <f t="shared" si="0"/>
        <v>20481</v>
      </c>
      <c r="G19" s="395"/>
      <c r="H19" s="385"/>
      <c r="I19" s="386">
        <f t="shared" si="1"/>
        <v>0</v>
      </c>
      <c r="J19" s="235"/>
      <c r="K19" s="236"/>
      <c r="L19" s="386">
        <f t="shared" si="2"/>
        <v>0</v>
      </c>
      <c r="M19" s="740">
        <f t="shared" si="3"/>
        <v>20481</v>
      </c>
    </row>
    <row r="20" spans="1:13" ht="28.5" customHeight="1">
      <c r="A20" s="233" t="s">
        <v>660</v>
      </c>
      <c r="B20" s="721" t="s">
        <v>60</v>
      </c>
      <c r="C20" s="415" t="s">
        <v>785</v>
      </c>
      <c r="D20" s="384">
        <f>12407-379-1215+4797</f>
        <v>15610</v>
      </c>
      <c r="E20" s="385">
        <f>2396+379</f>
        <v>2775</v>
      </c>
      <c r="F20" s="386">
        <f t="shared" si="0"/>
        <v>18385</v>
      </c>
      <c r="G20" s="395"/>
      <c r="H20" s="385"/>
      <c r="I20" s="386">
        <f t="shared" si="1"/>
        <v>0</v>
      </c>
      <c r="J20" s="235"/>
      <c r="K20" s="236"/>
      <c r="L20" s="386">
        <f t="shared" si="2"/>
        <v>0</v>
      </c>
      <c r="M20" s="740">
        <f t="shared" si="3"/>
        <v>18385</v>
      </c>
    </row>
    <row r="21" spans="1:13" ht="20.25" customHeight="1">
      <c r="A21" s="233" t="s">
        <v>661</v>
      </c>
      <c r="B21" s="721" t="s">
        <v>61</v>
      </c>
      <c r="C21" s="415"/>
      <c r="D21" s="384"/>
      <c r="E21" s="385"/>
      <c r="F21" s="386">
        <f t="shared" si="0"/>
        <v>0</v>
      </c>
      <c r="G21" s="395">
        <v>19900</v>
      </c>
      <c r="H21" s="385">
        <v>2000</v>
      </c>
      <c r="I21" s="386">
        <f t="shared" si="1"/>
        <v>21900</v>
      </c>
      <c r="J21" s="235"/>
      <c r="K21" s="236"/>
      <c r="L21" s="386">
        <f t="shared" si="2"/>
        <v>0</v>
      </c>
      <c r="M21" s="740">
        <f t="shared" si="3"/>
        <v>21900</v>
      </c>
    </row>
    <row r="22" spans="1:13" ht="27" customHeight="1">
      <c r="A22" s="233" t="s">
        <v>662</v>
      </c>
      <c r="B22" s="721" t="s">
        <v>628</v>
      </c>
      <c r="C22" s="730"/>
      <c r="D22" s="389"/>
      <c r="E22" s="390"/>
      <c r="F22" s="386">
        <f t="shared" si="0"/>
        <v>0</v>
      </c>
      <c r="G22" s="396">
        <v>5450</v>
      </c>
      <c r="H22" s="390"/>
      <c r="I22" s="386">
        <f t="shared" si="1"/>
        <v>5450</v>
      </c>
      <c r="J22" s="235"/>
      <c r="K22" s="236"/>
      <c r="L22" s="386">
        <f t="shared" si="2"/>
        <v>0</v>
      </c>
      <c r="M22" s="740">
        <f t="shared" si="3"/>
        <v>5450</v>
      </c>
    </row>
    <row r="23" spans="1:13" ht="21.75" customHeight="1">
      <c r="A23" s="233" t="s">
        <v>663</v>
      </c>
      <c r="B23" s="721" t="s">
        <v>629</v>
      </c>
      <c r="C23" s="415" t="s">
        <v>782</v>
      </c>
      <c r="D23" s="384">
        <v>21564</v>
      </c>
      <c r="E23" s="385"/>
      <c r="F23" s="386">
        <f t="shared" si="0"/>
        <v>21564</v>
      </c>
      <c r="G23" s="395"/>
      <c r="H23" s="385"/>
      <c r="I23" s="386">
        <f t="shared" si="1"/>
        <v>0</v>
      </c>
      <c r="J23" s="235"/>
      <c r="K23" s="236"/>
      <c r="L23" s="386">
        <f t="shared" si="2"/>
        <v>0</v>
      </c>
      <c r="M23" s="740">
        <f t="shared" si="3"/>
        <v>21564</v>
      </c>
    </row>
    <row r="24" spans="1:13" ht="30.75" customHeight="1">
      <c r="A24" s="233" t="s">
        <v>664</v>
      </c>
      <c r="B24" s="721" t="s">
        <v>81</v>
      </c>
      <c r="C24" s="415" t="s">
        <v>92</v>
      </c>
      <c r="D24" s="384">
        <f>23763-80</f>
        <v>23683</v>
      </c>
      <c r="E24" s="385"/>
      <c r="F24" s="386">
        <f t="shared" si="0"/>
        <v>23683</v>
      </c>
      <c r="G24" s="395"/>
      <c r="H24" s="385">
        <f>439627-500</f>
        <v>439127</v>
      </c>
      <c r="I24" s="386">
        <f t="shared" si="1"/>
        <v>439127</v>
      </c>
      <c r="J24" s="235"/>
      <c r="K24" s="236"/>
      <c r="L24" s="386">
        <f t="shared" si="2"/>
        <v>0</v>
      </c>
      <c r="M24" s="740">
        <f t="shared" si="3"/>
        <v>462810</v>
      </c>
    </row>
    <row r="25" spans="1:13" s="248" customFormat="1" ht="27.75" customHeight="1">
      <c r="A25" s="380" t="s">
        <v>665</v>
      </c>
      <c r="B25" s="721" t="s">
        <v>630</v>
      </c>
      <c r="C25" s="415" t="s">
        <v>93</v>
      </c>
      <c r="D25" s="401">
        <f>50497-680-3000-35509-3855-942</f>
        <v>6511</v>
      </c>
      <c r="E25" s="402">
        <f>9000-4500</f>
        <v>4500</v>
      </c>
      <c r="F25" s="386">
        <f t="shared" si="0"/>
        <v>11011</v>
      </c>
      <c r="G25" s="398"/>
      <c r="H25" s="391"/>
      <c r="I25" s="386">
        <f t="shared" si="1"/>
        <v>0</v>
      </c>
      <c r="J25" s="239"/>
      <c r="K25" s="239"/>
      <c r="L25" s="386">
        <f t="shared" si="2"/>
        <v>0</v>
      </c>
      <c r="M25" s="740">
        <f t="shared" si="3"/>
        <v>11011</v>
      </c>
    </row>
    <row r="26" spans="1:13" ht="23.25" customHeight="1">
      <c r="A26" s="233" t="s">
        <v>666</v>
      </c>
      <c r="B26" s="721" t="s">
        <v>63</v>
      </c>
      <c r="C26" s="415" t="s">
        <v>91</v>
      </c>
      <c r="D26" s="387">
        <v>624</v>
      </c>
      <c r="E26" s="388">
        <v>10006</v>
      </c>
      <c r="F26" s="386">
        <f t="shared" si="0"/>
        <v>10630</v>
      </c>
      <c r="G26" s="397"/>
      <c r="H26" s="390"/>
      <c r="I26" s="386">
        <f t="shared" si="1"/>
        <v>0</v>
      </c>
      <c r="J26" s="235"/>
      <c r="K26" s="235"/>
      <c r="L26" s="386">
        <f t="shared" si="2"/>
        <v>0</v>
      </c>
      <c r="M26" s="740">
        <f t="shared" si="3"/>
        <v>10630</v>
      </c>
    </row>
    <row r="27" spans="1:13" ht="31.5" customHeight="1">
      <c r="A27" s="233" t="s">
        <v>667</v>
      </c>
      <c r="B27" s="721" t="s">
        <v>64</v>
      </c>
      <c r="C27" s="415" t="s">
        <v>94</v>
      </c>
      <c r="D27" s="384"/>
      <c r="E27" s="385"/>
      <c r="F27" s="386">
        <f t="shared" si="0"/>
        <v>0</v>
      </c>
      <c r="G27" s="395"/>
      <c r="H27" s="385"/>
      <c r="I27" s="386">
        <f t="shared" si="1"/>
        <v>0</v>
      </c>
      <c r="J27" s="235">
        <v>37188</v>
      </c>
      <c r="K27" s="236">
        <v>669</v>
      </c>
      <c r="L27" s="386">
        <f t="shared" si="2"/>
        <v>37857</v>
      </c>
      <c r="M27" s="740">
        <f t="shared" si="3"/>
        <v>37857</v>
      </c>
    </row>
    <row r="28" spans="1:13" ht="25.5" customHeight="1">
      <c r="A28" s="233" t="s">
        <v>668</v>
      </c>
      <c r="B28" s="721" t="s">
        <v>65</v>
      </c>
      <c r="C28" s="415" t="s">
        <v>786</v>
      </c>
      <c r="D28" s="384">
        <v>1000</v>
      </c>
      <c r="E28" s="385"/>
      <c r="F28" s="386">
        <f t="shared" si="0"/>
        <v>1000</v>
      </c>
      <c r="G28" s="395"/>
      <c r="H28" s="385"/>
      <c r="I28" s="386">
        <f t="shared" si="1"/>
        <v>0</v>
      </c>
      <c r="J28" s="235"/>
      <c r="K28" s="236"/>
      <c r="L28" s="386">
        <f t="shared" si="2"/>
        <v>0</v>
      </c>
      <c r="M28" s="740">
        <f t="shared" si="3"/>
        <v>1000</v>
      </c>
    </row>
    <row r="29" spans="1:13" ht="23.25" customHeight="1">
      <c r="A29" s="233" t="s">
        <v>669</v>
      </c>
      <c r="B29" s="721" t="s">
        <v>66</v>
      </c>
      <c r="C29" s="415" t="s">
        <v>822</v>
      </c>
      <c r="D29" s="384">
        <f>1755-897-756-102</f>
        <v>0</v>
      </c>
      <c r="E29" s="385">
        <f>5277-4642</f>
        <v>635</v>
      </c>
      <c r="F29" s="386">
        <f t="shared" si="0"/>
        <v>635</v>
      </c>
      <c r="G29" s="395"/>
      <c r="H29" s="385"/>
      <c r="I29" s="386">
        <f t="shared" si="1"/>
        <v>0</v>
      </c>
      <c r="J29" s="235"/>
      <c r="K29" s="236"/>
      <c r="L29" s="386">
        <f t="shared" si="2"/>
        <v>0</v>
      </c>
      <c r="M29" s="740">
        <f t="shared" si="3"/>
        <v>635</v>
      </c>
    </row>
    <row r="30" spans="1:13" ht="25.5" customHeight="1">
      <c r="A30" s="233" t="s">
        <v>670</v>
      </c>
      <c r="B30" s="727" t="s">
        <v>631</v>
      </c>
      <c r="C30" s="415" t="s">
        <v>788</v>
      </c>
      <c r="D30" s="722">
        <v>360</v>
      </c>
      <c r="E30" s="723"/>
      <c r="F30" s="415">
        <f aca="true" t="shared" si="4" ref="F30:F52">SUM(D30:E30)</f>
        <v>360</v>
      </c>
      <c r="G30" s="724"/>
      <c r="H30" s="724"/>
      <c r="I30" s="415">
        <f aca="true" t="shared" si="5" ref="I30:I58">SUM(G30:H30)</f>
        <v>0</v>
      </c>
      <c r="J30" s="725"/>
      <c r="K30" s="726"/>
      <c r="L30" s="415">
        <f aca="true" t="shared" si="6" ref="L30:L52">SUM(J30:K30)</f>
        <v>0</v>
      </c>
      <c r="M30" s="741">
        <f>SUM(F30+I30+L30)</f>
        <v>360</v>
      </c>
    </row>
    <row r="31" spans="1:13" ht="24" customHeight="1">
      <c r="A31" s="233" t="s">
        <v>671</v>
      </c>
      <c r="B31" s="237" t="s">
        <v>632</v>
      </c>
      <c r="C31" s="234" t="s">
        <v>790</v>
      </c>
      <c r="D31" s="384">
        <f>28186+1261</f>
        <v>29447</v>
      </c>
      <c r="E31" s="385">
        <v>216</v>
      </c>
      <c r="F31" s="386">
        <f t="shared" si="4"/>
        <v>29663</v>
      </c>
      <c r="G31" s="235"/>
      <c r="H31" s="235"/>
      <c r="I31" s="386">
        <f t="shared" si="5"/>
        <v>0</v>
      </c>
      <c r="J31" s="412"/>
      <c r="K31" s="236"/>
      <c r="L31" s="386">
        <f t="shared" si="6"/>
        <v>0</v>
      </c>
      <c r="M31" s="741">
        <f aca="true" t="shared" si="7" ref="M31:M58">SUM(F31+I31+L31)</f>
        <v>29663</v>
      </c>
    </row>
    <row r="32" spans="1:13" ht="28.5" customHeight="1">
      <c r="A32" s="233" t="s">
        <v>787</v>
      </c>
      <c r="B32" s="237" t="s">
        <v>633</v>
      </c>
      <c r="C32" s="234" t="s">
        <v>792</v>
      </c>
      <c r="D32" s="384">
        <v>120</v>
      </c>
      <c r="E32" s="385"/>
      <c r="F32" s="386">
        <f t="shared" si="4"/>
        <v>120</v>
      </c>
      <c r="G32" s="235"/>
      <c r="H32" s="235"/>
      <c r="I32" s="386">
        <f t="shared" si="5"/>
        <v>0</v>
      </c>
      <c r="J32" s="412"/>
      <c r="K32" s="236"/>
      <c r="L32" s="386">
        <f t="shared" si="6"/>
        <v>0</v>
      </c>
      <c r="M32" s="741">
        <f t="shared" si="7"/>
        <v>120</v>
      </c>
    </row>
    <row r="33" spans="1:13" ht="32.25" customHeight="1">
      <c r="A33" s="233" t="s">
        <v>789</v>
      </c>
      <c r="B33" s="237" t="s">
        <v>704</v>
      </c>
      <c r="C33" s="234" t="s">
        <v>793</v>
      </c>
      <c r="D33" s="384">
        <v>16226</v>
      </c>
      <c r="E33" s="385">
        <v>1541</v>
      </c>
      <c r="F33" s="386">
        <f t="shared" si="4"/>
        <v>17767</v>
      </c>
      <c r="G33" s="235"/>
      <c r="H33" s="235"/>
      <c r="I33" s="386">
        <f t="shared" si="5"/>
        <v>0</v>
      </c>
      <c r="J33" s="412"/>
      <c r="K33" s="236"/>
      <c r="L33" s="386">
        <f t="shared" si="6"/>
        <v>0</v>
      </c>
      <c r="M33" s="741">
        <f t="shared" si="7"/>
        <v>17767</v>
      </c>
    </row>
    <row r="34" spans="1:13" ht="31.5" customHeight="1">
      <c r="A34" s="233" t="s">
        <v>791</v>
      </c>
      <c r="B34" s="237" t="s">
        <v>82</v>
      </c>
      <c r="C34" s="242"/>
      <c r="D34" s="406"/>
      <c r="E34" s="407"/>
      <c r="F34" s="386">
        <f t="shared" si="4"/>
        <v>0</v>
      </c>
      <c r="G34" s="243">
        <v>34343</v>
      </c>
      <c r="H34" s="243"/>
      <c r="I34" s="386">
        <f t="shared" si="5"/>
        <v>34343</v>
      </c>
      <c r="J34" s="413"/>
      <c r="K34" s="244"/>
      <c r="L34" s="386">
        <f t="shared" si="6"/>
        <v>0</v>
      </c>
      <c r="M34" s="741">
        <f t="shared" si="7"/>
        <v>34343</v>
      </c>
    </row>
    <row r="35" spans="1:13" ht="27.75" customHeight="1">
      <c r="A35" s="233" t="s">
        <v>733</v>
      </c>
      <c r="B35" s="241" t="s">
        <v>83</v>
      </c>
      <c r="C35" s="242" t="s">
        <v>95</v>
      </c>
      <c r="D35" s="408"/>
      <c r="E35" s="409"/>
      <c r="F35" s="386">
        <f t="shared" si="4"/>
        <v>0</v>
      </c>
      <c r="G35" s="243">
        <v>2292</v>
      </c>
      <c r="H35" s="243"/>
      <c r="I35" s="386">
        <f t="shared" si="5"/>
        <v>2292</v>
      </c>
      <c r="J35" s="413"/>
      <c r="K35" s="244"/>
      <c r="L35" s="386">
        <f t="shared" si="6"/>
        <v>0</v>
      </c>
      <c r="M35" s="741">
        <f t="shared" si="7"/>
        <v>2292</v>
      </c>
    </row>
    <row r="36" spans="1:13" ht="28.5" customHeight="1">
      <c r="A36" s="233" t="s">
        <v>794</v>
      </c>
      <c r="B36" s="237" t="s">
        <v>70</v>
      </c>
      <c r="C36" s="238" t="s">
        <v>797</v>
      </c>
      <c r="D36" s="387">
        <v>2763</v>
      </c>
      <c r="E36" s="388"/>
      <c r="F36" s="386">
        <f t="shared" si="4"/>
        <v>2763</v>
      </c>
      <c r="G36" s="243"/>
      <c r="H36" s="243"/>
      <c r="I36" s="386">
        <f t="shared" si="5"/>
        <v>0</v>
      </c>
      <c r="J36" s="413"/>
      <c r="K36" s="244"/>
      <c r="L36" s="386">
        <f t="shared" si="6"/>
        <v>0</v>
      </c>
      <c r="M36" s="741">
        <f t="shared" si="7"/>
        <v>2763</v>
      </c>
    </row>
    <row r="37" spans="1:13" ht="38.25" customHeight="1">
      <c r="A37" s="233" t="s">
        <v>672</v>
      </c>
      <c r="B37" s="241" t="s">
        <v>726</v>
      </c>
      <c r="C37" s="234" t="s">
        <v>795</v>
      </c>
      <c r="D37" s="384">
        <v>13199</v>
      </c>
      <c r="E37" s="385"/>
      <c r="F37" s="386">
        <f t="shared" si="4"/>
        <v>13199</v>
      </c>
      <c r="G37" s="243"/>
      <c r="H37" s="243"/>
      <c r="I37" s="386">
        <f t="shared" si="5"/>
        <v>0</v>
      </c>
      <c r="J37" s="413"/>
      <c r="K37" s="244"/>
      <c r="L37" s="386">
        <f t="shared" si="6"/>
        <v>0</v>
      </c>
      <c r="M37" s="741">
        <f t="shared" si="7"/>
        <v>13199</v>
      </c>
    </row>
    <row r="38" spans="1:13" ht="18" customHeight="1">
      <c r="A38" s="233" t="s">
        <v>673</v>
      </c>
      <c r="B38" s="241" t="s">
        <v>72</v>
      </c>
      <c r="C38" s="242" t="s">
        <v>95</v>
      </c>
      <c r="D38" s="408"/>
      <c r="E38" s="409"/>
      <c r="F38" s="386">
        <f t="shared" si="4"/>
        <v>0</v>
      </c>
      <c r="G38" s="243">
        <v>3689</v>
      </c>
      <c r="H38" s="243"/>
      <c r="I38" s="386">
        <f t="shared" si="5"/>
        <v>3689</v>
      </c>
      <c r="J38" s="413"/>
      <c r="K38" s="244"/>
      <c r="L38" s="386">
        <f t="shared" si="6"/>
        <v>0</v>
      </c>
      <c r="M38" s="741">
        <f t="shared" si="7"/>
        <v>3689</v>
      </c>
    </row>
    <row r="39" spans="1:13" ht="18" customHeight="1">
      <c r="A39" s="233" t="s">
        <v>674</v>
      </c>
      <c r="B39" s="237" t="s">
        <v>728</v>
      </c>
      <c r="C39" s="238" t="s">
        <v>798</v>
      </c>
      <c r="D39" s="387">
        <v>5090</v>
      </c>
      <c r="E39" s="388"/>
      <c r="F39" s="386">
        <f t="shared" si="4"/>
        <v>5090</v>
      </c>
      <c r="G39" s="243"/>
      <c r="H39" s="243"/>
      <c r="I39" s="386">
        <f t="shared" si="5"/>
        <v>0</v>
      </c>
      <c r="J39" s="413"/>
      <c r="K39" s="244"/>
      <c r="L39" s="386">
        <f t="shared" si="6"/>
        <v>0</v>
      </c>
      <c r="M39" s="741">
        <f t="shared" si="7"/>
        <v>5090</v>
      </c>
    </row>
    <row r="40" spans="1:13" ht="18" customHeight="1">
      <c r="A40" s="233" t="s">
        <v>796</v>
      </c>
      <c r="B40" s="237" t="s">
        <v>729</v>
      </c>
      <c r="C40" s="238" t="s">
        <v>799</v>
      </c>
      <c r="D40" s="387">
        <v>2753</v>
      </c>
      <c r="E40" s="388"/>
      <c r="F40" s="386">
        <f t="shared" si="4"/>
        <v>2753</v>
      </c>
      <c r="G40" s="243"/>
      <c r="H40" s="243"/>
      <c r="I40" s="386">
        <f t="shared" si="5"/>
        <v>0</v>
      </c>
      <c r="J40" s="413"/>
      <c r="K40" s="244"/>
      <c r="L40" s="386">
        <f t="shared" si="6"/>
        <v>0</v>
      </c>
      <c r="M40" s="741">
        <f t="shared" si="7"/>
        <v>2753</v>
      </c>
    </row>
    <row r="41" spans="1:13" ht="18.75" customHeight="1">
      <c r="A41" s="233" t="s">
        <v>675</v>
      </c>
      <c r="B41" s="241" t="s">
        <v>727</v>
      </c>
      <c r="C41" s="238" t="s">
        <v>797</v>
      </c>
      <c r="D41" s="387">
        <v>8692</v>
      </c>
      <c r="E41" s="388"/>
      <c r="F41" s="386">
        <f t="shared" si="4"/>
        <v>8692</v>
      </c>
      <c r="G41" s="243"/>
      <c r="H41" s="243"/>
      <c r="I41" s="386">
        <f t="shared" si="5"/>
        <v>0</v>
      </c>
      <c r="J41" s="413"/>
      <c r="K41" s="244"/>
      <c r="L41" s="386">
        <f t="shared" si="6"/>
        <v>0</v>
      </c>
      <c r="M41" s="741">
        <f t="shared" si="7"/>
        <v>8692</v>
      </c>
    </row>
    <row r="42" spans="1:13" ht="24" customHeight="1">
      <c r="A42" s="233" t="s">
        <v>703</v>
      </c>
      <c r="B42" s="237" t="s">
        <v>74</v>
      </c>
      <c r="C42" s="238"/>
      <c r="D42" s="387"/>
      <c r="E42" s="388"/>
      <c r="F42" s="386">
        <f t="shared" si="4"/>
        <v>0</v>
      </c>
      <c r="G42" s="235">
        <v>565</v>
      </c>
      <c r="H42" s="235"/>
      <c r="I42" s="386">
        <f t="shared" si="5"/>
        <v>565</v>
      </c>
      <c r="J42" s="412"/>
      <c r="K42" s="236"/>
      <c r="L42" s="386">
        <f t="shared" si="6"/>
        <v>0</v>
      </c>
      <c r="M42" s="741">
        <f t="shared" si="7"/>
        <v>565</v>
      </c>
    </row>
    <row r="43" spans="1:13" ht="39" customHeight="1">
      <c r="A43" s="233" t="s">
        <v>800</v>
      </c>
      <c r="B43" s="237" t="s">
        <v>97</v>
      </c>
      <c r="C43" s="245" t="s">
        <v>84</v>
      </c>
      <c r="D43" s="384">
        <v>2800</v>
      </c>
      <c r="E43" s="385"/>
      <c r="F43" s="386">
        <f t="shared" si="4"/>
        <v>2800</v>
      </c>
      <c r="G43" s="235"/>
      <c r="H43" s="235"/>
      <c r="I43" s="386">
        <f t="shared" si="5"/>
        <v>0</v>
      </c>
      <c r="J43" s="412"/>
      <c r="K43" s="236"/>
      <c r="L43" s="386">
        <f t="shared" si="6"/>
        <v>0</v>
      </c>
      <c r="M43" s="741">
        <f t="shared" si="7"/>
        <v>2800</v>
      </c>
    </row>
    <row r="44" spans="1:13" ht="18.75" customHeight="1">
      <c r="A44" s="233" t="s">
        <v>801</v>
      </c>
      <c r="B44" s="237" t="s">
        <v>76</v>
      </c>
      <c r="C44" s="1004" t="s">
        <v>809</v>
      </c>
      <c r="D44" s="408">
        <f>57039+295</f>
        <v>57334</v>
      </c>
      <c r="E44" s="409"/>
      <c r="F44" s="386">
        <f t="shared" si="4"/>
        <v>57334</v>
      </c>
      <c r="G44" s="235"/>
      <c r="H44" s="235"/>
      <c r="I44" s="386">
        <f t="shared" si="5"/>
        <v>0</v>
      </c>
      <c r="J44" s="412"/>
      <c r="K44" s="236"/>
      <c r="L44" s="386">
        <f t="shared" si="6"/>
        <v>0</v>
      </c>
      <c r="M44" s="741">
        <f t="shared" si="7"/>
        <v>57334</v>
      </c>
    </row>
    <row r="45" spans="1:13" ht="18.75" customHeight="1">
      <c r="A45" s="233" t="s">
        <v>802</v>
      </c>
      <c r="B45" s="379" t="s">
        <v>724</v>
      </c>
      <c r="C45" s="1005"/>
      <c r="D45" s="408">
        <v>1567</v>
      </c>
      <c r="E45" s="409"/>
      <c r="F45" s="386">
        <f t="shared" si="4"/>
        <v>1567</v>
      </c>
      <c r="G45" s="235"/>
      <c r="H45" s="235"/>
      <c r="I45" s="386">
        <f t="shared" si="5"/>
        <v>0</v>
      </c>
      <c r="J45" s="412"/>
      <c r="K45" s="236"/>
      <c r="L45" s="386">
        <f t="shared" si="6"/>
        <v>0</v>
      </c>
      <c r="M45" s="741">
        <f t="shared" si="7"/>
        <v>1567</v>
      </c>
    </row>
    <row r="46" spans="1:13" ht="17.25" customHeight="1">
      <c r="A46" s="233" t="s">
        <v>803</v>
      </c>
      <c r="B46" s="237" t="s">
        <v>85</v>
      </c>
      <c r="C46" s="1005"/>
      <c r="D46" s="408">
        <v>12758</v>
      </c>
      <c r="E46" s="409"/>
      <c r="F46" s="386">
        <f t="shared" si="4"/>
        <v>12758</v>
      </c>
      <c r="G46" s="235"/>
      <c r="H46" s="235"/>
      <c r="I46" s="386">
        <f t="shared" si="5"/>
        <v>0</v>
      </c>
      <c r="J46" s="412"/>
      <c r="K46" s="236"/>
      <c r="L46" s="386">
        <f t="shared" si="6"/>
        <v>0</v>
      </c>
      <c r="M46" s="741">
        <f t="shared" si="7"/>
        <v>12758</v>
      </c>
    </row>
    <row r="47" spans="1:13" ht="18.75" customHeight="1">
      <c r="A47" s="233" t="s">
        <v>804</v>
      </c>
      <c r="B47" s="237" t="s">
        <v>86</v>
      </c>
      <c r="C47" s="1005"/>
      <c r="D47" s="408">
        <f>38560+45924+6200+6545+34802+4698+6360</f>
        <v>143089</v>
      </c>
      <c r="E47" s="409">
        <f>9718+2695+2507-295</f>
        <v>14625</v>
      </c>
      <c r="F47" s="386">
        <f t="shared" si="4"/>
        <v>157714</v>
      </c>
      <c r="G47" s="235"/>
      <c r="H47" s="235"/>
      <c r="I47" s="386">
        <f t="shared" si="5"/>
        <v>0</v>
      </c>
      <c r="J47" s="412"/>
      <c r="K47" s="236"/>
      <c r="L47" s="386">
        <f t="shared" si="6"/>
        <v>0</v>
      </c>
      <c r="M47" s="741">
        <f t="shared" si="7"/>
        <v>157714</v>
      </c>
    </row>
    <row r="48" spans="1:13" ht="18.75" customHeight="1">
      <c r="A48" s="233" t="s">
        <v>805</v>
      </c>
      <c r="B48" s="237" t="s">
        <v>908</v>
      </c>
      <c r="C48" s="1006"/>
      <c r="D48" s="408">
        <f>17898+12384+1672+454+15848+2139-295</f>
        <v>50100</v>
      </c>
      <c r="E48" s="409">
        <v>295</v>
      </c>
      <c r="F48" s="386">
        <f t="shared" si="4"/>
        <v>50395</v>
      </c>
      <c r="G48" s="235"/>
      <c r="H48" s="235"/>
      <c r="I48" s="386"/>
      <c r="J48" s="412"/>
      <c r="K48" s="236"/>
      <c r="L48" s="386"/>
      <c r="M48" s="741">
        <f t="shared" si="7"/>
        <v>50395</v>
      </c>
    </row>
    <row r="49" spans="1:13" ht="27.75" customHeight="1">
      <c r="A49" s="233" t="s">
        <v>806</v>
      </c>
      <c r="B49" s="237" t="s">
        <v>634</v>
      </c>
      <c r="C49" s="234" t="s">
        <v>810</v>
      </c>
      <c r="D49" s="408">
        <v>4069</v>
      </c>
      <c r="E49" s="409">
        <v>323</v>
      </c>
      <c r="F49" s="386">
        <f t="shared" si="4"/>
        <v>4392</v>
      </c>
      <c r="G49" s="235"/>
      <c r="H49" s="235"/>
      <c r="I49" s="386">
        <f t="shared" si="5"/>
        <v>0</v>
      </c>
      <c r="J49" s="412"/>
      <c r="K49" s="236"/>
      <c r="L49" s="386">
        <f t="shared" si="6"/>
        <v>0</v>
      </c>
      <c r="M49" s="741">
        <f t="shared" si="7"/>
        <v>4392</v>
      </c>
    </row>
    <row r="50" spans="1:13" ht="27.75" customHeight="1">
      <c r="A50" s="233" t="s">
        <v>807</v>
      </c>
      <c r="B50" s="237" t="s">
        <v>909</v>
      </c>
      <c r="C50" s="234" t="s">
        <v>910</v>
      </c>
      <c r="D50" s="384">
        <v>1061</v>
      </c>
      <c r="E50" s="385"/>
      <c r="F50" s="386">
        <f t="shared" si="4"/>
        <v>1061</v>
      </c>
      <c r="G50" s="235"/>
      <c r="H50" s="235"/>
      <c r="I50" s="386">
        <f t="shared" si="5"/>
        <v>0</v>
      </c>
      <c r="J50" s="412"/>
      <c r="K50" s="236"/>
      <c r="L50" s="386"/>
      <c r="M50" s="741">
        <f t="shared" si="7"/>
        <v>1061</v>
      </c>
    </row>
    <row r="51" spans="1:13" ht="21" customHeight="1">
      <c r="A51" s="233" t="s">
        <v>808</v>
      </c>
      <c r="B51" s="237" t="s">
        <v>87</v>
      </c>
      <c r="C51" s="242" t="s">
        <v>96</v>
      </c>
      <c r="D51" s="384"/>
      <c r="E51" s="385"/>
      <c r="F51" s="386">
        <f t="shared" si="4"/>
        <v>0</v>
      </c>
      <c r="G51" s="235">
        <v>47</v>
      </c>
      <c r="H51" s="235"/>
      <c r="I51" s="386">
        <f t="shared" si="5"/>
        <v>47</v>
      </c>
      <c r="J51" s="412"/>
      <c r="K51" s="236"/>
      <c r="L51" s="386">
        <f t="shared" si="6"/>
        <v>0</v>
      </c>
      <c r="M51" s="741">
        <f t="shared" si="7"/>
        <v>47</v>
      </c>
    </row>
    <row r="52" spans="1:13" ht="30.75" customHeight="1">
      <c r="A52" s="233" t="s">
        <v>477</v>
      </c>
      <c r="B52" s="237" t="s">
        <v>79</v>
      </c>
      <c r="C52" s="234" t="s">
        <v>811</v>
      </c>
      <c r="D52" s="384">
        <v>5479</v>
      </c>
      <c r="E52" s="385">
        <v>656</v>
      </c>
      <c r="F52" s="386">
        <f t="shared" si="4"/>
        <v>6135</v>
      </c>
      <c r="G52" s="235"/>
      <c r="H52" s="235">
        <v>13471</v>
      </c>
      <c r="I52" s="386">
        <f t="shared" si="5"/>
        <v>13471</v>
      </c>
      <c r="J52" s="412"/>
      <c r="K52" s="236"/>
      <c r="L52" s="386">
        <f t="shared" si="6"/>
        <v>0</v>
      </c>
      <c r="M52" s="741">
        <f t="shared" si="7"/>
        <v>19606</v>
      </c>
    </row>
    <row r="53" spans="1:13" ht="30.75" customHeight="1">
      <c r="A53" s="417" t="s">
        <v>919</v>
      </c>
      <c r="B53" s="240" t="s">
        <v>80</v>
      </c>
      <c r="C53" s="386" t="s">
        <v>812</v>
      </c>
      <c r="D53" s="418">
        <v>34860</v>
      </c>
      <c r="E53" s="419"/>
      <c r="F53" s="420">
        <f aca="true" t="shared" si="8" ref="F53:F58">SUM(D53:E53)</f>
        <v>34860</v>
      </c>
      <c r="G53" s="813">
        <f>3625-3625</f>
        <v>0</v>
      </c>
      <c r="H53" s="813">
        <f>70-70</f>
        <v>0</v>
      </c>
      <c r="I53" s="386">
        <f t="shared" si="5"/>
        <v>0</v>
      </c>
      <c r="J53" s="814"/>
      <c r="K53" s="815"/>
      <c r="L53" s="420">
        <f aca="true" t="shared" si="9" ref="L53:L58">SUM(J53:K53)</f>
        <v>0</v>
      </c>
      <c r="M53" s="741">
        <f t="shared" si="7"/>
        <v>34860</v>
      </c>
    </row>
    <row r="54" spans="1:13" ht="30.75" customHeight="1">
      <c r="A54" s="417" t="s">
        <v>920</v>
      </c>
      <c r="B54" s="240" t="s">
        <v>911</v>
      </c>
      <c r="C54" s="420"/>
      <c r="D54" s="418"/>
      <c r="E54" s="419"/>
      <c r="F54" s="420">
        <f t="shared" si="8"/>
        <v>0</v>
      </c>
      <c r="G54" s="813">
        <v>1945</v>
      </c>
      <c r="H54" s="813"/>
      <c r="I54" s="386">
        <f t="shared" si="5"/>
        <v>1945</v>
      </c>
      <c r="J54" s="814"/>
      <c r="K54" s="815"/>
      <c r="L54" s="420">
        <f t="shared" si="9"/>
        <v>0</v>
      </c>
      <c r="M54" s="741">
        <f t="shared" si="7"/>
        <v>1945</v>
      </c>
    </row>
    <row r="55" spans="1:13" ht="30.75" customHeight="1">
      <c r="A55" s="417" t="s">
        <v>921</v>
      </c>
      <c r="B55" s="240" t="s">
        <v>894</v>
      </c>
      <c r="C55" s="420"/>
      <c r="D55" s="418"/>
      <c r="E55" s="419"/>
      <c r="F55" s="420">
        <f t="shared" si="8"/>
        <v>0</v>
      </c>
      <c r="G55" s="813">
        <v>10000</v>
      </c>
      <c r="H55" s="813"/>
      <c r="I55" s="386">
        <f t="shared" si="5"/>
        <v>10000</v>
      </c>
      <c r="J55" s="814"/>
      <c r="K55" s="815"/>
      <c r="L55" s="420">
        <f t="shared" si="9"/>
        <v>0</v>
      </c>
      <c r="M55" s="741">
        <f t="shared" si="7"/>
        <v>10000</v>
      </c>
    </row>
    <row r="56" spans="1:13" ht="30.75" customHeight="1">
      <c r="A56" s="417" t="s">
        <v>922</v>
      </c>
      <c r="B56" s="240" t="s">
        <v>899</v>
      </c>
      <c r="C56" s="420" t="s">
        <v>912</v>
      </c>
      <c r="D56" s="418">
        <v>20796</v>
      </c>
      <c r="E56" s="419"/>
      <c r="F56" s="420">
        <f t="shared" si="8"/>
        <v>20796</v>
      </c>
      <c r="G56" s="813"/>
      <c r="H56" s="813"/>
      <c r="I56" s="386">
        <f t="shared" si="5"/>
        <v>0</v>
      </c>
      <c r="J56" s="814"/>
      <c r="K56" s="815"/>
      <c r="L56" s="420">
        <f t="shared" si="9"/>
        <v>0</v>
      </c>
      <c r="M56" s="741">
        <f t="shared" si="7"/>
        <v>20796</v>
      </c>
    </row>
    <row r="57" spans="1:13" ht="42.75" customHeight="1">
      <c r="A57" s="417" t="s">
        <v>923</v>
      </c>
      <c r="B57" s="820" t="s">
        <v>913</v>
      </c>
      <c r="C57" s="420" t="s">
        <v>914</v>
      </c>
      <c r="D57" s="418"/>
      <c r="E57" s="419"/>
      <c r="F57" s="420">
        <f t="shared" si="8"/>
        <v>0</v>
      </c>
      <c r="G57" s="813">
        <v>2077</v>
      </c>
      <c r="H57" s="813">
        <v>188210</v>
      </c>
      <c r="I57" s="386">
        <f t="shared" si="5"/>
        <v>190287</v>
      </c>
      <c r="J57" s="814"/>
      <c r="K57" s="815"/>
      <c r="L57" s="420">
        <f t="shared" si="9"/>
        <v>0</v>
      </c>
      <c r="M57" s="741">
        <f t="shared" si="7"/>
        <v>190287</v>
      </c>
    </row>
    <row r="58" spans="1:13" ht="29.25" customHeight="1" thickBot="1">
      <c r="A58" s="417" t="s">
        <v>924</v>
      </c>
      <c r="B58" s="240" t="s">
        <v>475</v>
      </c>
      <c r="C58" s="399"/>
      <c r="D58" s="410"/>
      <c r="E58" s="411"/>
      <c r="F58" s="420">
        <f t="shared" si="8"/>
        <v>0</v>
      </c>
      <c r="G58" s="404">
        <v>8589</v>
      </c>
      <c r="H58" s="404">
        <v>24786</v>
      </c>
      <c r="I58" s="399">
        <f t="shared" si="5"/>
        <v>33375</v>
      </c>
      <c r="J58" s="414"/>
      <c r="K58" s="405"/>
      <c r="L58" s="420">
        <f t="shared" si="9"/>
        <v>0</v>
      </c>
      <c r="M58" s="816">
        <f t="shared" si="7"/>
        <v>33375</v>
      </c>
    </row>
    <row r="59" spans="1:13" s="248" customFormat="1" ht="13.5" thickBot="1">
      <c r="A59" s="1010" t="s">
        <v>813</v>
      </c>
      <c r="B59" s="1011"/>
      <c r="C59" s="1012"/>
      <c r="D59" s="403">
        <f aca="true" t="shared" si="10" ref="D59:M59">SUM(D10:D58)</f>
        <v>770049</v>
      </c>
      <c r="E59" s="403">
        <f t="shared" si="10"/>
        <v>3659919</v>
      </c>
      <c r="F59" s="821">
        <f t="shared" si="10"/>
        <v>4429968</v>
      </c>
      <c r="G59" s="403">
        <f t="shared" si="10"/>
        <v>90416</v>
      </c>
      <c r="H59" s="403">
        <f t="shared" si="10"/>
        <v>667594</v>
      </c>
      <c r="I59" s="403">
        <f t="shared" si="10"/>
        <v>758010</v>
      </c>
      <c r="J59" s="403">
        <f t="shared" si="10"/>
        <v>37188</v>
      </c>
      <c r="K59" s="403">
        <f t="shared" si="10"/>
        <v>669</v>
      </c>
      <c r="L59" s="821">
        <f t="shared" si="10"/>
        <v>37857</v>
      </c>
      <c r="M59" s="817">
        <f t="shared" si="10"/>
        <v>5225835</v>
      </c>
    </row>
    <row r="60" spans="1:13" ht="30.75" customHeight="1">
      <c r="A60" s="233" t="s">
        <v>650</v>
      </c>
      <c r="B60" s="721" t="s">
        <v>60</v>
      </c>
      <c r="C60" s="383" t="s">
        <v>785</v>
      </c>
      <c r="D60" s="381">
        <f>152181+805+228+208+7-7+808+223+210+543+119+104+28+13+28+8+3+1210+316+65+327+85+18+2700+451+3984+254-254+120-120+3610-3610+1</f>
        <v>164666</v>
      </c>
      <c r="E60" s="382">
        <v>254</v>
      </c>
      <c r="F60" s="386">
        <f aca="true" t="shared" si="11" ref="F60:F65">SUM(D60:E60)</f>
        <v>164920</v>
      </c>
      <c r="G60" s="381"/>
      <c r="H60" s="382"/>
      <c r="I60" s="383">
        <f aca="true" t="shared" si="12" ref="I60:I65">SUM(G60:H60)</f>
        <v>0</v>
      </c>
      <c r="J60" s="381"/>
      <c r="K60" s="382"/>
      <c r="L60" s="383">
        <f aca="true" t="shared" si="13" ref="L60:L65">SUM(J60:K60)</f>
        <v>0</v>
      </c>
      <c r="M60" s="740">
        <f aca="true" t="shared" si="14" ref="M60:M65">SUM(L60,I60,F60)</f>
        <v>164920</v>
      </c>
    </row>
    <row r="61" spans="1:13" ht="22.5">
      <c r="A61" s="233" t="s">
        <v>651</v>
      </c>
      <c r="B61" s="237" t="s">
        <v>103</v>
      </c>
      <c r="C61" s="234" t="s">
        <v>814</v>
      </c>
      <c r="D61" s="384">
        <f>110840-8250</f>
        <v>102590</v>
      </c>
      <c r="E61" s="385"/>
      <c r="F61" s="386">
        <f t="shared" si="11"/>
        <v>102590</v>
      </c>
      <c r="G61" s="384"/>
      <c r="H61" s="385"/>
      <c r="I61" s="386">
        <f t="shared" si="12"/>
        <v>0</v>
      </c>
      <c r="J61" s="384"/>
      <c r="K61" s="385"/>
      <c r="L61" s="386">
        <f t="shared" si="13"/>
        <v>0</v>
      </c>
      <c r="M61" s="740">
        <f t="shared" si="14"/>
        <v>102590</v>
      </c>
    </row>
    <row r="62" spans="1:13" ht="24">
      <c r="A62" s="233" t="s">
        <v>652</v>
      </c>
      <c r="B62" s="237" t="s">
        <v>98</v>
      </c>
      <c r="C62" s="234" t="s">
        <v>815</v>
      </c>
      <c r="D62" s="384">
        <v>31950</v>
      </c>
      <c r="E62" s="385"/>
      <c r="F62" s="386">
        <f t="shared" si="11"/>
        <v>31950</v>
      </c>
      <c r="G62" s="384"/>
      <c r="H62" s="385"/>
      <c r="I62" s="386">
        <f t="shared" si="12"/>
        <v>0</v>
      </c>
      <c r="J62" s="384"/>
      <c r="K62" s="385"/>
      <c r="L62" s="386">
        <f t="shared" si="13"/>
        <v>0</v>
      </c>
      <c r="M62" s="740">
        <f t="shared" si="14"/>
        <v>31950</v>
      </c>
    </row>
    <row r="63" spans="1:13" ht="48">
      <c r="A63" s="233" t="s">
        <v>653</v>
      </c>
      <c r="B63" s="237" t="s">
        <v>101</v>
      </c>
      <c r="C63" s="245" t="s">
        <v>102</v>
      </c>
      <c r="D63" s="384">
        <v>13750</v>
      </c>
      <c r="E63" s="385"/>
      <c r="F63" s="386">
        <f t="shared" si="11"/>
        <v>13750</v>
      </c>
      <c r="G63" s="384"/>
      <c r="H63" s="385"/>
      <c r="I63" s="386">
        <f t="shared" si="12"/>
        <v>0</v>
      </c>
      <c r="J63" s="384"/>
      <c r="K63" s="385"/>
      <c r="L63" s="386">
        <f t="shared" si="13"/>
        <v>0</v>
      </c>
      <c r="M63" s="740">
        <f t="shared" si="14"/>
        <v>13750</v>
      </c>
    </row>
    <row r="64" spans="1:13" ht="24">
      <c r="A64" s="233" t="s">
        <v>654</v>
      </c>
      <c r="B64" s="237" t="s">
        <v>99</v>
      </c>
      <c r="C64" s="234" t="s">
        <v>817</v>
      </c>
      <c r="D64" s="384">
        <v>520</v>
      </c>
      <c r="E64" s="385"/>
      <c r="F64" s="386">
        <f t="shared" si="11"/>
        <v>520</v>
      </c>
      <c r="G64" s="384"/>
      <c r="H64" s="385"/>
      <c r="I64" s="386">
        <f t="shared" si="12"/>
        <v>0</v>
      </c>
      <c r="J64" s="384"/>
      <c r="K64" s="385"/>
      <c r="L64" s="386">
        <f t="shared" si="13"/>
        <v>0</v>
      </c>
      <c r="M64" s="740">
        <f t="shared" si="14"/>
        <v>520</v>
      </c>
    </row>
    <row r="65" spans="1:13" ht="36.75" thickBot="1">
      <c r="A65" s="233" t="s">
        <v>655</v>
      </c>
      <c r="B65" s="237" t="s">
        <v>100</v>
      </c>
      <c r="C65" s="234" t="s">
        <v>818</v>
      </c>
      <c r="D65" s="418">
        <v>0</v>
      </c>
      <c r="E65" s="419"/>
      <c r="F65" s="420">
        <f t="shared" si="11"/>
        <v>0</v>
      </c>
      <c r="G65" s="418"/>
      <c r="H65" s="419"/>
      <c r="I65" s="386">
        <f t="shared" si="12"/>
        <v>0</v>
      </c>
      <c r="J65" s="418">
        <v>15</v>
      </c>
      <c r="K65" s="419"/>
      <c r="L65" s="386">
        <f t="shared" si="13"/>
        <v>15</v>
      </c>
      <c r="M65" s="740">
        <f t="shared" si="14"/>
        <v>15</v>
      </c>
    </row>
    <row r="66" spans="1:13" s="248" customFormat="1" ht="13.5" thickBot="1">
      <c r="A66" s="1010" t="s">
        <v>819</v>
      </c>
      <c r="B66" s="1011"/>
      <c r="C66" s="1012"/>
      <c r="D66" s="421">
        <f>SUM(D60:D65)</f>
        <v>313476</v>
      </c>
      <c r="E66" s="421">
        <f aca="true" t="shared" si="15" ref="E66:K66">SUM(E60:E65)</f>
        <v>254</v>
      </c>
      <c r="F66" s="421">
        <f t="shared" si="15"/>
        <v>313730</v>
      </c>
      <c r="G66" s="421">
        <f t="shared" si="15"/>
        <v>0</v>
      </c>
      <c r="H66" s="421">
        <f t="shared" si="15"/>
        <v>0</v>
      </c>
      <c r="I66" s="421">
        <f t="shared" si="15"/>
        <v>0</v>
      </c>
      <c r="J66" s="421">
        <f t="shared" si="15"/>
        <v>15</v>
      </c>
      <c r="K66" s="421">
        <f t="shared" si="15"/>
        <v>0</v>
      </c>
      <c r="L66" s="421">
        <f>SUM(L60:L65)</f>
        <v>15</v>
      </c>
      <c r="M66" s="738">
        <f>SUM(M60:M65)</f>
        <v>313745</v>
      </c>
    </row>
    <row r="67" spans="1:13" ht="12.75">
      <c r="A67" s="233" t="s">
        <v>650</v>
      </c>
      <c r="B67" s="237" t="s">
        <v>820</v>
      </c>
      <c r="C67" s="238" t="s">
        <v>783</v>
      </c>
      <c r="D67" s="422">
        <v>31848</v>
      </c>
      <c r="E67" s="423"/>
      <c r="F67" s="383">
        <f>SUM(D67:E67)</f>
        <v>31848</v>
      </c>
      <c r="G67" s="422"/>
      <c r="H67" s="423"/>
      <c r="I67" s="400">
        <f>SUM(G67:H67)</f>
        <v>0</v>
      </c>
      <c r="J67" s="422"/>
      <c r="K67" s="423"/>
      <c r="L67" s="383">
        <f>SUM(J67:K67)</f>
        <v>0</v>
      </c>
      <c r="M67" s="740">
        <f>SUM(L67,I67,F67)</f>
        <v>31848</v>
      </c>
    </row>
    <row r="68" spans="1:13" ht="12.75">
      <c r="A68" s="233" t="s">
        <v>651</v>
      </c>
      <c r="B68" s="237" t="s">
        <v>821</v>
      </c>
      <c r="C68" s="234" t="s">
        <v>822</v>
      </c>
      <c r="D68" s="384">
        <f>141323+145+1501+10018+6245+897</f>
        <v>160129</v>
      </c>
      <c r="E68" s="385"/>
      <c r="F68" s="386">
        <f>SUM(D68:E68)</f>
        <v>160129</v>
      </c>
      <c r="G68" s="384"/>
      <c r="H68" s="385"/>
      <c r="I68" s="420">
        <f>SUM(G68:H68)</f>
        <v>0</v>
      </c>
      <c r="J68" s="384"/>
      <c r="K68" s="385"/>
      <c r="L68" s="386">
        <f>SUM(J68:K68)</f>
        <v>0</v>
      </c>
      <c r="M68" s="740">
        <f>SUM(L68,I68,F68)</f>
        <v>160129</v>
      </c>
    </row>
    <row r="69" spans="1:13" ht="15.75" customHeight="1">
      <c r="A69" s="417" t="s">
        <v>652</v>
      </c>
      <c r="B69" s="240" t="s">
        <v>823</v>
      </c>
      <c r="C69" s="386" t="s">
        <v>822</v>
      </c>
      <c r="D69" s="418">
        <f>10026+5+21</f>
        <v>10052</v>
      </c>
      <c r="E69" s="419"/>
      <c r="F69" s="420">
        <f>SUM(D69:E69)</f>
        <v>10052</v>
      </c>
      <c r="G69" s="418"/>
      <c r="H69" s="419"/>
      <c r="I69" s="420">
        <f>SUM(G69:H69)</f>
        <v>0</v>
      </c>
      <c r="J69" s="418"/>
      <c r="K69" s="419"/>
      <c r="L69" s="420">
        <f>SUM(J69:K69)</f>
        <v>0</v>
      </c>
      <c r="M69" s="740">
        <f>SUM(L69,I69,F69)</f>
        <v>10052</v>
      </c>
    </row>
    <row r="70" spans="1:13" ht="15.75" customHeight="1" thickBot="1">
      <c r="A70" s="417" t="s">
        <v>654</v>
      </c>
      <c r="B70" s="240" t="s">
        <v>915</v>
      </c>
      <c r="C70" s="399"/>
      <c r="D70" s="418"/>
      <c r="E70" s="419"/>
      <c r="F70" s="420">
        <f>SUM(D70:E70)</f>
        <v>0</v>
      </c>
      <c r="G70" s="418">
        <v>5066</v>
      </c>
      <c r="H70" s="419"/>
      <c r="I70" s="420">
        <f>SUM(G70:H70)</f>
        <v>5066</v>
      </c>
      <c r="J70" s="418"/>
      <c r="K70" s="419"/>
      <c r="L70" s="420">
        <f>SUM(J70:K70)</f>
        <v>0</v>
      </c>
      <c r="M70" s="740">
        <f>SUM(L70,I70,F70)</f>
        <v>5066</v>
      </c>
    </row>
    <row r="71" spans="1:13" ht="13.5" thickBot="1">
      <c r="A71" s="1010" t="s">
        <v>884</v>
      </c>
      <c r="B71" s="1011"/>
      <c r="C71" s="1012"/>
      <c r="D71" s="425">
        <f aca="true" t="shared" si="16" ref="D71:M71">SUM(D67:D70)</f>
        <v>202029</v>
      </c>
      <c r="E71" s="425">
        <f t="shared" si="16"/>
        <v>0</v>
      </c>
      <c r="F71" s="425">
        <f t="shared" si="16"/>
        <v>202029</v>
      </c>
      <c r="G71" s="425">
        <f t="shared" si="16"/>
        <v>5066</v>
      </c>
      <c r="H71" s="425">
        <f t="shared" si="16"/>
        <v>0</v>
      </c>
      <c r="I71" s="425">
        <f t="shared" si="16"/>
        <v>5066</v>
      </c>
      <c r="J71" s="425">
        <f t="shared" si="16"/>
        <v>0</v>
      </c>
      <c r="K71" s="425">
        <f t="shared" si="16"/>
        <v>0</v>
      </c>
      <c r="L71" s="425">
        <f t="shared" si="16"/>
        <v>0</v>
      </c>
      <c r="M71" s="738">
        <f t="shared" si="16"/>
        <v>207095</v>
      </c>
    </row>
    <row r="72" spans="1:13" s="249" customFormat="1" ht="15.75" thickBot="1">
      <c r="A72" s="1007" t="s">
        <v>824</v>
      </c>
      <c r="B72" s="1008"/>
      <c r="C72" s="1009"/>
      <c r="D72" s="424">
        <f aca="true" t="shared" si="17" ref="D72:M72">D59+D66+D71</f>
        <v>1285554</v>
      </c>
      <c r="E72" s="424">
        <f t="shared" si="17"/>
        <v>3660173</v>
      </c>
      <c r="F72" s="424">
        <f t="shared" si="17"/>
        <v>4945727</v>
      </c>
      <c r="G72" s="424">
        <f t="shared" si="17"/>
        <v>95482</v>
      </c>
      <c r="H72" s="424">
        <f t="shared" si="17"/>
        <v>667594</v>
      </c>
      <c r="I72" s="424">
        <f t="shared" si="17"/>
        <v>763076</v>
      </c>
      <c r="J72" s="424">
        <f t="shared" si="17"/>
        <v>37203</v>
      </c>
      <c r="K72" s="424">
        <f t="shared" si="17"/>
        <v>669</v>
      </c>
      <c r="L72" s="737">
        <f t="shared" si="17"/>
        <v>37872</v>
      </c>
      <c r="M72" s="742">
        <f t="shared" si="17"/>
        <v>5746675</v>
      </c>
    </row>
    <row r="75" spans="1:2" ht="12.75">
      <c r="A75" t="s">
        <v>825</v>
      </c>
      <c r="B75" t="s">
        <v>826</v>
      </c>
    </row>
    <row r="76" spans="1:2" ht="12.75">
      <c r="A76" t="s">
        <v>827</v>
      </c>
      <c r="B76" t="s">
        <v>828</v>
      </c>
    </row>
    <row r="77" spans="1:2" ht="12.75">
      <c r="A77" t="s">
        <v>829</v>
      </c>
      <c r="B77" t="s">
        <v>830</v>
      </c>
    </row>
    <row r="78" spans="1:2" ht="12.75">
      <c r="A78" t="s">
        <v>831</v>
      </c>
      <c r="B78" t="s">
        <v>832</v>
      </c>
    </row>
    <row r="79" spans="1:2" ht="12.75">
      <c r="A79" t="s">
        <v>833</v>
      </c>
      <c r="B79" t="s">
        <v>834</v>
      </c>
    </row>
    <row r="80" spans="1:2" ht="12.75">
      <c r="A80" t="s">
        <v>835</v>
      </c>
      <c r="B80" t="s">
        <v>836</v>
      </c>
    </row>
    <row r="81" spans="1:2" ht="12.75">
      <c r="A81" t="s">
        <v>837</v>
      </c>
      <c r="B81" t="s">
        <v>838</v>
      </c>
    </row>
  </sheetData>
  <sheetProtection/>
  <mergeCells count="16">
    <mergeCell ref="C44:C48"/>
    <mergeCell ref="A72:C72"/>
    <mergeCell ref="A66:C66"/>
    <mergeCell ref="D6:F7"/>
    <mergeCell ref="A71:C71"/>
    <mergeCell ref="B5:B8"/>
    <mergeCell ref="A5:A8"/>
    <mergeCell ref="C5:M5"/>
    <mergeCell ref="A59:C59"/>
    <mergeCell ref="B9:M9"/>
    <mergeCell ref="G1:M1"/>
    <mergeCell ref="M6:M8"/>
    <mergeCell ref="A3:M4"/>
    <mergeCell ref="C6:C8"/>
    <mergeCell ref="G6:I7"/>
    <mergeCell ref="J6:L7"/>
  </mergeCells>
  <printOptions horizontalCentered="1" vertic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57" r:id="rId1"/>
  <rowBreaks count="2" manualBreakCount="2">
    <brk id="29" max="12" man="1"/>
    <brk id="5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O93"/>
  <sheetViews>
    <sheetView zoomScalePageLayoutView="0" workbookViewId="0" topLeftCell="T1">
      <selection activeCell="T2" sqref="T2"/>
    </sheetView>
  </sheetViews>
  <sheetFormatPr defaultColWidth="9.00390625" defaultRowHeight="12.75"/>
  <cols>
    <col min="3" max="3" width="19.125" style="0" customWidth="1"/>
    <col min="4" max="5" width="13.875" style="0" bestFit="1" customWidth="1"/>
    <col min="6" max="6" width="13.375" style="0" customWidth="1"/>
    <col min="7" max="7" width="12.625" style="0" customWidth="1"/>
    <col min="8" max="8" width="18.875" style="0" customWidth="1"/>
    <col min="9" max="9" width="9.25390625" style="0" bestFit="1" customWidth="1"/>
    <col min="10" max="10" width="10.75390625" style="0" bestFit="1" customWidth="1"/>
    <col min="11" max="11" width="19.25390625" style="0" customWidth="1"/>
    <col min="12" max="12" width="9.75390625" style="0" customWidth="1"/>
    <col min="14" max="14" width="12.625" style="0" customWidth="1"/>
    <col min="15" max="15" width="8.125" style="0" customWidth="1"/>
    <col min="16" max="16" width="9.75390625" style="0" bestFit="1" customWidth="1"/>
    <col min="17" max="17" width="11.75390625" style="0" customWidth="1"/>
    <col min="21" max="21" width="9.875" style="0" customWidth="1"/>
    <col min="22" max="22" width="10.125" style="0" bestFit="1" customWidth="1"/>
    <col min="23" max="23" width="13.875" style="0" customWidth="1"/>
    <col min="24" max="24" width="14.75390625" style="250" bestFit="1" customWidth="1"/>
    <col min="25" max="25" width="13.875" style="250" customWidth="1"/>
    <col min="26" max="26" width="14.75390625" style="250" bestFit="1" customWidth="1"/>
    <col min="27" max="27" width="13.125" style="250" bestFit="1" customWidth="1"/>
    <col min="28" max="28" width="12.625" style="250" bestFit="1" customWidth="1"/>
    <col min="29" max="29" width="13.125" style="250" bestFit="1" customWidth="1"/>
    <col min="30" max="223" width="9.125" style="250" customWidth="1"/>
  </cols>
  <sheetData>
    <row r="1" spans="1:28" ht="15">
      <c r="A1" s="224"/>
      <c r="B1" s="225"/>
      <c r="C1" s="226"/>
      <c r="H1" s="225"/>
      <c r="I1" s="225"/>
      <c r="J1" s="225"/>
      <c r="K1" s="229"/>
      <c r="L1" s="229"/>
      <c r="M1" s="229"/>
      <c r="N1" s="225"/>
      <c r="T1" s="1126" t="s">
        <v>1132</v>
      </c>
      <c r="U1" s="1127"/>
      <c r="V1" s="1127"/>
      <c r="W1" s="1127"/>
      <c r="X1" s="1128"/>
      <c r="Y1" s="1128"/>
      <c r="Z1" s="1128"/>
      <c r="AA1" s="1128"/>
      <c r="AB1" s="1128"/>
    </row>
    <row r="2" spans="1:14" ht="12.75">
      <c r="A2" s="224"/>
      <c r="B2" s="225"/>
      <c r="C2" s="226"/>
      <c r="D2" s="227"/>
      <c r="E2" s="228"/>
      <c r="F2" s="228"/>
      <c r="G2" s="228"/>
      <c r="H2" s="225"/>
      <c r="I2" s="225"/>
      <c r="J2" s="225"/>
      <c r="K2" s="229"/>
      <c r="L2" s="229"/>
      <c r="M2" s="229"/>
      <c r="N2" s="225"/>
    </row>
    <row r="3" spans="1:24" ht="15.75" customHeight="1">
      <c r="A3" s="1130" t="s">
        <v>1004</v>
      </c>
      <c r="B3" s="1130"/>
      <c r="C3" s="1130"/>
      <c r="D3" s="1130"/>
      <c r="E3" s="1130"/>
      <c r="F3" s="1130"/>
      <c r="G3" s="1130"/>
      <c r="H3" s="1130"/>
      <c r="I3" s="1130"/>
      <c r="J3" s="1130"/>
      <c r="K3" s="1130"/>
      <c r="L3" s="1130"/>
      <c r="M3" s="1130"/>
      <c r="N3" s="1130"/>
      <c r="O3" s="1130"/>
      <c r="P3" s="1130"/>
      <c r="Q3" s="1130"/>
      <c r="R3" s="1130"/>
      <c r="S3" s="1130"/>
      <c r="T3" s="1130"/>
      <c r="U3" s="1130"/>
      <c r="V3" s="1130"/>
      <c r="W3" s="1130"/>
      <c r="X3" s="1130"/>
    </row>
    <row r="4" spans="1:24" ht="13.5" thickBot="1">
      <c r="A4" s="1131"/>
      <c r="B4" s="1131"/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1"/>
      <c r="R4" s="1131"/>
      <c r="S4" s="1131"/>
      <c r="T4" s="1131"/>
      <c r="U4" s="1131"/>
      <c r="V4" s="1131"/>
      <c r="W4" s="1131"/>
      <c r="X4" s="1131"/>
    </row>
    <row r="5" spans="1:223" s="251" customFormat="1" ht="15" customHeight="1" thickBot="1" thickTop="1">
      <c r="A5" s="1084" t="s">
        <v>104</v>
      </c>
      <c r="B5" s="1085"/>
      <c r="C5" s="1085"/>
      <c r="D5" s="1088" t="s">
        <v>608</v>
      </c>
      <c r="E5" s="1089"/>
      <c r="F5" s="1090"/>
      <c r="G5" s="1091" t="s">
        <v>839</v>
      </c>
      <c r="H5" s="1132"/>
      <c r="I5" s="1132"/>
      <c r="J5" s="1132"/>
      <c r="K5" s="1133"/>
      <c r="L5" s="1045" t="s">
        <v>840</v>
      </c>
      <c r="M5" s="1046"/>
      <c r="N5" s="1046"/>
      <c r="O5" s="1046"/>
      <c r="P5" s="1046"/>
      <c r="Q5" s="1097"/>
      <c r="R5" s="1045" t="s">
        <v>841</v>
      </c>
      <c r="S5" s="1046"/>
      <c r="T5" s="1046"/>
      <c r="U5" s="1046"/>
      <c r="V5" s="1046"/>
      <c r="W5" s="1046"/>
      <c r="X5" s="1129" t="s">
        <v>842</v>
      </c>
      <c r="Y5" s="1063"/>
      <c r="Z5" s="1063"/>
      <c r="AA5" s="1030" t="s">
        <v>105</v>
      </c>
      <c r="AB5" s="1031"/>
      <c r="AC5" s="1032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</row>
    <row r="6" spans="1:29" s="250" customFormat="1" ht="16.5" customHeight="1" thickBot="1">
      <c r="A6" s="1086"/>
      <c r="B6" s="1087"/>
      <c r="C6" s="1087"/>
      <c r="D6" s="427" t="s">
        <v>106</v>
      </c>
      <c r="E6" s="428" t="s">
        <v>89</v>
      </c>
      <c r="F6" s="429" t="s">
        <v>107</v>
      </c>
      <c r="G6" s="1134"/>
      <c r="H6" s="1135"/>
      <c r="I6" s="1135"/>
      <c r="J6" s="1135"/>
      <c r="K6" s="1136"/>
      <c r="L6" s="1048"/>
      <c r="M6" s="1049"/>
      <c r="N6" s="1049"/>
      <c r="O6" s="1049"/>
      <c r="P6" s="1049"/>
      <c r="Q6" s="1098"/>
      <c r="R6" s="1048"/>
      <c r="S6" s="1049"/>
      <c r="T6" s="1049"/>
      <c r="U6" s="1049"/>
      <c r="V6" s="1049"/>
      <c r="W6" s="1049"/>
      <c r="X6" s="430" t="s">
        <v>106</v>
      </c>
      <c r="Y6" s="431" t="s">
        <v>89</v>
      </c>
      <c r="Z6" s="432" t="s">
        <v>107</v>
      </c>
      <c r="AA6" s="433" t="s">
        <v>106</v>
      </c>
      <c r="AB6" s="434" t="s">
        <v>89</v>
      </c>
      <c r="AC6" s="435" t="s">
        <v>107</v>
      </c>
    </row>
    <row r="7" spans="1:29" s="252" customFormat="1" ht="26.25" customHeight="1">
      <c r="A7" s="436"/>
      <c r="B7" s="437"/>
      <c r="C7" s="438"/>
      <c r="D7" s="439"/>
      <c r="E7" s="437"/>
      <c r="F7" s="440"/>
      <c r="G7" s="1118" t="s">
        <v>843</v>
      </c>
      <c r="H7" s="1079"/>
      <c r="I7" s="1079"/>
      <c r="J7" s="445">
        <v>84901</v>
      </c>
      <c r="K7" s="1070">
        <f>SUM(J7:J23)</f>
        <v>189419</v>
      </c>
      <c r="L7" s="1106" t="s">
        <v>132</v>
      </c>
      <c r="M7" s="1107"/>
      <c r="N7" s="1107"/>
      <c r="O7" s="1107"/>
      <c r="P7" s="442">
        <v>1000</v>
      </c>
      <c r="Q7" s="1070">
        <f>SUM(P7:P23)</f>
        <v>293341</v>
      </c>
      <c r="R7" s="1052" t="s">
        <v>844</v>
      </c>
      <c r="S7" s="1053"/>
      <c r="T7" s="1053"/>
      <c r="U7" s="1053"/>
      <c r="V7" s="445">
        <f>7620-4500-1215</f>
        <v>1905</v>
      </c>
      <c r="W7" s="1082">
        <f>SUM(V7:V23)</f>
        <v>397887</v>
      </c>
      <c r="X7" s="446"/>
      <c r="Y7" s="447"/>
      <c r="Z7" s="448"/>
      <c r="AA7" s="449"/>
      <c r="AB7" s="450"/>
      <c r="AC7" s="451"/>
    </row>
    <row r="8" spans="1:29" s="252" customFormat="1" ht="42" customHeight="1">
      <c r="A8" s="436"/>
      <c r="B8" s="437"/>
      <c r="C8" s="439"/>
      <c r="D8" s="439"/>
      <c r="E8" s="437"/>
      <c r="F8" s="440"/>
      <c r="G8" s="1025" t="s">
        <v>136</v>
      </c>
      <c r="H8" s="1025"/>
      <c r="I8" s="1025"/>
      <c r="J8" s="445">
        <f>13578-1208</f>
        <v>12370</v>
      </c>
      <c r="K8" s="1071"/>
      <c r="L8" s="1026" t="s">
        <v>845</v>
      </c>
      <c r="M8" s="1025"/>
      <c r="N8" s="1025"/>
      <c r="O8" s="1025"/>
      <c r="P8" s="445">
        <f>2543+208</f>
        <v>2751</v>
      </c>
      <c r="Q8" s="1071"/>
      <c r="R8" s="1026" t="s">
        <v>846</v>
      </c>
      <c r="S8" s="1025"/>
      <c r="T8" s="1025"/>
      <c r="U8" s="1025"/>
      <c r="V8" s="445">
        <v>550</v>
      </c>
      <c r="W8" s="1051"/>
      <c r="X8" s="453"/>
      <c r="Y8" s="447"/>
      <c r="Z8" s="454"/>
      <c r="AA8" s="436"/>
      <c r="AB8" s="455"/>
      <c r="AC8" s="456"/>
    </row>
    <row r="9" spans="1:29" s="252" customFormat="1" ht="24.75" customHeight="1">
      <c r="A9" s="457"/>
      <c r="B9" s="458"/>
      <c r="C9" s="459" t="s">
        <v>775</v>
      </c>
      <c r="D9" s="460">
        <v>770049</v>
      </c>
      <c r="E9" s="461">
        <v>3659919</v>
      </c>
      <c r="F9" s="462">
        <f>SUM(D9:E9)</f>
        <v>4429968</v>
      </c>
      <c r="G9" s="1116" t="s">
        <v>847</v>
      </c>
      <c r="H9" s="1117"/>
      <c r="I9" s="1117"/>
      <c r="J9" s="445">
        <v>7352</v>
      </c>
      <c r="K9" s="1071"/>
      <c r="L9" s="1052" t="s">
        <v>848</v>
      </c>
      <c r="M9" s="1053"/>
      <c r="N9" s="1053"/>
      <c r="O9" s="1053"/>
      <c r="P9" s="445">
        <f>12420+373</f>
        <v>12793</v>
      </c>
      <c r="Q9" s="1071"/>
      <c r="R9" s="1052" t="s">
        <v>849</v>
      </c>
      <c r="S9" s="1053"/>
      <c r="T9" s="1053"/>
      <c r="U9" s="1053"/>
      <c r="V9" s="445">
        <v>102849</v>
      </c>
      <c r="W9" s="1051"/>
      <c r="X9" s="463"/>
      <c r="Y9" s="464"/>
      <c r="Z9" s="454"/>
      <c r="AA9" s="465"/>
      <c r="AB9" s="466"/>
      <c r="AC9" s="467"/>
    </row>
    <row r="10" spans="1:29" s="252" customFormat="1" ht="28.5" customHeight="1">
      <c r="A10" s="468"/>
      <c r="B10" s="469"/>
      <c r="C10" s="470"/>
      <c r="D10" s="470"/>
      <c r="E10" s="437"/>
      <c r="F10" s="440"/>
      <c r="G10" s="1024" t="s">
        <v>850</v>
      </c>
      <c r="H10" s="1025"/>
      <c r="I10" s="1025"/>
      <c r="J10" s="445">
        <v>10609</v>
      </c>
      <c r="K10" s="1071"/>
      <c r="L10" s="1026" t="s">
        <v>851</v>
      </c>
      <c r="M10" s="1025"/>
      <c r="N10" s="1025"/>
      <c r="O10" s="1025"/>
      <c r="P10" s="445">
        <v>16800</v>
      </c>
      <c r="Q10" s="1071"/>
      <c r="R10" s="1052" t="s">
        <v>852</v>
      </c>
      <c r="S10" s="1053"/>
      <c r="T10" s="1053"/>
      <c r="U10" s="1053"/>
      <c r="V10" s="445">
        <v>4726</v>
      </c>
      <c r="W10" s="1051"/>
      <c r="X10" s="463"/>
      <c r="Y10" s="464"/>
      <c r="Z10" s="454"/>
      <c r="AA10" s="465"/>
      <c r="AB10" s="466"/>
      <c r="AC10" s="467"/>
    </row>
    <row r="11" spans="1:29" s="252" customFormat="1" ht="24.75" customHeight="1">
      <c r="A11" s="468"/>
      <c r="B11" s="469"/>
      <c r="C11" s="470"/>
      <c r="D11" s="470"/>
      <c r="E11" s="437"/>
      <c r="F11" s="440"/>
      <c r="G11" s="1024" t="s">
        <v>145</v>
      </c>
      <c r="H11" s="1025"/>
      <c r="I11" s="1025"/>
      <c r="J11" s="445">
        <v>3840</v>
      </c>
      <c r="K11" s="1071"/>
      <c r="L11" s="1026" t="s">
        <v>141</v>
      </c>
      <c r="M11" s="1025"/>
      <c r="N11" s="1025"/>
      <c r="O11" s="1025"/>
      <c r="P11" s="445">
        <v>12758</v>
      </c>
      <c r="Q11" s="1071"/>
      <c r="R11" s="1026" t="s">
        <v>853</v>
      </c>
      <c r="S11" s="1025"/>
      <c r="T11" s="1025"/>
      <c r="U11" s="1025"/>
      <c r="V11" s="445">
        <f>140100-126</f>
        <v>139974</v>
      </c>
      <c r="W11" s="1051"/>
      <c r="X11" s="463"/>
      <c r="Y11" s="464"/>
      <c r="Z11" s="454"/>
      <c r="AA11" s="465"/>
      <c r="AB11" s="466"/>
      <c r="AC11" s="467"/>
    </row>
    <row r="12" spans="1:29" s="252" customFormat="1" ht="25.5" customHeight="1">
      <c r="A12" s="468"/>
      <c r="B12" s="469"/>
      <c r="C12" s="470"/>
      <c r="D12" s="470"/>
      <c r="E12" s="437"/>
      <c r="F12" s="472"/>
      <c r="G12" s="1064" t="s">
        <v>108</v>
      </c>
      <c r="H12" s="1053"/>
      <c r="I12" s="1053"/>
      <c r="J12" s="445">
        <v>820</v>
      </c>
      <c r="K12" s="1071"/>
      <c r="L12" s="1026" t="s">
        <v>142</v>
      </c>
      <c r="M12" s="1025"/>
      <c r="N12" s="1025"/>
      <c r="O12" s="1025"/>
      <c r="P12" s="445">
        <f>45248-2680+58669+45860</f>
        <v>147097</v>
      </c>
      <c r="Q12" s="1071"/>
      <c r="R12" s="1026" t="s">
        <v>133</v>
      </c>
      <c r="S12" s="1025"/>
      <c r="T12" s="1025"/>
      <c r="U12" s="1025"/>
      <c r="V12" s="445">
        <v>8320</v>
      </c>
      <c r="W12" s="1051"/>
      <c r="X12" s="473">
        <f>SUM(W7,Q7,K7)</f>
        <v>880647</v>
      </c>
      <c r="Y12" s="474">
        <f>SUM(Q24,W24,K24)</f>
        <v>3851445</v>
      </c>
      <c r="Z12" s="475">
        <f>SUM(Y12,X12)</f>
        <v>4732092</v>
      </c>
      <c r="AA12" s="473">
        <f>X12-D9</f>
        <v>110598</v>
      </c>
      <c r="AB12" s="474">
        <f>Y12-E9</f>
        <v>191526</v>
      </c>
      <c r="AC12" s="476">
        <f>SUM(AA12:AB12)</f>
        <v>302124</v>
      </c>
    </row>
    <row r="13" spans="1:29" s="250" customFormat="1" ht="14.25" customHeight="1">
      <c r="A13" s="477"/>
      <c r="B13" s="478"/>
      <c r="C13" s="479"/>
      <c r="D13" s="479"/>
      <c r="E13" s="480"/>
      <c r="F13" s="481"/>
      <c r="G13" s="1053" t="s">
        <v>762</v>
      </c>
      <c r="H13" s="1053"/>
      <c r="I13" s="1053"/>
      <c r="J13" s="445">
        <v>23980</v>
      </c>
      <c r="K13" s="1071"/>
      <c r="L13" s="1026" t="s">
        <v>143</v>
      </c>
      <c r="M13" s="1025"/>
      <c r="N13" s="1025"/>
      <c r="O13" s="1025"/>
      <c r="P13" s="445">
        <f>57039-14359</f>
        <v>42680</v>
      </c>
      <c r="Q13" s="1071"/>
      <c r="R13" s="1052" t="s">
        <v>854</v>
      </c>
      <c r="S13" s="1053"/>
      <c r="T13" s="1053"/>
      <c r="U13" s="1053"/>
      <c r="V13" s="482">
        <v>681</v>
      </c>
      <c r="W13" s="1051"/>
      <c r="X13" s="463"/>
      <c r="Y13" s="464"/>
      <c r="Z13" s="454"/>
      <c r="AA13" s="465"/>
      <c r="AB13" s="466"/>
      <c r="AC13" s="467"/>
    </row>
    <row r="14" spans="1:29" s="250" customFormat="1" ht="24.75" customHeight="1">
      <c r="A14" s="477"/>
      <c r="B14" s="478"/>
      <c r="C14" s="479"/>
      <c r="D14" s="479"/>
      <c r="E14" s="480"/>
      <c r="F14" s="481"/>
      <c r="G14" s="1024" t="s">
        <v>455</v>
      </c>
      <c r="H14" s="1025"/>
      <c r="I14" s="1025"/>
      <c r="J14" s="445">
        <v>30041</v>
      </c>
      <c r="K14" s="1071"/>
      <c r="L14" s="1026" t="s">
        <v>144</v>
      </c>
      <c r="M14" s="1025"/>
      <c r="N14" s="1025"/>
      <c r="O14" s="1025"/>
      <c r="P14" s="445">
        <v>1567</v>
      </c>
      <c r="Q14" s="1071"/>
      <c r="R14" s="1052" t="s">
        <v>868</v>
      </c>
      <c r="S14" s="1053"/>
      <c r="T14" s="1053"/>
      <c r="U14" s="1053"/>
      <c r="V14" s="482">
        <v>2920</v>
      </c>
      <c r="W14" s="1051"/>
      <c r="X14" s="463"/>
      <c r="Y14" s="464"/>
      <c r="Z14" s="454"/>
      <c r="AA14" s="465"/>
      <c r="AB14" s="466"/>
      <c r="AC14" s="467"/>
    </row>
    <row r="15" spans="1:29" s="250" customFormat="1" ht="12.75" customHeight="1">
      <c r="A15" s="477"/>
      <c r="B15" s="478"/>
      <c r="C15" s="479"/>
      <c r="D15" s="479"/>
      <c r="E15" s="480"/>
      <c r="F15" s="481"/>
      <c r="G15" s="1024" t="s">
        <v>461</v>
      </c>
      <c r="H15" s="1025"/>
      <c r="I15" s="1025"/>
      <c r="J15" s="445">
        <f>70736-897-750-57416</f>
        <v>11673</v>
      </c>
      <c r="K15" s="1071"/>
      <c r="L15" s="1052" t="s">
        <v>857</v>
      </c>
      <c r="M15" s="1053"/>
      <c r="N15" s="1053"/>
      <c r="O15" s="1053"/>
      <c r="P15" s="483">
        <f>5677+1473</f>
        <v>7150</v>
      </c>
      <c r="Q15" s="1071"/>
      <c r="R15" s="1052" t="s">
        <v>109</v>
      </c>
      <c r="S15" s="1053"/>
      <c r="T15" s="1053"/>
      <c r="U15" s="1053"/>
      <c r="V15" s="482">
        <v>127</v>
      </c>
      <c r="W15" s="1051"/>
      <c r="X15" s="463"/>
      <c r="Y15" s="464"/>
      <c r="Z15" s="454"/>
      <c r="AA15" s="465"/>
      <c r="AB15" s="466"/>
      <c r="AC15" s="467"/>
    </row>
    <row r="16" spans="1:29" s="250" customFormat="1" ht="12.75" customHeight="1">
      <c r="A16" s="477"/>
      <c r="B16" s="478"/>
      <c r="C16" s="479"/>
      <c r="D16" s="479"/>
      <c r="E16" s="480"/>
      <c r="F16" s="481"/>
      <c r="G16" s="1024" t="s">
        <v>929</v>
      </c>
      <c r="H16" s="1025"/>
      <c r="I16" s="1025"/>
      <c r="J16" s="445">
        <v>193</v>
      </c>
      <c r="K16" s="1071"/>
      <c r="L16" s="1052" t="s">
        <v>926</v>
      </c>
      <c r="M16" s="1053"/>
      <c r="N16" s="1053"/>
      <c r="O16" s="1053"/>
      <c r="P16" s="505">
        <f>16108+14510+17987</f>
        <v>48605</v>
      </c>
      <c r="Q16" s="1071"/>
      <c r="R16" s="1052" t="s">
        <v>855</v>
      </c>
      <c r="S16" s="1053"/>
      <c r="T16" s="1053"/>
      <c r="U16" s="1053"/>
      <c r="V16" s="482">
        <v>35</v>
      </c>
      <c r="W16" s="1051"/>
      <c r="X16" s="463"/>
      <c r="Y16" s="464"/>
      <c r="Z16" s="454"/>
      <c r="AA16" s="465"/>
      <c r="AB16" s="466"/>
      <c r="AC16" s="467"/>
    </row>
    <row r="17" spans="1:29" s="250" customFormat="1" ht="12.75" customHeight="1">
      <c r="A17" s="477"/>
      <c r="B17" s="478"/>
      <c r="C17" s="479"/>
      <c r="D17" s="479"/>
      <c r="E17" s="480"/>
      <c r="F17" s="481"/>
      <c r="G17" s="1024" t="s">
        <v>930</v>
      </c>
      <c r="H17" s="1025"/>
      <c r="I17" s="1025"/>
      <c r="J17" s="445">
        <v>2504</v>
      </c>
      <c r="K17" s="1071"/>
      <c r="L17" s="1052" t="s">
        <v>927</v>
      </c>
      <c r="M17" s="1053"/>
      <c r="N17" s="1053"/>
      <c r="O17" s="1053"/>
      <c r="P17" s="505">
        <v>140</v>
      </c>
      <c r="Q17" s="1071"/>
      <c r="R17" s="1052" t="s">
        <v>856</v>
      </c>
      <c r="S17" s="1053"/>
      <c r="T17" s="1053"/>
      <c r="U17" s="1053"/>
      <c r="V17" s="482">
        <v>360</v>
      </c>
      <c r="W17" s="1051"/>
      <c r="X17" s="463"/>
      <c r="Y17" s="464"/>
      <c r="Z17" s="454"/>
      <c r="AA17" s="465"/>
      <c r="AB17" s="466"/>
      <c r="AC17" s="467"/>
    </row>
    <row r="18" spans="1:29" s="250" customFormat="1" ht="26.25" customHeight="1">
      <c r="A18" s="477"/>
      <c r="B18" s="478"/>
      <c r="C18" s="479"/>
      <c r="D18" s="479"/>
      <c r="E18" s="480"/>
      <c r="F18" s="481"/>
      <c r="G18" s="1024" t="s">
        <v>932</v>
      </c>
      <c r="H18" s="1025"/>
      <c r="I18" s="1025"/>
      <c r="J18" s="482">
        <v>126</v>
      </c>
      <c r="K18" s="1071"/>
      <c r="L18" s="658"/>
      <c r="M18" s="647"/>
      <c r="N18" s="647"/>
      <c r="O18" s="647"/>
      <c r="P18" s="646"/>
      <c r="Q18" s="1071"/>
      <c r="R18" s="1026" t="s">
        <v>134</v>
      </c>
      <c r="S18" s="1025"/>
      <c r="T18" s="1025"/>
      <c r="U18" s="1025"/>
      <c r="V18" s="483">
        <f>1524+3175</f>
        <v>4699</v>
      </c>
      <c r="W18" s="1051"/>
      <c r="X18" s="463"/>
      <c r="Y18" s="464"/>
      <c r="Z18" s="454"/>
      <c r="AA18" s="465"/>
      <c r="AB18" s="466"/>
      <c r="AC18" s="467"/>
    </row>
    <row r="19" spans="1:29" s="250" customFormat="1" ht="14.25" customHeight="1">
      <c r="A19" s="477"/>
      <c r="B19" s="478"/>
      <c r="C19" s="479"/>
      <c r="D19" s="479"/>
      <c r="E19" s="480"/>
      <c r="F19" s="481"/>
      <c r="G19" s="1024" t="s">
        <v>931</v>
      </c>
      <c r="H19" s="1025"/>
      <c r="I19" s="1025"/>
      <c r="J19" s="445">
        <v>1010</v>
      </c>
      <c r="K19" s="1071"/>
      <c r="L19" s="658"/>
      <c r="M19" s="647"/>
      <c r="N19" s="647"/>
      <c r="O19" s="647"/>
      <c r="P19" s="646"/>
      <c r="Q19" s="1071"/>
      <c r="R19" s="1026" t="s">
        <v>459</v>
      </c>
      <c r="S19" s="1025"/>
      <c r="T19" s="1025"/>
      <c r="U19" s="1025"/>
      <c r="V19" s="483">
        <v>144</v>
      </c>
      <c r="W19" s="1051"/>
      <c r="X19" s="463"/>
      <c r="Y19" s="464"/>
      <c r="Z19" s="454"/>
      <c r="AA19" s="465"/>
      <c r="AB19" s="466"/>
      <c r="AC19" s="467"/>
    </row>
    <row r="20" spans="1:29" s="250" customFormat="1" ht="14.25" customHeight="1">
      <c r="A20" s="477"/>
      <c r="B20" s="478"/>
      <c r="C20" s="479"/>
      <c r="D20" s="479"/>
      <c r="E20" s="480"/>
      <c r="F20" s="481"/>
      <c r="G20" s="1024"/>
      <c r="H20" s="1025"/>
      <c r="I20" s="1025"/>
      <c r="J20" s="445"/>
      <c r="K20" s="1071"/>
      <c r="L20" s="658"/>
      <c r="M20" s="647"/>
      <c r="N20" s="647"/>
      <c r="O20" s="647"/>
      <c r="P20" s="646"/>
      <c r="Q20" s="1071"/>
      <c r="R20" s="1026" t="s">
        <v>460</v>
      </c>
      <c r="S20" s="1025"/>
      <c r="T20" s="1025"/>
      <c r="U20" s="1025"/>
      <c r="V20" s="483">
        <f>6577+897+750</f>
        <v>8224</v>
      </c>
      <c r="W20" s="1051"/>
      <c r="X20" s="463"/>
      <c r="Y20" s="464"/>
      <c r="Z20" s="454"/>
      <c r="AA20" s="465"/>
      <c r="AB20" s="466"/>
      <c r="AC20" s="467"/>
    </row>
    <row r="21" spans="1:29" s="250" customFormat="1" ht="24.75" customHeight="1">
      <c r="A21" s="477"/>
      <c r="B21" s="478"/>
      <c r="C21" s="479"/>
      <c r="D21" s="479"/>
      <c r="E21" s="480"/>
      <c r="F21" s="481"/>
      <c r="G21" s="648"/>
      <c r="H21" s="647"/>
      <c r="I21" s="647"/>
      <c r="J21" s="646"/>
      <c r="K21" s="1071"/>
      <c r="L21" s="658"/>
      <c r="M21" s="647"/>
      <c r="N21" s="647"/>
      <c r="O21" s="647"/>
      <c r="P21" s="646"/>
      <c r="Q21" s="1071"/>
      <c r="R21" s="1026" t="s">
        <v>942</v>
      </c>
      <c r="S21" s="1025"/>
      <c r="T21" s="1025"/>
      <c r="U21" s="1025"/>
      <c r="V21" s="483">
        <f>9755+3610+120</f>
        <v>13485</v>
      </c>
      <c r="W21" s="1051"/>
      <c r="X21" s="463"/>
      <c r="Y21" s="464"/>
      <c r="Z21" s="454"/>
      <c r="AA21" s="465"/>
      <c r="AB21" s="466"/>
      <c r="AC21" s="467"/>
    </row>
    <row r="22" spans="1:29" s="250" customFormat="1" ht="13.5" customHeight="1">
      <c r="A22" s="477"/>
      <c r="B22" s="478"/>
      <c r="C22" s="479"/>
      <c r="D22" s="479"/>
      <c r="E22" s="480"/>
      <c r="F22" s="481"/>
      <c r="G22" s="648"/>
      <c r="H22" s="647"/>
      <c r="I22" s="647"/>
      <c r="J22" s="646"/>
      <c r="K22" s="1071"/>
      <c r="L22" s="658"/>
      <c r="M22" s="647"/>
      <c r="N22" s="647"/>
      <c r="O22" s="647"/>
      <c r="P22" s="646"/>
      <c r="Q22" s="1071"/>
      <c r="R22" s="1026" t="s">
        <v>1113</v>
      </c>
      <c r="S22" s="1025"/>
      <c r="T22" s="1025"/>
      <c r="U22" s="1025"/>
      <c r="V22" s="483">
        <v>3650</v>
      </c>
      <c r="W22" s="1051"/>
      <c r="X22" s="463"/>
      <c r="Y22" s="464"/>
      <c r="Z22" s="454"/>
      <c r="AA22" s="465"/>
      <c r="AB22" s="466"/>
      <c r="AC22" s="467"/>
    </row>
    <row r="23" spans="1:29" s="250" customFormat="1" ht="14.25" customHeight="1" thickBot="1">
      <c r="A23" s="477"/>
      <c r="B23" s="478"/>
      <c r="C23" s="479"/>
      <c r="D23" s="479"/>
      <c r="E23" s="480"/>
      <c r="F23" s="481"/>
      <c r="G23" s="648"/>
      <c r="H23" s="647"/>
      <c r="I23" s="647"/>
      <c r="J23" s="646"/>
      <c r="K23" s="1071"/>
      <c r="L23" s="658"/>
      <c r="M23" s="647"/>
      <c r="N23" s="647"/>
      <c r="O23" s="647"/>
      <c r="P23" s="646"/>
      <c r="Q23" s="1071"/>
      <c r="R23" s="1026" t="s">
        <v>928</v>
      </c>
      <c r="S23" s="1025"/>
      <c r="T23" s="1025"/>
      <c r="U23" s="1025"/>
      <c r="V23" s="483">
        <v>105238</v>
      </c>
      <c r="W23" s="1051"/>
      <c r="X23" s="463"/>
      <c r="Y23" s="464"/>
      <c r="Z23" s="454"/>
      <c r="AA23" s="465"/>
      <c r="AB23" s="466"/>
      <c r="AC23" s="467"/>
    </row>
    <row r="24" spans="1:29" s="250" customFormat="1" ht="12.75" customHeight="1">
      <c r="A24" s="477"/>
      <c r="B24" s="478"/>
      <c r="C24" s="479"/>
      <c r="D24" s="479"/>
      <c r="E24" s="484" t="s">
        <v>110</v>
      </c>
      <c r="F24" s="481"/>
      <c r="G24" s="1142" t="s">
        <v>933</v>
      </c>
      <c r="H24" s="1107"/>
      <c r="I24" s="1107"/>
      <c r="J24" s="442">
        <v>188589</v>
      </c>
      <c r="K24" s="1070">
        <f>SUM(J24:J29)</f>
        <v>188790</v>
      </c>
      <c r="L24" s="1106" t="s">
        <v>478</v>
      </c>
      <c r="M24" s="1107"/>
      <c r="N24" s="1107"/>
      <c r="O24" s="1107"/>
      <c r="P24" s="485">
        <v>8128</v>
      </c>
      <c r="Q24" s="1070">
        <f>SUM(P24:P29)</f>
        <v>2865766</v>
      </c>
      <c r="R24" s="1106" t="s">
        <v>111</v>
      </c>
      <c r="S24" s="1107"/>
      <c r="T24" s="1107"/>
      <c r="U24" s="1107"/>
      <c r="V24" s="486">
        <f>8380+350+100+1350+300+14817</f>
        <v>25297</v>
      </c>
      <c r="W24" s="1082">
        <f>SUM(V24:V29)</f>
        <v>796889</v>
      </c>
      <c r="X24" s="463"/>
      <c r="Y24" s="464"/>
      <c r="Z24" s="454"/>
      <c r="AA24" s="465"/>
      <c r="AB24" s="466"/>
      <c r="AC24" s="467"/>
    </row>
    <row r="25" spans="1:29" s="250" customFormat="1" ht="12.75" customHeight="1">
      <c r="A25" s="477"/>
      <c r="B25" s="478"/>
      <c r="C25" s="479"/>
      <c r="D25" s="479"/>
      <c r="E25" s="480"/>
      <c r="F25" s="481"/>
      <c r="G25" s="1064" t="s">
        <v>935</v>
      </c>
      <c r="H25" s="1053"/>
      <c r="I25" s="1053"/>
      <c r="J25" s="445">
        <v>156</v>
      </c>
      <c r="K25" s="1071"/>
      <c r="L25" s="1052" t="s">
        <v>479</v>
      </c>
      <c r="M25" s="1053"/>
      <c r="N25" s="1053"/>
      <c r="O25" s="1053"/>
      <c r="P25" s="505">
        <v>548556</v>
      </c>
      <c r="Q25" s="1111"/>
      <c r="R25" s="443" t="s">
        <v>457</v>
      </c>
      <c r="S25" s="444"/>
      <c r="T25" s="444"/>
      <c r="U25" s="444"/>
      <c r="V25" s="483">
        <v>2158</v>
      </c>
      <c r="W25" s="1105"/>
      <c r="X25" s="463"/>
      <c r="Y25" s="464"/>
      <c r="Z25" s="454"/>
      <c r="AA25" s="465"/>
      <c r="AB25" s="466"/>
      <c r="AC25" s="467"/>
    </row>
    <row r="26" spans="1:29" s="250" customFormat="1" ht="12.75" customHeight="1">
      <c r="A26" s="477"/>
      <c r="B26" s="478"/>
      <c r="C26" s="479"/>
      <c r="D26" s="479"/>
      <c r="E26" s="480"/>
      <c r="F26" s="481"/>
      <c r="G26" s="1064" t="s">
        <v>936</v>
      </c>
      <c r="H26" s="1053"/>
      <c r="I26" s="1053"/>
      <c r="J26" s="445">
        <v>45</v>
      </c>
      <c r="K26" s="1071"/>
      <c r="L26" s="1052" t="s">
        <v>480</v>
      </c>
      <c r="M26" s="1053"/>
      <c r="N26" s="1053"/>
      <c r="O26" s="1053"/>
      <c r="P26" s="505">
        <v>2301200</v>
      </c>
      <c r="Q26" s="1111"/>
      <c r="R26" s="443" t="s">
        <v>481</v>
      </c>
      <c r="S26" s="444"/>
      <c r="T26" s="444"/>
      <c r="U26" s="444"/>
      <c r="V26" s="483">
        <v>769434</v>
      </c>
      <c r="W26" s="1105"/>
      <c r="X26" s="463"/>
      <c r="Y26" s="464"/>
      <c r="Z26" s="454"/>
      <c r="AA26" s="465"/>
      <c r="AB26" s="466"/>
      <c r="AC26" s="467"/>
    </row>
    <row r="27" spans="1:29" s="250" customFormat="1" ht="28.5" customHeight="1" thickBot="1">
      <c r="A27" s="477"/>
      <c r="B27" s="478"/>
      <c r="C27" s="479"/>
      <c r="D27" s="479"/>
      <c r="E27" s="480"/>
      <c r="F27" s="481"/>
      <c r="G27" s="487"/>
      <c r="H27" s="480"/>
      <c r="I27" s="480"/>
      <c r="J27" s="570"/>
      <c r="K27" s="1071"/>
      <c r="L27" s="1026" t="s">
        <v>142</v>
      </c>
      <c r="M27" s="1025"/>
      <c r="N27" s="1025"/>
      <c r="O27" s="1025"/>
      <c r="P27" s="445">
        <f>2680+2695+2507</f>
        <v>7882</v>
      </c>
      <c r="Q27" s="1111"/>
      <c r="R27" s="1065"/>
      <c r="S27" s="1066"/>
      <c r="T27" s="1066"/>
      <c r="U27" s="1066"/>
      <c r="V27" s="649"/>
      <c r="W27" s="1105"/>
      <c r="X27" s="463"/>
      <c r="Y27" s="464"/>
      <c r="Z27" s="454"/>
      <c r="AA27" s="465"/>
      <c r="AB27" s="466"/>
      <c r="AC27" s="467"/>
    </row>
    <row r="28" spans="1:223" s="254" customFormat="1" ht="15.75" customHeight="1">
      <c r="A28" s="477"/>
      <c r="B28" s="478"/>
      <c r="C28" s="479"/>
      <c r="D28" s="479"/>
      <c r="E28" s="480"/>
      <c r="F28" s="481"/>
      <c r="G28" s="487"/>
      <c r="H28" s="488"/>
      <c r="I28" s="488"/>
      <c r="J28" s="570"/>
      <c r="K28" s="1071"/>
      <c r="L28" s="1065"/>
      <c r="M28" s="1066"/>
      <c r="N28" s="1066"/>
      <c r="O28" s="1066"/>
      <c r="P28" s="649"/>
      <c r="Q28" s="1111"/>
      <c r="R28" s="662"/>
      <c r="S28" s="250"/>
      <c r="T28" s="250"/>
      <c r="U28" s="250"/>
      <c r="V28" s="271"/>
      <c r="W28" s="1105"/>
      <c r="X28" s="463"/>
      <c r="Y28" s="464"/>
      <c r="Z28" s="454"/>
      <c r="AA28" s="465"/>
      <c r="AB28" s="466"/>
      <c r="AC28" s="467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  <c r="EV28" s="250"/>
      <c r="EW28" s="250"/>
      <c r="EX28" s="250"/>
      <c r="EY28" s="250"/>
      <c r="EZ28" s="250"/>
      <c r="FA28" s="250"/>
      <c r="FB28" s="250"/>
      <c r="FC28" s="250"/>
      <c r="FD28" s="250"/>
      <c r="FE28" s="250"/>
      <c r="FF28" s="250"/>
      <c r="FG28" s="250"/>
      <c r="FH28" s="250"/>
      <c r="FI28" s="250"/>
      <c r="FJ28" s="250"/>
      <c r="FK28" s="250"/>
      <c r="FL28" s="250"/>
      <c r="FM28" s="250"/>
      <c r="FN28" s="250"/>
      <c r="FO28" s="250"/>
      <c r="FP28" s="250"/>
      <c r="FQ28" s="250"/>
      <c r="FR28" s="250"/>
      <c r="FS28" s="250"/>
      <c r="FT28" s="250"/>
      <c r="FU28" s="250"/>
      <c r="FV28" s="250"/>
      <c r="FW28" s="250"/>
      <c r="FX28" s="250"/>
      <c r="FY28" s="250"/>
      <c r="FZ28" s="250"/>
      <c r="GA28" s="250"/>
      <c r="GB28" s="250"/>
      <c r="GC28" s="250"/>
      <c r="GD28" s="250"/>
      <c r="GE28" s="250"/>
      <c r="GF28" s="250"/>
      <c r="GG28" s="250"/>
      <c r="GH28" s="250"/>
      <c r="GI28" s="250"/>
      <c r="GJ28" s="250"/>
      <c r="GK28" s="250"/>
      <c r="GL28" s="250"/>
      <c r="GM28" s="250"/>
      <c r="GN28" s="250"/>
      <c r="GO28" s="250"/>
      <c r="GP28" s="250"/>
      <c r="GQ28" s="250"/>
      <c r="GR28" s="250"/>
      <c r="GS28" s="250"/>
      <c r="GT28" s="250"/>
      <c r="GU28" s="250"/>
      <c r="GV28" s="250"/>
      <c r="GW28" s="250"/>
      <c r="GX28" s="250"/>
      <c r="GY28" s="250"/>
      <c r="GZ28" s="250"/>
      <c r="HA28" s="250"/>
      <c r="HB28" s="250"/>
      <c r="HC28" s="250"/>
      <c r="HD28" s="250"/>
      <c r="HE28" s="250"/>
      <c r="HF28" s="250"/>
      <c r="HG28" s="250"/>
      <c r="HH28" s="250"/>
      <c r="HI28" s="250"/>
      <c r="HJ28" s="250"/>
      <c r="HK28" s="250"/>
      <c r="HL28" s="250"/>
      <c r="HM28" s="250"/>
      <c r="HN28" s="250"/>
      <c r="HO28" s="250"/>
    </row>
    <row r="29" spans="1:223" s="255" customFormat="1" ht="13.5" customHeight="1" thickBot="1">
      <c r="A29" s="477"/>
      <c r="B29" s="478"/>
      <c r="C29" s="479"/>
      <c r="D29" s="479"/>
      <c r="E29" s="480"/>
      <c r="F29" s="481"/>
      <c r="G29" s="487"/>
      <c r="H29" s="488"/>
      <c r="I29" s="488"/>
      <c r="J29" s="570"/>
      <c r="K29" s="1071"/>
      <c r="L29" s="480"/>
      <c r="M29" s="480"/>
      <c r="N29" s="480"/>
      <c r="O29" s="480"/>
      <c r="P29" s="480"/>
      <c r="Q29" s="1071"/>
      <c r="R29" s="658"/>
      <c r="S29" s="647"/>
      <c r="T29" s="647"/>
      <c r="U29" s="647"/>
      <c r="V29" s="660"/>
      <c r="W29" s="1051"/>
      <c r="X29" s="463"/>
      <c r="Y29" s="464"/>
      <c r="Z29" s="454"/>
      <c r="AA29" s="465"/>
      <c r="AB29" s="466"/>
      <c r="AC29" s="467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  <c r="ET29" s="250"/>
      <c r="EU29" s="250"/>
      <c r="EV29" s="250"/>
      <c r="EW29" s="250"/>
      <c r="EX29" s="250"/>
      <c r="EY29" s="250"/>
      <c r="EZ29" s="250"/>
      <c r="FA29" s="250"/>
      <c r="FB29" s="250"/>
      <c r="FC29" s="250"/>
      <c r="FD29" s="250"/>
      <c r="FE29" s="250"/>
      <c r="FF29" s="250"/>
      <c r="FG29" s="250"/>
      <c r="FH29" s="250"/>
      <c r="FI29" s="250"/>
      <c r="FJ29" s="250"/>
      <c r="FK29" s="250"/>
      <c r="FL29" s="250"/>
      <c r="FM29" s="250"/>
      <c r="FN29" s="250"/>
      <c r="FO29" s="250"/>
      <c r="FP29" s="250"/>
      <c r="FQ29" s="250"/>
      <c r="FR29" s="250"/>
      <c r="FS29" s="250"/>
      <c r="FT29" s="250"/>
      <c r="FU29" s="250"/>
      <c r="FV29" s="250"/>
      <c r="FW29" s="250"/>
      <c r="FX29" s="250"/>
      <c r="FY29" s="250"/>
      <c r="FZ29" s="250"/>
      <c r="GA29" s="250"/>
      <c r="GB29" s="250"/>
      <c r="GC29" s="250"/>
      <c r="GD29" s="250"/>
      <c r="GE29" s="250"/>
      <c r="GF29" s="250"/>
      <c r="GG29" s="250"/>
      <c r="GH29" s="250"/>
      <c r="GI29" s="250"/>
      <c r="GJ29" s="250"/>
      <c r="GK29" s="250"/>
      <c r="GL29" s="250"/>
      <c r="GM29" s="250"/>
      <c r="GN29" s="250"/>
      <c r="GO29" s="250"/>
      <c r="GP29" s="250"/>
      <c r="GQ29" s="250"/>
      <c r="GR29" s="250"/>
      <c r="GS29" s="250"/>
      <c r="GT29" s="250"/>
      <c r="GU29" s="250"/>
      <c r="GV29" s="250"/>
      <c r="GW29" s="250"/>
      <c r="GX29" s="250"/>
      <c r="GY29" s="250"/>
      <c r="GZ29" s="250"/>
      <c r="HA29" s="250"/>
      <c r="HB29" s="250"/>
      <c r="HC29" s="250"/>
      <c r="HD29" s="250"/>
      <c r="HE29" s="250"/>
      <c r="HF29" s="250"/>
      <c r="HG29" s="250"/>
      <c r="HH29" s="250"/>
      <c r="HI29" s="250"/>
      <c r="HJ29" s="250"/>
      <c r="HK29" s="250"/>
      <c r="HL29" s="250"/>
      <c r="HM29" s="250"/>
      <c r="HN29" s="250"/>
      <c r="HO29" s="250"/>
    </row>
    <row r="30" spans="1:29" ht="19.5" customHeight="1" thickBot="1" thickTop="1">
      <c r="A30" s="489"/>
      <c r="B30" s="1137" t="s">
        <v>113</v>
      </c>
      <c r="C30" s="1138"/>
      <c r="D30" s="490">
        <v>37188</v>
      </c>
      <c r="E30" s="491">
        <v>669</v>
      </c>
      <c r="F30" s="492">
        <f>SUM(D30:E30)</f>
        <v>37857</v>
      </c>
      <c r="G30" s="1139"/>
      <c r="H30" s="1140"/>
      <c r="I30" s="1140"/>
      <c r="J30" s="657"/>
      <c r="K30" s="493">
        <f>SUM(J30)</f>
        <v>0</v>
      </c>
      <c r="L30" s="1108" t="s">
        <v>859</v>
      </c>
      <c r="M30" s="1109"/>
      <c r="N30" s="1109"/>
      <c r="O30" s="1109"/>
      <c r="P30" s="494">
        <v>29550</v>
      </c>
      <c r="Q30" s="493">
        <f>SUM(P30)</f>
        <v>29550</v>
      </c>
      <c r="R30" s="1108" t="s">
        <v>860</v>
      </c>
      <c r="S30" s="1109"/>
      <c r="T30" s="1109"/>
      <c r="U30" s="1109"/>
      <c r="V30" s="496">
        <v>152</v>
      </c>
      <c r="W30" s="497">
        <v>152</v>
      </c>
      <c r="X30" s="498">
        <f>SUM(W30,Q30,K30)</f>
        <v>29702</v>
      </c>
      <c r="Y30" s="499">
        <v>0</v>
      </c>
      <c r="Z30" s="500">
        <f>SUM(X30:Y30)</f>
        <v>29702</v>
      </c>
      <c r="AA30" s="498">
        <f>X30-D30</f>
        <v>-7486</v>
      </c>
      <c r="AB30" s="499">
        <f>Y30-E30</f>
        <v>-669</v>
      </c>
      <c r="AC30" s="501">
        <f>SUM(AA30:AB30)</f>
        <v>-8155</v>
      </c>
    </row>
    <row r="31" spans="1:29" ht="24.75" customHeight="1" thickTop="1">
      <c r="A31" s="502"/>
      <c r="B31" s="480"/>
      <c r="C31" s="503"/>
      <c r="D31" s="504"/>
      <c r="E31" s="504"/>
      <c r="F31" s="481"/>
      <c r="G31" s="648"/>
      <c r="H31" s="647"/>
      <c r="I31" s="647"/>
      <c r="J31" s="744"/>
      <c r="K31" s="1141">
        <f>SUM(J31:J33)</f>
        <v>1239</v>
      </c>
      <c r="L31" s="1052" t="s">
        <v>138</v>
      </c>
      <c r="M31" s="1053"/>
      <c r="N31" s="1053"/>
      <c r="O31" s="1053"/>
      <c r="P31" s="445">
        <v>19900</v>
      </c>
      <c r="Q31" s="1141">
        <f>SUM(P31:P33)</f>
        <v>40208</v>
      </c>
      <c r="R31" s="1026" t="s">
        <v>482</v>
      </c>
      <c r="S31" s="1025"/>
      <c r="T31" s="1025"/>
      <c r="U31" s="1025"/>
      <c r="V31" s="483">
        <v>226</v>
      </c>
      <c r="W31" s="1110">
        <f>SUM(V31:V33)</f>
        <v>226</v>
      </c>
      <c r="X31" s="506"/>
      <c r="Y31" s="507"/>
      <c r="Z31" s="669"/>
      <c r="AA31" s="506"/>
      <c r="AB31" s="507"/>
      <c r="AC31" s="508"/>
    </row>
    <row r="32" spans="1:29" ht="24.75" customHeight="1">
      <c r="A32" s="502"/>
      <c r="B32" s="480"/>
      <c r="C32" s="503"/>
      <c r="D32" s="504"/>
      <c r="E32" s="480"/>
      <c r="F32" s="481"/>
      <c r="G32" s="1024" t="s">
        <v>1112</v>
      </c>
      <c r="H32" s="1025"/>
      <c r="I32" s="1025"/>
      <c r="J32" s="445">
        <v>1239</v>
      </c>
      <c r="K32" s="1071"/>
      <c r="L32" s="1052" t="s">
        <v>483</v>
      </c>
      <c r="M32" s="1053"/>
      <c r="N32" s="1053"/>
      <c r="O32" s="1053"/>
      <c r="P32" s="445">
        <v>8363</v>
      </c>
      <c r="Q32" s="1071"/>
      <c r="R32" s="822"/>
      <c r="S32" s="808"/>
      <c r="T32" s="808"/>
      <c r="U32" s="808"/>
      <c r="V32" s="483"/>
      <c r="W32" s="1111"/>
      <c r="X32" s="823"/>
      <c r="Y32" s="504"/>
      <c r="Z32" s="480"/>
      <c r="AA32" s="487"/>
      <c r="AB32" s="504"/>
      <c r="AC32" s="481"/>
    </row>
    <row r="33" spans="1:29" ht="25.5" customHeight="1" thickBot="1">
      <c r="A33" s="502"/>
      <c r="B33" s="480"/>
      <c r="C33" s="503"/>
      <c r="D33" s="504"/>
      <c r="E33" s="480"/>
      <c r="F33" s="481"/>
      <c r="G33" s="471"/>
      <c r="H33" s="444"/>
      <c r="I33" s="444"/>
      <c r="J33" s="505"/>
      <c r="K33" s="1075"/>
      <c r="L33" s="1026" t="s">
        <v>925</v>
      </c>
      <c r="M33" s="1025"/>
      <c r="N33" s="1025"/>
      <c r="O33" s="1025"/>
      <c r="P33" s="445">
        <f>1945+10000</f>
        <v>11945</v>
      </c>
      <c r="Q33" s="1075"/>
      <c r="R33" s="1113"/>
      <c r="S33" s="1114"/>
      <c r="T33" s="1114"/>
      <c r="U33" s="1114"/>
      <c r="V33" s="659"/>
      <c r="W33" s="1112"/>
      <c r="X33" s="509">
        <f>SUM(W31,Q31,K31)</f>
        <v>41673</v>
      </c>
      <c r="Y33" s="474">
        <f>SUM(Q34,W34,K34)</f>
        <v>470620</v>
      </c>
      <c r="Z33" s="475">
        <f>SUM(X33:Y33)</f>
        <v>512293</v>
      </c>
      <c r="AA33" s="473">
        <f>X33-D34</f>
        <v>-48743</v>
      </c>
      <c r="AB33" s="474">
        <f>Y33-E34</f>
        <v>-196974</v>
      </c>
      <c r="AC33" s="476">
        <f>SUM(AA33:AB33)</f>
        <v>-245717</v>
      </c>
    </row>
    <row r="34" spans="1:29" ht="27" customHeight="1">
      <c r="A34" s="1145" t="s">
        <v>776</v>
      </c>
      <c r="B34" s="1073"/>
      <c r="C34" s="1074"/>
      <c r="D34" s="512">
        <v>90416</v>
      </c>
      <c r="E34" s="461">
        <v>667594</v>
      </c>
      <c r="F34" s="462">
        <f>SUM(D34:E34)</f>
        <v>758010</v>
      </c>
      <c r="G34" s="650"/>
      <c r="H34" s="651"/>
      <c r="I34" s="651"/>
      <c r="J34" s="652"/>
      <c r="K34" s="1070">
        <f>SUM(J34:J38)</f>
        <v>0</v>
      </c>
      <c r="L34" s="1106" t="s">
        <v>139</v>
      </c>
      <c r="M34" s="1107"/>
      <c r="N34" s="1107"/>
      <c r="O34" s="1107"/>
      <c r="P34" s="486">
        <v>2000</v>
      </c>
      <c r="Q34" s="1070">
        <f>SUM(P34:P38)</f>
        <v>468644</v>
      </c>
      <c r="R34" s="1052" t="s">
        <v>112</v>
      </c>
      <c r="S34" s="1053"/>
      <c r="T34" s="1053"/>
      <c r="U34" s="1053"/>
      <c r="V34" s="483">
        <f>65000-65000</f>
        <v>0</v>
      </c>
      <c r="W34" s="1070">
        <f>SUM(V34:V38)</f>
        <v>1976</v>
      </c>
      <c r="X34" s="513"/>
      <c r="Y34" s="510"/>
      <c r="Z34" s="475"/>
      <c r="AA34" s="473"/>
      <c r="AB34" s="474"/>
      <c r="AC34" s="467"/>
    </row>
    <row r="35" spans="1:29" ht="27" customHeight="1">
      <c r="A35" s="643"/>
      <c r="B35" s="458"/>
      <c r="C35" s="459"/>
      <c r="D35" s="512"/>
      <c r="E35" s="461"/>
      <c r="F35" s="462"/>
      <c r="G35" s="648"/>
      <c r="H35" s="647"/>
      <c r="I35" s="647"/>
      <c r="J35" s="656"/>
      <c r="K35" s="1071"/>
      <c r="L35" s="1026" t="s">
        <v>147</v>
      </c>
      <c r="M35" s="1025"/>
      <c r="N35" s="1025"/>
      <c r="O35" s="1025"/>
      <c r="P35" s="483">
        <v>11195</v>
      </c>
      <c r="Q35" s="1071"/>
      <c r="R35" s="1026" t="s">
        <v>458</v>
      </c>
      <c r="S35" s="1025"/>
      <c r="T35" s="1025"/>
      <c r="U35" s="1025"/>
      <c r="V35" s="482">
        <v>1976</v>
      </c>
      <c r="W35" s="1071"/>
      <c r="X35" s="513"/>
      <c r="Y35" s="510"/>
      <c r="Z35" s="475"/>
      <c r="AA35" s="473"/>
      <c r="AB35" s="474"/>
      <c r="AC35" s="467"/>
    </row>
    <row r="36" spans="1:29" ht="27" customHeight="1">
      <c r="A36" s="643"/>
      <c r="B36" s="458"/>
      <c r="C36" s="459"/>
      <c r="D36" s="512"/>
      <c r="E36" s="461"/>
      <c r="F36" s="462"/>
      <c r="G36" s="648"/>
      <c r="H36" s="647"/>
      <c r="I36" s="647"/>
      <c r="J36" s="656"/>
      <c r="K36" s="1071"/>
      <c r="L36" s="1026" t="s">
        <v>135</v>
      </c>
      <c r="M36" s="1025"/>
      <c r="N36" s="1025"/>
      <c r="O36" s="1025"/>
      <c r="P36" s="505">
        <v>373150</v>
      </c>
      <c r="Q36" s="1071"/>
      <c r="R36" s="808"/>
      <c r="S36" s="808"/>
      <c r="T36" s="808"/>
      <c r="U36" s="808"/>
      <c r="V36" s="482"/>
      <c r="W36" s="1071"/>
      <c r="X36" s="513"/>
      <c r="Y36" s="510"/>
      <c r="Z36" s="475"/>
      <c r="AA36" s="473"/>
      <c r="AB36" s="474"/>
      <c r="AC36" s="467"/>
    </row>
    <row r="37" spans="1:29" ht="27" customHeight="1">
      <c r="A37" s="643"/>
      <c r="B37" s="458"/>
      <c r="C37" s="459"/>
      <c r="D37" s="512"/>
      <c r="E37" s="461"/>
      <c r="F37" s="462"/>
      <c r="G37" s="648"/>
      <c r="H37" s="647"/>
      <c r="I37" s="647"/>
      <c r="J37" s="656"/>
      <c r="K37" s="1071"/>
      <c r="L37" s="1026" t="s">
        <v>1114</v>
      </c>
      <c r="M37" s="1025"/>
      <c r="N37" s="1025"/>
      <c r="O37" s="1025"/>
      <c r="P37" s="505">
        <v>65000</v>
      </c>
      <c r="Q37" s="1071"/>
      <c r="R37" s="808"/>
      <c r="S37" s="808"/>
      <c r="T37" s="808"/>
      <c r="U37" s="808"/>
      <c r="V37" s="482"/>
      <c r="W37" s="1071"/>
      <c r="X37" s="513"/>
      <c r="Y37" s="510"/>
      <c r="Z37" s="475"/>
      <c r="AA37" s="473"/>
      <c r="AB37" s="474"/>
      <c r="AC37" s="467"/>
    </row>
    <row r="38" spans="1:29" ht="16.5" customHeight="1" thickBot="1">
      <c r="A38" s="514"/>
      <c r="B38" s="515"/>
      <c r="C38" s="516"/>
      <c r="D38" s="517"/>
      <c r="E38" s="518"/>
      <c r="F38" s="519"/>
      <c r="G38" s="710"/>
      <c r="H38" s="709"/>
      <c r="I38" s="709"/>
      <c r="J38" s="659"/>
      <c r="K38" s="1115"/>
      <c r="L38" s="1143" t="s">
        <v>484</v>
      </c>
      <c r="M38" s="1144"/>
      <c r="N38" s="1144"/>
      <c r="O38" s="1144"/>
      <c r="P38" s="511">
        <v>17299</v>
      </c>
      <c r="Q38" s="1115"/>
      <c r="R38" s="480"/>
      <c r="S38" s="480"/>
      <c r="T38" s="480"/>
      <c r="U38" s="480"/>
      <c r="V38" s="480"/>
      <c r="W38" s="1115"/>
      <c r="X38" s="513"/>
      <c r="Y38" s="510"/>
      <c r="Z38" s="454"/>
      <c r="AA38" s="465"/>
      <c r="AB38" s="466"/>
      <c r="AC38" s="520"/>
    </row>
    <row r="39" spans="1:29" ht="25.5" customHeight="1" thickBot="1">
      <c r="A39" s="1099" t="s">
        <v>114</v>
      </c>
      <c r="B39" s="1100"/>
      <c r="C39" s="1101"/>
      <c r="D39" s="521">
        <f>SUM(D8:D38)</f>
        <v>897653</v>
      </c>
      <c r="E39" s="522">
        <f>SUM(E7:E38)</f>
        <v>4328182</v>
      </c>
      <c r="F39" s="523">
        <f>SUM(F7:F38)</f>
        <v>5225835</v>
      </c>
      <c r="G39" s="524"/>
      <c r="H39" s="1057" t="s">
        <v>115</v>
      </c>
      <c r="I39" s="1058"/>
      <c r="J39" s="1059"/>
      <c r="K39" s="526">
        <f>SUM(K7:K38)</f>
        <v>379448</v>
      </c>
      <c r="L39" s="525"/>
      <c r="M39" s="1076" t="s">
        <v>116</v>
      </c>
      <c r="N39" s="1076"/>
      <c r="O39" s="1076"/>
      <c r="P39" s="1077"/>
      <c r="Q39" s="526">
        <f>SUM(Q7:Q38)</f>
        <v>3697509</v>
      </c>
      <c r="R39" s="527"/>
      <c r="S39" s="1060" t="s">
        <v>117</v>
      </c>
      <c r="T39" s="1060"/>
      <c r="U39" s="1060"/>
      <c r="V39" s="1061"/>
      <c r="W39" s="528">
        <f>SUM(W7:W38)</f>
        <v>1197130</v>
      </c>
      <c r="X39" s="529">
        <f>SUM(X7:X38)</f>
        <v>952022</v>
      </c>
      <c r="Y39" s="530">
        <f>SUM(Y7:Y38)</f>
        <v>4322065</v>
      </c>
      <c r="Z39" s="531">
        <f>SUM(X39:Y39)</f>
        <v>5274087</v>
      </c>
      <c r="AA39" s="532">
        <f>SUM(AA10:AA38)</f>
        <v>54369</v>
      </c>
      <c r="AB39" s="533">
        <f>SUM(AB9:AB38)</f>
        <v>-6117</v>
      </c>
      <c r="AC39" s="668">
        <f>SUM(AA39:AB39)</f>
        <v>48252</v>
      </c>
    </row>
    <row r="40" spans="1:29" ht="27.75" customHeight="1" thickBot="1" thickTop="1">
      <c r="A40" s="1084" t="s">
        <v>118</v>
      </c>
      <c r="B40" s="1120"/>
      <c r="C40" s="1146"/>
      <c r="D40" s="1088" t="s">
        <v>608</v>
      </c>
      <c r="E40" s="1089"/>
      <c r="F40" s="1090"/>
      <c r="G40" s="1091" t="s">
        <v>839</v>
      </c>
      <c r="H40" s="1120"/>
      <c r="I40" s="1120"/>
      <c r="J40" s="1120"/>
      <c r="K40" s="1149"/>
      <c r="L40" s="1045" t="s">
        <v>840</v>
      </c>
      <c r="M40" s="1120"/>
      <c r="N40" s="1120"/>
      <c r="O40" s="1120"/>
      <c r="P40" s="1120"/>
      <c r="Q40" s="1149"/>
      <c r="R40" s="1045" t="s">
        <v>841</v>
      </c>
      <c r="S40" s="1120"/>
      <c r="T40" s="1120"/>
      <c r="U40" s="1120"/>
      <c r="V40" s="1120"/>
      <c r="W40" s="1121"/>
      <c r="X40" s="1062" t="s">
        <v>842</v>
      </c>
      <c r="Y40" s="1063"/>
      <c r="Z40" s="1125"/>
      <c r="AA40" s="1119" t="s">
        <v>105</v>
      </c>
      <c r="AB40" s="1031"/>
      <c r="AC40" s="1032"/>
    </row>
    <row r="41" spans="1:223" s="256" customFormat="1" ht="18.75" customHeight="1" thickBot="1" thickTop="1">
      <c r="A41" s="1147"/>
      <c r="B41" s="1123"/>
      <c r="C41" s="1148"/>
      <c r="D41" s="427" t="s">
        <v>106</v>
      </c>
      <c r="E41" s="428" t="s">
        <v>89</v>
      </c>
      <c r="F41" s="429" t="s">
        <v>107</v>
      </c>
      <c r="G41" s="1147"/>
      <c r="H41" s="1123"/>
      <c r="I41" s="1123"/>
      <c r="J41" s="1150"/>
      <c r="K41" s="1151"/>
      <c r="L41" s="1122"/>
      <c r="M41" s="1123"/>
      <c r="N41" s="1123"/>
      <c r="O41" s="1123"/>
      <c r="P41" s="1123"/>
      <c r="Q41" s="1151"/>
      <c r="R41" s="1122"/>
      <c r="S41" s="1123"/>
      <c r="T41" s="1123"/>
      <c r="U41" s="1123"/>
      <c r="V41" s="1123"/>
      <c r="W41" s="1124"/>
      <c r="X41" s="534" t="s">
        <v>106</v>
      </c>
      <c r="Y41" s="535" t="s">
        <v>89</v>
      </c>
      <c r="Z41" s="536" t="s">
        <v>107</v>
      </c>
      <c r="AA41" s="537" t="s">
        <v>106</v>
      </c>
      <c r="AB41" s="434" t="s">
        <v>89</v>
      </c>
      <c r="AC41" s="435" t="s">
        <v>107</v>
      </c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50"/>
      <c r="DY41" s="250"/>
      <c r="DZ41" s="250"/>
      <c r="EA41" s="250"/>
      <c r="EB41" s="250"/>
      <c r="EC41" s="250"/>
      <c r="ED41" s="250"/>
      <c r="EE41" s="250"/>
      <c r="EF41" s="250"/>
      <c r="EG41" s="250"/>
      <c r="EH41" s="250"/>
      <c r="EI41" s="250"/>
      <c r="EJ41" s="250"/>
      <c r="EK41" s="250"/>
      <c r="EL41" s="250"/>
      <c r="EM41" s="250"/>
      <c r="EN41" s="250"/>
      <c r="EO41" s="250"/>
      <c r="EP41" s="250"/>
      <c r="EQ41" s="250"/>
      <c r="ER41" s="250"/>
      <c r="ES41" s="250"/>
      <c r="ET41" s="250"/>
      <c r="EU41" s="250"/>
      <c r="EV41" s="250"/>
      <c r="EW41" s="250"/>
      <c r="EX41" s="250"/>
      <c r="EY41" s="250"/>
      <c r="EZ41" s="250"/>
      <c r="FA41" s="250"/>
      <c r="FB41" s="250"/>
      <c r="FC41" s="250"/>
      <c r="FD41" s="250"/>
      <c r="FE41" s="250"/>
      <c r="FF41" s="250"/>
      <c r="FG41" s="250"/>
      <c r="FH41" s="250"/>
      <c r="FI41" s="250"/>
      <c r="FJ41" s="250"/>
      <c r="FK41" s="250"/>
      <c r="FL41" s="250"/>
      <c r="FM41" s="250"/>
      <c r="FN41" s="250"/>
      <c r="FO41" s="250"/>
      <c r="FP41" s="250"/>
      <c r="FQ41" s="250"/>
      <c r="FR41" s="250"/>
      <c r="FS41" s="250"/>
      <c r="FT41" s="250"/>
      <c r="FU41" s="250"/>
      <c r="FV41" s="250"/>
      <c r="FW41" s="250"/>
      <c r="FX41" s="250"/>
      <c r="FY41" s="250"/>
      <c r="FZ41" s="250"/>
      <c r="GA41" s="250"/>
      <c r="GB41" s="250"/>
      <c r="GC41" s="250"/>
      <c r="GD41" s="250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0"/>
      <c r="GQ41" s="250"/>
      <c r="GR41" s="250"/>
      <c r="GS41" s="250"/>
      <c r="GT41" s="250"/>
      <c r="GU41" s="250"/>
      <c r="GV41" s="250"/>
      <c r="GW41" s="250"/>
      <c r="GX41" s="250"/>
      <c r="GY41" s="250"/>
      <c r="GZ41" s="250"/>
      <c r="HA41" s="250"/>
      <c r="HB41" s="250"/>
      <c r="HC41" s="250"/>
      <c r="HD41" s="250"/>
      <c r="HE41" s="250"/>
      <c r="HF41" s="250"/>
      <c r="HG41" s="250"/>
      <c r="HH41" s="250"/>
      <c r="HI41" s="250"/>
      <c r="HJ41" s="250"/>
      <c r="HK41" s="250"/>
      <c r="HL41" s="250"/>
      <c r="HM41" s="250"/>
      <c r="HN41" s="250"/>
      <c r="HO41" s="250"/>
    </row>
    <row r="42" spans="1:29" ht="12.75" customHeight="1">
      <c r="A42" s="436"/>
      <c r="B42" s="480"/>
      <c r="C42" s="480"/>
      <c r="D42" s="504"/>
      <c r="E42" s="480"/>
      <c r="F42" s="440"/>
      <c r="G42" s="1142" t="s">
        <v>741</v>
      </c>
      <c r="H42" s="1107"/>
      <c r="I42" s="1107"/>
      <c r="J42" s="441">
        <v>123797</v>
      </c>
      <c r="K42" s="1152">
        <f>SUM(J42:J52)</f>
        <v>264712</v>
      </c>
      <c r="L42" s="1078" t="s">
        <v>146</v>
      </c>
      <c r="M42" s="1079"/>
      <c r="N42" s="1079"/>
      <c r="O42" s="1079"/>
      <c r="P42" s="1081">
        <f>12000-545</f>
        <v>11455</v>
      </c>
      <c r="Q42" s="1070">
        <f>SUM(P42:P52)</f>
        <v>14233</v>
      </c>
      <c r="R42" s="1026" t="s">
        <v>862</v>
      </c>
      <c r="S42" s="1025"/>
      <c r="T42" s="1025"/>
      <c r="U42" s="1025"/>
      <c r="V42" s="445">
        <v>250</v>
      </c>
      <c r="W42" s="1082">
        <f>SUM(V42:V52)</f>
        <v>14551</v>
      </c>
      <c r="X42" s="538"/>
      <c r="Y42" s="539"/>
      <c r="Z42" s="540"/>
      <c r="AA42" s="436"/>
      <c r="AB42" s="455"/>
      <c r="AC42" s="456"/>
    </row>
    <row r="43" spans="1:29" ht="12.75" customHeight="1">
      <c r="A43" s="487"/>
      <c r="B43" s="478"/>
      <c r="C43" s="478"/>
      <c r="D43" s="541"/>
      <c r="E43" s="480"/>
      <c r="F43" s="481"/>
      <c r="G43" s="1064" t="s">
        <v>861</v>
      </c>
      <c r="H43" s="1053"/>
      <c r="I43" s="1053"/>
      <c r="J43" s="452">
        <f>90180-6600</f>
        <v>83580</v>
      </c>
      <c r="K43" s="1071"/>
      <c r="L43" s="1026"/>
      <c r="M43" s="1025"/>
      <c r="N43" s="1025"/>
      <c r="O43" s="1025"/>
      <c r="P43" s="1080"/>
      <c r="Q43" s="1071"/>
      <c r="R43" s="1052" t="s">
        <v>863</v>
      </c>
      <c r="S43" s="1053"/>
      <c r="T43" s="1053"/>
      <c r="U43" s="1053"/>
      <c r="V43" s="445">
        <v>125</v>
      </c>
      <c r="W43" s="1051"/>
      <c r="X43" s="542"/>
      <c r="Y43" s="464"/>
      <c r="Z43" s="454"/>
      <c r="AA43" s="465"/>
      <c r="AB43" s="466"/>
      <c r="AC43" s="467"/>
    </row>
    <row r="44" spans="1:29" ht="12.75" customHeight="1">
      <c r="A44" s="487"/>
      <c r="B44" s="1073" t="s">
        <v>775</v>
      </c>
      <c r="C44" s="1074"/>
      <c r="D44" s="512">
        <v>313476</v>
      </c>
      <c r="E44" s="461">
        <v>254</v>
      </c>
      <c r="F44" s="462">
        <f>SUM(D44:E44)</f>
        <v>313730</v>
      </c>
      <c r="G44" s="444" t="s">
        <v>864</v>
      </c>
      <c r="H44" s="444"/>
      <c r="I44" s="444"/>
      <c r="J44" s="452">
        <v>28755</v>
      </c>
      <c r="K44" s="1071"/>
      <c r="L44" s="1026" t="s">
        <v>140</v>
      </c>
      <c r="M44" s="1025"/>
      <c r="N44" s="1025"/>
      <c r="O44" s="1025"/>
      <c r="P44" s="1080">
        <v>295</v>
      </c>
      <c r="Q44" s="1071"/>
      <c r="R44" s="1052" t="s">
        <v>865</v>
      </c>
      <c r="S44" s="1053"/>
      <c r="T44" s="1053"/>
      <c r="U44" s="1053"/>
      <c r="V44" s="663">
        <v>250</v>
      </c>
      <c r="W44" s="1051"/>
      <c r="X44" s="542">
        <f>SUM(W42,Q42,K42)</f>
        <v>293496</v>
      </c>
      <c r="Y44" s="464">
        <v>0</v>
      </c>
      <c r="Z44" s="475">
        <f>SUM(Y44,X44)</f>
        <v>293496</v>
      </c>
      <c r="AA44" s="473">
        <f>X44-D44</f>
        <v>-19980</v>
      </c>
      <c r="AB44" s="474">
        <f>Y44-E44</f>
        <v>-254</v>
      </c>
      <c r="AC44" s="467">
        <f>SUM(AA44:AB44)</f>
        <v>-20234</v>
      </c>
    </row>
    <row r="45" spans="1:29" ht="20.25" customHeight="1">
      <c r="A45" s="487"/>
      <c r="B45" s="478"/>
      <c r="C45" s="478"/>
      <c r="D45" s="543"/>
      <c r="E45" s="544"/>
      <c r="F45" s="545"/>
      <c r="G45" s="444" t="s">
        <v>867</v>
      </c>
      <c r="H45" s="444"/>
      <c r="I45" s="444"/>
      <c r="J45" s="452">
        <v>2000</v>
      </c>
      <c r="K45" s="1071"/>
      <c r="L45" s="1026"/>
      <c r="M45" s="1025"/>
      <c r="N45" s="1025"/>
      <c r="O45" s="1025"/>
      <c r="P45" s="1080"/>
      <c r="Q45" s="1071"/>
      <c r="R45" s="1052" t="s">
        <v>866</v>
      </c>
      <c r="S45" s="1053"/>
      <c r="T45" s="1053"/>
      <c r="U45" s="1053"/>
      <c r="V45" s="445">
        <f>5505+45+2126+574</f>
        <v>8250</v>
      </c>
      <c r="W45" s="1051"/>
      <c r="X45" s="542"/>
      <c r="Y45" s="464"/>
      <c r="Z45" s="454"/>
      <c r="AA45" s="465"/>
      <c r="AB45" s="466"/>
      <c r="AC45" s="467"/>
    </row>
    <row r="46" spans="1:29" ht="14.25" customHeight="1">
      <c r="A46" s="487"/>
      <c r="B46" s="478"/>
      <c r="C46" s="478"/>
      <c r="D46" s="543"/>
      <c r="E46" s="544"/>
      <c r="F46" s="545"/>
      <c r="G46" s="1053" t="s">
        <v>762</v>
      </c>
      <c r="H46" s="1053"/>
      <c r="I46" s="1053"/>
      <c r="J46" s="452">
        <v>24375</v>
      </c>
      <c r="K46" s="1071"/>
      <c r="L46" s="1026" t="s">
        <v>937</v>
      </c>
      <c r="M46" s="1025"/>
      <c r="N46" s="1025"/>
      <c r="O46" s="1025"/>
      <c r="P46" s="1080">
        <v>1241</v>
      </c>
      <c r="Q46" s="1071"/>
      <c r="R46" s="1052" t="s">
        <v>148</v>
      </c>
      <c r="S46" s="1053"/>
      <c r="T46" s="1053"/>
      <c r="U46" s="1053"/>
      <c r="V46" s="445">
        <v>1542</v>
      </c>
      <c r="W46" s="1051"/>
      <c r="X46" s="542"/>
      <c r="Y46" s="464"/>
      <c r="Z46" s="454"/>
      <c r="AA46" s="465"/>
      <c r="AB46" s="466"/>
      <c r="AC46" s="467"/>
    </row>
    <row r="47" spans="1:29" ht="12.75" customHeight="1">
      <c r="A47" s="487"/>
      <c r="B47" s="478"/>
      <c r="C47" s="478"/>
      <c r="D47" s="543"/>
      <c r="E47" s="544"/>
      <c r="F47" s="545"/>
      <c r="G47" s="1024" t="s">
        <v>929</v>
      </c>
      <c r="H47" s="1025"/>
      <c r="I47" s="1025"/>
      <c r="J47" s="445">
        <v>184</v>
      </c>
      <c r="K47" s="1071"/>
      <c r="L47" s="1026"/>
      <c r="M47" s="1025" t="s">
        <v>110</v>
      </c>
      <c r="N47" s="1025"/>
      <c r="O47" s="1025"/>
      <c r="P47" s="1080"/>
      <c r="Q47" s="1071"/>
      <c r="R47" s="1052" t="s">
        <v>868</v>
      </c>
      <c r="S47" s="1053"/>
      <c r="T47" s="1053"/>
      <c r="U47" s="1053"/>
      <c r="V47" s="482">
        <v>150</v>
      </c>
      <c r="W47" s="1051"/>
      <c r="X47" s="542"/>
      <c r="Y47" s="464"/>
      <c r="Z47" s="454"/>
      <c r="AA47" s="465"/>
      <c r="AB47" s="466"/>
      <c r="AC47" s="467"/>
    </row>
    <row r="48" spans="1:29" ht="12.75" customHeight="1">
      <c r="A48" s="487"/>
      <c r="B48" s="478"/>
      <c r="C48" s="478"/>
      <c r="D48" s="543"/>
      <c r="E48" s="544"/>
      <c r="F48" s="545"/>
      <c r="G48" s="1024" t="s">
        <v>930</v>
      </c>
      <c r="H48" s="1025"/>
      <c r="I48" s="1025"/>
      <c r="J48" s="445">
        <v>2021</v>
      </c>
      <c r="K48" s="1071"/>
      <c r="L48" s="1026" t="s">
        <v>938</v>
      </c>
      <c r="M48" s="1025"/>
      <c r="N48" s="1025"/>
      <c r="O48" s="1025"/>
      <c r="P48" s="1080">
        <f>1241+1</f>
        <v>1242</v>
      </c>
      <c r="Q48" s="1071"/>
      <c r="R48" s="1052" t="s">
        <v>939</v>
      </c>
      <c r="S48" s="1053"/>
      <c r="T48" s="1053"/>
      <c r="U48" s="1053"/>
      <c r="V48" s="437">
        <v>254</v>
      </c>
      <c r="W48" s="1051"/>
      <c r="X48" s="445"/>
      <c r="Y48" s="466"/>
      <c r="Z48" s="454"/>
      <c r="AA48" s="465"/>
      <c r="AB48" s="466"/>
      <c r="AC48" s="467"/>
    </row>
    <row r="49" spans="1:29" ht="13.5" customHeight="1">
      <c r="A49" s="487"/>
      <c r="B49" s="478"/>
      <c r="C49" s="478"/>
      <c r="D49" s="543"/>
      <c r="E49" s="544"/>
      <c r="F49" s="545"/>
      <c r="K49" s="1071"/>
      <c r="L49" s="1026"/>
      <c r="M49" s="1025" t="s">
        <v>110</v>
      </c>
      <c r="N49" s="1025"/>
      <c r="O49" s="1025"/>
      <c r="P49" s="1080"/>
      <c r="Q49" s="1071"/>
      <c r="R49" s="1052" t="s">
        <v>940</v>
      </c>
      <c r="S49" s="1053"/>
      <c r="T49" s="1053"/>
      <c r="U49" s="1053"/>
      <c r="V49" s="437">
        <v>3610</v>
      </c>
      <c r="W49" s="1051"/>
      <c r="X49" s="465"/>
      <c r="Y49" s="466"/>
      <c r="Z49" s="454"/>
      <c r="AA49" s="465"/>
      <c r="AB49" s="466"/>
      <c r="AC49" s="467"/>
    </row>
    <row r="50" spans="1:29" ht="15">
      <c r="A50" s="487"/>
      <c r="B50" s="478"/>
      <c r="C50" s="478"/>
      <c r="D50" s="543"/>
      <c r="E50" s="544"/>
      <c r="F50" s="545"/>
      <c r="K50" s="1071"/>
      <c r="L50" s="443"/>
      <c r="M50" s="444"/>
      <c r="N50" s="444"/>
      <c r="O50" s="444"/>
      <c r="P50" s="445"/>
      <c r="Q50" s="1071"/>
      <c r="R50" s="1052" t="s">
        <v>941</v>
      </c>
      <c r="S50" s="1053"/>
      <c r="T50" s="1053"/>
      <c r="U50" s="1053"/>
      <c r="V50" s="437">
        <v>120</v>
      </c>
      <c r="W50" s="1051"/>
      <c r="X50" s="465"/>
      <c r="Y50" s="466"/>
      <c r="Z50" s="454"/>
      <c r="AA50" s="465"/>
      <c r="AB50" s="466"/>
      <c r="AC50" s="467"/>
    </row>
    <row r="51" spans="1:29" ht="15">
      <c r="A51" s="487"/>
      <c r="B51" s="478"/>
      <c r="C51" s="478"/>
      <c r="D51" s="543"/>
      <c r="E51" s="544"/>
      <c r="F51" s="545"/>
      <c r="J51" s="646"/>
      <c r="K51" s="1071"/>
      <c r="L51" s="443"/>
      <c r="M51" s="444"/>
      <c r="N51" s="444"/>
      <c r="O51" s="444"/>
      <c r="P51" s="445"/>
      <c r="Q51" s="1071"/>
      <c r="R51" s="444"/>
      <c r="S51" s="444"/>
      <c r="T51" s="444"/>
      <c r="U51" s="444"/>
      <c r="V51" s="437"/>
      <c r="W51" s="1051"/>
      <c r="X51" s="445"/>
      <c r="Y51" s="466"/>
      <c r="Z51" s="454"/>
      <c r="AA51" s="465"/>
      <c r="AB51" s="466"/>
      <c r="AC51" s="467"/>
    </row>
    <row r="52" spans="1:29" ht="16.5" thickBot="1">
      <c r="A52" s="487"/>
      <c r="B52" s="478"/>
      <c r="C52" s="478"/>
      <c r="D52" s="543"/>
      <c r="E52" s="544"/>
      <c r="F52" s="546"/>
      <c r="G52" s="648"/>
      <c r="H52" s="647"/>
      <c r="I52" s="647"/>
      <c r="J52" s="646"/>
      <c r="K52" s="1075"/>
      <c r="L52" s="443"/>
      <c r="M52" s="444"/>
      <c r="N52" s="444"/>
      <c r="O52" s="444"/>
      <c r="P52" s="445"/>
      <c r="Q52" s="1075"/>
      <c r="R52" s="478"/>
      <c r="S52" s="246"/>
      <c r="T52" s="480"/>
      <c r="U52" s="480"/>
      <c r="V52" s="480"/>
      <c r="W52" s="1083"/>
      <c r="X52" s="547"/>
      <c r="Y52" s="548"/>
      <c r="Z52" s="549"/>
      <c r="AA52" s="550"/>
      <c r="AB52" s="548"/>
      <c r="AC52" s="467"/>
    </row>
    <row r="53" spans="1:29" ht="16.5" thickBot="1">
      <c r="A53" s="551"/>
      <c r="B53" s="1102" t="s">
        <v>858</v>
      </c>
      <c r="C53" s="1103"/>
      <c r="D53" s="552">
        <v>15</v>
      </c>
      <c r="E53" s="553">
        <v>0</v>
      </c>
      <c r="F53" s="554">
        <f>SUM(D53:E53)</f>
        <v>15</v>
      </c>
      <c r="G53" s="1104" t="s">
        <v>869</v>
      </c>
      <c r="H53" s="1104"/>
      <c r="I53" s="1104"/>
      <c r="J53" s="555">
        <v>15</v>
      </c>
      <c r="K53" s="556">
        <v>15</v>
      </c>
      <c r="L53" s="557"/>
      <c r="M53" s="558"/>
      <c r="N53" s="558"/>
      <c r="O53" s="558"/>
      <c r="P53" s="559"/>
      <c r="Q53" s="556">
        <v>0</v>
      </c>
      <c r="R53" s="558"/>
      <c r="S53" s="558"/>
      <c r="T53" s="558"/>
      <c r="U53" s="558"/>
      <c r="V53" s="560"/>
      <c r="W53" s="561">
        <v>0</v>
      </c>
      <c r="X53" s="562">
        <f>SUM(W53,Q53,K53)</f>
        <v>15</v>
      </c>
      <c r="Y53" s="563">
        <v>0</v>
      </c>
      <c r="Z53" s="564">
        <f>SUM(X53:Y53)</f>
        <v>15</v>
      </c>
      <c r="AA53" s="565">
        <f>X53-D53</f>
        <v>0</v>
      </c>
      <c r="AB53" s="566">
        <v>0</v>
      </c>
      <c r="AC53" s="567">
        <v>0</v>
      </c>
    </row>
    <row r="54" spans="1:29" ht="15.75">
      <c r="A54" s="487"/>
      <c r="B54" s="458"/>
      <c r="C54" s="458"/>
      <c r="D54" s="512"/>
      <c r="E54" s="461"/>
      <c r="F54" s="545"/>
      <c r="G54" s="444"/>
      <c r="H54" s="444"/>
      <c r="I54" s="444"/>
      <c r="J54" s="568"/>
      <c r="K54" s="569"/>
      <c r="L54" s="502"/>
      <c r="M54" s="480"/>
      <c r="N54" s="480"/>
      <c r="O54" s="480"/>
      <c r="P54" s="570"/>
      <c r="Q54" s="569"/>
      <c r="R54" s="480"/>
      <c r="S54" s="480"/>
      <c r="T54" s="480"/>
      <c r="U54" s="480"/>
      <c r="V54" s="480"/>
      <c r="W54" s="571"/>
      <c r="X54" s="572"/>
      <c r="Y54" s="510"/>
      <c r="Z54" s="454"/>
      <c r="AA54" s="465"/>
      <c r="AB54" s="466"/>
      <c r="AC54" s="467"/>
    </row>
    <row r="55" spans="1:29" ht="16.5" thickBot="1">
      <c r="A55" s="1099" t="s">
        <v>119</v>
      </c>
      <c r="B55" s="1100"/>
      <c r="C55" s="1101"/>
      <c r="D55" s="521">
        <f>SUM(D42:D54)</f>
        <v>313491</v>
      </c>
      <c r="E55" s="522">
        <f>SUM(E42:E54)</f>
        <v>254</v>
      </c>
      <c r="F55" s="523">
        <f>SUM(F42:F54)</f>
        <v>313745</v>
      </c>
      <c r="G55" s="573"/>
      <c r="H55" s="1057" t="s">
        <v>115</v>
      </c>
      <c r="I55" s="1058"/>
      <c r="J55" s="1059"/>
      <c r="K55" s="526">
        <f>SUM(K42:K53)</f>
        <v>264727</v>
      </c>
      <c r="L55" s="525"/>
      <c r="M55" s="1076" t="s">
        <v>116</v>
      </c>
      <c r="N55" s="1076"/>
      <c r="O55" s="1076"/>
      <c r="P55" s="1077"/>
      <c r="Q55" s="526">
        <f>SUM(Q42:Q53)</f>
        <v>14233</v>
      </c>
      <c r="R55" s="524"/>
      <c r="S55" s="1076" t="s">
        <v>117</v>
      </c>
      <c r="T55" s="1076"/>
      <c r="U55" s="1076"/>
      <c r="V55" s="1077"/>
      <c r="W55" s="574">
        <f>SUM(W42:W53)</f>
        <v>14551</v>
      </c>
      <c r="X55" s="575">
        <f>SUM(X42:X53)</f>
        <v>293511</v>
      </c>
      <c r="Y55" s="576">
        <v>0</v>
      </c>
      <c r="Z55" s="577">
        <f>SUM(X55:Y55)</f>
        <v>293511</v>
      </c>
      <c r="AA55" s="578">
        <f>X55-D55</f>
        <v>-19980</v>
      </c>
      <c r="AB55" s="579">
        <f>Y55-E55</f>
        <v>-254</v>
      </c>
      <c r="AC55" s="580">
        <f>SUM(AA55:AB55)</f>
        <v>-20234</v>
      </c>
    </row>
    <row r="56" spans="1:29" ht="17.25" thickBot="1" thickTop="1">
      <c r="A56" s="581"/>
      <c r="B56" s="582"/>
      <c r="C56" s="582"/>
      <c r="D56" s="583"/>
      <c r="E56" s="584"/>
      <c r="F56" s="585"/>
      <c r="G56" s="584"/>
      <c r="H56" s="584"/>
      <c r="I56" s="586"/>
      <c r="J56" s="586"/>
      <c r="K56" s="587"/>
      <c r="L56" s="588"/>
      <c r="M56" s="584"/>
      <c r="N56" s="584"/>
      <c r="O56" s="584"/>
      <c r="P56" s="584"/>
      <c r="Q56" s="587"/>
      <c r="R56" s="584"/>
      <c r="S56" s="584"/>
      <c r="T56" s="584"/>
      <c r="U56" s="584"/>
      <c r="V56" s="584"/>
      <c r="W56" s="589"/>
      <c r="X56" s="590"/>
      <c r="Y56" s="591"/>
      <c r="Z56" s="592"/>
      <c r="AA56" s="581"/>
      <c r="AB56" s="593"/>
      <c r="AC56" s="594"/>
    </row>
    <row r="57" spans="1:29" ht="14.25" thickBot="1" thickTop="1">
      <c r="A57" s="1084" t="s">
        <v>880</v>
      </c>
      <c r="B57" s="1085"/>
      <c r="C57" s="1085"/>
      <c r="D57" s="1088" t="s">
        <v>608</v>
      </c>
      <c r="E57" s="1089"/>
      <c r="F57" s="1090"/>
      <c r="G57" s="1091" t="s">
        <v>839</v>
      </c>
      <c r="H57" s="1092"/>
      <c r="I57" s="1092"/>
      <c r="J57" s="1092"/>
      <c r="K57" s="1093"/>
      <c r="L57" s="1045" t="s">
        <v>840</v>
      </c>
      <c r="M57" s="1046"/>
      <c r="N57" s="1046"/>
      <c r="O57" s="1046"/>
      <c r="P57" s="1046"/>
      <c r="Q57" s="1097"/>
      <c r="R57" s="1045" t="s">
        <v>841</v>
      </c>
      <c r="S57" s="1046"/>
      <c r="T57" s="1046"/>
      <c r="U57" s="1046"/>
      <c r="V57" s="1046"/>
      <c r="W57" s="1047"/>
      <c r="X57" s="1062" t="s">
        <v>842</v>
      </c>
      <c r="Y57" s="1063"/>
      <c r="Z57" s="1063"/>
      <c r="AA57" s="1030" t="s">
        <v>105</v>
      </c>
      <c r="AB57" s="1031"/>
      <c r="AC57" s="1032"/>
    </row>
    <row r="58" spans="1:29" ht="19.5" customHeight="1" thickBot="1">
      <c r="A58" s="1086"/>
      <c r="B58" s="1087"/>
      <c r="C58" s="1087"/>
      <c r="D58" s="427" t="s">
        <v>106</v>
      </c>
      <c r="E58" s="428" t="s">
        <v>89</v>
      </c>
      <c r="F58" s="429" t="s">
        <v>107</v>
      </c>
      <c r="G58" s="1094"/>
      <c r="H58" s="1095"/>
      <c r="I58" s="1095"/>
      <c r="J58" s="1095"/>
      <c r="K58" s="1096"/>
      <c r="L58" s="1048"/>
      <c r="M58" s="1049"/>
      <c r="N58" s="1049"/>
      <c r="O58" s="1049"/>
      <c r="P58" s="1049"/>
      <c r="Q58" s="1098"/>
      <c r="R58" s="1048"/>
      <c r="S58" s="1049"/>
      <c r="T58" s="1049"/>
      <c r="U58" s="1049"/>
      <c r="V58" s="1049"/>
      <c r="W58" s="1050"/>
      <c r="X58" s="534" t="s">
        <v>106</v>
      </c>
      <c r="Y58" s="431" t="s">
        <v>89</v>
      </c>
      <c r="Z58" s="432" t="s">
        <v>107</v>
      </c>
      <c r="AA58" s="430" t="s">
        <v>106</v>
      </c>
      <c r="AB58" s="434" t="s">
        <v>89</v>
      </c>
      <c r="AC58" s="435" t="s">
        <v>107</v>
      </c>
    </row>
    <row r="59" spans="1:29" ht="15.75" customHeight="1">
      <c r="A59" s="487"/>
      <c r="B59" s="480"/>
      <c r="C59" s="480"/>
      <c r="D59" s="504"/>
      <c r="E59" s="595"/>
      <c r="F59" s="481"/>
      <c r="G59" s="1064" t="s">
        <v>759</v>
      </c>
      <c r="H59" s="1053"/>
      <c r="I59" s="1053"/>
      <c r="J59" s="505">
        <v>13365</v>
      </c>
      <c r="K59" s="1070">
        <f>SUM(J59:J64)</f>
        <v>150988</v>
      </c>
      <c r="L59" s="1118" t="s">
        <v>934</v>
      </c>
      <c r="M59" s="1079"/>
      <c r="N59" s="1079"/>
      <c r="O59" s="1079"/>
      <c r="P59" s="445">
        <v>6245</v>
      </c>
      <c r="Q59" s="1070">
        <f>SUM(P59:P64)</f>
        <v>6245</v>
      </c>
      <c r="R59" s="595"/>
      <c r="S59" s="595"/>
      <c r="T59" s="595"/>
      <c r="U59" s="595"/>
      <c r="V59" s="595"/>
      <c r="W59" s="596"/>
      <c r="X59" s="480"/>
      <c r="Y59" s="504"/>
      <c r="Z59" s="597"/>
      <c r="AA59" s="487"/>
      <c r="AB59" s="504"/>
      <c r="AC59" s="456"/>
    </row>
    <row r="60" spans="1:29" ht="25.5" customHeight="1">
      <c r="A60" s="487"/>
      <c r="B60" s="480"/>
      <c r="C60" s="480"/>
      <c r="D60" s="504"/>
      <c r="E60" s="595"/>
      <c r="F60" s="481"/>
      <c r="G60" s="1025" t="s">
        <v>137</v>
      </c>
      <c r="H60" s="1025"/>
      <c r="I60" s="1025"/>
      <c r="J60" s="505">
        <v>7246</v>
      </c>
      <c r="K60" s="1071"/>
      <c r="L60" s="1033"/>
      <c r="M60" s="1034"/>
      <c r="N60" s="1034"/>
      <c r="O60" s="1034"/>
      <c r="P60" s="646"/>
      <c r="Q60" s="1071"/>
      <c r="R60" s="1026" t="s">
        <v>870</v>
      </c>
      <c r="S60" s="1035"/>
      <c r="T60" s="1035"/>
      <c r="U60" s="1035"/>
      <c r="V60" s="664">
        <v>6393</v>
      </c>
      <c r="W60" s="1051">
        <f>SUM(V60:V64)</f>
        <v>16778</v>
      </c>
      <c r="X60" s="445"/>
      <c r="Y60" s="466"/>
      <c r="Z60" s="454"/>
      <c r="AA60" s="465"/>
      <c r="AB60" s="466"/>
      <c r="AC60" s="467"/>
    </row>
    <row r="61" spans="1:29" ht="28.5" customHeight="1">
      <c r="A61" s="1067" t="s">
        <v>775</v>
      </c>
      <c r="B61" s="1068"/>
      <c r="C61" s="1069"/>
      <c r="D61" s="512">
        <f>201132+897</f>
        <v>202029</v>
      </c>
      <c r="E61" s="461">
        <v>0</v>
      </c>
      <c r="F61" s="462">
        <f>SUM(D61:E61)</f>
        <v>202029</v>
      </c>
      <c r="G61" s="1024" t="s">
        <v>754</v>
      </c>
      <c r="H61" s="1025"/>
      <c r="I61" s="1025"/>
      <c r="J61" s="505">
        <v>114680</v>
      </c>
      <c r="K61" s="1071"/>
      <c r="L61" s="502"/>
      <c r="M61" s="480"/>
      <c r="N61" s="480"/>
      <c r="O61" s="480"/>
      <c r="P61" s="570"/>
      <c r="Q61" s="1071"/>
      <c r="R61" s="1052" t="s">
        <v>871</v>
      </c>
      <c r="S61" s="1053"/>
      <c r="T61" s="1053"/>
      <c r="U61" s="1053"/>
      <c r="V61" s="664">
        <v>217</v>
      </c>
      <c r="W61" s="1051"/>
      <c r="X61" s="599">
        <f>SUM(W60+Q59+K59)</f>
        <v>174011</v>
      </c>
      <c r="Y61" s="474">
        <v>0</v>
      </c>
      <c r="Z61" s="475">
        <f>SUM(X61:Y61)</f>
        <v>174011</v>
      </c>
      <c r="AA61" s="600">
        <f>X61-D61</f>
        <v>-28018</v>
      </c>
      <c r="AB61" s="474">
        <f>Y61-E61</f>
        <v>0</v>
      </c>
      <c r="AC61" s="476">
        <f>SUM(AA61:AB61)</f>
        <v>-28018</v>
      </c>
    </row>
    <row r="62" spans="1:29" ht="16.5" customHeight="1">
      <c r="A62" s="457"/>
      <c r="B62" s="426"/>
      <c r="C62" s="253"/>
      <c r="D62" s="512"/>
      <c r="E62" s="461"/>
      <c r="F62" s="462"/>
      <c r="G62" s="1025" t="s">
        <v>456</v>
      </c>
      <c r="H62" s="1025"/>
      <c r="I62" s="1025"/>
      <c r="J62" s="505">
        <v>14025</v>
      </c>
      <c r="K62" s="1071"/>
      <c r="L62" s="502"/>
      <c r="M62" s="480"/>
      <c r="N62" s="480"/>
      <c r="O62" s="480"/>
      <c r="P62" s="824"/>
      <c r="Q62" s="1071"/>
      <c r="R62" s="1052" t="s">
        <v>868</v>
      </c>
      <c r="S62" s="1053"/>
      <c r="T62" s="1053"/>
      <c r="U62" s="1053"/>
      <c r="V62" s="665">
        <v>150</v>
      </c>
      <c r="W62" s="1051"/>
      <c r="X62" s="542"/>
      <c r="Y62" s="464"/>
      <c r="Z62" s="475"/>
      <c r="AA62" s="473"/>
      <c r="AB62" s="474"/>
      <c r="AC62" s="467"/>
    </row>
    <row r="63" spans="1:29" ht="16.5" customHeight="1">
      <c r="A63" s="457"/>
      <c r="B63" s="426"/>
      <c r="C63" s="253"/>
      <c r="D63" s="512"/>
      <c r="E63" s="461"/>
      <c r="F63" s="462"/>
      <c r="G63" s="1024" t="s">
        <v>929</v>
      </c>
      <c r="H63" s="1025"/>
      <c r="I63" s="1025"/>
      <c r="J63" s="445">
        <v>150</v>
      </c>
      <c r="K63" s="1071"/>
      <c r="L63" s="502"/>
      <c r="M63" s="480"/>
      <c r="N63" s="480"/>
      <c r="O63" s="480"/>
      <c r="P63" s="824"/>
      <c r="Q63" s="1071"/>
      <c r="R63" s="1052" t="s">
        <v>939</v>
      </c>
      <c r="S63" s="1053"/>
      <c r="T63" s="1053"/>
      <c r="U63" s="1053"/>
      <c r="V63" s="437">
        <v>263</v>
      </c>
      <c r="W63" s="1051"/>
      <c r="X63" s="542"/>
      <c r="Y63" s="464"/>
      <c r="Z63" s="475"/>
      <c r="AA63" s="473"/>
      <c r="AB63" s="474"/>
      <c r="AC63" s="467"/>
    </row>
    <row r="64" spans="1:29" ht="16.5" customHeight="1" thickBot="1">
      <c r="A64" s="457"/>
      <c r="B64" s="426"/>
      <c r="C64" s="253"/>
      <c r="D64" s="512"/>
      <c r="E64" s="461"/>
      <c r="F64" s="462"/>
      <c r="G64" s="1024" t="s">
        <v>930</v>
      </c>
      <c r="H64" s="1025"/>
      <c r="I64" s="1025"/>
      <c r="J64" s="445">
        <v>1522</v>
      </c>
      <c r="K64" s="1071"/>
      <c r="L64" s="502"/>
      <c r="M64" s="480"/>
      <c r="N64" s="480"/>
      <c r="O64" s="480"/>
      <c r="P64" s="824"/>
      <c r="Q64" s="1071"/>
      <c r="R64" s="1052" t="s">
        <v>940</v>
      </c>
      <c r="S64" s="1053"/>
      <c r="T64" s="1053"/>
      <c r="U64" s="1053"/>
      <c r="V64" s="437">
        <v>9755</v>
      </c>
      <c r="W64" s="1051"/>
      <c r="X64" s="542"/>
      <c r="Y64" s="464"/>
      <c r="Z64" s="475"/>
      <c r="AA64" s="473"/>
      <c r="AB64" s="474"/>
      <c r="AC64" s="467"/>
    </row>
    <row r="65" spans="1:29" ht="15.75">
      <c r="A65" s="780"/>
      <c r="B65" s="781"/>
      <c r="C65" s="781"/>
      <c r="D65" s="782"/>
      <c r="E65" s="783"/>
      <c r="F65" s="784"/>
      <c r="G65" s="650"/>
      <c r="H65" s="651"/>
      <c r="I65" s="651"/>
      <c r="J65" s="785"/>
      <c r="K65" s="768"/>
      <c r="L65" s="1033"/>
      <c r="M65" s="1034"/>
      <c r="N65" s="1034"/>
      <c r="O65" s="1034"/>
      <c r="P65" s="646"/>
      <c r="Q65" s="1070">
        <f>SUM(P65:P67)</f>
        <v>5066</v>
      </c>
      <c r="R65" s="595"/>
      <c r="S65" s="595"/>
      <c r="T65" s="595"/>
      <c r="U65" s="595"/>
      <c r="V65" s="595"/>
      <c r="W65" s="601"/>
      <c r="X65" s="774"/>
      <c r="Y65" s="775"/>
      <c r="Z65" s="776"/>
      <c r="AA65" s="777"/>
      <c r="AB65" s="778"/>
      <c r="AC65" s="779"/>
    </row>
    <row r="66" spans="1:29" ht="15.75">
      <c r="A66" s="1072" t="s">
        <v>776</v>
      </c>
      <c r="B66" s="1073"/>
      <c r="C66" s="1074"/>
      <c r="D66" s="512">
        <v>5066</v>
      </c>
      <c r="E66" s="461">
        <v>0</v>
      </c>
      <c r="F66" s="462">
        <f>SUM(D66:E66)</f>
        <v>5066</v>
      </c>
      <c r="G66" s="648"/>
      <c r="H66" s="647"/>
      <c r="I66" s="647"/>
      <c r="J66" s="743"/>
      <c r="K66" s="769"/>
      <c r="L66" s="1052" t="s">
        <v>462</v>
      </c>
      <c r="M66" s="1053"/>
      <c r="N66" s="1053"/>
      <c r="O66" s="1053"/>
      <c r="P66" s="445">
        <v>5066</v>
      </c>
      <c r="Q66" s="1071"/>
      <c r="R66" s="1065"/>
      <c r="S66" s="1066"/>
      <c r="T66" s="1066"/>
      <c r="U66" s="1066"/>
      <c r="V66" s="661"/>
      <c r="W66" s="601">
        <f>SUM(V66)</f>
        <v>0</v>
      </c>
      <c r="X66" s="542">
        <f>SUM(K66+Q65+W67)</f>
        <v>5066</v>
      </c>
      <c r="Y66" s="464">
        <v>0</v>
      </c>
      <c r="Z66" s="475">
        <f>SUM(X66:Y66)</f>
        <v>5066</v>
      </c>
      <c r="AA66" s="600">
        <f>X66-D66</f>
        <v>0</v>
      </c>
      <c r="AB66" s="474">
        <f>Y66-E66</f>
        <v>0</v>
      </c>
      <c r="AC66" s="476">
        <f>SUM(AA66:AB66)</f>
        <v>0</v>
      </c>
    </row>
    <row r="67" spans="1:29" ht="16.5" thickBot="1">
      <c r="A67" s="468"/>
      <c r="B67" s="469"/>
      <c r="C67" s="469"/>
      <c r="D67" s="543"/>
      <c r="E67" s="544"/>
      <c r="F67" s="602"/>
      <c r="G67" s="653"/>
      <c r="H67" s="654"/>
      <c r="I67" s="654"/>
      <c r="J67" s="655"/>
      <c r="K67" s="770"/>
      <c r="L67" s="502"/>
      <c r="M67" s="480"/>
      <c r="N67" s="480"/>
      <c r="O67" s="480"/>
      <c r="P67" s="480"/>
      <c r="Q67" s="1071"/>
      <c r="R67" s="595"/>
      <c r="S67" s="595"/>
      <c r="T67" s="595"/>
      <c r="U67" s="595"/>
      <c r="V67" s="595"/>
      <c r="W67" s="603"/>
      <c r="X67" s="604"/>
      <c r="Y67" s="605"/>
      <c r="Z67" s="564"/>
      <c r="AA67" s="606"/>
      <c r="AB67" s="607"/>
      <c r="AC67" s="520"/>
    </row>
    <row r="68" spans="1:29" ht="47.25" customHeight="1" thickBot="1" thickTop="1">
      <c r="A68" s="1054" t="s">
        <v>120</v>
      </c>
      <c r="B68" s="1055"/>
      <c r="C68" s="1056"/>
      <c r="D68" s="644">
        <f>SUM(D60:D67)</f>
        <v>207095</v>
      </c>
      <c r="E68" s="645">
        <f>SUM(E60:E67)</f>
        <v>0</v>
      </c>
      <c r="F68" s="608">
        <f>SUM(D68:E68)</f>
        <v>207095</v>
      </c>
      <c r="G68" s="609"/>
      <c r="H68" s="1057" t="s">
        <v>115</v>
      </c>
      <c r="I68" s="1058"/>
      <c r="J68" s="1059"/>
      <c r="K68" s="610">
        <f>SUM(K59:K67)</f>
        <v>150988</v>
      </c>
      <c r="L68" s="527"/>
      <c r="M68" s="1060" t="s">
        <v>116</v>
      </c>
      <c r="N68" s="1060"/>
      <c r="O68" s="1060"/>
      <c r="P68" s="1061"/>
      <c r="Q68" s="666">
        <f>SUM(Q59:Q67)</f>
        <v>11311</v>
      </c>
      <c r="R68" s="667"/>
      <c r="S68" s="1060" t="s">
        <v>117</v>
      </c>
      <c r="T68" s="1060"/>
      <c r="U68" s="1060"/>
      <c r="V68" s="1061"/>
      <c r="W68" s="611">
        <f>SUM(W60:W67)</f>
        <v>16778</v>
      </c>
      <c r="X68" s="612">
        <f>SUM(X58:X67)</f>
        <v>179077</v>
      </c>
      <c r="Y68" s="613">
        <f>SUM(Y58:Y67)</f>
        <v>0</v>
      </c>
      <c r="Z68" s="614">
        <f>SUM(X68:Y68)</f>
        <v>179077</v>
      </c>
      <c r="AA68" s="612">
        <f>X68-D68</f>
        <v>-28018</v>
      </c>
      <c r="AB68" s="615">
        <f>Y68-E68</f>
        <v>0</v>
      </c>
      <c r="AC68" s="614">
        <f>SUM(AA68:AB68)</f>
        <v>-28018</v>
      </c>
    </row>
    <row r="69" spans="1:29" ht="20.25" thickBot="1" thickTop="1">
      <c r="A69" s="1036" t="s">
        <v>611</v>
      </c>
      <c r="B69" s="1037"/>
      <c r="C69" s="1038"/>
      <c r="D69" s="616">
        <f>SUM(D68,D55,D39)</f>
        <v>1418239</v>
      </c>
      <c r="E69" s="617">
        <f>SUM(E68,E55,E39)</f>
        <v>4328436</v>
      </c>
      <c r="F69" s="618">
        <f>SUM(D69:E69)</f>
        <v>5746675</v>
      </c>
      <c r="G69" s="495"/>
      <c r="H69" s="1039" t="s">
        <v>121</v>
      </c>
      <c r="I69" s="1040"/>
      <c r="J69" s="1041"/>
      <c r="K69" s="619">
        <f>SUM(K68,K55,K39)</f>
        <v>795163</v>
      </c>
      <c r="L69" s="620"/>
      <c r="M69" s="1042" t="s">
        <v>122</v>
      </c>
      <c r="N69" s="1042"/>
      <c r="O69" s="1042"/>
      <c r="P69" s="1043"/>
      <c r="Q69" s="493">
        <f>SUM(Q68,Q55,Q39)</f>
        <v>3723053</v>
      </c>
      <c r="R69" s="621"/>
      <c r="S69" s="1042" t="s">
        <v>123</v>
      </c>
      <c r="T69" s="1042"/>
      <c r="U69" s="1042"/>
      <c r="V69" s="1043"/>
      <c r="W69" s="497">
        <f>SUM(W68,W55,W39)</f>
        <v>1228459</v>
      </c>
      <c r="X69" s="765">
        <f>SUM(X68,X55,X39)</f>
        <v>1424610</v>
      </c>
      <c r="Y69" s="766">
        <f>SUM(Y68,Y55,Y39)</f>
        <v>4322065</v>
      </c>
      <c r="Z69" s="767">
        <f>SUM(W69+Q69+K69)</f>
        <v>5746675</v>
      </c>
      <c r="AA69" s="623">
        <f>SUM(AA68,AA55,AA39)</f>
        <v>6371</v>
      </c>
      <c r="AB69" s="622">
        <f>SUM(AB68,AB55,AB39)</f>
        <v>-6371</v>
      </c>
      <c r="AC69" s="624">
        <f>SUM(AC68,AC55,AC39)</f>
        <v>0</v>
      </c>
    </row>
    <row r="70" spans="1:29" ht="16.5" thickTop="1">
      <c r="A70" s="595"/>
      <c r="B70" s="595"/>
      <c r="C70" s="595"/>
      <c r="D70" s="595"/>
      <c r="E70" s="595"/>
      <c r="F70" s="595"/>
      <c r="G70" s="625"/>
      <c r="H70" s="625"/>
      <c r="I70" s="625"/>
      <c r="J70" s="626"/>
      <c r="K70" s="538"/>
      <c r="L70" s="627"/>
      <c r="M70" s="480"/>
      <c r="N70" s="480"/>
      <c r="O70" s="480"/>
      <c r="P70" s="480"/>
      <c r="Q70" s="480"/>
      <c r="R70" s="627"/>
      <c r="S70" s="595"/>
      <c r="T70" s="595"/>
      <c r="U70" s="595"/>
      <c r="V70" s="595"/>
      <c r="W70" s="595"/>
      <c r="X70" s="595"/>
      <c r="Y70" s="595"/>
      <c r="Z70" s="595"/>
      <c r="AA70" s="595"/>
      <c r="AB70" s="595"/>
      <c r="AC70" s="627"/>
    </row>
    <row r="71" spans="1:29" ht="15.75">
      <c r="A71" s="595"/>
      <c r="B71" s="595"/>
      <c r="C71" s="595"/>
      <c r="D71" s="1027" t="s">
        <v>773</v>
      </c>
      <c r="E71" s="1044"/>
      <c r="F71" s="1044"/>
      <c r="G71" s="444"/>
      <c r="H71" s="444"/>
      <c r="I71" s="444"/>
      <c r="J71" s="437"/>
      <c r="K71" s="538"/>
      <c r="L71" s="480"/>
      <c r="M71" s="480"/>
      <c r="N71" s="480"/>
      <c r="O71" s="480"/>
      <c r="P71" s="480"/>
      <c r="Q71" s="480"/>
      <c r="R71" s="480"/>
      <c r="S71" s="595"/>
      <c r="T71" s="595"/>
      <c r="U71" s="595"/>
      <c r="V71" s="595"/>
      <c r="W71" s="1027" t="s">
        <v>124</v>
      </c>
      <c r="X71" s="1028"/>
      <c r="Y71" s="1028"/>
      <c r="Z71" s="628"/>
      <c r="AA71" s="1027" t="s">
        <v>105</v>
      </c>
      <c r="AB71" s="1028"/>
      <c r="AC71" s="1028"/>
    </row>
    <row r="72" spans="1:29" ht="15.75">
      <c r="A72" s="595"/>
      <c r="B72" s="595"/>
      <c r="C72" s="595"/>
      <c r="D72" s="629" t="s">
        <v>106</v>
      </c>
      <c r="E72" s="629" t="s">
        <v>125</v>
      </c>
      <c r="F72" s="629" t="s">
        <v>107</v>
      </c>
      <c r="G72" s="444"/>
      <c r="H72" s="444"/>
      <c r="I72" s="444"/>
      <c r="J72" s="437"/>
      <c r="K72" s="538"/>
      <c r="L72" s="480"/>
      <c r="M72" s="480"/>
      <c r="N72" s="480"/>
      <c r="O72" s="480"/>
      <c r="P72" s="480"/>
      <c r="Q72" s="480"/>
      <c r="R72" s="480"/>
      <c r="S72" s="1029" t="s">
        <v>110</v>
      </c>
      <c r="T72" s="1029"/>
      <c r="U72" s="1029"/>
      <c r="V72" s="1029"/>
      <c r="W72" s="629" t="s">
        <v>106</v>
      </c>
      <c r="X72" s="629" t="s">
        <v>125</v>
      </c>
      <c r="Y72" s="629" t="s">
        <v>107</v>
      </c>
      <c r="Z72" s="630"/>
      <c r="AA72" s="629" t="s">
        <v>106</v>
      </c>
      <c r="AB72" s="629" t="s">
        <v>125</v>
      </c>
      <c r="AC72" s="629" t="s">
        <v>107</v>
      </c>
    </row>
    <row r="73" spans="1:29" ht="15.75">
      <c r="A73" s="595"/>
      <c r="B73" s="595"/>
      <c r="C73" s="631" t="s">
        <v>126</v>
      </c>
      <c r="D73" s="595"/>
      <c r="E73" s="595"/>
      <c r="F73" s="595"/>
      <c r="G73" s="444"/>
      <c r="H73" s="444"/>
      <c r="I73" s="444"/>
      <c r="J73" s="437"/>
      <c r="K73" s="538"/>
      <c r="L73" s="480"/>
      <c r="M73" s="480"/>
      <c r="N73" s="480"/>
      <c r="O73" s="480"/>
      <c r="P73" s="480"/>
      <c r="Q73" s="480"/>
      <c r="R73" s="480"/>
      <c r="S73" s="595"/>
      <c r="T73" s="631" t="s">
        <v>126</v>
      </c>
      <c r="U73" s="595"/>
      <c r="V73" s="1027"/>
      <c r="W73" s="1028"/>
      <c r="X73" s="595"/>
      <c r="Y73" s="595"/>
      <c r="Z73" s="595"/>
      <c r="AA73" s="595"/>
      <c r="AB73" s="595"/>
      <c r="AC73" s="480"/>
    </row>
    <row r="74" spans="1:29" ht="15.75">
      <c r="A74" s="595"/>
      <c r="B74" s="595"/>
      <c r="C74" s="632" t="s">
        <v>127</v>
      </c>
      <c r="D74" s="598">
        <f>SUM(D9)</f>
        <v>770049</v>
      </c>
      <c r="E74" s="598">
        <f>SUM(E9)</f>
        <v>3659919</v>
      </c>
      <c r="F74" s="598">
        <f>SUM(D74:E74)</f>
        <v>4429968</v>
      </c>
      <c r="G74" s="444"/>
      <c r="H74" s="444"/>
      <c r="I74" s="444"/>
      <c r="J74" s="437"/>
      <c r="K74" s="538"/>
      <c r="L74" s="480"/>
      <c r="M74" s="480"/>
      <c r="N74" s="480"/>
      <c r="O74" s="480"/>
      <c r="P74" s="480"/>
      <c r="Q74" s="480"/>
      <c r="R74" s="480"/>
      <c r="S74" s="595"/>
      <c r="T74" s="632" t="s">
        <v>127</v>
      </c>
      <c r="U74" s="595"/>
      <c r="V74" s="632"/>
      <c r="W74" s="598">
        <f>SUM(X12)</f>
        <v>880647</v>
      </c>
      <c r="X74" s="598">
        <f>Y12</f>
        <v>3851445</v>
      </c>
      <c r="Y74" s="598">
        <f>SUM(W74:X74)</f>
        <v>4732092</v>
      </c>
      <c r="Z74" s="570"/>
      <c r="AA74" s="598">
        <f aca="true" t="shared" si="0" ref="AA74:AB76">W74-D74</f>
        <v>110598</v>
      </c>
      <c r="AB74" s="598">
        <f t="shared" si="0"/>
        <v>191526</v>
      </c>
      <c r="AC74" s="570">
        <f>SUM(AA74:AB74)</f>
        <v>302124</v>
      </c>
    </row>
    <row r="75" spans="1:29" ht="15.75">
      <c r="A75" s="595"/>
      <c r="B75" s="595"/>
      <c r="C75" s="632" t="s">
        <v>620</v>
      </c>
      <c r="D75" s="598">
        <f>SUM(D44)</f>
        <v>313476</v>
      </c>
      <c r="E75" s="598">
        <f>SUM(E44)</f>
        <v>254</v>
      </c>
      <c r="F75" s="598">
        <f>SUM(D75:E75)</f>
        <v>313730</v>
      </c>
      <c r="G75" s="444"/>
      <c r="H75" s="444"/>
      <c r="I75" s="444"/>
      <c r="J75" s="633"/>
      <c r="K75" s="538"/>
      <c r="L75" s="480"/>
      <c r="M75" s="480"/>
      <c r="N75" s="480"/>
      <c r="O75" s="480"/>
      <c r="P75" s="480"/>
      <c r="Q75" s="480"/>
      <c r="R75" s="480"/>
      <c r="S75" s="595"/>
      <c r="T75" s="632" t="s">
        <v>620</v>
      </c>
      <c r="U75" s="595"/>
      <c r="V75" s="632"/>
      <c r="W75" s="598">
        <f>SUM(X44)</f>
        <v>293496</v>
      </c>
      <c r="X75" s="598">
        <f>Y44</f>
        <v>0</v>
      </c>
      <c r="Y75" s="598">
        <f>SUM(W75:X75)</f>
        <v>293496</v>
      </c>
      <c r="Z75" s="570"/>
      <c r="AA75" s="598">
        <f t="shared" si="0"/>
        <v>-19980</v>
      </c>
      <c r="AB75" s="598">
        <f t="shared" si="0"/>
        <v>-254</v>
      </c>
      <c r="AC75" s="570">
        <f>SUM(AA75:AB75)</f>
        <v>-20234</v>
      </c>
    </row>
    <row r="76" spans="1:29" ht="12.75">
      <c r="A76" s="595"/>
      <c r="B76" s="595"/>
      <c r="C76" s="634" t="s">
        <v>128</v>
      </c>
      <c r="D76" s="635">
        <f>SUM(D61)</f>
        <v>202029</v>
      </c>
      <c r="E76" s="635">
        <f>SUM(E61)</f>
        <v>0</v>
      </c>
      <c r="F76" s="635">
        <f>SUM(D76:E76)</f>
        <v>202029</v>
      </c>
      <c r="G76" s="595"/>
      <c r="H76" s="595"/>
      <c r="I76" s="595"/>
      <c r="J76" s="595"/>
      <c r="K76" s="480"/>
      <c r="L76" s="480"/>
      <c r="M76" s="480"/>
      <c r="N76" s="480"/>
      <c r="O76" s="480"/>
      <c r="P76" s="480"/>
      <c r="Q76" s="480"/>
      <c r="R76" s="480"/>
      <c r="S76" s="595"/>
      <c r="T76" s="634" t="s">
        <v>128</v>
      </c>
      <c r="U76" s="636"/>
      <c r="V76" s="637"/>
      <c r="W76" s="635">
        <f>SUM(X61)</f>
        <v>174011</v>
      </c>
      <c r="X76" s="635">
        <f>Y61</f>
        <v>0</v>
      </c>
      <c r="Y76" s="635">
        <f>SUM(W76:X76)</f>
        <v>174011</v>
      </c>
      <c r="Z76" s="570"/>
      <c r="AA76" s="635">
        <f t="shared" si="0"/>
        <v>-28018</v>
      </c>
      <c r="AB76" s="635">
        <f t="shared" si="0"/>
        <v>0</v>
      </c>
      <c r="AC76" s="635">
        <f>SUM(AA76:AB76)</f>
        <v>-28018</v>
      </c>
    </row>
    <row r="77" spans="1:29" ht="12.75">
      <c r="A77" s="595"/>
      <c r="B77" s="595"/>
      <c r="C77" s="638" t="s">
        <v>610</v>
      </c>
      <c r="D77" s="598">
        <f>SUM(D74:D76)</f>
        <v>1285554</v>
      </c>
      <c r="E77" s="598">
        <f>SUM(E74:E76)</f>
        <v>3660173</v>
      </c>
      <c r="F77" s="598">
        <f>SUM(F74:F76)</f>
        <v>4945727</v>
      </c>
      <c r="G77" s="595"/>
      <c r="H77" s="595"/>
      <c r="I77" s="595"/>
      <c r="J77" s="595"/>
      <c r="K77" s="480"/>
      <c r="L77" s="480"/>
      <c r="M77" s="480"/>
      <c r="N77" s="480"/>
      <c r="O77" s="480"/>
      <c r="P77" s="480"/>
      <c r="Q77" s="480"/>
      <c r="R77" s="480"/>
      <c r="S77" s="595"/>
      <c r="T77" s="638" t="s">
        <v>610</v>
      </c>
      <c r="U77" s="595"/>
      <c r="V77" s="638"/>
      <c r="W77" s="598">
        <f>SUM(W74:W76)</f>
        <v>1348154</v>
      </c>
      <c r="X77" s="598">
        <f>SUM(X74:X76)</f>
        <v>3851445</v>
      </c>
      <c r="Y77" s="598">
        <f>SUM(Y74:Y76)</f>
        <v>5199599</v>
      </c>
      <c r="Z77" s="570"/>
      <c r="AA77" s="598">
        <f>SUM(AA74:AA76)</f>
        <v>62600</v>
      </c>
      <c r="AB77" s="598">
        <f>SUM(AB74:AB76)</f>
        <v>191272</v>
      </c>
      <c r="AC77" s="598">
        <f>SUM(AC74:AC76)</f>
        <v>253872</v>
      </c>
    </row>
    <row r="78" spans="1:29" ht="12.75">
      <c r="A78" s="595"/>
      <c r="B78" s="595"/>
      <c r="C78" s="595"/>
      <c r="D78" s="598"/>
      <c r="E78" s="598"/>
      <c r="F78" s="598"/>
      <c r="G78" s="595"/>
      <c r="H78" s="595"/>
      <c r="I78" s="595"/>
      <c r="J78" s="595"/>
      <c r="K78" s="595"/>
      <c r="L78" s="480"/>
      <c r="M78" s="480"/>
      <c r="N78" s="480"/>
      <c r="O78" s="480"/>
      <c r="P78" s="480"/>
      <c r="Q78" s="480"/>
      <c r="R78" s="480"/>
      <c r="S78" s="595"/>
      <c r="T78" s="595"/>
      <c r="U78" s="595"/>
      <c r="V78" s="595"/>
      <c r="W78" s="595"/>
      <c r="X78" s="595"/>
      <c r="Y78" s="595"/>
      <c r="Z78" s="595"/>
      <c r="AA78" s="595"/>
      <c r="AB78" s="595"/>
      <c r="AC78" s="480"/>
    </row>
    <row r="79" spans="1:29" ht="12.75">
      <c r="A79" s="595"/>
      <c r="B79" s="595"/>
      <c r="C79" s="631" t="s">
        <v>129</v>
      </c>
      <c r="D79" s="598"/>
      <c r="E79" s="598"/>
      <c r="F79" s="598"/>
      <c r="G79" s="595"/>
      <c r="H79" s="595"/>
      <c r="I79" s="595"/>
      <c r="J79" s="595"/>
      <c r="K79" s="595"/>
      <c r="L79" s="480"/>
      <c r="M79" s="480"/>
      <c r="N79" s="480"/>
      <c r="O79" s="480"/>
      <c r="P79" s="480"/>
      <c r="Q79" s="480"/>
      <c r="R79" s="480"/>
      <c r="S79" s="595"/>
      <c r="T79" s="631" t="s">
        <v>129</v>
      </c>
      <c r="U79" s="639"/>
      <c r="V79" s="631"/>
      <c r="W79" s="640"/>
      <c r="X79" s="640"/>
      <c r="Y79" s="595"/>
      <c r="Z79" s="595"/>
      <c r="AA79" s="595"/>
      <c r="AB79" s="595"/>
      <c r="AC79" s="480"/>
    </row>
    <row r="80" spans="1:29" ht="12.75">
      <c r="A80" s="595"/>
      <c r="B80" s="595"/>
      <c r="C80" s="632" t="s">
        <v>127</v>
      </c>
      <c r="D80" s="598">
        <f>SUM(D34)</f>
        <v>90416</v>
      </c>
      <c r="E80" s="598">
        <f>SUM(E34)</f>
        <v>667594</v>
      </c>
      <c r="F80" s="598">
        <f>SUM(D80:E80)</f>
        <v>758010</v>
      </c>
      <c r="G80" s="595"/>
      <c r="H80" s="595"/>
      <c r="I80" s="595"/>
      <c r="J80" s="595"/>
      <c r="K80" s="595"/>
      <c r="L80" s="480"/>
      <c r="M80" s="480"/>
      <c r="N80" s="480"/>
      <c r="O80" s="480"/>
      <c r="P80" s="480"/>
      <c r="Q80" s="480"/>
      <c r="R80" s="480"/>
      <c r="S80" s="595"/>
      <c r="T80" s="632" t="s">
        <v>127</v>
      </c>
      <c r="U80" s="595"/>
      <c r="V80" s="632"/>
      <c r="W80" s="598">
        <f>SUM(X33)</f>
        <v>41673</v>
      </c>
      <c r="X80" s="598">
        <f>Y33</f>
        <v>470620</v>
      </c>
      <c r="Y80" s="598">
        <f>SUM(W80:X80)</f>
        <v>512293</v>
      </c>
      <c r="Z80" s="570"/>
      <c r="AA80" s="598">
        <f aca="true" t="shared" si="1" ref="AA80:AB82">W80-D80</f>
        <v>-48743</v>
      </c>
      <c r="AB80" s="598">
        <f t="shared" si="1"/>
        <v>-196974</v>
      </c>
      <c r="AC80" s="570">
        <f>SUM(AA80:AB80)</f>
        <v>-245717</v>
      </c>
    </row>
    <row r="81" spans="1:29" ht="12.75">
      <c r="A81" s="595"/>
      <c r="B81" s="595"/>
      <c r="C81" s="632" t="s">
        <v>620</v>
      </c>
      <c r="D81" s="598">
        <v>0</v>
      </c>
      <c r="E81" s="598">
        <v>0</v>
      </c>
      <c r="F81" s="598">
        <f>SUM(D81:E81)</f>
        <v>0</v>
      </c>
      <c r="G81" s="595"/>
      <c r="H81" s="595"/>
      <c r="I81" s="595"/>
      <c r="J81" s="595"/>
      <c r="K81" s="595"/>
      <c r="L81" s="480"/>
      <c r="M81" s="480"/>
      <c r="N81" s="480"/>
      <c r="O81" s="480"/>
      <c r="P81" s="480"/>
      <c r="Q81" s="480"/>
      <c r="R81" s="480"/>
      <c r="S81" s="595"/>
      <c r="T81" s="632" t="s">
        <v>620</v>
      </c>
      <c r="U81" s="595"/>
      <c r="V81" s="632"/>
      <c r="W81" s="598">
        <v>0</v>
      </c>
      <c r="X81" s="598">
        <v>0</v>
      </c>
      <c r="Y81" s="598">
        <f>SUM(W81:X81)</f>
        <v>0</v>
      </c>
      <c r="Z81" s="570"/>
      <c r="AA81" s="598">
        <f t="shared" si="1"/>
        <v>0</v>
      </c>
      <c r="AB81" s="598">
        <f t="shared" si="1"/>
        <v>0</v>
      </c>
      <c r="AC81" s="570">
        <f>SUM(AA81:AB81)</f>
        <v>0</v>
      </c>
    </row>
    <row r="82" spans="1:29" ht="12.75">
      <c r="A82" s="595"/>
      <c r="B82" s="595"/>
      <c r="C82" s="634" t="s">
        <v>128</v>
      </c>
      <c r="D82" s="635">
        <f>SUM(D66)</f>
        <v>5066</v>
      </c>
      <c r="E82" s="635">
        <v>0</v>
      </c>
      <c r="F82" s="635">
        <f>SUM(D82:E82)</f>
        <v>5066</v>
      </c>
      <c r="G82" s="595"/>
      <c r="H82" s="595"/>
      <c r="I82" s="595"/>
      <c r="J82" s="595"/>
      <c r="K82" s="595"/>
      <c r="L82" s="480"/>
      <c r="M82" s="480"/>
      <c r="N82" s="480"/>
      <c r="O82" s="480"/>
      <c r="P82" s="480"/>
      <c r="Q82" s="480"/>
      <c r="R82" s="480"/>
      <c r="S82" s="595"/>
      <c r="T82" s="634" t="s">
        <v>128</v>
      </c>
      <c r="U82" s="636"/>
      <c r="V82" s="637"/>
      <c r="W82" s="635">
        <f>SUM(X66)</f>
        <v>5066</v>
      </c>
      <c r="X82" s="635">
        <v>0</v>
      </c>
      <c r="Y82" s="635">
        <f>SUM(W82:X82)</f>
        <v>5066</v>
      </c>
      <c r="Z82" s="570"/>
      <c r="AA82" s="635">
        <f t="shared" si="1"/>
        <v>0</v>
      </c>
      <c r="AB82" s="635">
        <f t="shared" si="1"/>
        <v>0</v>
      </c>
      <c r="AC82" s="635">
        <f>SUM(AA82:AB82)</f>
        <v>0</v>
      </c>
    </row>
    <row r="83" spans="1:29" ht="12.75">
      <c r="A83" s="595"/>
      <c r="B83" s="595"/>
      <c r="C83" s="638" t="s">
        <v>610</v>
      </c>
      <c r="D83" s="598">
        <f>SUM(D80:D82)</f>
        <v>95482</v>
      </c>
      <c r="E83" s="598">
        <f>SUM(E80:E82)</f>
        <v>667594</v>
      </c>
      <c r="F83" s="598">
        <f>SUM(F80:F82)</f>
        <v>763076</v>
      </c>
      <c r="G83" s="595"/>
      <c r="H83" s="595"/>
      <c r="I83" s="595"/>
      <c r="J83" s="595"/>
      <c r="K83" s="595"/>
      <c r="L83" s="480"/>
      <c r="M83" s="480"/>
      <c r="N83" s="480"/>
      <c r="O83" s="480"/>
      <c r="P83" s="480"/>
      <c r="Q83" s="480"/>
      <c r="R83" s="480"/>
      <c r="S83" s="595"/>
      <c r="T83" s="638" t="s">
        <v>610</v>
      </c>
      <c r="U83" s="595"/>
      <c r="V83" s="638"/>
      <c r="W83" s="598">
        <f>SUM(W80:W82)</f>
        <v>46739</v>
      </c>
      <c r="X83" s="598">
        <f>SUM(X80:X82)</f>
        <v>470620</v>
      </c>
      <c r="Y83" s="598">
        <f>SUM(Y80:Y82)</f>
        <v>517359</v>
      </c>
      <c r="Z83" s="570"/>
      <c r="AA83" s="598">
        <f>SUM(AA80:AA82)</f>
        <v>-48743</v>
      </c>
      <c r="AB83" s="598">
        <f>SUM(AB80:AB82)</f>
        <v>-196974</v>
      </c>
      <c r="AC83" s="598">
        <f>SUM(AC80:AC82)</f>
        <v>-245717</v>
      </c>
    </row>
    <row r="84" spans="1:29" ht="12.75">
      <c r="A84" s="595"/>
      <c r="B84" s="595"/>
      <c r="C84" s="595"/>
      <c r="D84" s="598"/>
      <c r="E84" s="598"/>
      <c r="F84" s="598"/>
      <c r="G84" s="595"/>
      <c r="H84" s="595"/>
      <c r="I84" s="595"/>
      <c r="J84" s="595"/>
      <c r="K84" s="595"/>
      <c r="L84" s="595"/>
      <c r="M84" s="595"/>
      <c r="N84" s="595"/>
      <c r="O84" s="595"/>
      <c r="P84" s="595"/>
      <c r="Q84" s="595"/>
      <c r="R84" s="595"/>
      <c r="S84" s="595"/>
      <c r="T84" s="595"/>
      <c r="U84" s="595"/>
      <c r="V84" s="595"/>
      <c r="W84" s="595"/>
      <c r="X84" s="595"/>
      <c r="Y84" s="595"/>
      <c r="Z84" s="480"/>
      <c r="AA84" s="598"/>
      <c r="AB84" s="598"/>
      <c r="AC84" s="480"/>
    </row>
    <row r="85" spans="1:29" ht="12.75">
      <c r="A85" s="595"/>
      <c r="B85" s="595"/>
      <c r="C85" s="631" t="s">
        <v>130</v>
      </c>
      <c r="D85" s="598"/>
      <c r="E85" s="598"/>
      <c r="F85" s="598"/>
      <c r="G85" s="595"/>
      <c r="H85" s="595"/>
      <c r="I85" s="595"/>
      <c r="J85" s="595"/>
      <c r="K85" s="595"/>
      <c r="L85" s="595"/>
      <c r="M85" s="595"/>
      <c r="N85" s="595"/>
      <c r="O85" s="595"/>
      <c r="P85" s="595"/>
      <c r="Q85" s="595"/>
      <c r="R85" s="595"/>
      <c r="S85" s="595"/>
      <c r="T85" s="631" t="s">
        <v>130</v>
      </c>
      <c r="U85" s="595"/>
      <c r="V85" s="631"/>
      <c r="W85" s="595"/>
      <c r="X85" s="595"/>
      <c r="Y85" s="595"/>
      <c r="Z85" s="480"/>
      <c r="AA85" s="598"/>
      <c r="AB85" s="598"/>
      <c r="AC85" s="480"/>
    </row>
    <row r="86" spans="1:29" ht="12.75">
      <c r="A86" s="595"/>
      <c r="B86" s="595"/>
      <c r="C86" s="632" t="s">
        <v>127</v>
      </c>
      <c r="D86" s="598">
        <f>SUM(D30)</f>
        <v>37188</v>
      </c>
      <c r="E86" s="598">
        <f>SUM(E30)</f>
        <v>669</v>
      </c>
      <c r="F86" s="598">
        <f>SUM(D86:E86)</f>
        <v>37857</v>
      </c>
      <c r="G86" s="595"/>
      <c r="H86" s="595"/>
      <c r="I86" s="595"/>
      <c r="J86" s="595"/>
      <c r="K86" s="595"/>
      <c r="L86" s="595"/>
      <c r="M86" s="595"/>
      <c r="N86" s="595"/>
      <c r="O86" s="595"/>
      <c r="P86" s="595"/>
      <c r="Q86" s="595"/>
      <c r="R86" s="595"/>
      <c r="S86" s="595"/>
      <c r="T86" s="632" t="s">
        <v>127</v>
      </c>
      <c r="U86" s="595"/>
      <c r="V86" s="632"/>
      <c r="W86" s="598">
        <f>SUM(X30)</f>
        <v>29702</v>
      </c>
      <c r="X86" s="598">
        <v>0</v>
      </c>
      <c r="Y86" s="598">
        <f>SUM(W86:X86)</f>
        <v>29702</v>
      </c>
      <c r="Z86" s="570"/>
      <c r="AA86" s="598">
        <f aca="true" t="shared" si="2" ref="AA86:AB88">W86-D86</f>
        <v>-7486</v>
      </c>
      <c r="AB86" s="598">
        <f t="shared" si="2"/>
        <v>-669</v>
      </c>
      <c r="AC86" s="570">
        <f>SUM(AA86:AB86)</f>
        <v>-8155</v>
      </c>
    </row>
    <row r="87" spans="1:29" ht="12.75">
      <c r="A87" s="595"/>
      <c r="B87" s="595"/>
      <c r="C87" s="632" t="s">
        <v>620</v>
      </c>
      <c r="D87" s="598">
        <f>SUM(D53)</f>
        <v>15</v>
      </c>
      <c r="E87" s="598">
        <f>SUM(E53)</f>
        <v>0</v>
      </c>
      <c r="F87" s="598">
        <f>SUM(D87:E87)</f>
        <v>15</v>
      </c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5"/>
      <c r="R87" s="595"/>
      <c r="S87" s="595"/>
      <c r="T87" s="632" t="s">
        <v>620</v>
      </c>
      <c r="U87" s="595"/>
      <c r="V87" s="632"/>
      <c r="W87" s="598">
        <f>SUM(X53)</f>
        <v>15</v>
      </c>
      <c r="X87" s="598">
        <v>0</v>
      </c>
      <c r="Y87" s="598">
        <f>SUM(W87:X87)</f>
        <v>15</v>
      </c>
      <c r="Z87" s="570"/>
      <c r="AA87" s="598">
        <f t="shared" si="2"/>
        <v>0</v>
      </c>
      <c r="AB87" s="598">
        <f t="shared" si="2"/>
        <v>0</v>
      </c>
      <c r="AC87" s="570">
        <f>SUM(AA87:AB87)</f>
        <v>0</v>
      </c>
    </row>
    <row r="88" spans="1:29" ht="12.75">
      <c r="A88" s="595"/>
      <c r="B88" s="595"/>
      <c r="C88" s="634" t="s">
        <v>128</v>
      </c>
      <c r="D88" s="635">
        <v>0</v>
      </c>
      <c r="E88" s="635">
        <v>0</v>
      </c>
      <c r="F88" s="635">
        <f>SUM(D88:E88)</f>
        <v>0</v>
      </c>
      <c r="G88" s="595"/>
      <c r="H88" s="595"/>
      <c r="I88" s="595"/>
      <c r="J88" s="595"/>
      <c r="K88" s="595"/>
      <c r="L88" s="595"/>
      <c r="M88" s="595"/>
      <c r="N88" s="595"/>
      <c r="O88" s="595"/>
      <c r="P88" s="595"/>
      <c r="Q88" s="595"/>
      <c r="R88" s="595"/>
      <c r="S88" s="595"/>
      <c r="T88" s="634" t="s">
        <v>128</v>
      </c>
      <c r="U88" s="636"/>
      <c r="V88" s="637"/>
      <c r="W88" s="635">
        <v>0</v>
      </c>
      <c r="X88" s="635">
        <v>0</v>
      </c>
      <c r="Y88" s="635">
        <f>SUM(W88:X88)</f>
        <v>0</v>
      </c>
      <c r="Z88" s="570"/>
      <c r="AA88" s="635">
        <f t="shared" si="2"/>
        <v>0</v>
      </c>
      <c r="AB88" s="635">
        <f t="shared" si="2"/>
        <v>0</v>
      </c>
      <c r="AC88" s="635">
        <f>SUM(AA88:AB88)</f>
        <v>0</v>
      </c>
    </row>
    <row r="89" spans="1:29" ht="12.75">
      <c r="A89" s="595"/>
      <c r="B89" s="595"/>
      <c r="C89" s="638" t="s">
        <v>610</v>
      </c>
      <c r="D89" s="598">
        <f>SUM(D86:D88)</f>
        <v>37203</v>
      </c>
      <c r="E89" s="598">
        <f>SUM(E86:E88)</f>
        <v>669</v>
      </c>
      <c r="F89" s="598">
        <f>SUM(F86:F88)</f>
        <v>37872</v>
      </c>
      <c r="G89" s="595"/>
      <c r="H89" s="595"/>
      <c r="I89" s="595"/>
      <c r="J89" s="595"/>
      <c r="K89" s="595"/>
      <c r="L89" s="595"/>
      <c r="M89" s="595"/>
      <c r="N89" s="595"/>
      <c r="O89" s="595"/>
      <c r="P89" s="595"/>
      <c r="Q89" s="595"/>
      <c r="R89" s="595"/>
      <c r="S89" s="595"/>
      <c r="T89" s="638" t="s">
        <v>610</v>
      </c>
      <c r="U89" s="595"/>
      <c r="V89" s="638"/>
      <c r="W89" s="598">
        <f>SUM(W86:W88)</f>
        <v>29717</v>
      </c>
      <c r="X89" s="598">
        <f>SUM(X86:X88)</f>
        <v>0</v>
      </c>
      <c r="Y89" s="598">
        <f>SUM(Y86:Y88)</f>
        <v>29717</v>
      </c>
      <c r="Z89" s="570"/>
      <c r="AA89" s="598">
        <f>SUM(AA86:AA88)</f>
        <v>-7486</v>
      </c>
      <c r="AB89" s="598">
        <f>SUM(AB86:AB88)</f>
        <v>-669</v>
      </c>
      <c r="AC89" s="598">
        <f>SUM(AC86:AC88)</f>
        <v>-8155</v>
      </c>
    </row>
    <row r="90" spans="1:29" ht="12.75">
      <c r="A90" s="595"/>
      <c r="B90" s="595"/>
      <c r="C90" s="595"/>
      <c r="D90" s="595"/>
      <c r="E90" s="595"/>
      <c r="F90" s="595"/>
      <c r="G90" s="595"/>
      <c r="H90" s="595"/>
      <c r="I90" s="595"/>
      <c r="J90" s="595"/>
      <c r="K90" s="595"/>
      <c r="L90" s="595"/>
      <c r="M90" s="595"/>
      <c r="N90" s="595"/>
      <c r="O90" s="595"/>
      <c r="P90" s="595"/>
      <c r="Q90" s="595"/>
      <c r="R90" s="595"/>
      <c r="S90" s="595"/>
      <c r="T90" s="595"/>
      <c r="U90" s="595"/>
      <c r="V90" s="595"/>
      <c r="W90" s="595"/>
      <c r="X90" s="595"/>
      <c r="Y90" s="595"/>
      <c r="Z90" s="480"/>
      <c r="AA90" s="598"/>
      <c r="AB90" s="598"/>
      <c r="AC90" s="480"/>
    </row>
    <row r="91" spans="1:29" ht="12.75">
      <c r="A91" s="641"/>
      <c r="B91" s="641"/>
      <c r="C91" s="641" t="s">
        <v>131</v>
      </c>
      <c r="D91" s="642">
        <f>SUM(D89,D83,D77)</f>
        <v>1418239</v>
      </c>
      <c r="E91" s="642">
        <f>SUM(E89,E83,E77)</f>
        <v>4328436</v>
      </c>
      <c r="F91" s="642">
        <f>SUM(F89,F83,F77)</f>
        <v>5746675</v>
      </c>
      <c r="G91" s="641"/>
      <c r="H91" s="641"/>
      <c r="I91" s="641"/>
      <c r="J91" s="641"/>
      <c r="K91" s="641"/>
      <c r="L91" s="641"/>
      <c r="M91" s="641"/>
      <c r="N91" s="641"/>
      <c r="O91" s="641"/>
      <c r="P91" s="641"/>
      <c r="Q91" s="641"/>
      <c r="R91" s="641"/>
      <c r="S91" s="641"/>
      <c r="T91" s="641" t="s">
        <v>131</v>
      </c>
      <c r="U91" s="641"/>
      <c r="V91" s="641"/>
      <c r="W91" s="642">
        <f>SUM(W89,W83,W77)</f>
        <v>1424610</v>
      </c>
      <c r="X91" s="642">
        <f>SUM(X89,X83,X77)</f>
        <v>4322065</v>
      </c>
      <c r="Y91" s="642">
        <f>SUM(Y89,Y83,Y77)</f>
        <v>5746675</v>
      </c>
      <c r="Z91" s="461"/>
      <c r="AA91" s="642">
        <f>SUM(AA89,AA83,AA77)</f>
        <v>6371</v>
      </c>
      <c r="AB91" s="642">
        <f>SUM(AB89,AB83,AB77)</f>
        <v>-6371</v>
      </c>
      <c r="AC91" s="642">
        <f>SUM(AC89,AC83,AC77)</f>
        <v>0</v>
      </c>
    </row>
    <row r="92" spans="1:29" ht="12.75">
      <c r="A92" s="595"/>
      <c r="B92" s="595"/>
      <c r="C92" s="595"/>
      <c r="D92" s="595"/>
      <c r="E92" s="595"/>
      <c r="F92" s="595"/>
      <c r="G92" s="595"/>
      <c r="H92" s="595"/>
      <c r="I92" s="595"/>
      <c r="J92" s="595"/>
      <c r="K92" s="595"/>
      <c r="L92" s="595"/>
      <c r="M92" s="595"/>
      <c r="N92" s="595"/>
      <c r="O92" s="595"/>
      <c r="P92" s="595"/>
      <c r="Q92" s="595"/>
      <c r="R92" s="595"/>
      <c r="S92" s="595"/>
      <c r="T92" s="595"/>
      <c r="U92" s="595"/>
      <c r="V92" s="595"/>
      <c r="W92" s="595"/>
      <c r="X92" s="595"/>
      <c r="Y92" s="595"/>
      <c r="Z92" s="595"/>
      <c r="AA92" s="595"/>
      <c r="AB92" s="595"/>
      <c r="AC92" s="480"/>
    </row>
    <row r="93" spans="1:29" ht="12.75">
      <c r="A93" s="595"/>
      <c r="B93" s="595"/>
      <c r="C93" s="595"/>
      <c r="D93" s="595"/>
      <c r="E93" s="595"/>
      <c r="F93" s="595"/>
      <c r="G93" s="595"/>
      <c r="H93" s="595"/>
      <c r="I93" s="595"/>
      <c r="J93" s="595"/>
      <c r="K93" s="595"/>
      <c r="L93" s="595"/>
      <c r="M93" s="595"/>
      <c r="N93" s="595"/>
      <c r="O93" s="595"/>
      <c r="P93" s="595"/>
      <c r="Q93" s="595"/>
      <c r="R93" s="595"/>
      <c r="S93" s="595"/>
      <c r="T93" s="595"/>
      <c r="U93" s="595"/>
      <c r="V93" s="595"/>
      <c r="W93" s="595"/>
      <c r="X93" s="595"/>
      <c r="Y93" s="595"/>
      <c r="Z93" s="595"/>
      <c r="AA93" s="595"/>
      <c r="AB93" s="595"/>
      <c r="AC93" s="480"/>
    </row>
  </sheetData>
  <sheetProtection/>
  <mergeCells count="176">
    <mergeCell ref="G18:I18"/>
    <mergeCell ref="L59:O59"/>
    <mergeCell ref="G16:I16"/>
    <mergeCell ref="G47:I47"/>
    <mergeCell ref="G48:I48"/>
    <mergeCell ref="L36:O36"/>
    <mergeCell ref="L32:O32"/>
    <mergeCell ref="L40:Q41"/>
    <mergeCell ref="Q34:Q38"/>
    <mergeCell ref="Q31:Q33"/>
    <mergeCell ref="A40:C41"/>
    <mergeCell ref="D40:F40"/>
    <mergeCell ref="G40:K41"/>
    <mergeCell ref="L46:O47"/>
    <mergeCell ref="B44:C44"/>
    <mergeCell ref="G46:I46"/>
    <mergeCell ref="G42:I42"/>
    <mergeCell ref="G43:I43"/>
    <mergeCell ref="K42:K52"/>
    <mergeCell ref="L15:O15"/>
    <mergeCell ref="G19:I19"/>
    <mergeCell ref="A39:C39"/>
    <mergeCell ref="H39:J39"/>
    <mergeCell ref="K34:K38"/>
    <mergeCell ref="L38:O38"/>
    <mergeCell ref="M39:P39"/>
    <mergeCell ref="A34:C34"/>
    <mergeCell ref="G26:I26"/>
    <mergeCell ref="L16:O16"/>
    <mergeCell ref="S39:V39"/>
    <mergeCell ref="Q24:Q29"/>
    <mergeCell ref="R23:U23"/>
    <mergeCell ref="G15:I15"/>
    <mergeCell ref="G24:I24"/>
    <mergeCell ref="K24:K29"/>
    <mergeCell ref="L28:O28"/>
    <mergeCell ref="L24:O24"/>
    <mergeCell ref="G17:I17"/>
    <mergeCell ref="L17:O17"/>
    <mergeCell ref="R21:U21"/>
    <mergeCell ref="B30:C30"/>
    <mergeCell ref="G30:I30"/>
    <mergeCell ref="K31:K33"/>
    <mergeCell ref="L30:O30"/>
    <mergeCell ref="L13:O13"/>
    <mergeCell ref="G13:I13"/>
    <mergeCell ref="R17:U17"/>
    <mergeCell ref="R20:U20"/>
    <mergeCell ref="R14:U14"/>
    <mergeCell ref="G8:I8"/>
    <mergeCell ref="T1:AB1"/>
    <mergeCell ref="X5:Z5"/>
    <mergeCell ref="AA5:AC5"/>
    <mergeCell ref="A3:X4"/>
    <mergeCell ref="A5:C6"/>
    <mergeCell ref="L5:Q6"/>
    <mergeCell ref="R5:W6"/>
    <mergeCell ref="D5:F5"/>
    <mergeCell ref="G5:K6"/>
    <mergeCell ref="R10:U10"/>
    <mergeCell ref="L12:O12"/>
    <mergeCell ref="L10:O10"/>
    <mergeCell ref="L9:O9"/>
    <mergeCell ref="L8:O8"/>
    <mergeCell ref="L11:O11"/>
    <mergeCell ref="R9:U9"/>
    <mergeCell ref="R12:U12"/>
    <mergeCell ref="G9:I9"/>
    <mergeCell ref="G7:I7"/>
    <mergeCell ref="G11:I11"/>
    <mergeCell ref="G10:I10"/>
    <mergeCell ref="G12:I12"/>
    <mergeCell ref="AA40:AC40"/>
    <mergeCell ref="R40:W41"/>
    <mergeCell ref="X40:Z40"/>
    <mergeCell ref="W7:W23"/>
    <mergeCell ref="R15:U15"/>
    <mergeCell ref="L14:O14"/>
    <mergeCell ref="R16:U16"/>
    <mergeCell ref="R13:U13"/>
    <mergeCell ref="Q7:Q23"/>
    <mergeCell ref="R18:U18"/>
    <mergeCell ref="R19:U19"/>
    <mergeCell ref="R7:U7"/>
    <mergeCell ref="L7:O7"/>
    <mergeCell ref="R8:U8"/>
    <mergeCell ref="R11:U11"/>
    <mergeCell ref="G14:I14"/>
    <mergeCell ref="G25:I25"/>
    <mergeCell ref="L27:O27"/>
    <mergeCell ref="L35:O35"/>
    <mergeCell ref="L34:O34"/>
    <mergeCell ref="L26:O26"/>
    <mergeCell ref="L25:O25"/>
    <mergeCell ref="L31:O31"/>
    <mergeCell ref="L33:O33"/>
    <mergeCell ref="K7:K23"/>
    <mergeCell ref="W24:W29"/>
    <mergeCell ref="R34:U34"/>
    <mergeCell ref="R24:U24"/>
    <mergeCell ref="R27:U27"/>
    <mergeCell ref="R30:U30"/>
    <mergeCell ref="W31:W33"/>
    <mergeCell ref="R33:U33"/>
    <mergeCell ref="R31:U31"/>
    <mergeCell ref="W34:W38"/>
    <mergeCell ref="R35:U35"/>
    <mergeCell ref="R42:U42"/>
    <mergeCell ref="R43:U43"/>
    <mergeCell ref="A57:C58"/>
    <mergeCell ref="D57:F57"/>
    <mergeCell ref="G57:K58"/>
    <mergeCell ref="L57:Q58"/>
    <mergeCell ref="A55:C55"/>
    <mergeCell ref="H55:J55"/>
    <mergeCell ref="B53:C53"/>
    <mergeCell ref="G53:I53"/>
    <mergeCell ref="S55:V55"/>
    <mergeCell ref="Q59:Q64"/>
    <mergeCell ref="W42:W52"/>
    <mergeCell ref="R45:U45"/>
    <mergeCell ref="R47:U47"/>
    <mergeCell ref="R48:U48"/>
    <mergeCell ref="R46:U46"/>
    <mergeCell ref="R49:U49"/>
    <mergeCell ref="R50:U50"/>
    <mergeCell ref="R44:U44"/>
    <mergeCell ref="Q42:Q52"/>
    <mergeCell ref="M55:P55"/>
    <mergeCell ref="L42:O43"/>
    <mergeCell ref="P44:P45"/>
    <mergeCell ref="P46:P47"/>
    <mergeCell ref="L48:O49"/>
    <mergeCell ref="P48:P49"/>
    <mergeCell ref="L44:O45"/>
    <mergeCell ref="P42:P43"/>
    <mergeCell ref="Q65:Q67"/>
    <mergeCell ref="G62:I62"/>
    <mergeCell ref="K59:K64"/>
    <mergeCell ref="A66:C66"/>
    <mergeCell ref="G61:I61"/>
    <mergeCell ref="L66:O66"/>
    <mergeCell ref="G63:I63"/>
    <mergeCell ref="A68:C68"/>
    <mergeCell ref="H68:J68"/>
    <mergeCell ref="M68:P68"/>
    <mergeCell ref="X57:Z57"/>
    <mergeCell ref="R61:U61"/>
    <mergeCell ref="S68:V68"/>
    <mergeCell ref="L65:O65"/>
    <mergeCell ref="G59:I59"/>
    <mergeCell ref="R66:U66"/>
    <mergeCell ref="A61:C61"/>
    <mergeCell ref="R57:W58"/>
    <mergeCell ref="W60:W64"/>
    <mergeCell ref="R62:U62"/>
    <mergeCell ref="R64:U64"/>
    <mergeCell ref="G64:I64"/>
    <mergeCell ref="R63:U63"/>
    <mergeCell ref="V73:W73"/>
    <mergeCell ref="A69:C69"/>
    <mergeCell ref="H69:J69"/>
    <mergeCell ref="M69:P69"/>
    <mergeCell ref="S69:V69"/>
    <mergeCell ref="D71:F71"/>
    <mergeCell ref="W71:Y71"/>
    <mergeCell ref="G20:I20"/>
    <mergeCell ref="R22:U22"/>
    <mergeCell ref="L37:O37"/>
    <mergeCell ref="G32:I32"/>
    <mergeCell ref="AA71:AC71"/>
    <mergeCell ref="S72:V72"/>
    <mergeCell ref="AA57:AC57"/>
    <mergeCell ref="G60:I60"/>
    <mergeCell ref="L60:O60"/>
    <mergeCell ref="R60:U6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M91"/>
  <sheetViews>
    <sheetView zoomScalePageLayoutView="0" workbookViewId="0" topLeftCell="A1">
      <pane xSplit="1" ySplit="6" topLeftCell="B8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" sqref="M2"/>
    </sheetView>
  </sheetViews>
  <sheetFormatPr defaultColWidth="9.00390625" defaultRowHeight="12.75"/>
  <cols>
    <col min="1" max="1" width="26.25390625" style="0" customWidth="1"/>
  </cols>
  <sheetData>
    <row r="1" spans="8:13" ht="15">
      <c r="H1" s="4"/>
      <c r="I1" s="4"/>
      <c r="J1" s="4"/>
      <c r="K1" s="4"/>
      <c r="L1" s="4"/>
      <c r="M1" s="9" t="s">
        <v>1133</v>
      </c>
    </row>
    <row r="2" spans="8:13" ht="12.75">
      <c r="H2" s="4"/>
      <c r="I2" s="4"/>
      <c r="J2" s="4"/>
      <c r="K2" s="4"/>
      <c r="L2" s="4"/>
      <c r="M2" s="5"/>
    </row>
    <row r="3" spans="1:13" s="121" customFormat="1" ht="14.25" customHeight="1">
      <c r="A3" s="1153" t="s">
        <v>874</v>
      </c>
      <c r="B3" s="1153"/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</row>
    <row r="4" spans="1:13" s="121" customFormat="1" ht="14.25" customHeight="1">
      <c r="A4" s="1153" t="s">
        <v>714</v>
      </c>
      <c r="B4" s="1153"/>
      <c r="C4" s="1153"/>
      <c r="D4" s="1153"/>
      <c r="E4" s="1153"/>
      <c r="F4" s="1153"/>
      <c r="G4" s="1153"/>
      <c r="H4" s="1153"/>
      <c r="I4" s="1153"/>
      <c r="J4" s="1153"/>
      <c r="K4" s="1153"/>
      <c r="L4" s="1153"/>
      <c r="M4" s="1153"/>
    </row>
    <row r="5" spans="1:13" s="121" customFormat="1" ht="18" customHeight="1">
      <c r="A5" s="1153"/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</row>
    <row r="6" spans="1:13" s="120" customFormat="1" ht="12.75">
      <c r="A6" s="692" t="s">
        <v>607</v>
      </c>
      <c r="B6" s="179" t="s">
        <v>570</v>
      </c>
      <c r="C6" s="179" t="s">
        <v>571</v>
      </c>
      <c r="D6" s="179" t="s">
        <v>572</v>
      </c>
      <c r="E6" s="179" t="s">
        <v>573</v>
      </c>
      <c r="F6" s="179" t="s">
        <v>574</v>
      </c>
      <c r="G6" s="179" t="s">
        <v>575</v>
      </c>
      <c r="H6" s="179" t="s">
        <v>576</v>
      </c>
      <c r="I6" s="179" t="s">
        <v>577</v>
      </c>
      <c r="J6" s="179" t="s">
        <v>578</v>
      </c>
      <c r="K6" s="179" t="s">
        <v>579</v>
      </c>
      <c r="L6" s="179" t="s">
        <v>580</v>
      </c>
      <c r="M6" s="179" t="s">
        <v>581</v>
      </c>
    </row>
    <row r="7" spans="1:13" s="124" customFormat="1" ht="12.75">
      <c r="A7" s="693" t="s">
        <v>880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1:13" s="122" customFormat="1" ht="12.75">
      <c r="A8" s="694" t="s">
        <v>582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</row>
    <row r="9" spans="1:13" s="123" customFormat="1" ht="12.75">
      <c r="A9" s="695" t="s">
        <v>680</v>
      </c>
      <c r="B9" s="182">
        <f>18</f>
        <v>18</v>
      </c>
      <c r="C9" s="182">
        <v>18</v>
      </c>
      <c r="D9" s="182">
        <v>18</v>
      </c>
      <c r="E9" s="182">
        <v>18</v>
      </c>
      <c r="F9" s="182">
        <v>18</v>
      </c>
      <c r="G9" s="182">
        <v>18</v>
      </c>
      <c r="H9" s="182">
        <v>18</v>
      </c>
      <c r="I9" s="182">
        <v>18</v>
      </c>
      <c r="J9" s="182">
        <f>18+1</f>
        <v>19</v>
      </c>
      <c r="K9" s="182">
        <f>18+1</f>
        <v>19</v>
      </c>
      <c r="L9" s="182">
        <f>18+1</f>
        <v>19</v>
      </c>
      <c r="M9" s="182">
        <f>18+1</f>
        <v>19</v>
      </c>
    </row>
    <row r="10" spans="1:13" s="123" customFormat="1" ht="15" customHeight="1">
      <c r="A10" s="695" t="s">
        <v>189</v>
      </c>
      <c r="B10" s="182">
        <v>1</v>
      </c>
      <c r="C10" s="182">
        <v>1</v>
      </c>
      <c r="D10" s="182">
        <v>1</v>
      </c>
      <c r="E10" s="182">
        <v>1</v>
      </c>
      <c r="F10" s="182">
        <v>1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</row>
    <row r="11" spans="1:13" s="123" customFormat="1" ht="12.75" customHeight="1">
      <c r="A11" s="695" t="s">
        <v>583</v>
      </c>
      <c r="B11" s="182">
        <v>1</v>
      </c>
      <c r="C11" s="182">
        <v>1</v>
      </c>
      <c r="D11" s="182">
        <v>1</v>
      </c>
      <c r="E11" s="182">
        <v>1</v>
      </c>
      <c r="F11" s="182">
        <v>1</v>
      </c>
      <c r="G11" s="182">
        <v>1</v>
      </c>
      <c r="H11" s="182">
        <v>1</v>
      </c>
      <c r="I11" s="182">
        <v>1</v>
      </c>
      <c r="J11" s="182">
        <v>0</v>
      </c>
      <c r="K11" s="182">
        <v>0</v>
      </c>
      <c r="L11" s="182">
        <v>0</v>
      </c>
      <c r="M11" s="182">
        <v>0</v>
      </c>
    </row>
    <row r="12" spans="1:13" s="123" customFormat="1" ht="12.75" customHeight="1">
      <c r="A12" s="695" t="s">
        <v>1005</v>
      </c>
      <c r="B12" s="182">
        <v>4</v>
      </c>
      <c r="C12" s="182">
        <v>4</v>
      </c>
      <c r="D12" s="182">
        <v>4</v>
      </c>
      <c r="E12" s="182">
        <v>4</v>
      </c>
      <c r="F12" s="182">
        <v>4</v>
      </c>
      <c r="G12" s="182">
        <v>4</v>
      </c>
      <c r="H12" s="182">
        <v>4</v>
      </c>
      <c r="I12" s="182">
        <v>4</v>
      </c>
      <c r="J12" s="182">
        <v>4</v>
      </c>
      <c r="K12" s="182">
        <v>4</v>
      </c>
      <c r="L12" s="182">
        <v>4</v>
      </c>
      <c r="M12" s="182">
        <v>4</v>
      </c>
    </row>
    <row r="13" spans="1:13" s="123" customFormat="1" ht="12.75">
      <c r="A13" s="696" t="s">
        <v>681</v>
      </c>
      <c r="B13" s="182">
        <v>10</v>
      </c>
      <c r="C13" s="182">
        <v>10</v>
      </c>
      <c r="D13" s="182">
        <v>10</v>
      </c>
      <c r="E13" s="182">
        <v>10</v>
      </c>
      <c r="F13" s="182">
        <v>10</v>
      </c>
      <c r="G13" s="182">
        <v>10</v>
      </c>
      <c r="H13" s="182">
        <v>10</v>
      </c>
      <c r="I13" s="182">
        <v>10</v>
      </c>
      <c r="J13" s="182">
        <v>10</v>
      </c>
      <c r="K13" s="182">
        <v>10</v>
      </c>
      <c r="L13" s="182">
        <v>10</v>
      </c>
      <c r="M13" s="182">
        <v>10</v>
      </c>
    </row>
    <row r="14" spans="1:13" s="123" customFormat="1" ht="12.75">
      <c r="A14" s="695" t="s">
        <v>584</v>
      </c>
      <c r="B14" s="182">
        <v>1</v>
      </c>
      <c r="C14" s="182">
        <v>1</v>
      </c>
      <c r="D14" s="182">
        <v>1</v>
      </c>
      <c r="E14" s="182">
        <v>1</v>
      </c>
      <c r="F14" s="182">
        <v>1</v>
      </c>
      <c r="G14" s="182">
        <v>1</v>
      </c>
      <c r="H14" s="182">
        <v>1</v>
      </c>
      <c r="I14" s="182">
        <v>1</v>
      </c>
      <c r="J14" s="182">
        <v>1</v>
      </c>
      <c r="K14" s="182">
        <v>1</v>
      </c>
      <c r="L14" s="182">
        <v>1</v>
      </c>
      <c r="M14" s="182">
        <v>1</v>
      </c>
    </row>
    <row r="15" spans="1:13" s="123" customFormat="1" ht="12.75">
      <c r="A15" s="695" t="s">
        <v>682</v>
      </c>
      <c r="B15" s="182">
        <v>1</v>
      </c>
      <c r="C15" s="182">
        <v>1</v>
      </c>
      <c r="D15" s="182">
        <v>1</v>
      </c>
      <c r="E15" s="182">
        <v>1</v>
      </c>
      <c r="F15" s="182">
        <v>1</v>
      </c>
      <c r="G15" s="182">
        <v>1</v>
      </c>
      <c r="H15" s="182">
        <v>1</v>
      </c>
      <c r="I15" s="182">
        <v>1</v>
      </c>
      <c r="J15" s="182">
        <v>1</v>
      </c>
      <c r="K15" s="182">
        <v>1</v>
      </c>
      <c r="L15" s="182">
        <v>1</v>
      </c>
      <c r="M15" s="182">
        <v>1</v>
      </c>
    </row>
    <row r="16" spans="1:13" s="122" customFormat="1" ht="12.75">
      <c r="A16" s="694" t="s">
        <v>1006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</row>
    <row r="17" spans="1:13" s="123" customFormat="1" ht="12.75">
      <c r="A17" s="695" t="s">
        <v>587</v>
      </c>
      <c r="B17" s="182">
        <v>2</v>
      </c>
      <c r="C17" s="182">
        <v>2</v>
      </c>
      <c r="D17" s="182">
        <v>2</v>
      </c>
      <c r="E17" s="182">
        <v>2</v>
      </c>
      <c r="F17" s="182">
        <v>2</v>
      </c>
      <c r="G17" s="182">
        <v>2</v>
      </c>
      <c r="H17" s="182">
        <v>2</v>
      </c>
      <c r="I17" s="182">
        <v>2</v>
      </c>
      <c r="J17" s="182">
        <v>2</v>
      </c>
      <c r="K17" s="182">
        <v>2</v>
      </c>
      <c r="L17" s="182">
        <v>2</v>
      </c>
      <c r="M17" s="182">
        <v>2</v>
      </c>
    </row>
    <row r="18" spans="1:13" s="123" customFormat="1" ht="12.75">
      <c r="A18" s="695" t="s">
        <v>585</v>
      </c>
      <c r="B18" s="182">
        <v>1</v>
      </c>
      <c r="C18" s="182">
        <v>1</v>
      </c>
      <c r="D18" s="182">
        <v>1</v>
      </c>
      <c r="E18" s="182">
        <v>1</v>
      </c>
      <c r="F18" s="182">
        <v>1</v>
      </c>
      <c r="G18" s="182">
        <v>1</v>
      </c>
      <c r="H18" s="182">
        <v>1</v>
      </c>
      <c r="I18" s="182">
        <v>1</v>
      </c>
      <c r="J18" s="182">
        <v>1</v>
      </c>
      <c r="K18" s="182">
        <v>1</v>
      </c>
      <c r="L18" s="182">
        <v>1</v>
      </c>
      <c r="M18" s="182">
        <v>1</v>
      </c>
    </row>
    <row r="19" spans="1:13" s="122" customFormat="1" ht="12.75" customHeight="1">
      <c r="A19" s="694" t="s">
        <v>586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</row>
    <row r="20" spans="1:13" s="123" customFormat="1" ht="12.75">
      <c r="A20" s="695" t="s">
        <v>587</v>
      </c>
      <c r="B20" s="182">
        <v>2</v>
      </c>
      <c r="C20" s="182">
        <v>2</v>
      </c>
      <c r="D20" s="182">
        <v>2</v>
      </c>
      <c r="E20" s="182">
        <v>2</v>
      </c>
      <c r="F20" s="182">
        <v>2</v>
      </c>
      <c r="G20" s="182">
        <v>2</v>
      </c>
      <c r="H20" s="182">
        <v>2</v>
      </c>
      <c r="I20" s="182">
        <v>2</v>
      </c>
      <c r="J20" s="182">
        <v>2</v>
      </c>
      <c r="K20" s="182">
        <v>2</v>
      </c>
      <c r="L20" s="182">
        <v>2</v>
      </c>
      <c r="M20" s="182">
        <v>2</v>
      </c>
    </row>
    <row r="21" spans="1:13" s="123" customFormat="1" ht="12.75">
      <c r="A21" s="695" t="s">
        <v>588</v>
      </c>
      <c r="B21" s="182">
        <v>1</v>
      </c>
      <c r="C21" s="182">
        <v>1</v>
      </c>
      <c r="D21" s="182">
        <v>1</v>
      </c>
      <c r="E21" s="182">
        <v>1</v>
      </c>
      <c r="F21" s="182">
        <v>1</v>
      </c>
      <c r="G21" s="182">
        <v>1</v>
      </c>
      <c r="H21" s="182">
        <v>1</v>
      </c>
      <c r="I21" s="182">
        <v>1</v>
      </c>
      <c r="J21" s="182">
        <v>1</v>
      </c>
      <c r="K21" s="182">
        <v>1</v>
      </c>
      <c r="L21" s="182">
        <v>1</v>
      </c>
      <c r="M21" s="182">
        <v>1</v>
      </c>
    </row>
    <row r="22" spans="1:13" s="258" customFormat="1" ht="38.25">
      <c r="A22" s="697" t="s">
        <v>884</v>
      </c>
      <c r="B22" s="257">
        <f aca="true" t="shared" si="0" ref="B22:M22">SUM(B9:B21)</f>
        <v>42</v>
      </c>
      <c r="C22" s="257">
        <f t="shared" si="0"/>
        <v>42</v>
      </c>
      <c r="D22" s="257">
        <f t="shared" si="0"/>
        <v>42</v>
      </c>
      <c r="E22" s="257">
        <f t="shared" si="0"/>
        <v>42</v>
      </c>
      <c r="F22" s="257">
        <f t="shared" si="0"/>
        <v>42</v>
      </c>
      <c r="G22" s="257">
        <f t="shared" si="0"/>
        <v>41</v>
      </c>
      <c r="H22" s="257">
        <f t="shared" si="0"/>
        <v>41</v>
      </c>
      <c r="I22" s="257">
        <f t="shared" si="0"/>
        <v>41</v>
      </c>
      <c r="J22" s="257">
        <f t="shared" si="0"/>
        <v>41</v>
      </c>
      <c r="K22" s="257">
        <f t="shared" si="0"/>
        <v>41</v>
      </c>
      <c r="L22" s="257">
        <f t="shared" si="0"/>
        <v>41</v>
      </c>
      <c r="M22" s="257">
        <f t="shared" si="0"/>
        <v>41</v>
      </c>
    </row>
    <row r="23" spans="1:13" s="123" customFormat="1" ht="14.25" customHeight="1">
      <c r="A23" s="695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</row>
    <row r="24" spans="1:13" s="124" customFormat="1" ht="12.75">
      <c r="A24" s="693" t="s">
        <v>620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</row>
    <row r="25" spans="1:13" s="123" customFormat="1" ht="12.75">
      <c r="A25" s="698" t="s">
        <v>599</v>
      </c>
      <c r="B25" s="182">
        <v>1</v>
      </c>
      <c r="C25" s="182">
        <v>1</v>
      </c>
      <c r="D25" s="182">
        <v>1</v>
      </c>
      <c r="E25" s="182">
        <v>1</v>
      </c>
      <c r="F25" s="182">
        <v>1</v>
      </c>
      <c r="G25" s="182">
        <v>1</v>
      </c>
      <c r="H25" s="182">
        <v>1</v>
      </c>
      <c r="I25" s="182">
        <v>1</v>
      </c>
      <c r="J25" s="182">
        <v>1</v>
      </c>
      <c r="K25" s="182">
        <v>1</v>
      </c>
      <c r="L25" s="182">
        <v>1</v>
      </c>
      <c r="M25" s="182">
        <v>1</v>
      </c>
    </row>
    <row r="26" spans="1:13" s="123" customFormat="1" ht="12.75">
      <c r="A26" s="698" t="s">
        <v>600</v>
      </c>
      <c r="B26" s="182">
        <v>1</v>
      </c>
      <c r="C26" s="182">
        <v>1</v>
      </c>
      <c r="D26" s="182">
        <v>1</v>
      </c>
      <c r="E26" s="182">
        <v>1</v>
      </c>
      <c r="F26" s="182">
        <v>1</v>
      </c>
      <c r="G26" s="182">
        <v>1</v>
      </c>
      <c r="H26" s="182">
        <v>1</v>
      </c>
      <c r="I26" s="182">
        <v>1</v>
      </c>
      <c r="J26" s="182">
        <v>1</v>
      </c>
      <c r="K26" s="182">
        <v>1</v>
      </c>
      <c r="L26" s="182">
        <v>1</v>
      </c>
      <c r="M26" s="182">
        <v>1</v>
      </c>
    </row>
    <row r="27" spans="1:13" s="123" customFormat="1" ht="12.75">
      <c r="A27" s="699" t="s">
        <v>683</v>
      </c>
      <c r="B27" s="182">
        <v>25</v>
      </c>
      <c r="C27" s="182">
        <v>25</v>
      </c>
      <c r="D27" s="182">
        <v>25</v>
      </c>
      <c r="E27" s="182">
        <f>25+1</f>
        <v>26</v>
      </c>
      <c r="F27" s="182">
        <f>25+1+1</f>
        <v>27</v>
      </c>
      <c r="G27" s="182">
        <f>25+1</f>
        <v>26</v>
      </c>
      <c r="H27" s="182">
        <v>25.75</v>
      </c>
      <c r="I27" s="182">
        <f>25.75</f>
        <v>25.75</v>
      </c>
      <c r="J27" s="182">
        <v>25.75</v>
      </c>
      <c r="K27" s="182">
        <v>25.75</v>
      </c>
      <c r="L27" s="182">
        <v>25.75</v>
      </c>
      <c r="M27" s="182">
        <v>25.75</v>
      </c>
    </row>
    <row r="28" spans="1:13" s="123" customFormat="1" ht="25.5">
      <c r="A28" s="699" t="s">
        <v>190</v>
      </c>
      <c r="B28" s="182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1</v>
      </c>
      <c r="H28" s="182">
        <f>1+1</f>
        <v>2</v>
      </c>
      <c r="I28" s="182">
        <v>1</v>
      </c>
      <c r="J28" s="182">
        <v>0</v>
      </c>
      <c r="K28" s="182">
        <v>0</v>
      </c>
      <c r="L28" s="182">
        <v>0</v>
      </c>
      <c r="M28" s="182">
        <v>0</v>
      </c>
    </row>
    <row r="29" spans="1:13" s="123" customFormat="1" ht="25.5">
      <c r="A29" s="699" t="s">
        <v>771</v>
      </c>
      <c r="B29" s="182">
        <v>2</v>
      </c>
      <c r="C29" s="182">
        <v>2</v>
      </c>
      <c r="D29" s="182">
        <v>2</v>
      </c>
      <c r="E29" s="182">
        <v>2</v>
      </c>
      <c r="F29" s="182">
        <v>2</v>
      </c>
      <c r="G29" s="182">
        <v>2</v>
      </c>
      <c r="H29" s="182">
        <v>2</v>
      </c>
      <c r="I29" s="182">
        <v>2</v>
      </c>
      <c r="J29" s="182">
        <v>2</v>
      </c>
      <c r="K29" s="182">
        <v>2</v>
      </c>
      <c r="L29" s="182">
        <v>2</v>
      </c>
      <c r="M29" s="182">
        <v>2</v>
      </c>
    </row>
    <row r="30" spans="1:13" s="124" customFormat="1" ht="12.75">
      <c r="A30" s="693" t="s">
        <v>684</v>
      </c>
      <c r="B30" s="180">
        <f aca="true" t="shared" si="1" ref="B30:M30">SUM(B25:B29)</f>
        <v>29</v>
      </c>
      <c r="C30" s="180">
        <f t="shared" si="1"/>
        <v>29</v>
      </c>
      <c r="D30" s="180">
        <f t="shared" si="1"/>
        <v>29</v>
      </c>
      <c r="E30" s="180">
        <f t="shared" si="1"/>
        <v>30</v>
      </c>
      <c r="F30" s="180">
        <f t="shared" si="1"/>
        <v>31</v>
      </c>
      <c r="G30" s="180">
        <f t="shared" si="1"/>
        <v>31</v>
      </c>
      <c r="H30" s="180">
        <f t="shared" si="1"/>
        <v>31.75</v>
      </c>
      <c r="I30" s="180">
        <f t="shared" si="1"/>
        <v>30.75</v>
      </c>
      <c r="J30" s="180">
        <f t="shared" si="1"/>
        <v>29.75</v>
      </c>
      <c r="K30" s="180">
        <f t="shared" si="1"/>
        <v>29.75</v>
      </c>
      <c r="L30" s="180">
        <f t="shared" si="1"/>
        <v>29.75</v>
      </c>
      <c r="M30" s="180">
        <f t="shared" si="1"/>
        <v>29.75</v>
      </c>
    </row>
    <row r="31" spans="1:13" s="184" customFormat="1" ht="14.25" customHeight="1">
      <c r="A31" s="700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</row>
    <row r="32" spans="1:13" s="124" customFormat="1" ht="12.75">
      <c r="A32" s="693" t="s">
        <v>713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</row>
    <row r="33" spans="1:13" s="122" customFormat="1" ht="12.75" customHeight="1">
      <c r="A33" s="694" t="s">
        <v>685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</row>
    <row r="34" spans="1:13" s="123" customFormat="1" ht="12.75">
      <c r="A34" s="701" t="s">
        <v>597</v>
      </c>
      <c r="B34" s="182">
        <v>12</v>
      </c>
      <c r="C34" s="182">
        <v>12</v>
      </c>
      <c r="D34" s="182">
        <v>12</v>
      </c>
      <c r="E34" s="182">
        <v>12</v>
      </c>
      <c r="F34" s="182">
        <v>12</v>
      </c>
      <c r="G34" s="182">
        <v>12</v>
      </c>
      <c r="H34" s="182">
        <v>12</v>
      </c>
      <c r="I34" s="182">
        <v>12</v>
      </c>
      <c r="J34" s="182">
        <v>12</v>
      </c>
      <c r="K34" s="182">
        <v>12</v>
      </c>
      <c r="L34" s="182">
        <v>12</v>
      </c>
      <c r="M34" s="182">
        <v>12</v>
      </c>
    </row>
    <row r="35" spans="1:13" s="122" customFormat="1" ht="12.75" customHeight="1">
      <c r="A35" s="694" t="s">
        <v>564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</row>
    <row r="36" spans="1:13" s="123" customFormat="1" ht="12.75">
      <c r="A36" s="699" t="s">
        <v>565</v>
      </c>
      <c r="B36" s="182">
        <v>2.5</v>
      </c>
      <c r="C36" s="182">
        <v>2.5</v>
      </c>
      <c r="D36" s="182">
        <v>2.5</v>
      </c>
      <c r="E36" s="182">
        <v>2.5</v>
      </c>
      <c r="F36" s="182">
        <v>2.5</v>
      </c>
      <c r="G36" s="182">
        <v>3</v>
      </c>
      <c r="H36" s="182">
        <v>3</v>
      </c>
      <c r="I36" s="182">
        <v>3</v>
      </c>
      <c r="J36" s="182">
        <v>3</v>
      </c>
      <c r="K36" s="182">
        <v>3</v>
      </c>
      <c r="L36" s="182">
        <v>3</v>
      </c>
      <c r="M36" s="182">
        <v>3</v>
      </c>
    </row>
    <row r="37" spans="1:13" s="123" customFormat="1" ht="12.75">
      <c r="A37" s="698" t="s">
        <v>594</v>
      </c>
      <c r="B37" s="182">
        <v>5.75</v>
      </c>
      <c r="C37" s="182">
        <v>5.75</v>
      </c>
      <c r="D37" s="182">
        <v>5.75</v>
      </c>
      <c r="E37" s="182">
        <v>5.75</v>
      </c>
      <c r="F37" s="182">
        <v>5.75</v>
      </c>
      <c r="G37" s="182">
        <v>5.75</v>
      </c>
      <c r="H37" s="182">
        <v>5.75</v>
      </c>
      <c r="I37" s="182">
        <v>5.75</v>
      </c>
      <c r="J37" s="182">
        <v>5.75</v>
      </c>
      <c r="K37" s="182">
        <v>5.75</v>
      </c>
      <c r="L37" s="182">
        <v>5.75</v>
      </c>
      <c r="M37" s="182">
        <v>5.75</v>
      </c>
    </row>
    <row r="38" spans="1:13" s="123" customFormat="1" ht="12.75">
      <c r="A38" s="698" t="s">
        <v>595</v>
      </c>
      <c r="B38" s="182">
        <v>2</v>
      </c>
      <c r="C38" s="182">
        <v>2</v>
      </c>
      <c r="D38" s="182">
        <v>2</v>
      </c>
      <c r="E38" s="182">
        <v>2</v>
      </c>
      <c r="F38" s="182">
        <v>2</v>
      </c>
      <c r="G38" s="182">
        <v>2</v>
      </c>
      <c r="H38" s="182">
        <v>2</v>
      </c>
      <c r="I38" s="182">
        <v>2</v>
      </c>
      <c r="J38" s="182">
        <v>2</v>
      </c>
      <c r="K38" s="182">
        <v>2</v>
      </c>
      <c r="L38" s="182">
        <v>2</v>
      </c>
      <c r="M38" s="182">
        <v>2</v>
      </c>
    </row>
    <row r="39" spans="1:13" s="123" customFormat="1" ht="12.75">
      <c r="A39" s="698" t="s">
        <v>596</v>
      </c>
      <c r="B39" s="182">
        <v>1</v>
      </c>
      <c r="C39" s="182">
        <v>1</v>
      </c>
      <c r="D39" s="182">
        <v>1</v>
      </c>
      <c r="E39" s="182">
        <v>1</v>
      </c>
      <c r="F39" s="182">
        <v>1</v>
      </c>
      <c r="G39" s="182">
        <v>1</v>
      </c>
      <c r="H39" s="182">
        <v>1</v>
      </c>
      <c r="I39" s="182">
        <v>1</v>
      </c>
      <c r="J39" s="182">
        <v>1</v>
      </c>
      <c r="K39" s="182">
        <v>1</v>
      </c>
      <c r="L39" s="182">
        <v>1</v>
      </c>
      <c r="M39" s="182">
        <v>1</v>
      </c>
    </row>
    <row r="40" spans="1:13" s="122" customFormat="1" ht="12.75" customHeight="1">
      <c r="A40" s="694" t="s">
        <v>601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</row>
    <row r="41" spans="1:13" s="123" customFormat="1" ht="12.75">
      <c r="A41" s="698" t="s">
        <v>602</v>
      </c>
      <c r="B41" s="182">
        <v>3</v>
      </c>
      <c r="C41" s="182">
        <v>3</v>
      </c>
      <c r="D41" s="182">
        <v>3</v>
      </c>
      <c r="E41" s="182">
        <v>3</v>
      </c>
      <c r="F41" s="182">
        <v>3</v>
      </c>
      <c r="G41" s="182">
        <v>3</v>
      </c>
      <c r="H41" s="182">
        <v>3</v>
      </c>
      <c r="I41" s="182">
        <v>3</v>
      </c>
      <c r="J41" s="182">
        <v>3</v>
      </c>
      <c r="K41" s="182">
        <v>3</v>
      </c>
      <c r="L41" s="182">
        <v>3</v>
      </c>
      <c r="M41" s="182">
        <v>3</v>
      </c>
    </row>
    <row r="42" spans="1:13" s="123" customFormat="1" ht="12.75">
      <c r="A42" s="698" t="s">
        <v>603</v>
      </c>
      <c r="B42" s="182">
        <v>3</v>
      </c>
      <c r="C42" s="182">
        <v>3</v>
      </c>
      <c r="D42" s="182">
        <v>3</v>
      </c>
      <c r="E42" s="182">
        <v>3</v>
      </c>
      <c r="F42" s="182">
        <v>3</v>
      </c>
      <c r="G42" s="182">
        <v>3</v>
      </c>
      <c r="H42" s="182">
        <v>3</v>
      </c>
      <c r="I42" s="182">
        <v>3</v>
      </c>
      <c r="J42" s="182">
        <v>3</v>
      </c>
      <c r="K42" s="182">
        <v>3</v>
      </c>
      <c r="L42" s="182">
        <v>3</v>
      </c>
      <c r="M42" s="182">
        <v>3</v>
      </c>
    </row>
    <row r="43" spans="1:13" s="122" customFormat="1" ht="12.75" customHeight="1">
      <c r="A43" s="694" t="s">
        <v>604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</row>
    <row r="44" spans="1:13" s="123" customFormat="1" ht="12.75">
      <c r="A44" s="698" t="s">
        <v>605</v>
      </c>
      <c r="B44" s="182">
        <v>4</v>
      </c>
      <c r="C44" s="182">
        <v>4</v>
      </c>
      <c r="D44" s="182">
        <v>4</v>
      </c>
      <c r="E44" s="182">
        <v>4</v>
      </c>
      <c r="F44" s="182">
        <v>4</v>
      </c>
      <c r="G44" s="182">
        <v>4</v>
      </c>
      <c r="H44" s="182">
        <v>4</v>
      </c>
      <c r="I44" s="182">
        <v>4</v>
      </c>
      <c r="J44" s="182">
        <v>4</v>
      </c>
      <c r="K44" s="182">
        <v>4</v>
      </c>
      <c r="L44" s="182">
        <v>4</v>
      </c>
      <c r="M44" s="182">
        <v>4</v>
      </c>
    </row>
    <row r="45" spans="1:13" s="122" customFormat="1" ht="12.75" customHeight="1">
      <c r="A45" s="694" t="s">
        <v>589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</row>
    <row r="46" spans="1:13" s="123" customFormat="1" ht="12.75">
      <c r="A46" s="698" t="s">
        <v>590</v>
      </c>
      <c r="B46" s="182">
        <v>1</v>
      </c>
      <c r="C46" s="182">
        <v>1</v>
      </c>
      <c r="D46" s="182">
        <v>1</v>
      </c>
      <c r="E46" s="182">
        <v>1</v>
      </c>
      <c r="F46" s="182">
        <v>1</v>
      </c>
      <c r="G46" s="182">
        <v>1</v>
      </c>
      <c r="H46" s="182">
        <v>1</v>
      </c>
      <c r="I46" s="182">
        <v>1</v>
      </c>
      <c r="J46" s="182">
        <v>1</v>
      </c>
      <c r="K46" s="182">
        <v>1</v>
      </c>
      <c r="L46" s="182">
        <v>1</v>
      </c>
      <c r="M46" s="182">
        <v>1</v>
      </c>
    </row>
    <row r="47" spans="1:13" s="123" customFormat="1" ht="12.75">
      <c r="A47" s="698" t="s">
        <v>591</v>
      </c>
      <c r="B47" s="182">
        <v>6</v>
      </c>
      <c r="C47" s="182">
        <v>6</v>
      </c>
      <c r="D47" s="182">
        <v>6</v>
      </c>
      <c r="E47" s="182">
        <v>6</v>
      </c>
      <c r="F47" s="182">
        <v>6</v>
      </c>
      <c r="G47" s="182">
        <v>6</v>
      </c>
      <c r="H47" s="182">
        <v>6</v>
      </c>
      <c r="I47" s="182">
        <v>6</v>
      </c>
      <c r="J47" s="182">
        <v>6</v>
      </c>
      <c r="K47" s="182">
        <v>6</v>
      </c>
      <c r="L47" s="182">
        <v>6</v>
      </c>
      <c r="M47" s="182">
        <v>6</v>
      </c>
    </row>
    <row r="48" spans="1:13" s="123" customFormat="1" ht="12.75">
      <c r="A48" s="698" t="s">
        <v>772</v>
      </c>
      <c r="B48" s="182">
        <v>1</v>
      </c>
      <c r="C48" s="182">
        <v>1</v>
      </c>
      <c r="D48" s="182">
        <v>1</v>
      </c>
      <c r="E48" s="182">
        <v>1</v>
      </c>
      <c r="F48" s="182">
        <v>1</v>
      </c>
      <c r="G48" s="182">
        <v>1</v>
      </c>
      <c r="H48" s="182">
        <v>1</v>
      </c>
      <c r="I48" s="182">
        <v>1</v>
      </c>
      <c r="J48" s="182">
        <v>1</v>
      </c>
      <c r="K48" s="182">
        <v>1</v>
      </c>
      <c r="L48" s="182">
        <v>1</v>
      </c>
      <c r="M48" s="182">
        <v>1</v>
      </c>
    </row>
    <row r="49" spans="1:13" s="123" customFormat="1" ht="12.75">
      <c r="A49" s="698" t="s">
        <v>592</v>
      </c>
      <c r="B49" s="182">
        <v>4</v>
      </c>
      <c r="C49" s="182">
        <v>4</v>
      </c>
      <c r="D49" s="182">
        <v>4</v>
      </c>
      <c r="E49" s="182">
        <v>4</v>
      </c>
      <c r="F49" s="182">
        <v>4</v>
      </c>
      <c r="G49" s="182">
        <v>4</v>
      </c>
      <c r="H49" s="182">
        <v>4</v>
      </c>
      <c r="I49" s="182">
        <v>4</v>
      </c>
      <c r="J49" s="182">
        <v>4</v>
      </c>
      <c r="K49" s="182">
        <v>4</v>
      </c>
      <c r="L49" s="182">
        <v>4</v>
      </c>
      <c r="M49" s="182">
        <v>4</v>
      </c>
    </row>
    <row r="50" spans="1:13" s="123" customFormat="1" ht="12.75">
      <c r="A50" s="698" t="s">
        <v>593</v>
      </c>
      <c r="B50" s="182">
        <v>2</v>
      </c>
      <c r="C50" s="182">
        <v>2</v>
      </c>
      <c r="D50" s="182">
        <v>2</v>
      </c>
      <c r="E50" s="182">
        <v>2</v>
      </c>
      <c r="F50" s="182">
        <v>2</v>
      </c>
      <c r="G50" s="182">
        <v>2</v>
      </c>
      <c r="H50" s="182">
        <v>2</v>
      </c>
      <c r="I50" s="182">
        <v>2</v>
      </c>
      <c r="J50" s="182">
        <v>2</v>
      </c>
      <c r="K50" s="182">
        <v>2</v>
      </c>
      <c r="L50" s="182">
        <v>2</v>
      </c>
      <c r="M50" s="182">
        <v>2</v>
      </c>
    </row>
    <row r="51" spans="1:13" s="124" customFormat="1" ht="12.75">
      <c r="A51" s="693" t="s">
        <v>679</v>
      </c>
      <c r="B51" s="180">
        <f aca="true" t="shared" si="2" ref="B51:M51">SUM(B33:B50)</f>
        <v>47.25</v>
      </c>
      <c r="C51" s="180">
        <f t="shared" si="2"/>
        <v>47.25</v>
      </c>
      <c r="D51" s="180">
        <f t="shared" si="2"/>
        <v>47.25</v>
      </c>
      <c r="E51" s="180">
        <f t="shared" si="2"/>
        <v>47.25</v>
      </c>
      <c r="F51" s="180">
        <f t="shared" si="2"/>
        <v>47.25</v>
      </c>
      <c r="G51" s="180">
        <f t="shared" si="2"/>
        <v>47.75</v>
      </c>
      <c r="H51" s="180">
        <f t="shared" si="2"/>
        <v>47.75</v>
      </c>
      <c r="I51" s="180">
        <f t="shared" si="2"/>
        <v>47.75</v>
      </c>
      <c r="J51" s="180">
        <f t="shared" si="2"/>
        <v>47.75</v>
      </c>
      <c r="K51" s="180">
        <f t="shared" si="2"/>
        <v>47.75</v>
      </c>
      <c r="L51" s="180">
        <f t="shared" si="2"/>
        <v>47.75</v>
      </c>
      <c r="M51" s="180">
        <f t="shared" si="2"/>
        <v>47.75</v>
      </c>
    </row>
    <row r="52" spans="1:13" s="124" customFormat="1" ht="30.75" customHeight="1">
      <c r="A52" s="702" t="s">
        <v>686</v>
      </c>
      <c r="B52" s="185">
        <f aca="true" t="shared" si="3" ref="B52:M52">SUM(B51,B30,B22)</f>
        <v>118.25</v>
      </c>
      <c r="C52" s="185">
        <f t="shared" si="3"/>
        <v>118.25</v>
      </c>
      <c r="D52" s="185">
        <f t="shared" si="3"/>
        <v>118.25</v>
      </c>
      <c r="E52" s="185">
        <f t="shared" si="3"/>
        <v>119.25</v>
      </c>
      <c r="F52" s="185">
        <f t="shared" si="3"/>
        <v>120.25</v>
      </c>
      <c r="G52" s="185">
        <f t="shared" si="3"/>
        <v>119.75</v>
      </c>
      <c r="H52" s="185">
        <f t="shared" si="3"/>
        <v>120.5</v>
      </c>
      <c r="I52" s="185">
        <f t="shared" si="3"/>
        <v>119.5</v>
      </c>
      <c r="J52" s="185">
        <f t="shared" si="3"/>
        <v>118.5</v>
      </c>
      <c r="K52" s="185">
        <f t="shared" si="3"/>
        <v>118.5</v>
      </c>
      <c r="L52" s="185">
        <f t="shared" si="3"/>
        <v>118.5</v>
      </c>
      <c r="M52" s="185">
        <f t="shared" si="3"/>
        <v>118.5</v>
      </c>
    </row>
    <row r="53" spans="1:13" s="123" customFormat="1" ht="14.25" customHeight="1">
      <c r="A53" s="695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</row>
    <row r="54" spans="1:13" s="124" customFormat="1" ht="12.75">
      <c r="A54" s="693" t="s">
        <v>598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</row>
    <row r="55" spans="1:13" s="122" customFormat="1" ht="12.75" customHeight="1">
      <c r="A55" s="694" t="s">
        <v>737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</row>
    <row r="56" spans="1:13" s="690" customFormat="1" ht="6" customHeight="1">
      <c r="A56" s="703"/>
      <c r="B56" s="689"/>
      <c r="C56" s="689"/>
      <c r="D56" s="689"/>
      <c r="E56" s="689"/>
      <c r="F56" s="689"/>
      <c r="G56" s="689"/>
      <c r="H56" s="689"/>
      <c r="I56" s="689"/>
      <c r="J56" s="689"/>
      <c r="K56" s="689"/>
      <c r="L56" s="689"/>
      <c r="M56" s="689"/>
    </row>
    <row r="57" spans="1:13" s="122" customFormat="1" ht="12.75" customHeight="1">
      <c r="A57" s="704" t="s">
        <v>76</v>
      </c>
      <c r="B57" s="691"/>
      <c r="C57" s="691"/>
      <c r="D57" s="691"/>
      <c r="E57" s="691"/>
      <c r="F57" s="691"/>
      <c r="G57" s="691"/>
      <c r="H57" s="691"/>
      <c r="I57" s="691"/>
      <c r="J57" s="691"/>
      <c r="K57" s="691"/>
      <c r="L57" s="691"/>
      <c r="M57" s="691"/>
    </row>
    <row r="58" spans="1:13" s="123" customFormat="1" ht="25.5">
      <c r="A58" s="699" t="s">
        <v>178</v>
      </c>
      <c r="B58" s="182">
        <v>49</v>
      </c>
      <c r="C58" s="182">
        <v>49</v>
      </c>
      <c r="D58" s="182">
        <v>49</v>
      </c>
      <c r="E58" s="182">
        <v>0</v>
      </c>
      <c r="F58" s="182">
        <v>0</v>
      </c>
      <c r="G58" s="182">
        <v>0</v>
      </c>
      <c r="H58" s="182">
        <v>0</v>
      </c>
      <c r="I58" s="182">
        <v>0</v>
      </c>
      <c r="J58" s="182">
        <v>0</v>
      </c>
      <c r="K58" s="182">
        <v>0</v>
      </c>
      <c r="L58" s="182">
        <v>0</v>
      </c>
      <c r="M58" s="182">
        <v>0</v>
      </c>
    </row>
    <row r="59" spans="1:13" s="123" customFormat="1" ht="25.5">
      <c r="A59" s="699" t="s">
        <v>179</v>
      </c>
      <c r="B59" s="182">
        <v>35</v>
      </c>
      <c r="C59" s="182">
        <v>35</v>
      </c>
      <c r="D59" s="182">
        <v>35</v>
      </c>
      <c r="E59" s="182">
        <v>35</v>
      </c>
      <c r="F59" s="182">
        <v>0</v>
      </c>
      <c r="G59" s="182">
        <v>0</v>
      </c>
      <c r="H59" s="182">
        <v>0</v>
      </c>
      <c r="I59" s="182">
        <v>0</v>
      </c>
      <c r="J59" s="182">
        <v>0</v>
      </c>
      <c r="K59" s="182">
        <v>0</v>
      </c>
      <c r="L59" s="182">
        <v>0</v>
      </c>
      <c r="M59" s="182">
        <v>0</v>
      </c>
    </row>
    <row r="60" spans="1:13" s="123" customFormat="1" ht="25.5">
      <c r="A60" s="699" t="s">
        <v>180</v>
      </c>
      <c r="B60" s="182">
        <v>28</v>
      </c>
      <c r="C60" s="182">
        <v>28</v>
      </c>
      <c r="D60" s="182">
        <v>28</v>
      </c>
      <c r="E60" s="182">
        <v>28</v>
      </c>
      <c r="F60" s="182">
        <v>28</v>
      </c>
      <c r="G60" s="182">
        <v>28</v>
      </c>
      <c r="H60" s="182">
        <v>0</v>
      </c>
      <c r="I60" s="182">
        <v>0</v>
      </c>
      <c r="J60" s="182">
        <v>0</v>
      </c>
      <c r="K60" s="182">
        <v>0</v>
      </c>
      <c r="L60" s="182">
        <v>0</v>
      </c>
      <c r="M60" s="182">
        <v>0</v>
      </c>
    </row>
    <row r="61" spans="1:13" s="122" customFormat="1" ht="12.75" customHeight="1">
      <c r="A61" s="704" t="s">
        <v>724</v>
      </c>
      <c r="B61" s="691"/>
      <c r="C61" s="691"/>
      <c r="D61" s="691"/>
      <c r="E61" s="691"/>
      <c r="F61" s="691"/>
      <c r="G61" s="691"/>
      <c r="H61" s="691"/>
      <c r="I61" s="691"/>
      <c r="J61" s="691"/>
      <c r="K61" s="691"/>
      <c r="L61" s="691"/>
      <c r="M61" s="691"/>
    </row>
    <row r="62" spans="1:13" s="690" customFormat="1" ht="38.25" customHeight="1">
      <c r="A62" s="699" t="s">
        <v>181</v>
      </c>
      <c r="B62" s="182">
        <v>3</v>
      </c>
      <c r="C62" s="182">
        <v>3</v>
      </c>
      <c r="D62" s="182">
        <v>0</v>
      </c>
      <c r="E62" s="182">
        <v>0</v>
      </c>
      <c r="F62" s="182">
        <v>0</v>
      </c>
      <c r="G62" s="182">
        <v>0</v>
      </c>
      <c r="H62" s="182">
        <v>0</v>
      </c>
      <c r="I62" s="182">
        <v>0</v>
      </c>
      <c r="J62" s="182">
        <v>0</v>
      </c>
      <c r="K62" s="182">
        <v>0</v>
      </c>
      <c r="L62" s="182">
        <v>0</v>
      </c>
      <c r="M62" s="182">
        <v>0</v>
      </c>
    </row>
    <row r="63" spans="1:13" s="690" customFormat="1" ht="41.25" customHeight="1">
      <c r="A63" s="699" t="s">
        <v>182</v>
      </c>
      <c r="B63" s="182">
        <v>3</v>
      </c>
      <c r="C63" s="182">
        <v>3</v>
      </c>
      <c r="D63" s="182">
        <v>0</v>
      </c>
      <c r="E63" s="182">
        <v>0</v>
      </c>
      <c r="F63" s="182">
        <v>0</v>
      </c>
      <c r="G63" s="182">
        <v>0</v>
      </c>
      <c r="H63" s="182">
        <v>0</v>
      </c>
      <c r="I63" s="182">
        <v>0</v>
      </c>
      <c r="J63" s="182">
        <v>0</v>
      </c>
      <c r="K63" s="182">
        <v>0</v>
      </c>
      <c r="L63" s="182">
        <v>0</v>
      </c>
      <c r="M63" s="182">
        <v>0</v>
      </c>
    </row>
    <row r="64" spans="1:13" s="690" customFormat="1" ht="28.5" customHeight="1">
      <c r="A64" s="704" t="s">
        <v>183</v>
      </c>
      <c r="B64" s="691"/>
      <c r="C64" s="691"/>
      <c r="D64" s="691"/>
      <c r="E64" s="691"/>
      <c r="F64" s="691"/>
      <c r="G64" s="691"/>
      <c r="H64" s="691"/>
      <c r="I64" s="691"/>
      <c r="J64" s="691"/>
      <c r="K64" s="691"/>
      <c r="L64" s="691"/>
      <c r="M64" s="691"/>
    </row>
    <row r="65" spans="1:13" s="123" customFormat="1" ht="25.5">
      <c r="A65" s="699" t="s">
        <v>184</v>
      </c>
      <c r="B65" s="182">
        <v>12</v>
      </c>
      <c r="C65" s="182">
        <v>12</v>
      </c>
      <c r="D65" s="182">
        <v>12</v>
      </c>
      <c r="E65" s="182">
        <v>12</v>
      </c>
      <c r="F65" s="182">
        <v>0</v>
      </c>
      <c r="G65" s="182">
        <v>0</v>
      </c>
      <c r="H65" s="182">
        <v>0</v>
      </c>
      <c r="I65" s="182">
        <v>0</v>
      </c>
      <c r="J65" s="182">
        <v>0</v>
      </c>
      <c r="K65" s="182">
        <v>0</v>
      </c>
      <c r="L65" s="182">
        <v>0</v>
      </c>
      <c r="M65" s="182">
        <v>0</v>
      </c>
    </row>
    <row r="66" spans="1:13" s="123" customFormat="1" ht="25.5">
      <c r="A66" s="699" t="s">
        <v>185</v>
      </c>
      <c r="B66" s="182">
        <v>1</v>
      </c>
      <c r="C66" s="182">
        <v>0</v>
      </c>
      <c r="D66" s="182">
        <v>0</v>
      </c>
      <c r="E66" s="182">
        <v>0</v>
      </c>
      <c r="F66" s="182">
        <v>0</v>
      </c>
      <c r="G66" s="182">
        <v>0</v>
      </c>
      <c r="H66" s="182">
        <v>0</v>
      </c>
      <c r="I66" s="182">
        <v>0</v>
      </c>
      <c r="J66" s="182">
        <v>0</v>
      </c>
      <c r="K66" s="182">
        <v>0</v>
      </c>
      <c r="L66" s="182">
        <v>0</v>
      </c>
      <c r="M66" s="182">
        <v>0</v>
      </c>
    </row>
    <row r="67" spans="1:13" s="123" customFormat="1" ht="25.5">
      <c r="A67" s="699" t="s">
        <v>186</v>
      </c>
      <c r="B67" s="182">
        <v>17</v>
      </c>
      <c r="C67" s="182">
        <v>17</v>
      </c>
      <c r="D67" s="182">
        <v>0</v>
      </c>
      <c r="E67" s="182">
        <v>0</v>
      </c>
      <c r="F67" s="182">
        <v>0</v>
      </c>
      <c r="G67" s="182">
        <v>0</v>
      </c>
      <c r="H67" s="182">
        <v>0</v>
      </c>
      <c r="I67" s="182">
        <v>0</v>
      </c>
      <c r="J67" s="182">
        <v>0</v>
      </c>
      <c r="K67" s="182">
        <v>0</v>
      </c>
      <c r="L67" s="182">
        <v>0</v>
      </c>
      <c r="M67" s="182">
        <v>0</v>
      </c>
    </row>
    <row r="68" spans="1:13" s="123" customFormat="1" ht="25.5">
      <c r="A68" s="699" t="s">
        <v>187</v>
      </c>
      <c r="B68" s="182">
        <v>79</v>
      </c>
      <c r="C68" s="182">
        <v>79</v>
      </c>
      <c r="D68" s="182">
        <v>79</v>
      </c>
      <c r="E68" s="182">
        <v>79</v>
      </c>
      <c r="F68" s="182">
        <v>0</v>
      </c>
      <c r="G68" s="182">
        <v>0</v>
      </c>
      <c r="H68" s="182">
        <v>0</v>
      </c>
      <c r="I68" s="182">
        <v>0</v>
      </c>
      <c r="J68" s="182">
        <v>0</v>
      </c>
      <c r="K68" s="182">
        <v>0</v>
      </c>
      <c r="L68" s="182">
        <v>0</v>
      </c>
      <c r="M68" s="182">
        <v>0</v>
      </c>
    </row>
    <row r="69" spans="1:13" s="123" customFormat="1" ht="28.5" customHeight="1">
      <c r="A69" s="699" t="s">
        <v>998</v>
      </c>
      <c r="B69" s="182">
        <v>0</v>
      </c>
      <c r="C69" s="182">
        <v>0</v>
      </c>
      <c r="D69" s="182">
        <v>34</v>
      </c>
      <c r="E69" s="182">
        <v>34</v>
      </c>
      <c r="F69" s="182">
        <v>34</v>
      </c>
      <c r="G69" s="182">
        <v>34</v>
      </c>
      <c r="H69" s="182">
        <v>34</v>
      </c>
      <c r="I69" s="182">
        <v>34</v>
      </c>
      <c r="J69" s="182">
        <v>34</v>
      </c>
      <c r="K69" s="182">
        <v>34</v>
      </c>
      <c r="L69" s="182">
        <v>34</v>
      </c>
      <c r="M69" s="182">
        <v>34</v>
      </c>
    </row>
    <row r="70" spans="1:13" s="123" customFormat="1" ht="38.25">
      <c r="A70" s="699" t="s">
        <v>999</v>
      </c>
      <c r="B70" s="182">
        <v>0</v>
      </c>
      <c r="C70" s="182">
        <v>0</v>
      </c>
      <c r="D70" s="182">
        <v>0</v>
      </c>
      <c r="E70" s="182">
        <v>0</v>
      </c>
      <c r="F70" s="182">
        <v>46</v>
      </c>
      <c r="G70" s="182">
        <v>46</v>
      </c>
      <c r="H70" s="182">
        <v>46</v>
      </c>
      <c r="I70" s="182">
        <v>46</v>
      </c>
      <c r="J70" s="182">
        <v>46</v>
      </c>
      <c r="K70" s="182">
        <v>0</v>
      </c>
      <c r="L70" s="182">
        <v>0</v>
      </c>
      <c r="M70" s="182">
        <v>0</v>
      </c>
    </row>
    <row r="71" spans="1:13" s="123" customFormat="1" ht="42" customHeight="1">
      <c r="A71" s="699" t="s">
        <v>1107</v>
      </c>
      <c r="B71" s="182">
        <v>0</v>
      </c>
      <c r="C71" s="182">
        <v>0</v>
      </c>
      <c r="D71" s="182">
        <v>0</v>
      </c>
      <c r="E71" s="182">
        <v>0</v>
      </c>
      <c r="F71" s="182">
        <v>0</v>
      </c>
      <c r="G71" s="182">
        <v>0</v>
      </c>
      <c r="H71" s="182">
        <v>0</v>
      </c>
      <c r="I71" s="182">
        <v>22</v>
      </c>
      <c r="J71" s="182">
        <v>22</v>
      </c>
      <c r="K71" s="182">
        <v>22</v>
      </c>
      <c r="L71" s="182">
        <v>22</v>
      </c>
      <c r="M71" s="182">
        <v>22</v>
      </c>
    </row>
    <row r="72" spans="1:13" s="123" customFormat="1" ht="28.5" customHeight="1">
      <c r="A72" s="699" t="s">
        <v>1108</v>
      </c>
      <c r="B72" s="182">
        <v>0</v>
      </c>
      <c r="C72" s="182">
        <v>0</v>
      </c>
      <c r="D72" s="182">
        <v>0</v>
      </c>
      <c r="E72" s="182">
        <v>0</v>
      </c>
      <c r="F72" s="182">
        <v>0</v>
      </c>
      <c r="G72" s="182">
        <v>0</v>
      </c>
      <c r="H72" s="182">
        <v>0</v>
      </c>
      <c r="I72" s="182">
        <v>22</v>
      </c>
      <c r="J72" s="182">
        <v>22</v>
      </c>
      <c r="K72" s="182">
        <v>22</v>
      </c>
      <c r="L72" s="182">
        <v>22</v>
      </c>
      <c r="M72" s="182">
        <v>22</v>
      </c>
    </row>
    <row r="73" spans="1:13" s="123" customFormat="1" ht="39.75" customHeight="1">
      <c r="A73" s="699" t="s">
        <v>1109</v>
      </c>
      <c r="B73" s="182">
        <v>0</v>
      </c>
      <c r="C73" s="182">
        <v>0</v>
      </c>
      <c r="D73" s="182">
        <v>0</v>
      </c>
      <c r="E73" s="182">
        <v>0</v>
      </c>
      <c r="F73" s="182">
        <v>0</v>
      </c>
      <c r="G73" s="182">
        <v>0</v>
      </c>
      <c r="H73" s="182">
        <v>0</v>
      </c>
      <c r="I73" s="182">
        <v>22</v>
      </c>
      <c r="J73" s="182">
        <v>22</v>
      </c>
      <c r="K73" s="182">
        <v>22</v>
      </c>
      <c r="L73" s="182">
        <v>22</v>
      </c>
      <c r="M73" s="182">
        <v>22</v>
      </c>
    </row>
    <row r="74" spans="1:13" s="123" customFormat="1" ht="38.25">
      <c r="A74" s="699" t="s">
        <v>1110</v>
      </c>
      <c r="B74" s="182">
        <v>0</v>
      </c>
      <c r="C74" s="182">
        <v>0</v>
      </c>
      <c r="D74" s="182">
        <v>0</v>
      </c>
      <c r="E74" s="182">
        <v>0</v>
      </c>
      <c r="F74" s="182">
        <v>0</v>
      </c>
      <c r="G74" s="182">
        <v>0</v>
      </c>
      <c r="H74" s="182">
        <v>0</v>
      </c>
      <c r="I74" s="182">
        <v>22</v>
      </c>
      <c r="J74" s="182">
        <v>22</v>
      </c>
      <c r="K74" s="182">
        <v>22</v>
      </c>
      <c r="L74" s="182">
        <v>22</v>
      </c>
      <c r="M74" s="182">
        <v>22</v>
      </c>
    </row>
    <row r="75" spans="1:13" s="123" customFormat="1" ht="25.5">
      <c r="A75" s="704" t="s">
        <v>916</v>
      </c>
      <c r="B75" s="691"/>
      <c r="C75" s="691"/>
      <c r="D75" s="691"/>
      <c r="E75" s="691"/>
      <c r="F75" s="691"/>
      <c r="G75" s="691"/>
      <c r="H75" s="691"/>
      <c r="I75" s="691"/>
      <c r="J75" s="691"/>
      <c r="K75" s="691"/>
      <c r="L75" s="691"/>
      <c r="M75" s="691"/>
    </row>
    <row r="76" spans="1:13" s="123" customFormat="1" ht="51">
      <c r="A76" s="699" t="s">
        <v>917</v>
      </c>
      <c r="B76" s="182">
        <v>0</v>
      </c>
      <c r="C76" s="182">
        <v>0</v>
      </c>
      <c r="D76" s="182">
        <v>0</v>
      </c>
      <c r="E76" s="182">
        <v>0</v>
      </c>
      <c r="F76" s="182">
        <v>0</v>
      </c>
      <c r="G76" s="182">
        <v>27</v>
      </c>
      <c r="H76" s="182">
        <v>27</v>
      </c>
      <c r="I76" s="182">
        <v>27</v>
      </c>
      <c r="J76" s="182">
        <v>27</v>
      </c>
      <c r="K76" s="182">
        <v>0</v>
      </c>
      <c r="L76" s="182">
        <v>0</v>
      </c>
      <c r="M76" s="182">
        <v>0</v>
      </c>
    </row>
    <row r="77" spans="1:13" s="123" customFormat="1" ht="25.5">
      <c r="A77" s="699" t="s">
        <v>918</v>
      </c>
      <c r="B77" s="182">
        <v>0</v>
      </c>
      <c r="C77" s="182">
        <v>0</v>
      </c>
      <c r="D77" s="182">
        <v>0</v>
      </c>
      <c r="E77" s="182">
        <v>0</v>
      </c>
      <c r="F77" s="182">
        <v>0</v>
      </c>
      <c r="G77" s="182">
        <v>24</v>
      </c>
      <c r="H77" s="182">
        <v>24</v>
      </c>
      <c r="I77" s="182">
        <v>24</v>
      </c>
      <c r="J77" s="182">
        <v>24</v>
      </c>
      <c r="K77" s="182">
        <v>0</v>
      </c>
      <c r="L77" s="182">
        <v>0</v>
      </c>
      <c r="M77" s="182">
        <v>0</v>
      </c>
    </row>
    <row r="78" spans="1:13" s="123" customFormat="1" ht="25.5">
      <c r="A78" s="699" t="s">
        <v>1000</v>
      </c>
      <c r="B78" s="182">
        <v>0</v>
      </c>
      <c r="C78" s="182">
        <v>0</v>
      </c>
      <c r="D78" s="182">
        <v>0</v>
      </c>
      <c r="E78" s="182">
        <v>0</v>
      </c>
      <c r="F78" s="182">
        <v>0</v>
      </c>
      <c r="G78" s="182">
        <v>15</v>
      </c>
      <c r="H78" s="182">
        <v>15</v>
      </c>
      <c r="I78" s="182">
        <v>15</v>
      </c>
      <c r="J78" s="182">
        <v>15</v>
      </c>
      <c r="K78" s="182">
        <v>0</v>
      </c>
      <c r="L78" s="182">
        <v>0</v>
      </c>
      <c r="M78" s="182">
        <v>0</v>
      </c>
    </row>
    <row r="79" spans="1:13" s="123" customFormat="1" ht="25.5">
      <c r="A79" s="699" t="s">
        <v>1001</v>
      </c>
      <c r="B79" s="182">
        <v>0</v>
      </c>
      <c r="C79" s="182">
        <v>0</v>
      </c>
      <c r="D79" s="182">
        <v>0</v>
      </c>
      <c r="E79" s="182">
        <v>0</v>
      </c>
      <c r="F79" s="182">
        <v>0</v>
      </c>
      <c r="G79" s="182">
        <v>12</v>
      </c>
      <c r="H79" s="182">
        <v>12</v>
      </c>
      <c r="I79" s="182">
        <v>0</v>
      </c>
      <c r="J79" s="182">
        <v>0</v>
      </c>
      <c r="K79" s="182">
        <v>0</v>
      </c>
      <c r="L79" s="182">
        <v>0</v>
      </c>
      <c r="M79" s="182">
        <v>0</v>
      </c>
    </row>
    <row r="80" spans="1:13" s="123" customFormat="1" ht="25.5">
      <c r="A80" s="699" t="s">
        <v>1002</v>
      </c>
      <c r="B80" s="182">
        <v>0</v>
      </c>
      <c r="C80" s="182">
        <v>0</v>
      </c>
      <c r="D80" s="182">
        <v>0</v>
      </c>
      <c r="E80" s="182">
        <v>0</v>
      </c>
      <c r="F80" s="182">
        <v>0</v>
      </c>
      <c r="G80" s="182">
        <v>15</v>
      </c>
      <c r="H80" s="182">
        <v>15</v>
      </c>
      <c r="I80" s="182">
        <v>15</v>
      </c>
      <c r="J80" s="182">
        <v>15</v>
      </c>
      <c r="K80" s="182">
        <v>0</v>
      </c>
      <c r="L80" s="182">
        <v>0</v>
      </c>
      <c r="M80" s="182">
        <v>0</v>
      </c>
    </row>
    <row r="81" spans="1:13" s="123" customFormat="1" ht="25.5">
      <c r="A81" s="699" t="s">
        <v>1003</v>
      </c>
      <c r="B81" s="182">
        <v>0</v>
      </c>
      <c r="C81" s="182">
        <v>0</v>
      </c>
      <c r="D81" s="182">
        <v>14</v>
      </c>
      <c r="E81" s="182">
        <v>14</v>
      </c>
      <c r="F81" s="182">
        <v>0</v>
      </c>
      <c r="G81" s="182">
        <v>0</v>
      </c>
      <c r="H81" s="182">
        <v>0</v>
      </c>
      <c r="I81" s="182">
        <v>0</v>
      </c>
      <c r="J81" s="182">
        <v>0</v>
      </c>
      <c r="K81" s="182">
        <v>0</v>
      </c>
      <c r="L81" s="182">
        <v>0</v>
      </c>
      <c r="M81" s="182">
        <v>0</v>
      </c>
    </row>
    <row r="82" spans="1:13" s="123" customFormat="1" ht="25.5">
      <c r="A82" s="699" t="s">
        <v>1104</v>
      </c>
      <c r="B82" s="182">
        <v>0</v>
      </c>
      <c r="C82" s="182">
        <v>0</v>
      </c>
      <c r="D82" s="182">
        <v>0</v>
      </c>
      <c r="E82" s="182">
        <v>0</v>
      </c>
      <c r="F82" s="182">
        <v>0</v>
      </c>
      <c r="G82" s="182">
        <v>0</v>
      </c>
      <c r="H82" s="182">
        <v>14</v>
      </c>
      <c r="I82" s="182">
        <v>14</v>
      </c>
      <c r="J82" s="182">
        <v>0</v>
      </c>
      <c r="K82" s="182">
        <v>0</v>
      </c>
      <c r="L82" s="182">
        <v>0</v>
      </c>
      <c r="M82" s="182">
        <v>0</v>
      </c>
    </row>
    <row r="83" spans="1:13" s="123" customFormat="1" ht="25.5">
      <c r="A83" s="699" t="s">
        <v>1105</v>
      </c>
      <c r="B83" s="182">
        <v>0</v>
      </c>
      <c r="C83" s="182">
        <v>0</v>
      </c>
      <c r="D83" s="182">
        <v>0</v>
      </c>
      <c r="E83" s="182">
        <v>0</v>
      </c>
      <c r="F83" s="182">
        <v>0</v>
      </c>
      <c r="G83" s="182">
        <v>0</v>
      </c>
      <c r="H83" s="182">
        <v>0</v>
      </c>
      <c r="I83" s="182">
        <v>45</v>
      </c>
      <c r="J83" s="182">
        <v>45</v>
      </c>
      <c r="K83" s="182">
        <v>45</v>
      </c>
      <c r="L83" s="182">
        <v>0</v>
      </c>
      <c r="M83" s="182">
        <v>0</v>
      </c>
    </row>
    <row r="84" spans="1:13" s="123" customFormat="1" ht="25.5">
      <c r="A84" s="699" t="s">
        <v>1106</v>
      </c>
      <c r="B84" s="182">
        <v>0</v>
      </c>
      <c r="C84" s="182">
        <v>0</v>
      </c>
      <c r="D84" s="182">
        <v>0</v>
      </c>
      <c r="E84" s="182">
        <v>0</v>
      </c>
      <c r="F84" s="182">
        <v>0</v>
      </c>
      <c r="G84" s="182">
        <v>0</v>
      </c>
      <c r="H84" s="182">
        <v>16</v>
      </c>
      <c r="I84" s="182">
        <v>16</v>
      </c>
      <c r="J84" s="182">
        <v>16</v>
      </c>
      <c r="K84" s="182">
        <v>16</v>
      </c>
      <c r="L84" s="182">
        <v>0</v>
      </c>
      <c r="M84" s="182">
        <v>0</v>
      </c>
    </row>
    <row r="85" spans="1:13" s="708" customFormat="1" ht="12.75">
      <c r="A85" s="706" t="s">
        <v>188</v>
      </c>
      <c r="B85" s="707">
        <f>SUM(B58:B84)</f>
        <v>227</v>
      </c>
      <c r="C85" s="707">
        <f aca="true" t="shared" si="4" ref="C85:M85">SUM(C58:C84)</f>
        <v>226</v>
      </c>
      <c r="D85" s="707">
        <f t="shared" si="4"/>
        <v>251</v>
      </c>
      <c r="E85" s="707">
        <f t="shared" si="4"/>
        <v>202</v>
      </c>
      <c r="F85" s="707">
        <f t="shared" si="4"/>
        <v>108</v>
      </c>
      <c r="G85" s="707">
        <f t="shared" si="4"/>
        <v>201</v>
      </c>
      <c r="H85" s="707">
        <f t="shared" si="4"/>
        <v>203</v>
      </c>
      <c r="I85" s="707">
        <f t="shared" si="4"/>
        <v>324</v>
      </c>
      <c r="J85" s="707">
        <f t="shared" si="4"/>
        <v>310</v>
      </c>
      <c r="K85" s="707">
        <f t="shared" si="4"/>
        <v>183</v>
      </c>
      <c r="L85" s="707">
        <f t="shared" si="4"/>
        <v>122</v>
      </c>
      <c r="M85" s="707">
        <f t="shared" si="4"/>
        <v>122</v>
      </c>
    </row>
    <row r="86" spans="1:13" s="705" customFormat="1" ht="8.25" customHeight="1">
      <c r="A86" s="703"/>
      <c r="B86" s="689"/>
      <c r="C86" s="689"/>
      <c r="D86" s="689"/>
      <c r="E86" s="689"/>
      <c r="F86" s="689"/>
      <c r="G86" s="689"/>
      <c r="H86" s="689"/>
      <c r="I86" s="689"/>
      <c r="J86" s="689"/>
      <c r="K86" s="689"/>
      <c r="L86" s="689"/>
      <c r="M86" s="689"/>
    </row>
    <row r="87" spans="1:13" s="122" customFormat="1" ht="12.75" customHeight="1">
      <c r="A87" s="694" t="s">
        <v>620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</row>
    <row r="88" spans="1:13" s="123" customFormat="1" ht="12.75">
      <c r="A88" s="699" t="s">
        <v>872</v>
      </c>
      <c r="B88" s="182">
        <v>0</v>
      </c>
      <c r="C88" s="182">
        <v>0</v>
      </c>
      <c r="D88" s="182">
        <v>0</v>
      </c>
      <c r="E88" s="182">
        <v>0</v>
      </c>
      <c r="F88" s="182">
        <v>0</v>
      </c>
      <c r="G88" s="182">
        <v>0</v>
      </c>
      <c r="H88" s="182">
        <v>0</v>
      </c>
      <c r="I88" s="182">
        <v>0</v>
      </c>
      <c r="J88" s="182">
        <v>0</v>
      </c>
      <c r="K88" s="182">
        <v>0</v>
      </c>
      <c r="L88" s="182">
        <v>0</v>
      </c>
      <c r="M88" s="182">
        <v>0</v>
      </c>
    </row>
    <row r="89" spans="1:13" s="122" customFormat="1" ht="24.75" customHeight="1">
      <c r="A89" s="1154" t="s">
        <v>880</v>
      </c>
      <c r="B89" s="1155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</row>
    <row r="90" spans="1:13" s="123" customFormat="1" ht="12.75">
      <c r="A90" s="699" t="s">
        <v>872</v>
      </c>
      <c r="B90" s="182">
        <v>0</v>
      </c>
      <c r="C90" s="182">
        <v>0</v>
      </c>
      <c r="D90" s="182">
        <v>0</v>
      </c>
      <c r="E90" s="182">
        <v>0</v>
      </c>
      <c r="F90" s="182">
        <v>0</v>
      </c>
      <c r="G90" s="182">
        <v>0</v>
      </c>
      <c r="H90" s="182">
        <v>0</v>
      </c>
      <c r="I90" s="182">
        <v>0</v>
      </c>
      <c r="J90" s="182">
        <v>0</v>
      </c>
      <c r="K90" s="182">
        <v>0</v>
      </c>
      <c r="L90" s="182">
        <v>0</v>
      </c>
      <c r="M90" s="182">
        <v>0</v>
      </c>
    </row>
    <row r="91" spans="1:13" s="124" customFormat="1" ht="32.25" customHeight="1">
      <c r="A91" s="702" t="s">
        <v>873</v>
      </c>
      <c r="B91" s="185">
        <f>SUM(B85+B88+B90)</f>
        <v>227</v>
      </c>
      <c r="C91" s="185">
        <f aca="true" t="shared" si="5" ref="C91:M91">SUM(C85+C88+C90)</f>
        <v>226</v>
      </c>
      <c r="D91" s="185">
        <f t="shared" si="5"/>
        <v>251</v>
      </c>
      <c r="E91" s="185">
        <f t="shared" si="5"/>
        <v>202</v>
      </c>
      <c r="F91" s="185">
        <f t="shared" si="5"/>
        <v>108</v>
      </c>
      <c r="G91" s="185">
        <f t="shared" si="5"/>
        <v>201</v>
      </c>
      <c r="H91" s="185">
        <f t="shared" si="5"/>
        <v>203</v>
      </c>
      <c r="I91" s="185">
        <f t="shared" si="5"/>
        <v>324</v>
      </c>
      <c r="J91" s="185">
        <f t="shared" si="5"/>
        <v>310</v>
      </c>
      <c r="K91" s="185">
        <f t="shared" si="5"/>
        <v>183</v>
      </c>
      <c r="L91" s="185">
        <f t="shared" si="5"/>
        <v>122</v>
      </c>
      <c r="M91" s="185">
        <f t="shared" si="5"/>
        <v>122</v>
      </c>
    </row>
  </sheetData>
  <sheetProtection/>
  <mergeCells count="4">
    <mergeCell ref="A3:M3"/>
    <mergeCell ref="A4:M4"/>
    <mergeCell ref="A5:M5"/>
    <mergeCell ref="A89:B89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E65"/>
  <sheetViews>
    <sheetView view="pageBreakPreview" zoomScaleSheetLayoutView="100" zoomScalePageLayoutView="0" workbookViewId="0" topLeftCell="A1">
      <selection activeCell="B2" sqref="B2:D2"/>
    </sheetView>
  </sheetViews>
  <sheetFormatPr defaultColWidth="8.875" defaultRowHeight="12.75"/>
  <cols>
    <col min="1" max="1" width="4.125" style="126" bestFit="1" customWidth="1"/>
    <col min="2" max="2" width="2.375" style="6" customWidth="1"/>
    <col min="3" max="3" width="93.00390625" style="6" bestFit="1" customWidth="1"/>
    <col min="4" max="4" width="12.625" style="6" customWidth="1"/>
    <col min="5" max="16384" width="8.875" style="6" customWidth="1"/>
  </cols>
  <sheetData>
    <row r="1" spans="3:5" ht="15">
      <c r="C1" s="957" t="s">
        <v>1134</v>
      </c>
      <c r="D1" s="1128"/>
      <c r="E1" s="125"/>
    </row>
    <row r="2" spans="2:4" ht="15">
      <c r="B2" s="1156" t="s">
        <v>532</v>
      </c>
      <c r="C2" s="1156"/>
      <c r="D2" s="1156"/>
    </row>
    <row r="3" spans="2:4" ht="6" customHeight="1">
      <c r="B3" s="1156"/>
      <c r="C3" s="1156"/>
      <c r="D3" s="1156"/>
    </row>
    <row r="4" ht="15.75" thickBot="1">
      <c r="D4" s="9" t="s">
        <v>613</v>
      </c>
    </row>
    <row r="5" spans="1:4" s="7" customFormat="1" ht="14.25">
      <c r="A5" s="1166" t="s">
        <v>698</v>
      </c>
      <c r="B5" s="1159" t="s">
        <v>607</v>
      </c>
      <c r="C5" s="1160"/>
      <c r="D5" s="10" t="s">
        <v>622</v>
      </c>
    </row>
    <row r="6" spans="1:4" s="152" customFormat="1" ht="12">
      <c r="A6" s="1167"/>
      <c r="B6" s="1161" t="s">
        <v>692</v>
      </c>
      <c r="C6" s="1161"/>
      <c r="D6" s="151" t="s">
        <v>693</v>
      </c>
    </row>
    <row r="7" spans="1:4" s="7" customFormat="1" ht="14.25">
      <c r="A7" s="158">
        <v>1</v>
      </c>
      <c r="B7" s="153" t="s">
        <v>614</v>
      </c>
      <c r="C7" s="21"/>
      <c r="D7" s="11"/>
    </row>
    <row r="8" spans="1:4" s="23" customFormat="1" ht="15">
      <c r="A8" s="158">
        <v>2</v>
      </c>
      <c r="B8" s="154" t="s">
        <v>713</v>
      </c>
      <c r="C8" s="22"/>
      <c r="D8" s="20"/>
    </row>
    <row r="9" spans="1:4" ht="30">
      <c r="A9" s="158">
        <v>3</v>
      </c>
      <c r="B9" s="129" t="s">
        <v>623</v>
      </c>
      <c r="C9" s="745" t="s">
        <v>202</v>
      </c>
      <c r="D9" s="146">
        <f>2300+96</f>
        <v>2396</v>
      </c>
    </row>
    <row r="10" spans="1:4" ht="30">
      <c r="A10" s="158">
        <v>4</v>
      </c>
      <c r="B10" s="129" t="s">
        <v>623</v>
      </c>
      <c r="C10" s="745" t="s">
        <v>201</v>
      </c>
      <c r="D10" s="12">
        <v>70</v>
      </c>
    </row>
    <row r="11" spans="1:4" ht="30">
      <c r="A11" s="158">
        <v>5</v>
      </c>
      <c r="B11" s="129" t="s">
        <v>623</v>
      </c>
      <c r="C11" s="745" t="s">
        <v>203</v>
      </c>
      <c r="D11" s="12">
        <v>2000</v>
      </c>
    </row>
    <row r="12" spans="1:4" ht="30">
      <c r="A12" s="158">
        <v>6</v>
      </c>
      <c r="B12" s="129" t="s">
        <v>623</v>
      </c>
      <c r="C12" s="746" t="s">
        <v>1125</v>
      </c>
      <c r="D12" s="12">
        <v>439000</v>
      </c>
    </row>
    <row r="13" spans="1:4" ht="15">
      <c r="A13" s="158">
        <v>7</v>
      </c>
      <c r="B13" s="129" t="s">
        <v>623</v>
      </c>
      <c r="C13" s="746" t="s">
        <v>543</v>
      </c>
      <c r="D13" s="12">
        <f>3619190+532</f>
        <v>3619722</v>
      </c>
    </row>
    <row r="14" spans="1:4" ht="15">
      <c r="A14" s="158">
        <v>8</v>
      </c>
      <c r="B14" s="129" t="s">
        <v>623</v>
      </c>
      <c r="C14" s="746" t="s">
        <v>485</v>
      </c>
      <c r="D14" s="12">
        <v>1568</v>
      </c>
    </row>
    <row r="15" spans="1:4" ht="15">
      <c r="A15" s="158">
        <v>9</v>
      </c>
      <c r="B15" s="129" t="s">
        <v>623</v>
      </c>
      <c r="C15" s="747" t="s">
        <v>204</v>
      </c>
      <c r="D15" s="12">
        <v>127</v>
      </c>
    </row>
    <row r="16" spans="1:4" ht="15">
      <c r="A16" s="158">
        <v>10</v>
      </c>
      <c r="B16" s="129" t="s">
        <v>623</v>
      </c>
      <c r="C16" s="745" t="s">
        <v>200</v>
      </c>
      <c r="D16" s="12">
        <f>10323-317</f>
        <v>10006</v>
      </c>
    </row>
    <row r="17" spans="1:4" ht="16.5" customHeight="1">
      <c r="A17" s="158">
        <v>11</v>
      </c>
      <c r="B17" s="129" t="s">
        <v>623</v>
      </c>
      <c r="C17" s="745" t="s">
        <v>944</v>
      </c>
      <c r="D17" s="12">
        <f>188+481</f>
        <v>669</v>
      </c>
    </row>
    <row r="18" spans="1:4" ht="15">
      <c r="A18" s="158">
        <v>12</v>
      </c>
      <c r="B18" s="129" t="s">
        <v>623</v>
      </c>
      <c r="C18" s="745" t="s">
        <v>678</v>
      </c>
      <c r="D18" s="12">
        <v>635</v>
      </c>
    </row>
    <row r="19" spans="1:4" ht="15">
      <c r="A19" s="158">
        <v>13</v>
      </c>
      <c r="B19" s="129" t="s">
        <v>623</v>
      </c>
      <c r="C19" s="745" t="s">
        <v>205</v>
      </c>
      <c r="D19" s="12">
        <v>216</v>
      </c>
    </row>
    <row r="20" spans="1:4" ht="15">
      <c r="A20" s="158">
        <v>14</v>
      </c>
      <c r="B20" s="129" t="s">
        <v>623</v>
      </c>
      <c r="C20" s="745" t="s">
        <v>206</v>
      </c>
      <c r="D20" s="12">
        <v>13</v>
      </c>
    </row>
    <row r="21" spans="1:4" ht="15">
      <c r="A21" s="158">
        <v>15</v>
      </c>
      <c r="B21" s="129" t="s">
        <v>623</v>
      </c>
      <c r="C21" s="745" t="s">
        <v>945</v>
      </c>
      <c r="D21" s="12">
        <f>9718+2695+2507</f>
        <v>14920</v>
      </c>
    </row>
    <row r="22" spans="1:4" ht="30">
      <c r="A22" s="158">
        <v>16</v>
      </c>
      <c r="B22" s="129" t="s">
        <v>623</v>
      </c>
      <c r="C22" s="745" t="s">
        <v>207</v>
      </c>
      <c r="D22" s="12">
        <v>13171</v>
      </c>
    </row>
    <row r="23" spans="1:4" ht="31.5" customHeight="1">
      <c r="A23" s="158">
        <v>17</v>
      </c>
      <c r="B23" s="129" t="s">
        <v>623</v>
      </c>
      <c r="C23" s="745" t="s">
        <v>208</v>
      </c>
      <c r="D23" s="12">
        <v>300</v>
      </c>
    </row>
    <row r="24" spans="1:4" ht="16.5" customHeight="1">
      <c r="A24" s="158">
        <v>18</v>
      </c>
      <c r="B24" s="129" t="s">
        <v>623</v>
      </c>
      <c r="C24" s="672" t="s">
        <v>152</v>
      </c>
      <c r="D24" s="12">
        <v>1000</v>
      </c>
    </row>
    <row r="25" spans="1:4" ht="15.75" customHeight="1">
      <c r="A25" s="158">
        <v>19</v>
      </c>
      <c r="B25" s="129" t="s">
        <v>623</v>
      </c>
      <c r="C25" s="672" t="s">
        <v>943</v>
      </c>
      <c r="D25" s="12">
        <v>1528</v>
      </c>
    </row>
    <row r="26" spans="1:4" ht="15.75" customHeight="1">
      <c r="A26" s="158">
        <v>20</v>
      </c>
      <c r="B26" s="129" t="s">
        <v>623</v>
      </c>
      <c r="C26" s="672" t="s">
        <v>1102</v>
      </c>
      <c r="D26" s="12">
        <v>80</v>
      </c>
    </row>
    <row r="27" spans="1:4" ht="15.75" customHeight="1">
      <c r="A27" s="158">
        <v>21</v>
      </c>
      <c r="B27" s="129" t="s">
        <v>623</v>
      </c>
      <c r="C27" s="672" t="s">
        <v>1101</v>
      </c>
      <c r="D27" s="12">
        <v>3000</v>
      </c>
    </row>
    <row r="28" spans="1:4" s="72" customFormat="1" ht="15">
      <c r="A28" s="158">
        <v>22</v>
      </c>
      <c r="B28" s="129"/>
      <c r="C28" s="25" t="s">
        <v>640</v>
      </c>
      <c r="D28" s="148">
        <f>SUM(D9:D27)</f>
        <v>4110421</v>
      </c>
    </row>
    <row r="29" spans="1:4" s="72" customFormat="1" ht="15">
      <c r="A29" s="158">
        <v>23</v>
      </c>
      <c r="B29" s="1162" t="s">
        <v>620</v>
      </c>
      <c r="C29" s="1163"/>
      <c r="D29" s="1164"/>
    </row>
    <row r="30" spans="1:4" s="72" customFormat="1" ht="15">
      <c r="A30" s="158">
        <v>24</v>
      </c>
      <c r="B30" s="129" t="s">
        <v>623</v>
      </c>
      <c r="C30" s="673" t="s">
        <v>199</v>
      </c>
      <c r="D30" s="671">
        <v>254</v>
      </c>
    </row>
    <row r="31" spans="1:4" s="72" customFormat="1" ht="15">
      <c r="A31" s="158">
        <v>25</v>
      </c>
      <c r="B31" s="670"/>
      <c r="C31" s="25" t="s">
        <v>819</v>
      </c>
      <c r="D31" s="148">
        <f>SUM(D30)</f>
        <v>254</v>
      </c>
    </row>
    <row r="32" spans="1:4" s="7" customFormat="1" ht="15" thickBot="1">
      <c r="A32" s="158">
        <v>26</v>
      </c>
      <c r="B32" s="26" t="s">
        <v>610</v>
      </c>
      <c r="C32" s="26"/>
      <c r="D32" s="15">
        <f>SUM(D28+D31)</f>
        <v>4110675</v>
      </c>
    </row>
    <row r="33" spans="1:4" ht="15">
      <c r="A33" s="158">
        <v>27</v>
      </c>
      <c r="B33" s="1157" t="s">
        <v>621</v>
      </c>
      <c r="C33" s="1157"/>
      <c r="D33" s="1158"/>
    </row>
    <row r="34" spans="1:4" s="23" customFormat="1" ht="15">
      <c r="A34" s="158">
        <v>28</v>
      </c>
      <c r="B34" s="187" t="s">
        <v>713</v>
      </c>
      <c r="C34" s="24"/>
      <c r="D34" s="13"/>
    </row>
    <row r="35" spans="1:4" s="23" customFormat="1" ht="15">
      <c r="A35" s="158">
        <v>29</v>
      </c>
      <c r="B35" s="129" t="s">
        <v>623</v>
      </c>
      <c r="C35" s="746" t="s">
        <v>486</v>
      </c>
      <c r="D35" s="12">
        <f>15731+7487</f>
        <v>23218</v>
      </c>
    </row>
    <row r="36" spans="1:4" s="23" customFormat="1" ht="15">
      <c r="A36" s="158">
        <v>30</v>
      </c>
      <c r="B36" s="156"/>
      <c r="C36" s="8" t="s">
        <v>640</v>
      </c>
      <c r="D36" s="43">
        <f>SUM(D35)</f>
        <v>23218</v>
      </c>
    </row>
    <row r="37" spans="1:4" ht="15.75" thickBot="1">
      <c r="A37" s="158">
        <v>31</v>
      </c>
      <c r="B37" s="155" t="s">
        <v>610</v>
      </c>
      <c r="C37" s="26"/>
      <c r="D37" s="17">
        <f>SUM(D36)</f>
        <v>23218</v>
      </c>
    </row>
    <row r="38" spans="1:4" ht="15">
      <c r="A38" s="158">
        <v>32</v>
      </c>
      <c r="B38" s="1157" t="s">
        <v>150</v>
      </c>
      <c r="C38" s="1157"/>
      <c r="D38" s="1158"/>
    </row>
    <row r="39" spans="1:4" s="23" customFormat="1" ht="15">
      <c r="A39" s="158">
        <v>33</v>
      </c>
      <c r="B39" s="27" t="s">
        <v>713</v>
      </c>
      <c r="C39" s="24"/>
      <c r="D39" s="16"/>
    </row>
    <row r="40" spans="1:4" s="23" customFormat="1" ht="15">
      <c r="A40" s="158">
        <v>34</v>
      </c>
      <c r="B40" s="129" t="s">
        <v>623</v>
      </c>
      <c r="C40" s="673" t="s">
        <v>688</v>
      </c>
      <c r="D40" s="14">
        <v>475</v>
      </c>
    </row>
    <row r="41" spans="1:4" s="23" customFormat="1" ht="15">
      <c r="A41" s="158">
        <v>35</v>
      </c>
      <c r="B41" s="129" t="s">
        <v>623</v>
      </c>
      <c r="C41" s="673" t="s">
        <v>946</v>
      </c>
      <c r="D41" s="44">
        <v>278</v>
      </c>
    </row>
    <row r="42" spans="1:4" s="23" customFormat="1" ht="15">
      <c r="A42" s="158">
        <v>36</v>
      </c>
      <c r="B42" s="129" t="s">
        <v>623</v>
      </c>
      <c r="C42" s="673" t="s">
        <v>947</v>
      </c>
      <c r="D42" s="44">
        <v>45</v>
      </c>
    </row>
    <row r="43" spans="1:4" s="23" customFormat="1" ht="15">
      <c r="A43" s="158">
        <v>37</v>
      </c>
      <c r="B43" s="129" t="s">
        <v>623</v>
      </c>
      <c r="C43" s="673" t="s">
        <v>948</v>
      </c>
      <c r="D43" s="44">
        <f>156+500</f>
        <v>656</v>
      </c>
    </row>
    <row r="44" spans="1:4" s="7" customFormat="1" ht="15" thickBot="1">
      <c r="A44" s="158">
        <v>38</v>
      </c>
      <c r="B44" s="28" t="s">
        <v>610</v>
      </c>
      <c r="C44" s="26"/>
      <c r="D44" s="19">
        <f>SUM(D40:D43)</f>
        <v>1454</v>
      </c>
    </row>
    <row r="45" spans="1:4" ht="15" hidden="1">
      <c r="A45" s="158">
        <v>39</v>
      </c>
      <c r="B45" s="1157" t="s">
        <v>689</v>
      </c>
      <c r="C45" s="1157"/>
      <c r="D45" s="1158"/>
    </row>
    <row r="46" spans="1:4" s="23" customFormat="1" ht="15" hidden="1">
      <c r="A46" s="158">
        <v>40</v>
      </c>
      <c r="B46" s="129"/>
      <c r="C46" s="45"/>
      <c r="D46" s="44"/>
    </row>
    <row r="47" spans="1:4" s="7" customFormat="1" ht="15" hidden="1" thickBot="1">
      <c r="A47" s="158">
        <v>41</v>
      </c>
      <c r="B47" s="28" t="s">
        <v>610</v>
      </c>
      <c r="C47" s="26"/>
      <c r="D47" s="19">
        <f>SUM(D46:D46)</f>
        <v>0</v>
      </c>
    </row>
    <row r="48" spans="1:4" ht="15">
      <c r="A48" s="158">
        <v>39</v>
      </c>
      <c r="B48" s="1157" t="s">
        <v>606</v>
      </c>
      <c r="C48" s="1157"/>
      <c r="D48" s="1158"/>
    </row>
    <row r="49" spans="1:4" s="23" customFormat="1" ht="15">
      <c r="A49" s="158">
        <v>40</v>
      </c>
      <c r="B49" s="27" t="s">
        <v>713</v>
      </c>
      <c r="C49" s="27"/>
      <c r="D49" s="18"/>
    </row>
    <row r="50" spans="1:4" s="23" customFormat="1" ht="15">
      <c r="A50" s="158">
        <v>41</v>
      </c>
      <c r="B50" s="129" t="s">
        <v>623</v>
      </c>
      <c r="C50" s="825" t="s">
        <v>950</v>
      </c>
      <c r="D50" s="907">
        <v>1034</v>
      </c>
    </row>
    <row r="51" spans="1:4" s="23" customFormat="1" ht="15">
      <c r="A51" s="158">
        <v>42</v>
      </c>
      <c r="B51" s="129" t="s">
        <v>623</v>
      </c>
      <c r="C51" s="825" t="s">
        <v>951</v>
      </c>
      <c r="D51" s="908">
        <v>187176</v>
      </c>
    </row>
    <row r="52" spans="1:4" s="7" customFormat="1" ht="15" thickBot="1">
      <c r="A52" s="158">
        <v>43</v>
      </c>
      <c r="B52" s="28" t="s">
        <v>610</v>
      </c>
      <c r="C52" s="26"/>
      <c r="D52" s="19">
        <f>SUM(D50:D51)</f>
        <v>188210</v>
      </c>
    </row>
    <row r="53" spans="1:4" ht="15">
      <c r="A53" s="158">
        <v>44</v>
      </c>
      <c r="B53" s="1157" t="s">
        <v>151</v>
      </c>
      <c r="C53" s="1157"/>
      <c r="D53" s="1158"/>
    </row>
    <row r="54" spans="1:4" s="23" customFormat="1" ht="15">
      <c r="A54" s="158">
        <v>45</v>
      </c>
      <c r="B54" s="27" t="s">
        <v>713</v>
      </c>
      <c r="C54" s="27"/>
      <c r="D54" s="18"/>
    </row>
    <row r="55" spans="1:4" s="23" customFormat="1" ht="15">
      <c r="A55" s="158">
        <v>46</v>
      </c>
      <c r="B55" s="129" t="s">
        <v>623</v>
      </c>
      <c r="C55" s="826" t="s">
        <v>949</v>
      </c>
      <c r="D55" s="909">
        <v>379</v>
      </c>
    </row>
    <row r="56" spans="1:4" s="7" customFormat="1" ht="15" thickBot="1">
      <c r="A56" s="158">
        <v>47</v>
      </c>
      <c r="B56" s="28" t="s">
        <v>610</v>
      </c>
      <c r="C56" s="26"/>
      <c r="D56" s="19">
        <f>SUM(D55)</f>
        <v>379</v>
      </c>
    </row>
    <row r="57" spans="1:4" ht="15">
      <c r="A57" s="158">
        <v>48</v>
      </c>
      <c r="B57" s="1157" t="s">
        <v>690</v>
      </c>
      <c r="C57" s="1157"/>
      <c r="D57" s="1158"/>
    </row>
    <row r="58" spans="1:4" ht="15">
      <c r="A58" s="158">
        <v>49</v>
      </c>
      <c r="B58" s="27" t="s">
        <v>713</v>
      </c>
      <c r="C58" s="147"/>
      <c r="D58" s="145"/>
    </row>
    <row r="59" spans="1:4" ht="15">
      <c r="A59" s="158">
        <v>50</v>
      </c>
      <c r="B59" s="129" t="s">
        <v>623</v>
      </c>
      <c r="C59" s="130" t="s">
        <v>1103</v>
      </c>
      <c r="D59" s="818">
        <f>6000+3000-4500</f>
        <v>4500</v>
      </c>
    </row>
    <row r="60" spans="1:4" s="7" customFormat="1" ht="15" thickBot="1">
      <c r="A60" s="158">
        <v>51</v>
      </c>
      <c r="B60" s="28" t="s">
        <v>610</v>
      </c>
      <c r="C60" s="26"/>
      <c r="D60" s="19">
        <f>SUM(D59)</f>
        <v>4500</v>
      </c>
    </row>
    <row r="61" spans="1:4" ht="21" customHeight="1" thickBot="1">
      <c r="A61" s="158">
        <v>52</v>
      </c>
      <c r="B61" s="157" t="s">
        <v>611</v>
      </c>
      <c r="C61" s="28"/>
      <c r="D61" s="19">
        <f>SUM(D32+D37+D44+D52+D56+D60)</f>
        <v>4328436</v>
      </c>
    </row>
    <row r="63" ht="21" customHeight="1"/>
    <row r="65" spans="2:4" ht="15">
      <c r="B65" s="1165"/>
      <c r="C65" s="1165"/>
      <c r="D65" s="1165"/>
    </row>
  </sheetData>
  <sheetProtection/>
  <mergeCells count="14">
    <mergeCell ref="B65:D65"/>
    <mergeCell ref="B48:D48"/>
    <mergeCell ref="A5:A6"/>
    <mergeCell ref="B45:D45"/>
    <mergeCell ref="B57:D57"/>
    <mergeCell ref="B53:D53"/>
    <mergeCell ref="C1:D1"/>
    <mergeCell ref="B3:D3"/>
    <mergeCell ref="B38:D38"/>
    <mergeCell ref="B2:D2"/>
    <mergeCell ref="B5:C5"/>
    <mergeCell ref="B33:D33"/>
    <mergeCell ref="B6:C6"/>
    <mergeCell ref="B29:D2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59"/>
  <sheetViews>
    <sheetView zoomScalePageLayoutView="0" workbookViewId="0" topLeftCell="A40">
      <selection activeCell="C2" sqref="C2"/>
    </sheetView>
  </sheetViews>
  <sheetFormatPr defaultColWidth="8.875" defaultRowHeight="12.75"/>
  <cols>
    <col min="1" max="1" width="4.125" style="132" bestFit="1" customWidth="1"/>
    <col min="2" max="2" width="2.375" style="828" customWidth="1"/>
    <col min="3" max="3" width="87.625" style="86" customWidth="1"/>
    <col min="4" max="4" width="13.75390625" style="86" customWidth="1"/>
    <col min="5" max="16384" width="8.875" style="86" customWidth="1"/>
  </cols>
  <sheetData>
    <row r="1" spans="3:5" ht="15">
      <c r="C1" s="957" t="s">
        <v>1135</v>
      </c>
      <c r="D1" s="1128"/>
      <c r="E1" s="125"/>
    </row>
    <row r="2" spans="3:5" ht="15">
      <c r="C2" s="5"/>
      <c r="D2" s="125"/>
      <c r="E2" s="125"/>
    </row>
    <row r="3" spans="2:4" ht="15">
      <c r="B3" s="1171" t="s">
        <v>624</v>
      </c>
      <c r="C3" s="1171"/>
      <c r="D3" s="1171"/>
    </row>
    <row r="4" spans="2:4" ht="15">
      <c r="B4" s="1171" t="s">
        <v>714</v>
      </c>
      <c r="C4" s="1171"/>
      <c r="D4" s="1171"/>
    </row>
    <row r="5" spans="2:4" ht="15">
      <c r="B5" s="829"/>
      <c r="C5" s="88"/>
      <c r="D5" s="88"/>
    </row>
    <row r="6" ht="15">
      <c r="D6" s="87" t="s">
        <v>613</v>
      </c>
    </row>
    <row r="7" spans="1:4" s="89" customFormat="1" ht="21" customHeight="1">
      <c r="A7" s="1168" t="s">
        <v>698</v>
      </c>
      <c r="B7" s="1172" t="s">
        <v>607</v>
      </c>
      <c r="C7" s="1172"/>
      <c r="D7" s="134" t="s">
        <v>622</v>
      </c>
    </row>
    <row r="8" spans="1:4" s="131" customFormat="1" ht="12">
      <c r="A8" s="1169"/>
      <c r="B8" s="1173" t="s">
        <v>692</v>
      </c>
      <c r="C8" s="1174"/>
      <c r="D8" s="133" t="s">
        <v>693</v>
      </c>
    </row>
    <row r="9" spans="1:4" s="89" customFormat="1" ht="25.5" customHeight="1">
      <c r="A9" s="133">
        <v>1</v>
      </c>
      <c r="B9" s="830" t="s">
        <v>636</v>
      </c>
      <c r="C9" s="90"/>
      <c r="D9" s="139"/>
    </row>
    <row r="10" spans="1:4" ht="15">
      <c r="A10" s="133">
        <v>2</v>
      </c>
      <c r="B10" s="831" t="s">
        <v>709</v>
      </c>
      <c r="C10" s="130" t="s">
        <v>699</v>
      </c>
      <c r="D10" s="135">
        <v>1000</v>
      </c>
    </row>
    <row r="11" spans="1:4" s="89" customFormat="1" ht="15.75" customHeight="1">
      <c r="A11" s="133">
        <v>3</v>
      </c>
      <c r="B11" s="830" t="s">
        <v>610</v>
      </c>
      <c r="C11" s="91"/>
      <c r="D11" s="136">
        <f>SUM(D10:D10)</f>
        <v>1000</v>
      </c>
    </row>
    <row r="12" spans="1:4" s="89" customFormat="1" ht="6" customHeight="1">
      <c r="A12" s="138"/>
      <c r="B12" s="832"/>
      <c r="C12" s="137"/>
      <c r="D12" s="139"/>
    </row>
    <row r="13" spans="1:4" s="89" customFormat="1" ht="25.5" customHeight="1">
      <c r="A13" s="133">
        <v>4</v>
      </c>
      <c r="B13" s="1170" t="s">
        <v>635</v>
      </c>
      <c r="C13" s="1170"/>
      <c r="D13" s="1170"/>
    </row>
    <row r="14" spans="1:4" s="89" customFormat="1" ht="15">
      <c r="A14" s="133">
        <v>5</v>
      </c>
      <c r="B14" s="831" t="s">
        <v>709</v>
      </c>
      <c r="C14" s="130" t="s">
        <v>677</v>
      </c>
      <c r="D14" s="135">
        <v>1596</v>
      </c>
    </row>
    <row r="15" spans="1:4" s="89" customFormat="1" ht="15">
      <c r="A15" s="133">
        <v>6</v>
      </c>
      <c r="B15" s="831" t="s">
        <v>709</v>
      </c>
      <c r="C15" s="130" t="s">
        <v>957</v>
      </c>
      <c r="D15" s="135">
        <v>3134</v>
      </c>
    </row>
    <row r="16" spans="1:4" s="89" customFormat="1" ht="15">
      <c r="A16" s="133">
        <v>7</v>
      </c>
      <c r="B16" s="831" t="s">
        <v>709</v>
      </c>
      <c r="C16" s="130" t="s">
        <v>958</v>
      </c>
      <c r="D16" s="827">
        <v>-1830</v>
      </c>
    </row>
    <row r="17" spans="1:4" s="89" customFormat="1" ht="14.25">
      <c r="A17" s="133">
        <v>8</v>
      </c>
      <c r="B17" s="830" t="s">
        <v>610</v>
      </c>
      <c r="C17" s="91"/>
      <c r="D17" s="136">
        <f>SUM(D14:D16)</f>
        <v>2900</v>
      </c>
    </row>
    <row r="18" spans="1:4" s="89" customFormat="1" ht="7.5" customHeight="1">
      <c r="A18" s="133"/>
      <c r="B18" s="830"/>
      <c r="C18" s="91"/>
      <c r="D18" s="136"/>
    </row>
    <row r="19" spans="1:4" s="89" customFormat="1" ht="14.25">
      <c r="A19" s="133">
        <v>9</v>
      </c>
      <c r="B19" s="1170" t="s">
        <v>635</v>
      </c>
      <c r="C19" s="1170"/>
      <c r="D19" s="1170"/>
    </row>
    <row r="20" spans="1:4" s="89" customFormat="1" ht="17.25" customHeight="1">
      <c r="A20" s="133">
        <v>10</v>
      </c>
      <c r="B20" s="831" t="s">
        <v>709</v>
      </c>
      <c r="C20" s="130" t="s">
        <v>533</v>
      </c>
      <c r="D20" s="135">
        <v>500</v>
      </c>
    </row>
    <row r="21" spans="1:4" s="89" customFormat="1" ht="15">
      <c r="A21" s="133">
        <v>11</v>
      </c>
      <c r="B21" s="831" t="s">
        <v>709</v>
      </c>
      <c r="C21" s="130" t="s">
        <v>963</v>
      </c>
      <c r="D21" s="135">
        <v>2111</v>
      </c>
    </row>
    <row r="22" spans="1:4" ht="15.75" customHeight="1">
      <c r="A22" s="133">
        <v>12</v>
      </c>
      <c r="B22" s="830" t="s">
        <v>610</v>
      </c>
      <c r="C22" s="91"/>
      <c r="D22" s="136">
        <f>SUM(D20:D21)</f>
        <v>2611</v>
      </c>
    </row>
    <row r="23" spans="1:4" s="89" customFormat="1" ht="7.5" customHeight="1">
      <c r="A23" s="138"/>
      <c r="B23" s="832"/>
      <c r="C23" s="137"/>
      <c r="D23" s="139"/>
    </row>
    <row r="24" spans="1:4" s="89" customFormat="1" ht="25.5" customHeight="1">
      <c r="A24" s="133">
        <v>13</v>
      </c>
      <c r="B24" s="830" t="s">
        <v>734</v>
      </c>
      <c r="C24" s="90"/>
      <c r="D24" s="139"/>
    </row>
    <row r="25" spans="1:4" s="89" customFormat="1" ht="16.5" customHeight="1">
      <c r="A25" s="133">
        <v>14</v>
      </c>
      <c r="B25" s="831" t="s">
        <v>709</v>
      </c>
      <c r="C25" s="130" t="s">
        <v>735</v>
      </c>
      <c r="D25" s="135">
        <v>1000</v>
      </c>
    </row>
    <row r="26" spans="1:4" s="89" customFormat="1" ht="19.5" customHeight="1">
      <c r="A26" s="133">
        <v>15</v>
      </c>
      <c r="B26" s="831" t="s">
        <v>709</v>
      </c>
      <c r="C26" s="130" t="s">
        <v>952</v>
      </c>
      <c r="D26" s="827">
        <v>-278</v>
      </c>
    </row>
    <row r="27" spans="1:4" s="89" customFormat="1" ht="16.5" customHeight="1">
      <c r="A27" s="133">
        <v>16</v>
      </c>
      <c r="B27" s="831" t="s">
        <v>709</v>
      </c>
      <c r="C27" s="130" t="s">
        <v>953</v>
      </c>
      <c r="D27" s="827">
        <v>-114</v>
      </c>
    </row>
    <row r="28" spans="1:4" s="89" customFormat="1" ht="17.25" customHeight="1">
      <c r="A28" s="133">
        <v>17</v>
      </c>
      <c r="B28" s="831" t="s">
        <v>709</v>
      </c>
      <c r="C28" s="130" t="s">
        <v>954</v>
      </c>
      <c r="D28" s="827">
        <v>-92</v>
      </c>
    </row>
    <row r="29" spans="1:4" s="89" customFormat="1" ht="30">
      <c r="A29" s="133">
        <v>18</v>
      </c>
      <c r="B29" s="831" t="s">
        <v>709</v>
      </c>
      <c r="C29" s="130" t="s">
        <v>955</v>
      </c>
      <c r="D29" s="827">
        <v>-1112</v>
      </c>
    </row>
    <row r="30" spans="1:4" s="89" customFormat="1" ht="18" customHeight="1">
      <c r="A30" s="133">
        <v>19</v>
      </c>
      <c r="B30" s="831" t="s">
        <v>709</v>
      </c>
      <c r="C30" s="130" t="s">
        <v>956</v>
      </c>
      <c r="D30" s="827">
        <v>-4500</v>
      </c>
    </row>
    <row r="31" spans="1:4" s="89" customFormat="1" ht="18.75" customHeight="1">
      <c r="A31" s="133">
        <v>20</v>
      </c>
      <c r="B31" s="831" t="s">
        <v>709</v>
      </c>
      <c r="C31" s="130" t="s">
        <v>965</v>
      </c>
      <c r="D31" s="135">
        <v>13365</v>
      </c>
    </row>
    <row r="32" spans="1:4" s="89" customFormat="1" ht="16.5" customHeight="1">
      <c r="A32" s="133">
        <v>21</v>
      </c>
      <c r="B32" s="831" t="s">
        <v>709</v>
      </c>
      <c r="C32" s="130" t="s">
        <v>966</v>
      </c>
      <c r="D32" s="135">
        <v>120</v>
      </c>
    </row>
    <row r="33" spans="1:4" s="89" customFormat="1" ht="30">
      <c r="A33" s="133">
        <v>22</v>
      </c>
      <c r="B33" s="831" t="s">
        <v>709</v>
      </c>
      <c r="C33" s="130" t="s">
        <v>967</v>
      </c>
      <c r="D33" s="827">
        <v>-307</v>
      </c>
    </row>
    <row r="34" spans="1:4" s="89" customFormat="1" ht="16.5" customHeight="1">
      <c r="A34" s="133">
        <v>23</v>
      </c>
      <c r="B34" s="831" t="s">
        <v>709</v>
      </c>
      <c r="C34" s="130" t="s">
        <v>968</v>
      </c>
      <c r="D34" s="827">
        <v>-96</v>
      </c>
    </row>
    <row r="35" spans="1:4" s="89" customFormat="1" ht="16.5" customHeight="1">
      <c r="A35" s="133">
        <v>24</v>
      </c>
      <c r="B35" s="831" t="s">
        <v>709</v>
      </c>
      <c r="C35" s="130" t="s">
        <v>969</v>
      </c>
      <c r="D35" s="827">
        <v>-451</v>
      </c>
    </row>
    <row r="36" spans="1:4" s="89" customFormat="1" ht="16.5" customHeight="1">
      <c r="A36" s="133">
        <v>25</v>
      </c>
      <c r="B36" s="831" t="s">
        <v>709</v>
      </c>
      <c r="C36" s="130" t="s">
        <v>1097</v>
      </c>
      <c r="D36" s="827">
        <v>-680</v>
      </c>
    </row>
    <row r="37" spans="1:4" s="89" customFormat="1" ht="16.5" customHeight="1">
      <c r="A37" s="133">
        <v>26</v>
      </c>
      <c r="B37" s="831" t="s">
        <v>709</v>
      </c>
      <c r="C37" s="130" t="s">
        <v>1098</v>
      </c>
      <c r="D37" s="827">
        <v>-3000</v>
      </c>
    </row>
    <row r="38" spans="1:4" s="89" customFormat="1" ht="16.5" customHeight="1">
      <c r="A38" s="133">
        <v>27</v>
      </c>
      <c r="B38" s="831" t="s">
        <v>709</v>
      </c>
      <c r="C38" s="130" t="s">
        <v>1099</v>
      </c>
      <c r="D38" s="827">
        <v>-3855</v>
      </c>
    </row>
    <row r="39" spans="1:4" s="89" customFormat="1" ht="15.75" customHeight="1">
      <c r="A39" s="133">
        <v>28</v>
      </c>
      <c r="B39" s="830" t="s">
        <v>610</v>
      </c>
      <c r="C39" s="91"/>
      <c r="D39" s="136">
        <f>SUM(D25:D38)</f>
        <v>0</v>
      </c>
    </row>
    <row r="40" spans="1:4" s="89" customFormat="1" ht="7.5" customHeight="1">
      <c r="A40" s="138"/>
      <c r="B40" s="832"/>
      <c r="C40" s="137"/>
      <c r="D40" s="833"/>
    </row>
    <row r="41" spans="1:4" s="89" customFormat="1" ht="15.75" customHeight="1">
      <c r="A41" s="138">
        <v>29</v>
      </c>
      <c r="B41" s="830" t="s">
        <v>886</v>
      </c>
      <c r="C41" s="90"/>
      <c r="D41" s="833"/>
    </row>
    <row r="42" spans="1:4" s="89" customFormat="1" ht="15.75" customHeight="1">
      <c r="A42" s="138">
        <v>30</v>
      </c>
      <c r="B42" s="831" t="s">
        <v>709</v>
      </c>
      <c r="C42" s="130" t="s">
        <v>959</v>
      </c>
      <c r="D42" s="834">
        <v>105238</v>
      </c>
    </row>
    <row r="43" spans="1:4" s="89" customFormat="1" ht="15.75" customHeight="1">
      <c r="A43" s="138">
        <v>31</v>
      </c>
      <c r="B43" s="831" t="s">
        <v>709</v>
      </c>
      <c r="C43" s="835" t="s">
        <v>961</v>
      </c>
      <c r="D43" s="827">
        <v>-20513</v>
      </c>
    </row>
    <row r="44" spans="1:4" s="89" customFormat="1" ht="15.75" customHeight="1">
      <c r="A44" s="138">
        <v>32</v>
      </c>
      <c r="B44" s="831" t="s">
        <v>709</v>
      </c>
      <c r="C44" s="835" t="s">
        <v>962</v>
      </c>
      <c r="D44" s="827">
        <v>-283</v>
      </c>
    </row>
    <row r="45" spans="1:4" s="89" customFormat="1" ht="15.75" customHeight="1">
      <c r="A45" s="138">
        <v>33</v>
      </c>
      <c r="B45" s="831" t="s">
        <v>709</v>
      </c>
      <c r="C45" s="835" t="s">
        <v>960</v>
      </c>
      <c r="D45" s="827">
        <v>-47991</v>
      </c>
    </row>
    <row r="46" spans="1:4" s="89" customFormat="1" ht="15.75" customHeight="1">
      <c r="A46" s="138">
        <v>34</v>
      </c>
      <c r="B46" s="831" t="s">
        <v>709</v>
      </c>
      <c r="C46" s="835" t="s">
        <v>1100</v>
      </c>
      <c r="D46" s="827">
        <v>-35509</v>
      </c>
    </row>
    <row r="47" spans="1:4" s="89" customFormat="1" ht="15.75" customHeight="1">
      <c r="A47" s="138">
        <v>35</v>
      </c>
      <c r="B47" s="831" t="s">
        <v>709</v>
      </c>
      <c r="C47" s="130" t="s">
        <v>1099</v>
      </c>
      <c r="D47" s="827">
        <v>-942</v>
      </c>
    </row>
    <row r="48" spans="1:4" s="89" customFormat="1" ht="15.75" customHeight="1">
      <c r="A48" s="138">
        <v>36</v>
      </c>
      <c r="B48" s="830" t="s">
        <v>610</v>
      </c>
      <c r="C48" s="91"/>
      <c r="D48" s="136">
        <f>SUM(D42:D47)</f>
        <v>0</v>
      </c>
    </row>
    <row r="49" spans="1:4" s="89" customFormat="1" ht="7.5" customHeight="1">
      <c r="A49" s="138"/>
      <c r="B49" s="832"/>
      <c r="C49" s="137"/>
      <c r="D49" s="139"/>
    </row>
    <row r="50" spans="1:4" ht="15.75" customHeight="1">
      <c r="A50" s="133">
        <v>37</v>
      </c>
      <c r="B50" s="839" t="s">
        <v>638</v>
      </c>
      <c r="C50" s="840"/>
      <c r="D50" s="841">
        <f>SUM(D48+D39+D22+D17+D11)</f>
        <v>6511</v>
      </c>
    </row>
    <row r="51" spans="1:4" s="89" customFormat="1" ht="8.25" customHeight="1">
      <c r="A51" s="138"/>
      <c r="B51" s="832"/>
      <c r="C51" s="137"/>
      <c r="D51" s="139"/>
    </row>
    <row r="52" spans="1:4" s="89" customFormat="1" ht="25.5" customHeight="1">
      <c r="A52" s="133">
        <v>38</v>
      </c>
      <c r="B52" s="1170" t="s">
        <v>618</v>
      </c>
      <c r="C52" s="1170"/>
      <c r="D52" s="1170"/>
    </row>
    <row r="53" spans="1:4" s="89" customFormat="1" ht="16.5" customHeight="1">
      <c r="A53" s="133">
        <v>39</v>
      </c>
      <c r="B53" s="831" t="s">
        <v>709</v>
      </c>
      <c r="C53" s="130" t="s">
        <v>1096</v>
      </c>
      <c r="D53" s="135">
        <f>6000-4500</f>
        <v>1500</v>
      </c>
    </row>
    <row r="54" spans="1:4" s="89" customFormat="1" ht="16.5" customHeight="1">
      <c r="A54" s="133">
        <v>40</v>
      </c>
      <c r="B54" s="831" t="s">
        <v>709</v>
      </c>
      <c r="C54" s="130" t="s">
        <v>964</v>
      </c>
      <c r="D54" s="135">
        <v>3000</v>
      </c>
    </row>
    <row r="55" spans="1:4" s="89" customFormat="1" ht="12.75" customHeight="1">
      <c r="A55" s="133">
        <v>41</v>
      </c>
      <c r="B55" s="830" t="s">
        <v>610</v>
      </c>
      <c r="C55" s="91"/>
      <c r="D55" s="136">
        <f>SUM(D53:D54)</f>
        <v>4500</v>
      </c>
    </row>
    <row r="56" spans="1:4" s="89" customFormat="1" ht="6.75" customHeight="1">
      <c r="A56" s="133"/>
      <c r="B56" s="831"/>
      <c r="C56" s="130"/>
      <c r="D56" s="135"/>
    </row>
    <row r="57" spans="1:4" ht="15.75" customHeight="1">
      <c r="A57" s="133">
        <v>42</v>
      </c>
      <c r="B57" s="839" t="s">
        <v>639</v>
      </c>
      <c r="C57" s="840"/>
      <c r="D57" s="841">
        <f>SUM(D55)</f>
        <v>4500</v>
      </c>
    </row>
    <row r="58" spans="1:4" s="89" customFormat="1" ht="6.75" customHeight="1">
      <c r="A58" s="138"/>
      <c r="B58" s="832"/>
      <c r="C58" s="137"/>
      <c r="D58" s="139"/>
    </row>
    <row r="59" spans="1:4" ht="15.75" customHeight="1">
      <c r="A59" s="133">
        <v>43</v>
      </c>
      <c r="B59" s="836" t="s">
        <v>637</v>
      </c>
      <c r="C59" s="837"/>
      <c r="D59" s="838">
        <f>SUM(D57,D50)</f>
        <v>11011</v>
      </c>
    </row>
  </sheetData>
  <sheetProtection/>
  <mergeCells count="9">
    <mergeCell ref="A7:A8"/>
    <mergeCell ref="B52:D52"/>
    <mergeCell ref="B13:D13"/>
    <mergeCell ref="C1:D1"/>
    <mergeCell ref="B3:D3"/>
    <mergeCell ref="B7:C7"/>
    <mergeCell ref="B4:D4"/>
    <mergeCell ref="B8:C8"/>
    <mergeCell ref="B19:D19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2014-09-15T06:41:11Z</cp:lastPrinted>
  <dcterms:created xsi:type="dcterms:W3CDTF">2001-11-30T10:27:10Z</dcterms:created>
  <dcterms:modified xsi:type="dcterms:W3CDTF">2014-09-15T06:42:46Z</dcterms:modified>
  <cp:category/>
  <cp:version/>
  <cp:contentType/>
  <cp:contentStatus/>
</cp:coreProperties>
</file>