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32760" windowWidth="11145" windowHeight="11745" tabRatio="839" activeTab="9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fejlesztés (2)" sheetId="8" r:id="rId8"/>
    <sheet name="8.sz.m.Dologi kiadás (2)" sheetId="9" r:id="rId9"/>
    <sheet name="9.sz.m.szociális kiadások" sheetId="10" r:id="rId10"/>
    <sheet name="10.sz.m.átadott pe (2)" sheetId="11" r:id="rId11"/>
    <sheet name="11.sz.m. . saját bevételek" sheetId="12" r:id="rId12"/>
    <sheet name="12. sz.m. előir felh terv" sheetId="13" r:id="rId13"/>
    <sheet name="13.sz.m. állami támogatás " sheetId="14" r:id="rId14"/>
    <sheet name="14. sz.m. közvetett tám." sheetId="15" r:id="rId15"/>
    <sheet name="15.sz.m.többéves kihatás (2)" sheetId="16" r:id="rId16"/>
    <sheet name="16. sz. m. EU  (2)" sheetId="17" r:id="rId17"/>
    <sheet name="17.sz.m. tartozás" sheetId="18" r:id="rId18"/>
  </sheets>
  <externalReferences>
    <externalReference r:id="rId21"/>
    <externalReference r:id="rId22"/>
  </externalReferences>
  <definedNames>
    <definedName name="_xlfn.IFERROR" hidden="1">#NAME?</definedName>
    <definedName name="_xlnm.Print_Area" localSheetId="1">'1 .sz.m.önk.össz.kiad.'!$A$2:$X$69</definedName>
    <definedName name="_xlnm.Print_Area" localSheetId="0">'1.sz.m-önk.össze.bev'!$A$1:$R$67</definedName>
    <definedName name="_xlnm.Print_Area" localSheetId="10">'10.sz.m.átadott pe (2)'!$A$1:$O$64</definedName>
    <definedName name="_xlnm.Print_Area" localSheetId="12">'12. sz.m. előir felh terv'!$A$1:$O$22</definedName>
    <definedName name="_xlnm.Print_Area" localSheetId="2">'2.sz.m.összehasonlító'!$A$1:$J$34</definedName>
    <definedName name="_xlnm.Print_Area" localSheetId="3">'3.sz.m Önk  bev.'!$A$1:$N$65</definedName>
    <definedName name="_xlnm.Print_Area" localSheetId="4">'4.sz.m.ÖNK kiadás'!$A$1:$Q$38</definedName>
    <definedName name="_xlnm.Print_Area" localSheetId="5">'5. sz. m óvoda'!$A$1:$N$51</definedName>
    <definedName name="_xlnm.Print_Area" localSheetId="6">'6 .sz.m. Létszám (2)'!$A$1:$K$22</definedName>
    <definedName name="_xlnm.Print_Area" localSheetId="7">'7.sz.m.fejlesztés (2)'!$A$3:$M$37</definedName>
    <definedName name="_xlnm.Print_Area" localSheetId="8">'8.sz.m.Dologi kiadás (2)'!$A$1:$O$28</definedName>
    <definedName name="_xlnm.Print_Area" localSheetId="9">'9.sz.m.szociális kiadások'!$A$1:$K$43</definedName>
  </definedNames>
  <calcPr fullCalcOnLoad="1"/>
</workbook>
</file>

<file path=xl/sharedStrings.xml><?xml version="1.0" encoding="utf-8"?>
<sst xmlns="http://schemas.openxmlformats.org/spreadsheetml/2006/main" count="1391" uniqueCount="705">
  <si>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</si>
  <si>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</si>
  <si>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</si>
  <si>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</si>
  <si>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</si>
  <si>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</si>
  <si>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</si>
  <si>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</si>
  <si>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</si>
  <si>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</si>
  <si>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</si>
  <si>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</si>
  <si>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</si>
  <si>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</si>
  <si>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</si>
  <si>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</si>
  <si>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</si>
  <si>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</si>
  <si>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</si>
  <si>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</si>
  <si>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</si>
  <si>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</si>
  <si>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</si>
  <si>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</si>
  <si>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</si>
  <si>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</si>
  <si>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</si>
  <si>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</si>
  <si>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</si>
  <si>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</si>
  <si>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</si>
  <si>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</si>
  <si>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</si>
  <si>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</si>
  <si>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</si>
  <si>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</si>
  <si>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</si>
  <si>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</si>
  <si>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</si>
  <si>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</si>
  <si>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</si>
  <si>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</si>
  <si>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</si>
  <si>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</si>
  <si>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</si>
  <si>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</si>
  <si>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</si>
  <si>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</si>
  <si>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</si>
  <si>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</si>
  <si>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</si>
  <si>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</si>
  <si>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</si>
  <si>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</si>
  <si>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</si>
  <si>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</si>
  <si>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</si>
  <si>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</si>
  <si>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</si>
  <si>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</si>
  <si>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</si>
  <si>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</si>
  <si>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</si>
  <si>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</si>
  <si>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</si>
  <si>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</si>
  <si>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</si>
  <si>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</si>
  <si>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</si>
  <si>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</si>
  <si>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</si>
  <si>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</si>
  <si>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</si>
  <si>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</si>
  <si>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</si>
  <si>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</si>
  <si>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</si>
  <si>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</si>
  <si>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</si>
  <si>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</si>
  <si>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</si>
  <si>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</si>
  <si>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</si>
  <si>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</si>
  <si>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</si>
  <si>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</si>
  <si>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</si>
  <si>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</si>
  <si>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</si>
  <si>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</si>
  <si>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</si>
  <si>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</si>
  <si>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</si>
  <si>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</si>
  <si>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</si>
  <si>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</si>
  <si>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</si>
  <si>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</si>
  <si>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</si>
  <si>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</si>
  <si>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</si>
  <si>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</si>
  <si>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</si>
  <si>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</si>
  <si>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</si>
  <si>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</si>
  <si>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</si>
  <si>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</si>
  <si>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</si>
  <si>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</si>
  <si>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</si>
  <si>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</si>
  <si>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</si>
  <si>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</si>
  <si>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</si>
  <si>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</si>
  <si>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</si>
  <si>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</si>
  <si>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</si>
  <si>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</si>
  <si>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</si>
  <si>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</si>
  <si>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</si>
  <si>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</si>
  <si>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</si>
  <si>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</si>
  <si>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</si>
  <si>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</si>
  <si>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</si>
  <si>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</si>
  <si>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</si>
  <si>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</si>
  <si>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</si>
  <si>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</si>
  <si>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</si>
  <si>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</si>
  <si>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</si>
  <si>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</si>
  <si>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</si>
  <si>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</si>
  <si>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</si>
  <si>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</si>
  <si>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</si>
  <si>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</si>
  <si>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</si>
  <si>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</si>
  <si>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</si>
  <si>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</si>
  <si>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</si>
  <si>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</si>
  <si>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</si>
  <si>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</si>
  <si>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</si>
  <si>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</si>
  <si>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</si>
  <si>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</si>
  <si>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</si>
  <si>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</si>
  <si>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</si>
  <si>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</si>
  <si>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</si>
  <si>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</si>
  <si>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</si>
  <si>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</si>
  <si>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</si>
  <si>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</si>
  <si>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</si>
  <si>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</si>
  <si>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</si>
  <si>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</si>
  <si>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</si>
  <si>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</si>
  <si>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</si>
  <si>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</si>
  <si>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</si>
  <si>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</si>
  <si>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</si>
  <si>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</si>
  <si>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</si>
  <si>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</si>
  <si>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</si>
  <si>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</si>
  <si>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</si>
  <si>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</si>
  <si>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</si>
  <si>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</si>
  <si>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</si>
  <si>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</si>
  <si>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</si>
  <si>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</si>
  <si>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</si>
  <si>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</si>
  <si>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</si>
  <si>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</si>
  <si>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</si>
  <si>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</si>
  <si>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</si>
  <si>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</si>
  <si>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</si>
  <si>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</si>
  <si>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</si>
  <si>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</si>
  <si>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</si>
  <si>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</si>
  <si>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</si>
  <si>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</si>
  <si>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</si>
  <si>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</si>
  <si>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</si>
  <si>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</si>
  <si>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</si>
  <si>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</si>
  <si>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</si>
  <si>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</si>
  <si>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</si>
  <si>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</si>
  <si>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</si>
  <si>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</si>
  <si>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</si>
  <si>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</si>
  <si>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</si>
  <si>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</si>
  <si>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</si>
  <si>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</si>
  <si>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</si>
  <si>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</si>
  <si>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</si>
  <si>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</si>
  <si>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</si>
  <si>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</si>
  <si>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</si>
  <si>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</si>
  <si>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</si>
  <si>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</si>
  <si>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</si>
  <si>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</si>
  <si>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</si>
  <si>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</si>
  <si>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</si>
  <si>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</si>
  <si>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</si>
  <si>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</si>
  <si>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</si>
  <si>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</si>
  <si>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</si>
  <si>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</si>
  <si>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</si>
  <si>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</si>
  <si>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</si>
  <si>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</si>
  <si>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</si>
  <si>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</si>
  <si>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</si>
  <si>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</si>
  <si>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</si>
  <si>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</si>
  <si>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</si>
  <si>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</si>
  <si>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</si>
  <si>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</si>
  <si>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</si>
  <si>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</si>
  <si>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</si>
  <si>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</si>
  <si>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</si>
  <si>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</si>
  <si>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</si>
  <si>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</si>
  <si>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</si>
  <si>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</si>
  <si>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</si>
  <si>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</si>
  <si>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</si>
  <si>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</si>
  <si>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</si>
  <si>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</si>
  <si>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</si>
  <si>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</si>
  <si>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</si>
  <si>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</si>
  <si>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</si>
  <si>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</si>
  <si>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</si>
  <si>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</si>
  <si>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</si>
  <si>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</si>
  <si>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</si>
  <si>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</si>
  <si>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</si>
  <si>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</si>
  <si>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</si>
  <si>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</si>
  <si>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</si>
  <si>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</si>
  <si>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</si>
  <si>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</si>
  <si>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</si>
  <si>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</si>
  <si>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</si>
  <si>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</si>
  <si>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</si>
  <si>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</si>
  <si>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</si>
  <si>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</si>
  <si>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</si>
  <si>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</si>
  <si>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</si>
  <si>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</si>
  <si>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</si>
  <si>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</si>
  <si>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</si>
  <si>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</si>
  <si>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</si>
  <si>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</si>
  <si>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</si>
  <si>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Ö</t>
  </si>
  <si>
    <t>Rendkivüli települési támogatás Szt. 45.§.(4)</t>
  </si>
  <si>
    <t>Összesen:</t>
  </si>
  <si>
    <t>K</t>
  </si>
  <si>
    <t>Gyermekjóléti ellátások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</si>
  <si>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</si>
  <si>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</si>
  <si>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</si>
  <si>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</si>
  <si>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</si>
  <si>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</si>
  <si>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</si>
  <si>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</si>
  <si>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Móvár Nagytérségi Hulladékgazd. Témamenedzselés</t>
  </si>
  <si>
    <t>Pannon-Víz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</si>
  <si>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</si>
  <si>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</si>
  <si>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</si>
  <si>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</si>
  <si>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</si>
  <si>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</si>
  <si>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</si>
  <si>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</si>
  <si>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</si>
  <si>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</si>
  <si>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</si>
  <si>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</si>
  <si>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</si>
  <si>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</si>
  <si>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</si>
  <si>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</si>
  <si>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</si>
  <si>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</si>
  <si>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</si>
  <si>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</si>
  <si>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</si>
  <si>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</si>
  <si>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4. számú melléklet 2.2 sorának részletezése</t>
  </si>
  <si>
    <t>F e l ú j í t á s o k</t>
  </si>
  <si>
    <t>71-74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</si>
  <si>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</si>
  <si>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</si>
  <si>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</si>
  <si>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</si>
  <si>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</si>
  <si>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</si>
  <si>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</si>
  <si>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</si>
  <si>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</si>
  <si>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</si>
  <si>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</si>
  <si>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</si>
  <si>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</si>
  <si>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</si>
  <si>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</si>
  <si>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</si>
  <si>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</si>
  <si>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</si>
  <si>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</si>
  <si>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</si>
  <si>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</si>
  <si>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</si>
  <si>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</si>
  <si>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</si>
  <si>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</si>
  <si>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</si>
  <si>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</si>
  <si>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</si>
  <si>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</si>
  <si>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</si>
  <si>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</si>
  <si>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</si>
  <si>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</si>
  <si>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</si>
  <si>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</si>
  <si>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</si>
  <si>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</si>
  <si>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</si>
  <si>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</si>
  <si>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</si>
  <si>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</si>
  <si>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</si>
  <si>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</si>
  <si>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</si>
  <si>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</si>
  <si>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</si>
  <si>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</si>
  <si>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</si>
  <si>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</si>
  <si>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</si>
  <si>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</si>
  <si>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</si>
  <si>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</si>
  <si>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</si>
  <si>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</si>
  <si>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</si>
  <si>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</si>
  <si>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</si>
  <si>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</si>
  <si>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</si>
  <si>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</si>
  <si>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Szerkezetátalakítási tartalékból foly.támogatás d)</t>
  </si>
  <si>
    <t>Állami megelőlegzés</t>
  </si>
  <si>
    <t>K914</t>
  </si>
  <si>
    <t xml:space="preserve">forintban </t>
  </si>
  <si>
    <t>III.  Rászoruló gyermekek szünidei étkeztetése</t>
  </si>
  <si>
    <t xml:space="preserve"> forintban</t>
  </si>
  <si>
    <t xml:space="preserve">Közfoglalkoztatottak </t>
  </si>
  <si>
    <t>Mindösszesen</t>
  </si>
  <si>
    <t xml:space="preserve">mód. I. </t>
  </si>
  <si>
    <t>3.7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</si>
  <si>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</si>
  <si>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</si>
  <si>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</si>
  <si>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</si>
  <si>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</si>
  <si>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Könyvtári állománygyarapítás</t>
  </si>
  <si>
    <t>Magyar Máltai Szeretetszolgálat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</si>
  <si>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</si>
  <si>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</si>
  <si>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</si>
  <si>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</si>
  <si>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</si>
  <si>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</si>
  <si>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</si>
  <si>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</si>
  <si>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</si>
  <si>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</si>
  <si>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</si>
  <si>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</si>
  <si>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</si>
  <si>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</si>
  <si>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</si>
  <si>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</si>
  <si>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</si>
  <si>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</si>
  <si>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</si>
  <si>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</si>
  <si>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</si>
  <si>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</si>
  <si>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</si>
  <si>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</si>
  <si>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</si>
  <si>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</si>
  <si>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</si>
  <si>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</si>
  <si>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</si>
  <si>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</si>
  <si>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</si>
  <si>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</si>
  <si>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</si>
  <si>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</si>
  <si>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</si>
  <si>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</si>
  <si>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</si>
  <si>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</si>
  <si>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</si>
  <si>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 xml:space="preserve">mód. II. </t>
  </si>
  <si>
    <t>Iparűzési adó - állandó jellegggel végzett</t>
  </si>
  <si>
    <t>Eredeti, mód.</t>
  </si>
  <si>
    <t>adatok: fő</t>
  </si>
  <si>
    <t>Rábakecöl Községi Önkormányzat dologi kiadásai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</si>
  <si>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</si>
  <si>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</si>
  <si>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</si>
  <si>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</si>
  <si>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</si>
  <si>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</si>
  <si>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</si>
  <si>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</si>
  <si>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</si>
  <si>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</si>
  <si>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</si>
  <si>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</si>
  <si>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</si>
  <si>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</si>
  <si>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</si>
  <si>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</si>
  <si>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</si>
  <si>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</si>
  <si>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</si>
  <si>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</si>
  <si>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</si>
  <si>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</si>
  <si>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</si>
  <si>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</si>
  <si>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</si>
  <si>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</si>
  <si>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</si>
  <si>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</si>
  <si>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</si>
  <si>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</si>
  <si>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</si>
  <si>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</si>
  <si>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Vadászati jog bérbeadásából származó jövedelem</t>
  </si>
  <si>
    <t>2.5.4</t>
  </si>
  <si>
    <t>Államháztartáson belüli megelőlegezés</t>
  </si>
  <si>
    <t>Beledi Közös Önkormányzati Hivatal</t>
  </si>
  <si>
    <t>Orvosi ügyelet - társulás</t>
  </si>
  <si>
    <t>Hulladékgazdálkodási társulás</t>
  </si>
  <si>
    <t>Kapuvári Vízitársulat</t>
  </si>
  <si>
    <t>Szünidei gyermekétkeztetés Gyvt. 21/C. §</t>
  </si>
  <si>
    <t>Közművelődési tevékenység</t>
  </si>
  <si>
    <t xml:space="preserve">mód. III. </t>
  </si>
  <si>
    <t>Szociális tüzelőanyag támogatás (Kvtv. 1. melléklet IX. 18.)</t>
  </si>
  <si>
    <t>Rendkívüli önkormányzati támogatás (Kvtv. 3. melléklet III. 1. c) pont)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</si>
  <si>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</si>
  <si>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</si>
  <si>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</si>
  <si>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</si>
  <si>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</si>
  <si>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Önkormányzatok és önkormányzati hivatalok jogalkotó tevékenysége</t>
  </si>
  <si>
    <t>Területfejlesztési és területrendezési helyi feladatok</t>
  </si>
  <si>
    <t>Központi támogatás</t>
  </si>
  <si>
    <t>Beled Város Önkormányzata - védőnő útiköltség hozzájár.</t>
  </si>
  <si>
    <t>Vállalkozásfejlesztős és munkahelyteremtő alap keretében nyújtott támogatás vállalkozásoknak</t>
  </si>
  <si>
    <t>Rendőrség támogatása</t>
  </si>
  <si>
    <t>Működési bevételek</t>
  </si>
  <si>
    <t>Működési célú támogatás államháztartáson belülről</t>
  </si>
  <si>
    <t>Felhalmozási célú támogatás államháztartáson belülről</t>
  </si>
  <si>
    <t>Működési kiadások</t>
  </si>
  <si>
    <t>adatok Ft-ban</t>
  </si>
  <si>
    <t>K512</t>
  </si>
  <si>
    <t>"Rábakecöl Jövőjéért" Alapítvány</t>
  </si>
  <si>
    <t>Pajtaműhely Hagyományőrző Közművelődési Alapítvány</t>
  </si>
  <si>
    <t>Önkormányzati  vagyon üzemeltetéséből, bérbeadásából származó bevétel</t>
  </si>
  <si>
    <t>mód. II.</t>
  </si>
  <si>
    <t>Gyermekvédelmi Erzsébet utalvány (Gyvt. 1997. évi XXXI. törvény 68. §)</t>
  </si>
  <si>
    <t>Horváthné Kovács Gizella családjának támogatása</t>
  </si>
  <si>
    <t>antal zita</t>
  </si>
  <si>
    <t>horváth gyuláné</t>
  </si>
  <si>
    <t>kovácsné móni</t>
  </si>
  <si>
    <t>pandurné</t>
  </si>
  <si>
    <t>tubáné közfoglalkoztatott</t>
  </si>
  <si>
    <t>tuba gánorné</t>
  </si>
  <si>
    <t>Biztosító által fizetett kártérítés</t>
  </si>
  <si>
    <t>B410</t>
  </si>
  <si>
    <t>mód. III.</t>
  </si>
  <si>
    <t>Települési önkormányzatok rendkívüli támogatása</t>
  </si>
  <si>
    <t>A települési önkormányzatok szociális célú tüzelőanyag vásárlásának támogatása</t>
  </si>
  <si>
    <t>gacs e</t>
  </si>
  <si>
    <t>kovács t</t>
  </si>
  <si>
    <t>közfogl</t>
  </si>
  <si>
    <t>kovács z</t>
  </si>
  <si>
    <t>soós gy</t>
  </si>
  <si>
    <t>gacs i</t>
  </si>
  <si>
    <t>karakai j</t>
  </si>
  <si>
    <t>soósné v sz</t>
  </si>
  <si>
    <t>Emberi Erőforrás Támogatáskezelő (BURSA)</t>
  </si>
  <si>
    <t>Beled Város Önkormányzata - anyakönyvvezetési feladatok</t>
  </si>
  <si>
    <t>Országos Mentőszolgálat Alapítvány</t>
  </si>
  <si>
    <t>ikszt</t>
  </si>
  <si>
    <t>zöldterület</t>
  </si>
  <si>
    <t>háziorvos</t>
  </si>
  <si>
    <t>efop</t>
  </si>
  <si>
    <t>1 fő 4 órás</t>
  </si>
  <si>
    <t>1 fő 8 órás</t>
  </si>
  <si>
    <t>1 fő 8 órás 5 hónap</t>
  </si>
  <si>
    <t>2 fő 8 órás</t>
  </si>
  <si>
    <t>3 fő 8 órás</t>
  </si>
  <si>
    <t>1,5 fő 8 órás</t>
  </si>
  <si>
    <t>1 fő 8 órás óvónő</t>
  </si>
  <si>
    <t>1 fő 6 órás óvónő</t>
  </si>
  <si>
    <t>1 fő 8 órás dajka</t>
  </si>
  <si>
    <t>1 fő 8 órás kisgyermeknevelő 9 hó</t>
  </si>
  <si>
    <t>1 fő 8 órás konyhás</t>
  </si>
  <si>
    <t>EFOP-1.5.2-16-2017-00023 eszközbeszerzések</t>
  </si>
  <si>
    <t>EFOP 1.5.2. Esélyegyenlőségi programok biztosítása</t>
  </si>
  <si>
    <t>Települési támogatás Szt. 45 §.(1) temetési támogatás</t>
  </si>
  <si>
    <t>Települési támogatás Szt. 45 §.(1) szülési támogatás</t>
  </si>
  <si>
    <t>Települési támogatás Szt. 45 §.(1) iskolakezdési támogatás</t>
  </si>
  <si>
    <t>EFOP-1.5.2 együttműködést ösztönző természetbeni juttatás</t>
  </si>
  <si>
    <t>EFOP-1.5.2 lakhatási támogatás</t>
  </si>
  <si>
    <t>Kapuvár Városi Önkormányzat - Orvosi ügyelet hozzájárulás</t>
  </si>
  <si>
    <t>I.6.  Polgármesteri illetmény támogatása</t>
  </si>
  <si>
    <t>V.I. 1. kiegészítés I.1. jogcímekhez kapcsolódó kiegészítés</t>
  </si>
  <si>
    <t>Étkezési díj /bölcsődés korú/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</si>
  <si>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</si>
  <si>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</si>
  <si>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</si>
  <si>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</si>
  <si>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</si>
  <si>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</si>
  <si>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</si>
  <si>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</si>
  <si>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</si>
  <si>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</si>
  <si>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</si>
  <si>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</si>
  <si>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</si>
  <si>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</si>
  <si>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</si>
  <si>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</si>
  <si>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</si>
  <si>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</si>
  <si>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</si>
  <si>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</si>
  <si>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2020.</t>
  </si>
  <si>
    <t>EFOP-1.5.2-16-2017-00023 Beled és térsége humán szolgáltatásainak fejlesztése</t>
  </si>
  <si>
    <t>2017</t>
  </si>
  <si>
    <t>Helyi adók (vagyoni típusú, értékesítési és forgalmi adók)</t>
  </si>
  <si>
    <t>Projekt megvalósítás</t>
  </si>
  <si>
    <t>Önerő</t>
  </si>
  <si>
    <t>VP6-7.2.1-7.4.1.1-16.</t>
  </si>
  <si>
    <t xml:space="preserve">Kiadások </t>
  </si>
  <si>
    <t xml:space="preserve">Bevételek </t>
  </si>
  <si>
    <t>Önkormányzaton belül megvalósuló projektek (támogatási szerződéssel rendelkező)</t>
  </si>
  <si>
    <t>Rábakecöli Vadgesztenye  Óvoda</t>
  </si>
  <si>
    <t xml:space="preserve">Rábakecöli Vadgesztenye  Óvoda </t>
  </si>
  <si>
    <t>1 db buszváró beszerzése</t>
  </si>
  <si>
    <t>Önkormányzati vagyonnal való gazdálkodás</t>
  </si>
  <si>
    <t>Beled Város Önkormányzata - EFOP-1.5.2</t>
  </si>
  <si>
    <t>2021.</t>
  </si>
  <si>
    <t>EFOP-1.5.2-16-2017-00023</t>
  </si>
  <si>
    <t>Beled és térsége humán szolgáltatásainak fejlesztése (2018-2020)</t>
  </si>
  <si>
    <t>Települési adó</t>
  </si>
  <si>
    <t>2020. évi előirányzat</t>
  </si>
  <si>
    <t>Rábakecöl Községi Önkormányzat 2020. évi bevételi előirányzatai</t>
  </si>
  <si>
    <t>Rábakecöl  Községi Önkormányzat 2020. évi kiadási előirányzatai</t>
  </si>
  <si>
    <t>2020. évi belső forrásból fedezhető működési hiány</t>
  </si>
  <si>
    <t xml:space="preserve">2020.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</si>
  <si>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</si>
  <si>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</si>
  <si>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2020. évi külső forrásból fedezhető felhalmozási hiány </t>
  </si>
  <si>
    <t>2020. évi külső forrásból fedezhető összes hiány (1.+2.)</t>
  </si>
  <si>
    <t>Rábakecöl Községi Önkormányzat 2020. évi kiadási előirányzatai</t>
  </si>
  <si>
    <t>2020. év</t>
  </si>
  <si>
    <t>Rábakecöl Községi Önkormányzat költségvetési szerveinek 2020. évi létszámkerete</t>
  </si>
  <si>
    <t>2020. január 1.</t>
  </si>
  <si>
    <t>2020. december 31.</t>
  </si>
  <si>
    <t>Beledi Szociális és Gyermekjóléti Társulás 2020. évi hozzájárulás</t>
  </si>
  <si>
    <t>Beledi Szociális és Gyermekjóléti Társulás 2020. évi hozzájárulás elszámolása</t>
  </si>
  <si>
    <t>Előirányzat-felhasználási terv
2020. évre</t>
  </si>
  <si>
    <t>A 2020. évi általános működés és ágazati feladatok támogatásának alakulása jogcímenként</t>
  </si>
  <si>
    <t>2020. évi önkormányzati bérkompenzáció</t>
  </si>
  <si>
    <t>1312/2020. (VI. 08.) Korm.határozat a 2020. évi minimálbér és garantált bérminimum emelése, valamit a szociális hozzájárulási adó csökkentése</t>
  </si>
  <si>
    <t>1264/2020. (V. 29.) Korm. határozat
a polgármesteri béremelés különbözetének támogatása érdekében szükséges források biztosításáról</t>
  </si>
  <si>
    <t>......................, 2020. .......................... hó ..... nap</t>
  </si>
  <si>
    <t>2.0</t>
  </si>
  <si>
    <t xml:space="preserve">Könyvtári infrastruktúra fejlesztés </t>
  </si>
  <si>
    <t>MFP - Temető fejlesztése</t>
  </si>
  <si>
    <t>MFP - Óvoda udvarának fejlesztése</t>
  </si>
  <si>
    <t>MFP - Falugondnoki busz beszerzése</t>
  </si>
  <si>
    <t>MFP Eszközfejlesztés belterületi közterület karb.</t>
  </si>
  <si>
    <t>TOP-1.4.1 Bölcsőde létesítése</t>
  </si>
  <si>
    <t>TOP-5.3.1 eszközbeszerzés -  kerékpár</t>
  </si>
  <si>
    <t>LEADER 1923762286 - kerékpártároló építése</t>
  </si>
  <si>
    <t>MFP - orvosi eszközök beszerzése</t>
  </si>
  <si>
    <t>Roading Midi gréder</t>
  </si>
  <si>
    <t>Közvilágítás bővítése</t>
  </si>
  <si>
    <t>MFP - IKSZT nyílászárócsere</t>
  </si>
  <si>
    <t>Közműv.érdnövelő - IKSZT felújítása</t>
  </si>
  <si>
    <t>Orvosi rendelő felújítása</t>
  </si>
  <si>
    <t>Településfejlesztési projektek és támogatásuk</t>
  </si>
  <si>
    <t>Szociális feladatok</t>
  </si>
  <si>
    <t>Bölcsőde</t>
  </si>
  <si>
    <t>Települési támogatás Szt. 45 §.(1) étkeztetési támogatás</t>
  </si>
  <si>
    <t xml:space="preserve">Civil szervezetek támogatása (pályázati keret) </t>
  </si>
  <si>
    <t>III.1. Települési önkorm. Szoc.feladatainak támogatása</t>
  </si>
  <si>
    <t>2019. előtti kifizetés</t>
  </si>
  <si>
    <t>MFP - orvosi eszközök beszerzése (Támogatás: 2.986.686 Ft)</t>
  </si>
  <si>
    <t>2019</t>
  </si>
  <si>
    <t>MFP - Temető fejlesztése (Támogatás: 2.318.575 Ft)</t>
  </si>
  <si>
    <t>MFP - Óvoda udvarának fejlesztése (2.510.155 Ft)</t>
  </si>
  <si>
    <t>MFP - Falugondnoki busz beszerzése (Támogatás: 14.038.499 Ft)</t>
  </si>
  <si>
    <t>MFP Eszközfejlesztés belterületi közterület karb. (Támogatás: 4.624.698 Ft)</t>
  </si>
  <si>
    <t>TOP-1.4.1-19-GM1-2019-00029 Mini bölcsőde kialakítása a Rábakecöli Vadgesztenye Óvodában (Támogatás: 78.720.000 Ft)</t>
  </si>
  <si>
    <t>TOP-5.3.1-16-GM1-2017-00008 A helyi közösség fejlesztése Rábakecöl, Edve és Vásárosfalu községekben - eszközbeszerzés -  kerékpár (Támogatás: 80.000 Ft)</t>
  </si>
  <si>
    <t>LEADER 1923762286 - kerékpártároló építése (Támogatás: 1.699.999 Ft)</t>
  </si>
  <si>
    <t>19.</t>
  </si>
  <si>
    <t>Közműv.érd.növelő - IKSZT felújítása (Támogatás: 1.727.000 Ft)</t>
  </si>
  <si>
    <t>TOP-5.3.1-16-GM1-2017-00008 A helyi közösség fejlesztése Rábakecöl, Edve és Vásárosfalu községekben</t>
  </si>
  <si>
    <t>2022. után</t>
  </si>
  <si>
    <t>Tornaterem külső felújítása és energetikai fejlesztése (2018-2019)</t>
  </si>
  <si>
    <t xml:space="preserve">TOP-5.3.1-16-GM1-2017-00008 </t>
  </si>
  <si>
    <t>A helyi közösség fejlesztése Rábakecöl, Edve és Vásárosfalu községekben</t>
  </si>
  <si>
    <t xml:space="preserve">TOP-1.4.1-19-GM1-2019-00029 </t>
  </si>
  <si>
    <t>Mini bölcsőde kialakítása a Rábakecöli Vadgesztenye Óvodában</t>
  </si>
  <si>
    <t>VP6-19.2.1-71-VII-17 - 1923762286</t>
  </si>
  <si>
    <t xml:space="preserve"> Településképet, turisztikai vonzerőt növelő beruházások támogatása - kerékpártároló építése</t>
  </si>
  <si>
    <t>VP6-19.2.1.-71-V-17 -  1923770296</t>
  </si>
  <si>
    <t xml:space="preserve"> Közösségformáló illetőleg vidéki attrakció rendezvények támogatása</t>
  </si>
  <si>
    <t>11. számú melléklet</t>
  </si>
  <si>
    <t xml:space="preserve">16. számú melléklet </t>
  </si>
  <si>
    <t>17. számú melléklet</t>
  </si>
  <si>
    <t>Eredeti, Mód.</t>
  </si>
  <si>
    <t>Óvoda ajtajának cseréje</t>
  </si>
  <si>
    <t>3.m.I.11.   Bérkompenzáció</t>
  </si>
  <si>
    <t>3.m.I.13. Kulturális ágazati pótlék</t>
  </si>
  <si>
    <t xml:space="preserve">Európai Uniós támogatással megvalósuló  programok, projektek bevételei és kiadásai 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</si>
</sst>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mmm\ d/"/>
    <numFmt numFmtId="168" formatCode="General&quot;  fő&quot;"/>
    <numFmt numFmtId="169" formatCode="_-* #,##0.00\ _F_t_-;\-* #,##0.00\ _F_t_-;_-* \-??\ _F_t_-;_-@_-"/>
    <numFmt numFmtId="170" formatCode="#,##0_ ;\-#,##0\ 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  <numFmt numFmtId="175" formatCode="0.0"/>
    <numFmt numFmtId="176" formatCode="#,##0.0"/>
  </numFmts>
  <fonts count="137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MS Sans Serif"/>
      <family val="2"/>
    </font>
    <font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/>
      <right/>
      <top style="hair">
        <color indexed="8"/>
      </top>
      <bottom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20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21" fillId="0" borderId="0" applyNumberFormat="0" applyFill="0" applyBorder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4" fillId="0" borderId="6" applyNumberFormat="0" applyFill="0" applyAlignment="0" applyProtection="0"/>
    <xf numFmtId="0" fontId="124" fillId="0" borderId="0" applyNumberFormat="0" applyFill="0" applyBorder="0" applyAlignment="0" applyProtection="0"/>
    <xf numFmtId="0" fontId="125" fillId="37" borderId="7" applyNumberFormat="0" applyAlignment="0" applyProtection="0"/>
    <xf numFmtId="0" fontId="6" fillId="0" borderId="0" applyNumberFormat="0" applyFill="0" applyBorder="0" applyAlignment="0" applyProtection="0"/>
    <xf numFmtId="169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7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19" fillId="39" borderId="0" applyNumberFormat="0" applyBorder="0" applyAlignment="0" applyProtection="0"/>
    <xf numFmtId="0" fontId="119" fillId="40" borderId="0" applyNumberFormat="0" applyBorder="0" applyAlignment="0" applyProtection="0"/>
    <xf numFmtId="0" fontId="119" fillId="41" borderId="0" applyNumberFormat="0" applyBorder="0" applyAlignment="0" applyProtection="0"/>
    <xf numFmtId="0" fontId="119" fillId="42" borderId="0" applyNumberFormat="0" applyBorder="0" applyAlignment="0" applyProtection="0"/>
    <xf numFmtId="0" fontId="119" fillId="43" borderId="0" applyNumberFormat="0" applyBorder="0" applyAlignment="0" applyProtection="0"/>
    <xf numFmtId="0" fontId="119" fillId="44" borderId="0" applyNumberFormat="0" applyBorder="0" applyAlignment="0" applyProtection="0"/>
    <xf numFmtId="0" fontId="128" fillId="45" borderId="0" applyNumberFormat="0" applyBorder="0" applyAlignment="0" applyProtection="0"/>
    <xf numFmtId="0" fontId="129" fillId="46" borderId="13" applyNumberFormat="0" applyAlignment="0" applyProtection="0"/>
    <xf numFmtId="0" fontId="130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3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47" borderId="0" applyNumberFormat="0" applyBorder="0" applyAlignment="0" applyProtection="0"/>
    <xf numFmtId="0" fontId="134" fillId="48" borderId="0" applyNumberFormat="0" applyBorder="0" applyAlignment="0" applyProtection="0"/>
    <xf numFmtId="0" fontId="135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320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3" fontId="25" fillId="35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/>
    </xf>
    <xf numFmtId="49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24" fillId="0" borderId="34" xfId="0" applyNumberFormat="1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/>
    </xf>
    <xf numFmtId="0" fontId="24" fillId="0" borderId="41" xfId="0" applyFont="1" applyFill="1" applyBorder="1" applyAlignment="1">
      <alignment horizontal="left" vertical="center" wrapText="1"/>
    </xf>
    <xf numFmtId="3" fontId="24" fillId="0" borderId="42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6" fontId="27" fillId="0" borderId="0" xfId="106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78" applyNumberFormat="1" applyFont="1" applyFill="1" applyBorder="1" applyAlignment="1" applyProtection="1">
      <alignment vertical="center" wrapText="1"/>
      <protection/>
    </xf>
    <xf numFmtId="0" fontId="24" fillId="0" borderId="35" xfId="78" applyNumberFormat="1" applyFont="1" applyFill="1" applyBorder="1" applyAlignment="1" applyProtection="1">
      <alignment vertical="center" wrapText="1"/>
      <protection/>
    </xf>
    <xf numFmtId="0" fontId="24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3" fontId="32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9" fillId="0" borderId="0" xfId="106" applyFont="1" applyFill="1" applyAlignment="1">
      <alignment horizontal="center"/>
      <protection/>
    </xf>
    <xf numFmtId="3" fontId="25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166" fontId="27" fillId="0" borderId="50" xfId="106" applyNumberFormat="1" applyFont="1" applyFill="1" applyBorder="1" applyAlignment="1" applyProtection="1">
      <alignment horizontal="left" vertical="center"/>
      <protection/>
    </xf>
    <xf numFmtId="0" fontId="16" fillId="0" borderId="0" xfId="106" applyFill="1">
      <alignment/>
      <protection/>
    </xf>
    <xf numFmtId="3" fontId="33" fillId="0" borderId="0" xfId="106" applyNumberFormat="1" applyFont="1" applyFill="1" applyBorder="1">
      <alignment/>
      <protection/>
    </xf>
    <xf numFmtId="166" fontId="33" fillId="0" borderId="0" xfId="106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0" fontId="34" fillId="0" borderId="23" xfId="106" applyFont="1" applyFill="1" applyBorder="1" applyAlignment="1" applyProtection="1">
      <alignment horizontal="left" vertical="center" wrapText="1" indent="1"/>
      <protection/>
    </xf>
    <xf numFmtId="166" fontId="35" fillId="0" borderId="38" xfId="106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36" fillId="0" borderId="0" xfId="106" applyFont="1" applyFill="1">
      <alignment/>
      <protection/>
    </xf>
    <xf numFmtId="0" fontId="29" fillId="0" borderId="0" xfId="106" applyFont="1" applyFill="1" applyBorder="1" applyAlignment="1">
      <alignment horizontal="center" wrapText="1"/>
      <protection/>
    </xf>
    <xf numFmtId="166" fontId="35" fillId="0" borderId="51" xfId="106" applyNumberFormat="1" applyFont="1" applyFill="1" applyBorder="1" applyAlignment="1" applyProtection="1">
      <alignment horizontal="right" vertical="center" wrapText="1"/>
      <protection/>
    </xf>
    <xf numFmtId="166" fontId="35" fillId="0" borderId="52" xfId="106" applyNumberFormat="1" applyFont="1" applyFill="1" applyBorder="1" applyAlignment="1" applyProtection="1">
      <alignment horizontal="right" vertical="center" wrapText="1"/>
      <protection/>
    </xf>
    <xf numFmtId="166" fontId="35" fillId="0" borderId="53" xfId="106" applyNumberFormat="1" applyFont="1" applyFill="1" applyBorder="1" applyAlignment="1" applyProtection="1">
      <alignment horizontal="right" vertical="center" wrapText="1"/>
      <protection/>
    </xf>
    <xf numFmtId="3" fontId="35" fillId="0" borderId="52" xfId="106" applyNumberFormat="1" applyFont="1" applyFill="1" applyBorder="1" applyAlignment="1" applyProtection="1">
      <alignment horizontal="right" vertical="center" wrapText="1"/>
      <protection/>
    </xf>
    <xf numFmtId="3" fontId="35" fillId="0" borderId="54" xfId="106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>
      <alignment/>
    </xf>
    <xf numFmtId="0" fontId="29" fillId="0" borderId="0" xfId="106" applyFont="1" applyFill="1" applyAlignment="1">
      <alignment horizontal="center" wrapText="1"/>
      <protection/>
    </xf>
    <xf numFmtId="0" fontId="35" fillId="0" borderId="55" xfId="106" applyFont="1" applyFill="1" applyBorder="1" applyAlignment="1">
      <alignment horizontal="center"/>
      <protection/>
    </xf>
    <xf numFmtId="3" fontId="35" fillId="0" borderId="51" xfId="106" applyNumberFormat="1" applyFont="1" applyFill="1" applyBorder="1">
      <alignment/>
      <protection/>
    </xf>
    <xf numFmtId="3" fontId="38" fillId="0" borderId="56" xfId="106" applyNumberFormat="1" applyFont="1" applyFill="1" applyBorder="1">
      <alignment/>
      <protection/>
    </xf>
    <xf numFmtId="3" fontId="38" fillId="0" borderId="52" xfId="106" applyNumberFormat="1" applyFont="1" applyFill="1" applyBorder="1">
      <alignment/>
      <protection/>
    </xf>
    <xf numFmtId="166" fontId="38" fillId="0" borderId="56" xfId="106" applyNumberFormat="1" applyFont="1" applyFill="1" applyBorder="1">
      <alignment/>
      <protection/>
    </xf>
    <xf numFmtId="166" fontId="38" fillId="0" borderId="52" xfId="106" applyNumberFormat="1" applyFont="1" applyFill="1" applyBorder="1">
      <alignment/>
      <protection/>
    </xf>
    <xf numFmtId="3" fontId="38" fillId="0" borderId="57" xfId="106" applyNumberFormat="1" applyFont="1" applyFill="1" applyBorder="1">
      <alignment/>
      <protection/>
    </xf>
    <xf numFmtId="3" fontId="38" fillId="0" borderId="54" xfId="106" applyNumberFormat="1" applyFont="1" applyFill="1" applyBorder="1">
      <alignment/>
      <protection/>
    </xf>
    <xf numFmtId="0" fontId="14" fillId="0" borderId="0" xfId="103" applyAlignment="1">
      <alignment vertical="center"/>
      <protection/>
    </xf>
    <xf numFmtId="3" fontId="14" fillId="0" borderId="0" xfId="103" applyNumberFormat="1" applyAlignment="1">
      <alignment vertical="center"/>
      <protection/>
    </xf>
    <xf numFmtId="49" fontId="25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Fill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6" fontId="16" fillId="0" borderId="0" xfId="0" applyNumberFormat="1" applyFont="1" applyFill="1" applyAlignment="1" applyProtection="1">
      <alignment horizontal="left" vertical="center" wrapText="1"/>
      <protection/>
    </xf>
    <xf numFmtId="166" fontId="16" fillId="0" borderId="0" xfId="0" applyNumberFormat="1" applyFont="1" applyFill="1" applyAlignment="1" applyProtection="1">
      <alignment vertical="center" wrapText="1"/>
      <protection/>
    </xf>
    <xf numFmtId="166" fontId="47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top"/>
      <protection locked="0"/>
    </xf>
    <xf numFmtId="166" fontId="16" fillId="0" borderId="0" xfId="0" applyNumberFormat="1" applyFont="1" applyFill="1" applyAlignment="1">
      <alignment vertical="center" wrapText="1"/>
    </xf>
    <xf numFmtId="166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top"/>
      <protection locked="0"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47" fillId="0" borderId="59" xfId="0" applyFont="1" applyFill="1" applyBorder="1" applyAlignment="1" applyProtection="1">
      <alignment horizontal="center" vertical="center" wrapText="1"/>
      <protection/>
    </xf>
    <xf numFmtId="0" fontId="47" fillId="0" borderId="60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166" fontId="47" fillId="0" borderId="62" xfId="0" applyNumberFormat="1" applyFont="1" applyFill="1" applyBorder="1" applyAlignment="1" applyProtection="1">
      <alignment horizontal="center" vertical="center" wrapText="1"/>
      <protection/>
    </xf>
    <xf numFmtId="166" fontId="47" fillId="0" borderId="63" xfId="0" applyNumberFormat="1" applyFont="1" applyFill="1" applyBorder="1" applyAlignment="1" applyProtection="1">
      <alignment horizontal="center" vertical="center" wrapText="1"/>
      <protection/>
    </xf>
    <xf numFmtId="166" fontId="47" fillId="0" borderId="64" xfId="0" applyNumberFormat="1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left" vertical="center" wrapText="1" indent="1"/>
      <protection/>
    </xf>
    <xf numFmtId="166" fontId="3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38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65" xfId="0" applyFont="1" applyFill="1" applyBorder="1" applyAlignment="1" applyProtection="1">
      <alignment horizontal="center" vertical="center" wrapText="1"/>
      <protection/>
    </xf>
    <xf numFmtId="49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106" applyFont="1" applyFill="1" applyBorder="1" applyAlignment="1" applyProtection="1">
      <alignment horizontal="left" vertical="center" wrapText="1" indent="1"/>
      <protection/>
    </xf>
    <xf numFmtId="166" fontId="3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>
      <alignment vertical="center" wrapText="1"/>
    </xf>
    <xf numFmtId="0" fontId="33" fillId="0" borderId="67" xfId="106" applyFont="1" applyFill="1" applyBorder="1" applyAlignment="1" applyProtection="1">
      <alignment horizontal="left" vertical="center" wrapText="1" indent="1"/>
      <protection/>
    </xf>
    <xf numFmtId="0" fontId="34" fillId="0" borderId="38" xfId="106" applyFont="1" applyFill="1" applyBorder="1" applyAlignment="1" applyProtection="1">
      <alignment horizontal="left" vertical="center" wrapText="1" indent="1"/>
      <protection/>
    </xf>
    <xf numFmtId="0" fontId="34" fillId="0" borderId="61" xfId="106" applyFont="1" applyFill="1" applyBorder="1" applyAlignment="1" applyProtection="1">
      <alignment horizontal="left" vertical="center" wrapText="1" indent="1"/>
      <protection/>
    </xf>
    <xf numFmtId="0" fontId="34" fillId="0" borderId="55" xfId="0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68" xfId="106" applyFont="1" applyFill="1" applyBorder="1" applyAlignment="1" applyProtection="1">
      <alignment horizontal="left" vertical="center" wrapText="1" indent="1"/>
      <protection/>
    </xf>
    <xf numFmtId="166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8" xfId="0" applyFont="1" applyFill="1" applyBorder="1" applyAlignment="1" applyProtection="1">
      <alignment horizontal="center" vertical="center" wrapText="1"/>
      <protection/>
    </xf>
    <xf numFmtId="49" fontId="33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70" xfId="106" applyFont="1" applyFill="1" applyBorder="1" applyAlignment="1" applyProtection="1">
      <alignment horizontal="left" vertical="center" wrapText="1" indent="1"/>
      <protection/>
    </xf>
    <xf numFmtId="166" fontId="3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8" xfId="106" applyNumberFormat="1" applyFont="1" applyFill="1" applyBorder="1" applyAlignment="1" applyProtection="1">
      <alignment horizontal="left" vertical="center" wrapText="1" indent="1"/>
      <protection/>
    </xf>
    <xf numFmtId="0" fontId="55" fillId="0" borderId="60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4" fillId="0" borderId="59" xfId="106" applyFont="1" applyFill="1" applyBorder="1" applyAlignment="1" applyProtection="1">
      <alignment horizontal="left" vertical="center" wrapText="1" indent="1"/>
      <protection/>
    </xf>
    <xf numFmtId="166" fontId="34" fillId="0" borderId="60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33" fillId="0" borderId="51" xfId="106" applyNumberFormat="1" applyFont="1" applyFill="1" applyBorder="1" applyAlignment="1" applyProtection="1">
      <alignment horizontal="left" vertical="center" wrapText="1" indent="1"/>
      <protection/>
    </xf>
    <xf numFmtId="166" fontId="3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49" fontId="33" fillId="0" borderId="63" xfId="106" applyNumberFormat="1" applyFont="1" applyFill="1" applyBorder="1" applyAlignment="1" applyProtection="1">
      <alignment horizontal="left" vertical="center" wrapText="1" indent="1"/>
      <protection/>
    </xf>
    <xf numFmtId="166" fontId="3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76" xfId="0" applyFont="1" applyFill="1" applyBorder="1" applyAlignment="1" applyProtection="1">
      <alignment vertical="center" wrapText="1"/>
      <protection/>
    </xf>
    <xf numFmtId="49" fontId="33" fillId="0" borderId="54" xfId="106" applyNumberFormat="1" applyFont="1" applyFill="1" applyBorder="1" applyAlignment="1" applyProtection="1">
      <alignment horizontal="left" vertical="center" wrapText="1" indent="1"/>
      <protection/>
    </xf>
    <xf numFmtId="0" fontId="33" fillId="0" borderId="77" xfId="106" applyFont="1" applyFill="1" applyBorder="1" applyAlignment="1" applyProtection="1">
      <alignment horizontal="left" vertical="center" wrapText="1" indent="1"/>
      <protection/>
    </xf>
    <xf numFmtId="166" fontId="3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6" fillId="0" borderId="78" xfId="0" applyFont="1" applyBorder="1" applyAlignment="1" applyProtection="1">
      <alignment horizontal="center" wrapText="1"/>
      <protection/>
    </xf>
    <xf numFmtId="0" fontId="34" fillId="0" borderId="20" xfId="106" applyFont="1" applyFill="1" applyBorder="1" applyAlignment="1" applyProtection="1">
      <alignment horizontal="left" vertical="center" wrapText="1" indent="1"/>
      <protection/>
    </xf>
    <xf numFmtId="0" fontId="50" fillId="0" borderId="78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 indent="1"/>
      <protection/>
    </xf>
    <xf numFmtId="166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49" fontId="33" fillId="0" borderId="44" xfId="106" applyNumberFormat="1" applyFont="1" applyFill="1" applyBorder="1" applyAlignment="1" applyProtection="1">
      <alignment horizontal="left" vertical="center" wrapText="1" indent="1"/>
      <protection/>
    </xf>
    <xf numFmtId="49" fontId="33" fillId="0" borderId="52" xfId="106" applyNumberFormat="1" applyFont="1" applyFill="1" applyBorder="1" applyAlignment="1" applyProtection="1">
      <alignment horizontal="left" vertical="center" wrapText="1" indent="1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47" fillId="0" borderId="6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52" fillId="0" borderId="23" xfId="0" applyFont="1" applyFill="1" applyBorder="1" applyAlignment="1" applyProtection="1">
      <alignment horizontal="left" vertical="center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0" fontId="52" fillId="0" borderId="20" xfId="0" applyFont="1" applyFill="1" applyBorder="1" applyAlignment="1" applyProtection="1">
      <alignment vertical="center" wrapText="1"/>
      <protection/>
    </xf>
    <xf numFmtId="3" fontId="5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2" fontId="66" fillId="0" borderId="52" xfId="104" applyNumberFormat="1" applyFont="1" applyFill="1" applyBorder="1" applyAlignment="1">
      <alignment horizontal="center" vertical="center" wrapText="1"/>
      <protection/>
    </xf>
    <xf numFmtId="2" fontId="66" fillId="0" borderId="44" xfId="104" applyNumberFormat="1" applyFont="1" applyFill="1" applyBorder="1" applyAlignment="1">
      <alignment horizontal="center" vertical="center" wrapText="1"/>
      <protection/>
    </xf>
    <xf numFmtId="1" fontId="66" fillId="0" borderId="39" xfId="104" applyNumberFormat="1" applyFont="1" applyFill="1" applyBorder="1" applyAlignment="1">
      <alignment horizontal="center" vertical="center" wrapText="1"/>
      <protection/>
    </xf>
    <xf numFmtId="2" fontId="66" fillId="0" borderId="65" xfId="104" applyNumberFormat="1" applyFont="1" applyFill="1" applyBorder="1" applyAlignment="1">
      <alignment horizontal="center" vertical="center" wrapText="1"/>
      <protection/>
    </xf>
    <xf numFmtId="1" fontId="66" fillId="0" borderId="69" xfId="104" applyNumberFormat="1" applyFont="1" applyFill="1" applyBorder="1" applyAlignment="1">
      <alignment horizontal="center" vertical="center" wrapText="1"/>
      <protection/>
    </xf>
    <xf numFmtId="2" fontId="66" fillId="0" borderId="54" xfId="104" applyNumberFormat="1" applyFont="1" applyFill="1" applyBorder="1" applyAlignment="1">
      <alignment horizontal="center" vertical="center" wrapText="1"/>
      <protection/>
    </xf>
    <xf numFmtId="0" fontId="72" fillId="0" borderId="21" xfId="105" applyFont="1" applyFill="1" applyBorder="1" applyAlignment="1">
      <alignment horizontal="left"/>
      <protection/>
    </xf>
    <xf numFmtId="0" fontId="77" fillId="0" borderId="0" xfId="103" applyFont="1" applyAlignment="1">
      <alignment vertical="center"/>
      <protection/>
    </xf>
    <xf numFmtId="0" fontId="78" fillId="11" borderId="36" xfId="103" applyFont="1" applyFill="1" applyBorder="1" applyAlignment="1">
      <alignment horizontal="center" vertical="center" wrapText="1"/>
      <protection/>
    </xf>
    <xf numFmtId="0" fontId="78" fillId="11" borderId="63" xfId="103" applyFont="1" applyFill="1" applyBorder="1" applyAlignment="1">
      <alignment horizontal="center" vertical="center" wrapText="1"/>
      <protection/>
    </xf>
    <xf numFmtId="3" fontId="78" fillId="11" borderId="79" xfId="103" applyNumberFormat="1" applyFont="1" applyFill="1" applyBorder="1" applyAlignment="1">
      <alignment horizontal="center" vertical="center" wrapText="1"/>
      <protection/>
    </xf>
    <xf numFmtId="3" fontId="78" fillId="11" borderId="80" xfId="103" applyNumberFormat="1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vertical="center" wrapText="1"/>
    </xf>
    <xf numFmtId="0" fontId="72" fillId="0" borderId="52" xfId="0" applyFont="1" applyBorder="1" applyAlignment="1">
      <alignment horizontal="center" vertical="center" wrapText="1"/>
    </xf>
    <xf numFmtId="3" fontId="79" fillId="0" borderId="52" xfId="103" applyNumberFormat="1" applyFont="1" applyBorder="1" applyAlignment="1">
      <alignment horizontal="right" vertical="center" wrapText="1"/>
      <protection/>
    </xf>
    <xf numFmtId="10" fontId="79" fillId="0" borderId="44" xfId="103" applyNumberFormat="1" applyFont="1" applyBorder="1" applyAlignment="1">
      <alignment horizontal="right" vertical="center" wrapText="1"/>
      <protection/>
    </xf>
    <xf numFmtId="10" fontId="79" fillId="0" borderId="52" xfId="103" applyNumberFormat="1" applyFont="1" applyBorder="1" applyAlignment="1">
      <alignment horizontal="right" vertical="center" wrapText="1"/>
      <protection/>
    </xf>
    <xf numFmtId="3" fontId="79" fillId="0" borderId="52" xfId="103" applyNumberFormat="1" applyFont="1" applyFill="1" applyBorder="1" applyAlignment="1">
      <alignment vertical="center"/>
      <protection/>
    </xf>
    <xf numFmtId="3" fontId="78" fillId="11" borderId="81" xfId="103" applyNumberFormat="1" applyFont="1" applyFill="1" applyBorder="1" applyAlignment="1">
      <alignment horizontal="center" vertical="center" wrapText="1"/>
      <protection/>
    </xf>
    <xf numFmtId="3" fontId="78" fillId="11" borderId="82" xfId="103" applyNumberFormat="1" applyFont="1" applyFill="1" applyBorder="1" applyAlignment="1">
      <alignment horizontal="center" vertical="center" wrapText="1"/>
      <protection/>
    </xf>
    <xf numFmtId="10" fontId="46" fillId="11" borderId="82" xfId="103" applyNumberFormat="1" applyFont="1" applyFill="1" applyBorder="1" applyAlignment="1">
      <alignment horizontal="right" vertical="center" wrapText="1"/>
      <protection/>
    </xf>
    <xf numFmtId="3" fontId="78" fillId="0" borderId="0" xfId="103" applyNumberFormat="1" applyFont="1" applyFill="1" applyBorder="1" applyAlignment="1">
      <alignment horizontal="center" vertical="center" wrapText="1"/>
      <protection/>
    </xf>
    <xf numFmtId="3" fontId="46" fillId="0" borderId="0" xfId="103" applyNumberFormat="1" applyFont="1" applyFill="1" applyBorder="1" applyAlignment="1">
      <alignment horizontal="right" vertical="center" wrapText="1"/>
      <protection/>
    </xf>
    <xf numFmtId="0" fontId="14" fillId="0" borderId="0" xfId="103" applyFill="1" applyAlignment="1">
      <alignment vertical="center"/>
      <protection/>
    </xf>
    <xf numFmtId="0" fontId="78" fillId="11" borderId="83" xfId="103" applyFont="1" applyFill="1" applyBorder="1" applyAlignment="1">
      <alignment horizontal="center" vertical="center" wrapText="1"/>
      <protection/>
    </xf>
    <xf numFmtId="0" fontId="78" fillId="11" borderId="80" xfId="103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horizontal="center" vertical="center" wrapText="1"/>
    </xf>
    <xf numFmtId="3" fontId="79" fillId="0" borderId="52" xfId="103" applyNumberFormat="1" applyFont="1" applyFill="1" applyBorder="1" applyAlignment="1">
      <alignment horizontal="right" vertical="center" wrapText="1"/>
      <protection/>
    </xf>
    <xf numFmtId="0" fontId="72" fillId="0" borderId="27" xfId="0" applyFont="1" applyFill="1" applyBorder="1" applyAlignment="1">
      <alignment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84" xfId="0" applyFont="1" applyFill="1" applyBorder="1" applyAlignment="1">
      <alignment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6" fillId="0" borderId="0" xfId="103" applyFont="1" applyAlignment="1">
      <alignment vertical="center"/>
      <protection/>
    </xf>
    <xf numFmtId="0" fontId="14" fillId="0" borderId="0" xfId="103" applyFont="1" applyAlignment="1">
      <alignment wrapText="1"/>
      <protection/>
    </xf>
    <xf numFmtId="0" fontId="14" fillId="0" borderId="0" xfId="103" applyFont="1">
      <alignment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72" xfId="103" applyFont="1" applyFill="1" applyBorder="1" applyAlignment="1">
      <alignment horizontal="center" vertical="center" wrapText="1"/>
      <protection/>
    </xf>
    <xf numFmtId="0" fontId="76" fillId="49" borderId="44" xfId="103" applyFont="1" applyFill="1" applyBorder="1" applyAlignment="1">
      <alignment horizontal="center" vertical="center"/>
      <protection/>
    </xf>
    <xf numFmtId="0" fontId="83" fillId="0" borderId="65" xfId="103" applyFont="1" applyBorder="1" applyAlignment="1">
      <alignment wrapText="1"/>
      <protection/>
    </xf>
    <xf numFmtId="3" fontId="84" fillId="0" borderId="52" xfId="103" applyNumberFormat="1" applyFont="1" applyFill="1" applyBorder="1" applyAlignment="1">
      <alignment horizontal="right"/>
      <protection/>
    </xf>
    <xf numFmtId="0" fontId="84" fillId="0" borderId="52" xfId="103" applyFont="1" applyBorder="1" applyAlignment="1">
      <alignment horizontal="right"/>
      <protection/>
    </xf>
    <xf numFmtId="3" fontId="84" fillId="0" borderId="52" xfId="103" applyNumberFormat="1" applyFont="1" applyBorder="1" applyAlignment="1">
      <alignment horizontal="right"/>
      <protection/>
    </xf>
    <xf numFmtId="3" fontId="84" fillId="0" borderId="39" xfId="103" applyNumberFormat="1" applyFont="1" applyFill="1" applyBorder="1" applyAlignment="1">
      <alignment horizontal="right"/>
      <protection/>
    </xf>
    <xf numFmtId="0" fontId="83" fillId="0" borderId="65" xfId="103" applyFont="1" applyFill="1" applyBorder="1" applyAlignment="1">
      <alignment wrapText="1"/>
      <protection/>
    </xf>
    <xf numFmtId="0" fontId="83" fillId="0" borderId="62" xfId="103" applyFont="1" applyBorder="1" applyAlignment="1">
      <alignment wrapText="1"/>
      <protection/>
    </xf>
    <xf numFmtId="0" fontId="14" fillId="0" borderId="0" xfId="103" applyFont="1" applyFill="1">
      <alignment/>
      <protection/>
    </xf>
    <xf numFmtId="3" fontId="84" fillId="0" borderId="39" xfId="103" applyNumberFormat="1" applyFont="1" applyBorder="1" applyAlignment="1">
      <alignment horizontal="right"/>
      <protection/>
    </xf>
    <xf numFmtId="0" fontId="83" fillId="0" borderId="0" xfId="103" applyFont="1" applyAlignment="1">
      <alignment wrapText="1"/>
      <protection/>
    </xf>
    <xf numFmtId="0" fontId="83" fillId="0" borderId="0" xfId="103" applyFont="1">
      <alignment/>
      <protection/>
    </xf>
    <xf numFmtId="3" fontId="83" fillId="0" borderId="0" xfId="103" applyNumberFormat="1" applyFont="1">
      <alignment/>
      <protection/>
    </xf>
    <xf numFmtId="3" fontId="14" fillId="0" borderId="0" xfId="103" applyNumberFormat="1" applyFont="1">
      <alignment/>
      <protection/>
    </xf>
    <xf numFmtId="3" fontId="84" fillId="0" borderId="46" xfId="103" applyNumberFormat="1" applyFont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43" fillId="0" borderId="0" xfId="103" applyFont="1">
      <alignment/>
      <protection/>
    </xf>
    <xf numFmtId="0" fontId="14" fillId="0" borderId="0" xfId="103" applyFont="1" applyAlignment="1">
      <alignment vertical="center"/>
      <protection/>
    </xf>
    <xf numFmtId="0" fontId="14" fillId="0" borderId="0" xfId="103" applyFont="1" applyAlignment="1">
      <alignment horizontal="center" vertical="center"/>
      <protection/>
    </xf>
    <xf numFmtId="3" fontId="14" fillId="0" borderId="0" xfId="103" applyNumberFormat="1" applyFont="1" applyAlignment="1">
      <alignment vertical="center"/>
      <protection/>
    </xf>
    <xf numFmtId="0" fontId="76" fillId="0" borderId="0" xfId="103" applyFont="1" applyBorder="1" applyAlignment="1">
      <alignment horizontal="center" vertical="center"/>
      <protection/>
    </xf>
    <xf numFmtId="0" fontId="14" fillId="0" borderId="50" xfId="103" applyFont="1" applyBorder="1" applyAlignment="1">
      <alignment vertical="center"/>
      <protection/>
    </xf>
    <xf numFmtId="0" fontId="14" fillId="0" borderId="0" xfId="103" applyFont="1" applyBorder="1" applyAlignment="1">
      <alignment vertical="center"/>
      <protection/>
    </xf>
    <xf numFmtId="3" fontId="76" fillId="0" borderId="0" xfId="103" applyNumberFormat="1" applyFont="1" applyBorder="1" applyAlignment="1">
      <alignment horizontal="center" vertical="center"/>
      <protection/>
    </xf>
    <xf numFmtId="0" fontId="86" fillId="35" borderId="23" xfId="103" applyFont="1" applyFill="1" applyBorder="1" applyAlignment="1">
      <alignment horizontal="center" vertical="center"/>
      <protection/>
    </xf>
    <xf numFmtId="0" fontId="86" fillId="35" borderId="78" xfId="103" applyFont="1" applyFill="1" applyBorder="1" applyAlignment="1">
      <alignment horizontal="center" vertical="center"/>
      <protection/>
    </xf>
    <xf numFmtId="0" fontId="86" fillId="35" borderId="61" xfId="103" applyFont="1" applyFill="1" applyBorder="1" applyAlignment="1">
      <alignment horizontal="center" vertical="center"/>
      <protection/>
    </xf>
    <xf numFmtId="0" fontId="43" fillId="0" borderId="0" xfId="103" applyFont="1" applyAlignment="1">
      <alignment vertical="center"/>
      <protection/>
    </xf>
    <xf numFmtId="0" fontId="86" fillId="35" borderId="74" xfId="103" applyFont="1" applyFill="1" applyBorder="1" applyAlignment="1">
      <alignment horizontal="center" vertical="center"/>
      <protection/>
    </xf>
    <xf numFmtId="0" fontId="86" fillId="35" borderId="85" xfId="103" applyFont="1" applyFill="1" applyBorder="1" applyAlignment="1">
      <alignment horizontal="center" vertical="center"/>
      <protection/>
    </xf>
    <xf numFmtId="0" fontId="86" fillId="35" borderId="63" xfId="103" applyFont="1" applyFill="1" applyBorder="1" applyAlignment="1">
      <alignment horizontal="center" vertical="center"/>
      <protection/>
    </xf>
    <xf numFmtId="0" fontId="86" fillId="35" borderId="86" xfId="103" applyFont="1" applyFill="1" applyBorder="1" applyAlignment="1">
      <alignment horizontal="center" vertical="center"/>
      <protection/>
    </xf>
    <xf numFmtId="0" fontId="14" fillId="0" borderId="65" xfId="103" applyFont="1" applyBorder="1" applyAlignment="1">
      <alignment horizontal="center" vertical="center"/>
      <protection/>
    </xf>
    <xf numFmtId="0" fontId="14" fillId="0" borderId="56" xfId="103" applyFont="1" applyBorder="1" applyAlignment="1">
      <alignment horizontal="center" vertical="center"/>
      <protection/>
    </xf>
    <xf numFmtId="0" fontId="82" fillId="0" borderId="52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horizontal="center" vertical="center"/>
    </xf>
    <xf numFmtId="3" fontId="83" fillId="0" borderId="39" xfId="103" applyNumberFormat="1" applyFont="1" applyFill="1" applyBorder="1" applyAlignment="1">
      <alignment vertical="center"/>
      <protection/>
    </xf>
    <xf numFmtId="3" fontId="83" fillId="0" borderId="52" xfId="103" applyNumberFormat="1" applyFont="1" applyFill="1" applyBorder="1" applyAlignment="1">
      <alignment vertical="center"/>
      <protection/>
    </xf>
    <xf numFmtId="10" fontId="83" fillId="0" borderId="39" xfId="103" applyNumberFormat="1" applyFont="1" applyFill="1" applyBorder="1" applyAlignment="1">
      <alignment vertical="center"/>
      <protection/>
    </xf>
    <xf numFmtId="3" fontId="83" fillId="0" borderId="39" xfId="0" applyNumberFormat="1" applyFont="1" applyFill="1" applyBorder="1" applyAlignment="1">
      <alignment horizontal="right" vertical="center"/>
    </xf>
    <xf numFmtId="0" fontId="82" fillId="0" borderId="67" xfId="103" applyFont="1" applyBorder="1" applyAlignment="1">
      <alignment horizontal="center" vertical="center"/>
      <protection/>
    </xf>
    <xf numFmtId="3" fontId="83" fillId="0" borderId="39" xfId="103" applyNumberFormat="1" applyFont="1" applyFill="1" applyBorder="1" applyAlignment="1">
      <alignment horizontal="right" vertical="center"/>
      <protection/>
    </xf>
    <xf numFmtId="0" fontId="14" fillId="0" borderId="85" xfId="103" applyFont="1" applyBorder="1" applyAlignment="1">
      <alignment horizontal="center" vertical="center"/>
      <protection/>
    </xf>
    <xf numFmtId="0" fontId="86" fillId="0" borderId="61" xfId="103" applyFont="1" applyBorder="1" applyAlignment="1">
      <alignment horizontal="center" vertical="center"/>
      <protection/>
    </xf>
    <xf numFmtId="3" fontId="76" fillId="0" borderId="22" xfId="103" applyNumberFormat="1" applyFont="1" applyFill="1" applyBorder="1" applyAlignment="1">
      <alignment horizontal="right" vertical="center"/>
      <protection/>
    </xf>
    <xf numFmtId="0" fontId="86" fillId="0" borderId="0" xfId="103" applyFont="1" applyBorder="1" applyAlignment="1">
      <alignment horizontal="center" vertical="center"/>
      <protection/>
    </xf>
    <xf numFmtId="3" fontId="76" fillId="0" borderId="0" xfId="103" applyNumberFormat="1" applyFont="1" applyFill="1" applyBorder="1" applyAlignment="1">
      <alignment horizontal="right" vertical="center"/>
      <protection/>
    </xf>
    <xf numFmtId="3" fontId="14" fillId="0" borderId="0" xfId="103" applyNumberFormat="1" applyFont="1" applyFill="1" applyBorder="1" applyAlignment="1">
      <alignment horizontal="right" vertical="center"/>
      <protection/>
    </xf>
    <xf numFmtId="0" fontId="86" fillId="35" borderId="60" xfId="103" applyFont="1" applyFill="1" applyBorder="1" applyAlignment="1">
      <alignment horizontal="center" vertical="center"/>
      <protection/>
    </xf>
    <xf numFmtId="0" fontId="86" fillId="35" borderId="87" xfId="103" applyFont="1" applyFill="1" applyBorder="1" applyAlignment="1">
      <alignment horizontal="center" vertical="center"/>
      <protection/>
    </xf>
    <xf numFmtId="0" fontId="86" fillId="35" borderId="43" xfId="103" applyFont="1" applyFill="1" applyBorder="1" applyAlignment="1">
      <alignment horizontal="center" vertical="center"/>
      <protection/>
    </xf>
    <xf numFmtId="0" fontId="14" fillId="0" borderId="55" xfId="103" applyFont="1" applyBorder="1" applyAlignment="1">
      <alignment horizontal="center" vertical="center"/>
      <protection/>
    </xf>
    <xf numFmtId="0" fontId="14" fillId="0" borderId="88" xfId="103" applyFont="1" applyBorder="1" applyAlignment="1">
      <alignment horizontal="center" vertical="center"/>
      <protection/>
    </xf>
    <xf numFmtId="0" fontId="14" fillId="0" borderId="72" xfId="103" applyFont="1" applyBorder="1" applyAlignment="1">
      <alignment horizontal="center" vertical="center"/>
      <protection/>
    </xf>
    <xf numFmtId="0" fontId="14" fillId="0" borderId="89" xfId="103" applyFont="1" applyBorder="1" applyAlignment="1">
      <alignment horizontal="center" vertical="center"/>
      <protection/>
    </xf>
    <xf numFmtId="0" fontId="82" fillId="0" borderId="34" xfId="0" applyFont="1" applyFill="1" applyBorder="1" applyAlignment="1">
      <alignment horizontal="center" vertical="center"/>
    </xf>
    <xf numFmtId="0" fontId="82" fillId="0" borderId="90" xfId="0" applyFont="1" applyFill="1" applyBorder="1" applyAlignment="1">
      <alignment horizontal="center" vertical="center"/>
    </xf>
    <xf numFmtId="0" fontId="82" fillId="0" borderId="91" xfId="0" applyFont="1" applyFill="1" applyBorder="1" applyAlignment="1">
      <alignment vertical="center"/>
    </xf>
    <xf numFmtId="3" fontId="16" fillId="0" borderId="0" xfId="107" applyNumberFormat="1" applyFill="1" applyProtection="1">
      <alignment/>
      <protection/>
    </xf>
    <xf numFmtId="3" fontId="16" fillId="0" borderId="0" xfId="107" applyNumberFormat="1" applyFill="1" applyAlignment="1" applyProtection="1">
      <alignment wrapText="1"/>
      <protection locked="0"/>
    </xf>
    <xf numFmtId="3" fontId="16" fillId="0" borderId="0" xfId="107" applyNumberFormat="1" applyFill="1" applyProtection="1">
      <alignment/>
      <protection locked="0"/>
    </xf>
    <xf numFmtId="3" fontId="53" fillId="0" borderId="0" xfId="101" applyNumberFormat="1" applyFont="1" applyFill="1" applyAlignment="1">
      <alignment horizontal="right"/>
      <protection/>
    </xf>
    <xf numFmtId="3" fontId="47" fillId="0" borderId="60" xfId="107" applyNumberFormat="1" applyFont="1" applyFill="1" applyBorder="1" applyAlignment="1" applyProtection="1">
      <alignment horizontal="center" vertical="center" wrapText="1"/>
      <protection/>
    </xf>
    <xf numFmtId="3" fontId="47" fillId="0" borderId="49" xfId="107" applyNumberFormat="1" applyFont="1" applyFill="1" applyBorder="1" applyAlignment="1" applyProtection="1">
      <alignment horizontal="center" vertical="center" wrapText="1"/>
      <protection/>
    </xf>
    <xf numFmtId="3" fontId="47" fillId="0" borderId="49" xfId="107" applyNumberFormat="1" applyFont="1" applyFill="1" applyBorder="1" applyAlignment="1" applyProtection="1">
      <alignment horizontal="center" vertical="center"/>
      <protection/>
    </xf>
    <xf numFmtId="3" fontId="47" fillId="0" borderId="64" xfId="107" applyNumberFormat="1" applyFont="1" applyFill="1" applyBorder="1" applyAlignment="1" applyProtection="1">
      <alignment horizontal="center" vertical="center"/>
      <protection/>
    </xf>
    <xf numFmtId="3" fontId="33" fillId="0" borderId="23" xfId="107" applyNumberFormat="1" applyFont="1" applyFill="1" applyBorder="1" applyAlignment="1" applyProtection="1">
      <alignment horizontal="left" vertical="center" indent="1"/>
      <protection/>
    </xf>
    <xf numFmtId="3" fontId="16" fillId="0" borderId="0" xfId="107" applyNumberFormat="1" applyFill="1" applyAlignment="1" applyProtection="1">
      <alignment vertical="center"/>
      <protection/>
    </xf>
    <xf numFmtId="3" fontId="33" fillId="0" borderId="74" xfId="107" applyNumberFormat="1" applyFont="1" applyFill="1" applyBorder="1" applyAlignment="1" applyProtection="1">
      <alignment horizontal="left" vertical="center" indent="1"/>
      <protection/>
    </xf>
    <xf numFmtId="3" fontId="33" fillId="0" borderId="63" xfId="107" applyNumberFormat="1" applyFont="1" applyFill="1" applyBorder="1" applyAlignment="1" applyProtection="1">
      <alignment horizontal="left" vertical="center" wrapText="1"/>
      <protection/>
    </xf>
    <xf numFmtId="3" fontId="33" fillId="0" borderId="63" xfId="107" applyNumberFormat="1" applyFont="1" applyFill="1" applyBorder="1" applyAlignment="1" applyProtection="1">
      <alignment vertical="center"/>
      <protection locked="0"/>
    </xf>
    <xf numFmtId="3" fontId="33" fillId="0" borderId="73" xfId="107" applyNumberFormat="1" applyFont="1" applyFill="1" applyBorder="1" applyAlignment="1" applyProtection="1">
      <alignment vertical="center"/>
      <protection/>
    </xf>
    <xf numFmtId="3" fontId="33" fillId="0" borderId="65" xfId="107" applyNumberFormat="1" applyFont="1" applyFill="1" applyBorder="1" applyAlignment="1" applyProtection="1">
      <alignment horizontal="left" vertical="center" indent="1"/>
      <protection/>
    </xf>
    <xf numFmtId="3" fontId="33" fillId="0" borderId="52" xfId="107" applyNumberFormat="1" applyFont="1" applyFill="1" applyBorder="1" applyAlignment="1" applyProtection="1">
      <alignment horizontal="left" vertical="center" wrapText="1"/>
      <protection/>
    </xf>
    <xf numFmtId="3" fontId="33" fillId="0" borderId="52" xfId="107" applyNumberFormat="1" applyFont="1" applyFill="1" applyBorder="1" applyAlignment="1" applyProtection="1">
      <alignment vertical="center"/>
      <protection locked="0"/>
    </xf>
    <xf numFmtId="3" fontId="16" fillId="0" borderId="0" xfId="107" applyNumberFormat="1" applyFill="1" applyAlignment="1" applyProtection="1">
      <alignment vertical="center"/>
      <protection locked="0"/>
    </xf>
    <xf numFmtId="3" fontId="33" fillId="0" borderId="44" xfId="107" applyNumberFormat="1" applyFont="1" applyFill="1" applyBorder="1" applyAlignment="1" applyProtection="1">
      <alignment horizontal="left" vertical="center" wrapText="1"/>
      <protection/>
    </xf>
    <xf numFmtId="3" fontId="33" fillId="0" borderId="44" xfId="107" applyNumberFormat="1" applyFont="1" applyFill="1" applyBorder="1" applyAlignment="1" applyProtection="1">
      <alignment vertical="center"/>
      <protection locked="0"/>
    </xf>
    <xf numFmtId="3" fontId="34" fillId="0" borderId="38" xfId="107" applyNumberFormat="1" applyFont="1" applyFill="1" applyBorder="1" applyAlignment="1" applyProtection="1">
      <alignment vertical="center"/>
      <protection/>
    </xf>
    <xf numFmtId="3" fontId="33" fillId="0" borderId="39" xfId="107" applyNumberFormat="1" applyFont="1" applyFill="1" applyBorder="1" applyAlignment="1" applyProtection="1">
      <alignment vertical="center"/>
      <protection/>
    </xf>
    <xf numFmtId="3" fontId="47" fillId="0" borderId="38" xfId="107" applyNumberFormat="1" applyFont="1" applyFill="1" applyBorder="1" applyAlignment="1" applyProtection="1">
      <alignment horizontal="left" vertical="center" wrapText="1"/>
      <protection/>
    </xf>
    <xf numFmtId="3" fontId="47" fillId="0" borderId="38" xfId="107" applyNumberFormat="1" applyFont="1" applyFill="1" applyBorder="1" applyAlignment="1" applyProtection="1">
      <alignment horizontal="left" wrapText="1"/>
      <protection/>
    </xf>
    <xf numFmtId="0" fontId="38" fillId="0" borderId="0" xfId="106" applyFont="1" applyFill="1" applyAlignment="1">
      <alignment vertical="center"/>
      <protection/>
    </xf>
    <xf numFmtId="0" fontId="27" fillId="0" borderId="0" xfId="106" applyFont="1" applyFill="1" applyAlignment="1">
      <alignment vertical="center"/>
      <protection/>
    </xf>
    <xf numFmtId="166" fontId="35" fillId="0" borderId="0" xfId="106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29" fillId="0" borderId="55" xfId="106" applyFont="1" applyFill="1" applyBorder="1" applyAlignment="1" applyProtection="1">
      <alignment horizontal="center" vertical="center" wrapText="1"/>
      <protection/>
    </xf>
    <xf numFmtId="0" fontId="29" fillId="0" borderId="51" xfId="106" applyFont="1" applyFill="1" applyBorder="1" applyAlignment="1" applyProtection="1">
      <alignment horizontal="center" vertical="center" wrapText="1"/>
      <protection/>
    </xf>
    <xf numFmtId="0" fontId="29" fillId="0" borderId="69" xfId="106" applyFont="1" applyFill="1" applyBorder="1" applyAlignment="1" applyProtection="1">
      <alignment horizontal="center" vertical="center" wrapText="1"/>
      <protection/>
    </xf>
    <xf numFmtId="0" fontId="16" fillId="0" borderId="23" xfId="106" applyFont="1" applyFill="1" applyBorder="1" applyAlignment="1" applyProtection="1">
      <alignment horizontal="center" vertical="center"/>
      <protection/>
    </xf>
    <xf numFmtId="0" fontId="16" fillId="0" borderId="38" xfId="106" applyFont="1" applyFill="1" applyBorder="1" applyAlignment="1" applyProtection="1">
      <alignment horizontal="center" vertical="center"/>
      <protection/>
    </xf>
    <xf numFmtId="0" fontId="16" fillId="0" borderId="55" xfId="106" applyFont="1" applyFill="1" applyBorder="1" applyAlignment="1" applyProtection="1">
      <alignment horizontal="center" vertical="center"/>
      <protection/>
    </xf>
    <xf numFmtId="0" fontId="16" fillId="0" borderId="44" xfId="106" applyFont="1" applyFill="1" applyBorder="1" applyAlignment="1" applyProtection="1">
      <alignment vertical="center"/>
      <protection/>
    </xf>
    <xf numFmtId="0" fontId="16" fillId="0" borderId="72" xfId="106" applyFont="1" applyFill="1" applyBorder="1" applyAlignment="1" applyProtection="1">
      <alignment horizontal="center" vertical="center"/>
      <protection/>
    </xf>
    <xf numFmtId="0" fontId="16" fillId="0" borderId="65" xfId="106" applyFont="1" applyFill="1" applyBorder="1" applyAlignment="1" applyProtection="1">
      <alignment horizontal="center" vertical="center"/>
      <protection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48" fillId="0" borderId="19" xfId="101" applyFont="1" applyFill="1" applyBorder="1" applyAlignment="1" applyProtection="1">
      <alignment horizontal="center" vertical="center" wrapText="1"/>
      <protection/>
    </xf>
    <xf numFmtId="0" fontId="48" fillId="0" borderId="38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19" fillId="0" borderId="65" xfId="101" applyFont="1" applyBorder="1">
      <alignment/>
      <protection/>
    </xf>
    <xf numFmtId="3" fontId="19" fillId="0" borderId="44" xfId="101" applyNumberFormat="1" applyFont="1" applyBorder="1" applyAlignment="1">
      <alignment horizontal="right"/>
      <protection/>
    </xf>
    <xf numFmtId="3" fontId="19" fillId="0" borderId="73" xfId="101" applyNumberFormat="1" applyFont="1" applyBorder="1" applyAlignment="1">
      <alignment horizontal="right"/>
      <protection/>
    </xf>
    <xf numFmtId="0" fontId="57" fillId="0" borderId="0" xfId="101" applyFont="1" applyFill="1" applyAlignment="1">
      <alignment vertical="center"/>
      <protection/>
    </xf>
    <xf numFmtId="0" fontId="1" fillId="0" borderId="65" xfId="101" applyFont="1" applyBorder="1">
      <alignment/>
      <protection/>
    </xf>
    <xf numFmtId="3" fontId="1" fillId="0" borderId="52" xfId="101" applyNumberFormat="1" applyFont="1" applyBorder="1" applyAlignment="1">
      <alignment horizontal="right"/>
      <protection/>
    </xf>
    <xf numFmtId="3" fontId="1" fillId="0" borderId="39" xfId="101" applyNumberFormat="1" applyFont="1" applyBorder="1" applyAlignment="1">
      <alignment horizontal="right"/>
      <protection/>
    </xf>
    <xf numFmtId="3" fontId="19" fillId="0" borderId="52" xfId="101" applyNumberFormat="1" applyFont="1" applyBorder="1" applyAlignment="1">
      <alignment horizontal="right"/>
      <protection/>
    </xf>
    <xf numFmtId="3" fontId="19" fillId="0" borderId="39" xfId="101" applyNumberFormat="1" applyFont="1" applyBorder="1" applyAlignment="1">
      <alignment horizontal="right"/>
      <protection/>
    </xf>
    <xf numFmtId="0" fontId="19" fillId="0" borderId="27" xfId="101" applyFont="1" applyBorder="1">
      <alignment/>
      <protection/>
    </xf>
    <xf numFmtId="0" fontId="19" fillId="0" borderId="36" xfId="101" applyFont="1" applyBorder="1">
      <alignment/>
      <protection/>
    </xf>
    <xf numFmtId="3" fontId="19" fillId="0" borderId="63" xfId="101" applyNumberFormat="1" applyFont="1" applyBorder="1" applyAlignment="1">
      <alignment horizontal="right"/>
      <protection/>
    </xf>
    <xf numFmtId="3" fontId="19" fillId="0" borderId="75" xfId="101" applyNumberFormat="1" applyFont="1" applyBorder="1" applyAlignment="1">
      <alignment horizontal="right"/>
      <protection/>
    </xf>
    <xf numFmtId="0" fontId="19" fillId="50" borderId="19" xfId="101" applyFont="1" applyFill="1" applyBorder="1" applyAlignment="1">
      <alignment vertical="center"/>
      <protection/>
    </xf>
    <xf numFmtId="3" fontId="19" fillId="50" borderId="38" xfId="101" applyNumberFormat="1" applyFont="1" applyFill="1" applyBorder="1" applyAlignment="1">
      <alignment horizontal="right" vertical="center"/>
      <protection/>
    </xf>
    <xf numFmtId="0" fontId="1" fillId="0" borderId="0" xfId="101" applyFill="1" applyAlignment="1">
      <alignment vertical="center"/>
      <protection/>
    </xf>
    <xf numFmtId="0" fontId="19" fillId="0" borderId="33" xfId="101" applyFont="1" applyBorder="1">
      <alignment/>
      <protection/>
    </xf>
    <xf numFmtId="3" fontId="19" fillId="50" borderId="38" xfId="101" applyNumberFormat="1" applyFont="1" applyFill="1" applyBorder="1" applyAlignment="1">
      <alignment vertical="center"/>
      <protection/>
    </xf>
    <xf numFmtId="0" fontId="19" fillId="50" borderId="19" xfId="101" applyFont="1" applyFill="1" applyBorder="1">
      <alignment/>
      <protection/>
    </xf>
    <xf numFmtId="3" fontId="19" fillId="50" borderId="38" xfId="101" applyNumberFormat="1" applyFont="1" applyFill="1" applyBorder="1">
      <alignment/>
      <protection/>
    </xf>
    <xf numFmtId="0" fontId="1" fillId="0" borderId="72" xfId="101" applyFont="1" applyFill="1" applyBorder="1">
      <alignment/>
      <protection/>
    </xf>
    <xf numFmtId="3" fontId="1" fillId="0" borderId="44" xfId="101" applyNumberFormat="1" applyFont="1" applyFill="1" applyBorder="1">
      <alignment/>
      <protection/>
    </xf>
    <xf numFmtId="0" fontId="1" fillId="0" borderId="40" xfId="101" applyFont="1" applyFill="1" applyBorder="1">
      <alignment/>
      <protection/>
    </xf>
    <xf numFmtId="3" fontId="1" fillId="0" borderId="46" xfId="101" applyNumberFormat="1" applyFont="1" applyFill="1" applyBorder="1">
      <alignment/>
      <protection/>
    </xf>
    <xf numFmtId="0" fontId="19" fillId="50" borderId="23" xfId="101" applyFont="1" applyFill="1" applyBorder="1">
      <alignment/>
      <protection/>
    </xf>
    <xf numFmtId="0" fontId="19" fillId="50" borderId="72" xfId="101" applyFont="1" applyFill="1" applyBorder="1">
      <alignment/>
      <protection/>
    </xf>
    <xf numFmtId="3" fontId="19" fillId="50" borderId="44" xfId="101" applyNumberFormat="1" applyFont="1" applyFill="1" applyBorder="1">
      <alignment/>
      <protection/>
    </xf>
    <xf numFmtId="0" fontId="19" fillId="0" borderId="0" xfId="101" applyFont="1" applyFill="1">
      <alignment/>
      <protection/>
    </xf>
    <xf numFmtId="3" fontId="19" fillId="0" borderId="52" xfId="101" applyNumberFormat="1" applyFont="1" applyBorder="1">
      <alignment/>
      <protection/>
    </xf>
    <xf numFmtId="3" fontId="19" fillId="0" borderId="46" xfId="101" applyNumberFormat="1" applyFont="1" applyBorder="1">
      <alignment/>
      <protection/>
    </xf>
    <xf numFmtId="0" fontId="90" fillId="0" borderId="30" xfId="101" applyFont="1" applyBorder="1" applyAlignment="1">
      <alignment vertical="center"/>
      <protection/>
    </xf>
    <xf numFmtId="3" fontId="90" fillId="0" borderId="54" xfId="101" applyNumberFormat="1" applyFont="1" applyBorder="1" applyAlignment="1">
      <alignment vertical="center"/>
      <protection/>
    </xf>
    <xf numFmtId="3" fontId="90" fillId="0" borderId="42" xfId="101" applyNumberFormat="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76" xfId="101" applyFont="1" applyFill="1" applyBorder="1">
      <alignment/>
      <protection/>
    </xf>
    <xf numFmtId="3" fontId="1" fillId="0" borderId="54" xfId="101" applyNumberFormat="1" applyFont="1" applyFill="1" applyBorder="1">
      <alignment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0" fontId="94" fillId="0" borderId="36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/>
      <protection/>
    </xf>
    <xf numFmtId="0" fontId="91" fillId="0" borderId="28" xfId="103" applyFont="1" applyFill="1" applyBorder="1" applyAlignment="1">
      <alignment vertical="center" wrapText="1"/>
      <protection/>
    </xf>
    <xf numFmtId="0" fontId="91" fillId="0" borderId="34" xfId="103" applyFont="1" applyFill="1" applyBorder="1" applyAlignment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73" xfId="0" applyFont="1" applyBorder="1" applyAlignment="1">
      <alignment/>
    </xf>
    <xf numFmtId="3" fontId="97" fillId="11" borderId="82" xfId="103" applyNumberFormat="1" applyFont="1" applyFill="1" applyBorder="1" applyAlignment="1">
      <alignment horizontal="right" vertical="center" wrapText="1"/>
      <protection/>
    </xf>
    <xf numFmtId="10" fontId="79" fillId="0" borderId="46" xfId="103" applyNumberFormat="1" applyFont="1" applyBorder="1" applyAlignment="1">
      <alignment horizontal="right" vertical="center" wrapText="1"/>
      <protection/>
    </xf>
    <xf numFmtId="10" fontId="79" fillId="0" borderId="63" xfId="103" applyNumberFormat="1" applyFont="1" applyBorder="1" applyAlignment="1">
      <alignment horizontal="right" vertical="center" wrapText="1"/>
      <protection/>
    </xf>
    <xf numFmtId="3" fontId="78" fillId="11" borderId="63" xfId="103" applyNumberFormat="1" applyFont="1" applyFill="1" applyBorder="1" applyAlignment="1">
      <alignment horizontal="center" vertical="center" wrapText="1"/>
      <protection/>
    </xf>
    <xf numFmtId="3" fontId="78" fillId="11" borderId="44" xfId="103" applyNumberFormat="1" applyFont="1" applyFill="1" applyBorder="1" applyAlignment="1">
      <alignment horizontal="center" vertical="center" wrapText="1"/>
      <protection/>
    </xf>
    <xf numFmtId="0" fontId="78" fillId="11" borderId="33" xfId="103" applyFont="1" applyFill="1" applyBorder="1" applyAlignment="1">
      <alignment horizontal="center" vertical="center" wrapText="1"/>
      <protection/>
    </xf>
    <xf numFmtId="0" fontId="78" fillId="11" borderId="44" xfId="103" applyFont="1" applyFill="1" applyBorder="1" applyAlignment="1">
      <alignment horizontal="center" vertical="center" wrapText="1"/>
      <protection/>
    </xf>
    <xf numFmtId="0" fontId="14" fillId="0" borderId="39" xfId="103" applyFont="1" applyBorder="1">
      <alignment/>
      <protection/>
    </xf>
    <xf numFmtId="3" fontId="84" fillId="0" borderId="92" xfId="103" applyNumberFormat="1" applyFont="1" applyBorder="1" applyAlignment="1">
      <alignment horizontal="right"/>
      <protection/>
    </xf>
    <xf numFmtId="0" fontId="14" fillId="0" borderId="75" xfId="103" applyFont="1" applyBorder="1">
      <alignment/>
      <protection/>
    </xf>
    <xf numFmtId="0" fontId="76" fillId="51" borderId="76" xfId="103" applyFont="1" applyFill="1" applyBorder="1" applyAlignment="1">
      <alignment wrapText="1"/>
      <protection/>
    </xf>
    <xf numFmtId="3" fontId="85" fillId="51" borderId="54" xfId="103" applyNumberFormat="1" applyFont="1" applyFill="1" applyBorder="1" applyAlignment="1">
      <alignment horizontal="right"/>
      <protection/>
    </xf>
    <xf numFmtId="0" fontId="14" fillId="51" borderId="42" xfId="103" applyFont="1" applyFill="1" applyBorder="1">
      <alignment/>
      <protection/>
    </xf>
    <xf numFmtId="0" fontId="76" fillId="51" borderId="76" xfId="103" applyFont="1" applyFill="1" applyBorder="1" applyAlignment="1">
      <alignment vertical="center" wrapText="1"/>
      <protection/>
    </xf>
    <xf numFmtId="3" fontId="85" fillId="51" borderId="54" xfId="68" applyNumberFormat="1" applyFont="1" applyFill="1" applyBorder="1" applyAlignment="1" applyProtection="1">
      <alignment horizontal="right" vertical="center"/>
      <protection/>
    </xf>
    <xf numFmtId="3" fontId="85" fillId="51" borderId="42" xfId="68" applyNumberFormat="1" applyFont="1" applyFill="1" applyBorder="1" applyAlignment="1" applyProtection="1">
      <alignment horizontal="right" vertical="center"/>
      <protection/>
    </xf>
    <xf numFmtId="0" fontId="99" fillId="35" borderId="38" xfId="103" applyFont="1" applyFill="1" applyBorder="1" applyAlignment="1">
      <alignment horizontal="center" vertical="center"/>
      <protection/>
    </xf>
    <xf numFmtId="3" fontId="88" fillId="0" borderId="93" xfId="106" applyNumberFormat="1" applyFont="1" applyFill="1" applyBorder="1" applyAlignment="1">
      <alignment horizontal="right" vertical="center" wrapText="1"/>
      <protection/>
    </xf>
    <xf numFmtId="0" fontId="1" fillId="0" borderId="29" xfId="101" applyFill="1" applyBorder="1">
      <alignment/>
      <protection/>
    </xf>
    <xf numFmtId="0" fontId="1" fillId="0" borderId="35" xfId="101" applyFill="1" applyBorder="1">
      <alignment/>
      <protection/>
    </xf>
    <xf numFmtId="3" fontId="100" fillId="0" borderId="39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0" fontId="29" fillId="0" borderId="78" xfId="106" applyFont="1" applyFill="1" applyBorder="1" applyAlignment="1" applyProtection="1">
      <alignment horizontal="left" vertical="center" wrapText="1"/>
      <protection/>
    </xf>
    <xf numFmtId="166" fontId="29" fillId="0" borderId="38" xfId="106" applyNumberFormat="1" applyFont="1" applyFill="1" applyBorder="1" applyAlignment="1" applyProtection="1">
      <alignment horizontal="right" vertical="center" wrapText="1"/>
      <protection/>
    </xf>
    <xf numFmtId="0" fontId="16" fillId="0" borderId="0" xfId="106" applyFont="1" applyFill="1">
      <alignment/>
      <protection/>
    </xf>
    <xf numFmtId="3" fontId="16" fillId="0" borderId="0" xfId="106" applyNumberFormat="1" applyFont="1" applyFill="1" applyBorder="1">
      <alignment/>
      <protection/>
    </xf>
    <xf numFmtId="166" fontId="16" fillId="0" borderId="0" xfId="106" applyNumberFormat="1" applyFont="1" applyFill="1" applyBorder="1">
      <alignment/>
      <protection/>
    </xf>
    <xf numFmtId="166" fontId="49" fillId="0" borderId="0" xfId="106" applyNumberFormat="1" applyFont="1" applyFill="1" applyBorder="1" applyAlignment="1" applyProtection="1">
      <alignment horizontal="left" vertical="center"/>
      <protection/>
    </xf>
    <xf numFmtId="0" fontId="16" fillId="0" borderId="88" xfId="106" applyFont="1" applyFill="1" applyBorder="1" applyAlignment="1" applyProtection="1">
      <alignment horizontal="left" vertical="center" wrapText="1"/>
      <protection/>
    </xf>
    <xf numFmtId="166" fontId="29" fillId="0" borderId="51" xfId="106" applyNumberFormat="1" applyFont="1" applyFill="1" applyBorder="1" applyAlignment="1" applyProtection="1">
      <alignment horizontal="right" vertical="center" wrapText="1"/>
      <protection/>
    </xf>
    <xf numFmtId="0" fontId="16" fillId="0" borderId="56" xfId="106" applyFont="1" applyFill="1" applyBorder="1" applyAlignment="1" applyProtection="1">
      <alignment horizontal="left" vertical="center" wrapText="1"/>
      <protection/>
    </xf>
    <xf numFmtId="166" fontId="29" fillId="0" borderId="52" xfId="106" applyNumberFormat="1" applyFont="1" applyFill="1" applyBorder="1" applyAlignment="1" applyProtection="1">
      <alignment horizontal="right" vertical="center" wrapText="1"/>
      <protection/>
    </xf>
    <xf numFmtId="0" fontId="16" fillId="0" borderId="94" xfId="106" applyFont="1" applyFill="1" applyBorder="1" applyAlignment="1" applyProtection="1">
      <alignment horizontal="left" vertical="center" wrapText="1"/>
      <protection/>
    </xf>
    <xf numFmtId="166" fontId="29" fillId="0" borderId="53" xfId="106" applyNumberFormat="1" applyFont="1" applyFill="1" applyBorder="1" applyAlignment="1" applyProtection="1">
      <alignment horizontal="right" vertical="center" wrapText="1"/>
      <protection/>
    </xf>
    <xf numFmtId="49" fontId="16" fillId="0" borderId="0" xfId="106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106" applyFont="1" applyFill="1" applyBorder="1" applyAlignment="1" applyProtection="1">
      <alignment horizontal="left" indent="5"/>
      <protection/>
    </xf>
    <xf numFmtId="3" fontId="16" fillId="0" borderId="0" xfId="106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6" fontId="49" fillId="0" borderId="50" xfId="106" applyNumberFormat="1" applyFont="1" applyFill="1" applyBorder="1" applyAlignment="1" applyProtection="1">
      <alignment horizontal="left" vertical="center"/>
      <protection/>
    </xf>
    <xf numFmtId="3" fontId="29" fillId="0" borderId="51" xfId="106" applyNumberFormat="1" applyFont="1" applyFill="1" applyBorder="1" applyAlignment="1" applyProtection="1">
      <alignment horizontal="right" vertical="center" wrapText="1"/>
      <protection/>
    </xf>
    <xf numFmtId="3" fontId="29" fillId="0" borderId="52" xfId="106" applyNumberFormat="1" applyFont="1" applyFill="1" applyBorder="1" applyAlignment="1" applyProtection="1">
      <alignment horizontal="right" vertical="center" wrapText="1"/>
      <protection/>
    </xf>
    <xf numFmtId="0" fontId="16" fillId="0" borderId="57" xfId="106" applyFont="1" applyFill="1" applyBorder="1" applyAlignment="1" applyProtection="1">
      <alignment horizontal="left" vertical="center" wrapText="1"/>
      <protection/>
    </xf>
    <xf numFmtId="3" fontId="29" fillId="0" borderId="54" xfId="106" applyNumberFormat="1" applyFont="1" applyFill="1" applyBorder="1" applyAlignment="1" applyProtection="1">
      <alignment horizontal="right" vertical="center" wrapText="1"/>
      <protection/>
    </xf>
    <xf numFmtId="3" fontId="16" fillId="0" borderId="0" xfId="106" applyNumberFormat="1" applyFont="1" applyFill="1">
      <alignment/>
      <protection/>
    </xf>
    <xf numFmtId="0" fontId="49" fillId="0" borderId="0" xfId="106" applyFont="1" applyFill="1" applyBorder="1" applyAlignment="1">
      <alignment horizontal="left"/>
      <protection/>
    </xf>
    <xf numFmtId="0" fontId="29" fillId="0" borderId="51" xfId="106" applyFont="1" applyFill="1" applyBorder="1" applyAlignment="1">
      <alignment horizontal="left"/>
      <protection/>
    </xf>
    <xf numFmtId="3" fontId="29" fillId="0" borderId="51" xfId="106" applyNumberFormat="1" applyFont="1" applyFill="1" applyBorder="1">
      <alignment/>
      <protection/>
    </xf>
    <xf numFmtId="3" fontId="14" fillId="0" borderId="69" xfId="103" applyNumberFormat="1" applyFont="1" applyFill="1" applyBorder="1" applyAlignment="1">
      <alignment vertical="center"/>
      <protection/>
    </xf>
    <xf numFmtId="3" fontId="30" fillId="35" borderId="0" xfId="0" applyNumberFormat="1" applyFont="1" applyFill="1" applyBorder="1" applyAlignment="1">
      <alignment horizontal="right" vertical="center" wrapText="1"/>
    </xf>
    <xf numFmtId="3" fontId="100" fillId="35" borderId="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25" fillId="0" borderId="24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26" fillId="0" borderId="22" xfId="0" applyFont="1" applyBorder="1" applyAlignment="1">
      <alignment/>
    </xf>
    <xf numFmtId="3" fontId="84" fillId="0" borderId="46" xfId="103" applyNumberFormat="1" applyFont="1" applyFill="1" applyBorder="1" applyAlignment="1">
      <alignment horizontal="right"/>
      <protection/>
    </xf>
    <xf numFmtId="3" fontId="83" fillId="0" borderId="95" xfId="103" applyNumberFormat="1" applyFont="1" applyFill="1" applyBorder="1" applyAlignment="1">
      <alignment vertical="center"/>
      <protection/>
    </xf>
    <xf numFmtId="3" fontId="38" fillId="0" borderId="96" xfId="106" applyNumberFormat="1" applyFont="1" applyFill="1" applyBorder="1" applyAlignment="1">
      <alignment vertical="center"/>
      <protection/>
    </xf>
    <xf numFmtId="3" fontId="38" fillId="0" borderId="97" xfId="106" applyNumberFormat="1" applyFont="1" applyFill="1" applyBorder="1" applyAlignment="1">
      <alignment vertical="center"/>
      <protection/>
    </xf>
    <xf numFmtId="3" fontId="38" fillId="0" borderId="98" xfId="106" applyNumberFormat="1" applyFont="1" applyFill="1" applyBorder="1" applyAlignment="1">
      <alignment vertical="center"/>
      <protection/>
    </xf>
    <xf numFmtId="3" fontId="34" fillId="0" borderId="99" xfId="107" applyNumberFormat="1" applyFont="1" applyFill="1" applyBorder="1" applyProtection="1">
      <alignment/>
      <protection/>
    </xf>
    <xf numFmtId="3" fontId="34" fillId="0" borderId="100" xfId="107" applyNumberFormat="1" applyFont="1" applyFill="1" applyBorder="1" applyProtection="1">
      <alignment/>
      <protection/>
    </xf>
    <xf numFmtId="0" fontId="34" fillId="0" borderId="101" xfId="106" applyFont="1" applyFill="1" applyBorder="1" applyAlignment="1" applyProtection="1">
      <alignment horizontal="left" vertical="center" wrapText="1" indent="1"/>
      <protection/>
    </xf>
    <xf numFmtId="49" fontId="34" fillId="0" borderId="102" xfId="106" applyNumberFormat="1" applyFont="1" applyFill="1" applyBorder="1" applyAlignment="1" applyProtection="1">
      <alignment horizontal="left" vertical="center" wrapText="1" indent="1"/>
      <protection/>
    </xf>
    <xf numFmtId="49" fontId="34" fillId="0" borderId="103" xfId="106" applyNumberFormat="1" applyFont="1" applyFill="1" applyBorder="1" applyAlignment="1" applyProtection="1">
      <alignment horizontal="left" vertical="center" wrapText="1" indent="1"/>
      <protection/>
    </xf>
    <xf numFmtId="49" fontId="39" fillId="0" borderId="102" xfId="106" applyNumberFormat="1" applyFont="1" applyFill="1" applyBorder="1" applyAlignment="1" applyProtection="1">
      <alignment horizontal="left" vertical="center" wrapText="1"/>
      <protection/>
    </xf>
    <xf numFmtId="3" fontId="38" fillId="0" borderId="104" xfId="106" applyNumberFormat="1" applyFont="1" applyFill="1" applyBorder="1">
      <alignment/>
      <protection/>
    </xf>
    <xf numFmtId="49" fontId="38" fillId="0" borderId="102" xfId="106" applyNumberFormat="1" applyFont="1" applyFill="1" applyBorder="1" applyAlignment="1">
      <alignment horizontal="left"/>
      <protection/>
    </xf>
    <xf numFmtId="49" fontId="38" fillId="0" borderId="102" xfId="106" applyNumberFormat="1" applyFont="1" applyFill="1" applyBorder="1" applyAlignment="1" applyProtection="1">
      <alignment horizontal="left" vertical="center" wrapText="1"/>
      <protection/>
    </xf>
    <xf numFmtId="166" fontId="38" fillId="0" borderId="104" xfId="106" applyNumberFormat="1" applyFont="1" applyFill="1" applyBorder="1">
      <alignment/>
      <protection/>
    </xf>
    <xf numFmtId="49" fontId="39" fillId="0" borderId="103" xfId="106" applyNumberFormat="1" applyFont="1" applyFill="1" applyBorder="1" applyAlignment="1">
      <alignment horizontal="left"/>
      <protection/>
    </xf>
    <xf numFmtId="3" fontId="38" fillId="0" borderId="105" xfId="106" applyNumberFormat="1" applyFont="1" applyFill="1" applyBorder="1">
      <alignment/>
      <protection/>
    </xf>
    <xf numFmtId="166" fontId="29" fillId="0" borderId="54" xfId="106" applyNumberFormat="1" applyFont="1" applyFill="1" applyBorder="1" applyAlignment="1" applyProtection="1">
      <alignment horizontal="right" vertical="center" wrapText="1"/>
      <protection/>
    </xf>
    <xf numFmtId="166" fontId="16" fillId="0" borderId="51" xfId="106" applyNumberFormat="1" applyFont="1" applyFill="1" applyBorder="1" applyAlignment="1" applyProtection="1">
      <alignment horizontal="right" vertical="center" wrapText="1"/>
      <protection/>
    </xf>
    <xf numFmtId="166" fontId="16" fillId="0" borderId="52" xfId="106" applyNumberFormat="1" applyFont="1" applyFill="1" applyBorder="1" applyAlignment="1" applyProtection="1">
      <alignment horizontal="right" vertical="center" wrapText="1"/>
      <protection/>
    </xf>
    <xf numFmtId="0" fontId="34" fillId="0" borderId="76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left" vertical="center" wrapText="1" indent="1"/>
      <protection/>
    </xf>
    <xf numFmtId="166" fontId="34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67" xfId="0" applyFont="1" applyFill="1" applyBorder="1" applyAlignment="1" applyProtection="1">
      <alignment horizontal="left" vertical="center" wrapText="1" indent="1"/>
      <protection/>
    </xf>
    <xf numFmtId="166" fontId="34" fillId="0" borderId="65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0" applyFont="1" applyFill="1" applyBorder="1" applyAlignment="1" applyProtection="1">
      <alignment horizontal="left" vertical="center" wrapText="1" indent="1"/>
      <protection/>
    </xf>
    <xf numFmtId="166" fontId="34" fillId="0" borderId="76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106" xfId="106" applyNumberFormat="1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 wrapText="1"/>
    </xf>
    <xf numFmtId="0" fontId="76" fillId="0" borderId="0" xfId="103" applyFont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6" fontId="3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1" fillId="0" borderId="62" xfId="103" applyFont="1" applyFill="1" applyBorder="1" applyAlignment="1">
      <alignment wrapText="1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14" fillId="0" borderId="74" xfId="103" applyFont="1" applyBorder="1">
      <alignment/>
      <protection/>
    </xf>
    <xf numFmtId="3" fontId="83" fillId="0" borderId="73" xfId="103" applyNumberFormat="1" applyFont="1" applyFill="1" applyBorder="1" applyAlignment="1">
      <alignment vertical="center"/>
      <protection/>
    </xf>
    <xf numFmtId="3" fontId="86" fillId="35" borderId="69" xfId="103" applyNumberFormat="1" applyFont="1" applyFill="1" applyBorder="1" applyAlignment="1">
      <alignment horizontal="center" vertical="center"/>
      <protection/>
    </xf>
    <xf numFmtId="0" fontId="57" fillId="0" borderId="21" xfId="101" applyFont="1" applyFill="1" applyBorder="1" applyAlignment="1">
      <alignment vertical="center"/>
      <protection/>
    </xf>
    <xf numFmtId="3" fontId="1" fillId="0" borderId="51" xfId="101" applyNumberFormat="1" applyFont="1" applyBorder="1" applyAlignment="1">
      <alignment horizontal="right"/>
      <protection/>
    </xf>
    <xf numFmtId="0" fontId="19" fillId="0" borderId="38" xfId="101" applyFont="1" applyFill="1" applyBorder="1" applyAlignment="1">
      <alignment horizontal="center"/>
      <protection/>
    </xf>
    <xf numFmtId="0" fontId="19" fillId="0" borderId="22" xfId="101" applyFont="1" applyFill="1" applyBorder="1" applyAlignment="1">
      <alignment horizontal="center"/>
      <protection/>
    </xf>
    <xf numFmtId="3" fontId="1" fillId="0" borderId="69" xfId="101" applyNumberFormat="1" applyFont="1" applyBorder="1" applyAlignment="1">
      <alignment horizontal="right"/>
      <protection/>
    </xf>
    <xf numFmtId="0" fontId="57" fillId="0" borderId="65" xfId="101" applyFont="1" applyFill="1" applyBorder="1" applyAlignment="1">
      <alignment vertical="center"/>
      <protection/>
    </xf>
    <xf numFmtId="3" fontId="19" fillId="50" borderId="22" xfId="101" applyNumberFormat="1" applyFont="1" applyFill="1" applyBorder="1" applyAlignment="1">
      <alignment horizontal="right" vertical="center"/>
      <protection/>
    </xf>
    <xf numFmtId="3" fontId="19" fillId="50" borderId="22" xfId="101" applyNumberFormat="1" applyFont="1" applyFill="1" applyBorder="1" applyAlignment="1">
      <alignment vertical="center"/>
      <protection/>
    </xf>
    <xf numFmtId="3" fontId="19" fillId="50" borderId="22" xfId="101" applyNumberFormat="1" applyFont="1" applyFill="1" applyBorder="1">
      <alignment/>
      <protection/>
    </xf>
    <xf numFmtId="3" fontId="1" fillId="0" borderId="73" xfId="101" applyNumberFormat="1" applyFont="1" applyFill="1" applyBorder="1">
      <alignment/>
      <protection/>
    </xf>
    <xf numFmtId="3" fontId="1" fillId="0" borderId="92" xfId="101" applyNumberFormat="1" applyFont="1" applyFill="1" applyBorder="1">
      <alignment/>
      <protection/>
    </xf>
    <xf numFmtId="3" fontId="1" fillId="0" borderId="42" xfId="101" applyNumberFormat="1" applyFont="1" applyFill="1" applyBorder="1">
      <alignment/>
      <protection/>
    </xf>
    <xf numFmtId="3" fontId="19" fillId="50" borderId="73" xfId="101" applyNumberFormat="1" applyFont="1" applyFill="1" applyBorder="1">
      <alignment/>
      <protection/>
    </xf>
    <xf numFmtId="3" fontId="25" fillId="35" borderId="22" xfId="0" applyNumberFormat="1" applyFont="1" applyFill="1" applyBorder="1" applyAlignment="1">
      <alignment horizontal="right" vertical="center" wrapText="1"/>
    </xf>
    <xf numFmtId="3" fontId="24" fillId="35" borderId="64" xfId="0" applyNumberFormat="1" applyFont="1" applyFill="1" applyBorder="1" applyAlignment="1">
      <alignment horizontal="right" vertical="center" wrapText="1"/>
    </xf>
    <xf numFmtId="3" fontId="24" fillId="35" borderId="39" xfId="0" applyNumberFormat="1" applyFont="1" applyFill="1" applyBorder="1" applyAlignment="1">
      <alignment horizontal="right" vertical="center" wrapText="1"/>
    </xf>
    <xf numFmtId="3" fontId="24" fillId="35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4" fillId="0" borderId="73" xfId="0" applyNumberFormat="1" applyFont="1" applyFill="1" applyBorder="1" applyAlignment="1">
      <alignment vertical="center"/>
    </xf>
    <xf numFmtId="3" fontId="24" fillId="0" borderId="92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35" borderId="42" xfId="0" applyNumberFormat="1" applyFont="1" applyFill="1" applyBorder="1" applyAlignment="1">
      <alignment horizontal="right" vertical="center" wrapText="1"/>
    </xf>
    <xf numFmtId="0" fontId="26" fillId="0" borderId="108" xfId="0" applyFont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100" fillId="0" borderId="73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22" xfId="0" applyNumberFormat="1" applyFont="1" applyFill="1" applyBorder="1" applyAlignment="1">
      <alignment horizontal="right" vertical="center"/>
    </xf>
    <xf numFmtId="3" fontId="100" fillId="0" borderId="92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100" fillId="0" borderId="69" xfId="0" applyNumberFormat="1" applyFont="1" applyFill="1" applyBorder="1" applyAlignment="1">
      <alignment vertical="center"/>
    </xf>
    <xf numFmtId="3" fontId="100" fillId="0" borderId="39" xfId="0" applyNumberFormat="1" applyFont="1" applyFill="1" applyBorder="1" applyAlignment="1">
      <alignment vertical="center"/>
    </xf>
    <xf numFmtId="3" fontId="100" fillId="0" borderId="42" xfId="0" applyNumberFormat="1" applyFont="1" applyFill="1" applyBorder="1" applyAlignment="1">
      <alignment vertical="center"/>
    </xf>
    <xf numFmtId="0" fontId="0" fillId="0" borderId="109" xfId="0" applyFont="1" applyBorder="1" applyAlignment="1">
      <alignment wrapText="1"/>
    </xf>
    <xf numFmtId="3" fontId="30" fillId="35" borderId="22" xfId="0" applyNumberFormat="1" applyFont="1" applyFill="1" applyBorder="1" applyAlignment="1">
      <alignment horizontal="right" vertical="center" wrapText="1"/>
    </xf>
    <xf numFmtId="3" fontId="100" fillId="35" borderId="69" xfId="0" applyNumberFormat="1" applyFont="1" applyFill="1" applyBorder="1" applyAlignment="1">
      <alignment horizontal="right" vertical="center" wrapText="1"/>
    </xf>
    <xf numFmtId="3" fontId="100" fillId="35" borderId="39" xfId="0" applyNumberFormat="1" applyFont="1" applyFill="1" applyBorder="1" applyAlignment="1">
      <alignment horizontal="right" vertical="center" wrapText="1"/>
    </xf>
    <xf numFmtId="3" fontId="100" fillId="35" borderId="73" xfId="0" applyNumberFormat="1" applyFont="1" applyFill="1" applyBorder="1" applyAlignment="1">
      <alignment horizontal="right" vertical="center" wrapText="1"/>
    </xf>
    <xf numFmtId="3" fontId="100" fillId="0" borderId="75" xfId="0" applyNumberFormat="1" applyFont="1" applyFill="1" applyBorder="1" applyAlignment="1">
      <alignment horizontal="right" vertical="center"/>
    </xf>
    <xf numFmtId="3" fontId="100" fillId="0" borderId="73" xfId="0" applyNumberFormat="1" applyFont="1" applyFill="1" applyBorder="1" applyAlignment="1">
      <alignment horizontal="right" vertical="center"/>
    </xf>
    <xf numFmtId="3" fontId="100" fillId="0" borderId="92" xfId="0" applyNumberFormat="1" applyFont="1" applyFill="1" applyBorder="1" applyAlignment="1">
      <alignment vertical="center"/>
    </xf>
    <xf numFmtId="3" fontId="30" fillId="0" borderId="73" xfId="0" applyNumberFormat="1" applyFont="1" applyFill="1" applyBorder="1" applyAlignment="1">
      <alignment vertical="center"/>
    </xf>
    <xf numFmtId="3" fontId="100" fillId="35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10" xfId="0" applyNumberFormat="1" applyFont="1" applyFill="1" applyBorder="1" applyAlignment="1">
      <alignment horizontal="right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100" fillId="0" borderId="92" xfId="0" applyNumberFormat="1" applyFont="1" applyFill="1" applyBorder="1" applyAlignment="1">
      <alignment horizontal="right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92" xfId="0" applyNumberFormat="1" applyFont="1" applyFill="1" applyBorder="1" applyAlignment="1">
      <alignment vertical="center"/>
    </xf>
    <xf numFmtId="0" fontId="38" fillId="0" borderId="111" xfId="106" applyFont="1" applyFill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24" fillId="0" borderId="33" xfId="78" applyNumberFormat="1" applyFont="1" applyFill="1" applyBorder="1" applyAlignment="1" applyProtection="1">
      <alignment vertical="center" wrapText="1"/>
      <protection/>
    </xf>
    <xf numFmtId="0" fontId="24" fillId="0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10" fontId="21" fillId="0" borderId="94" xfId="0" applyNumberFormat="1" applyFont="1" applyBorder="1" applyAlignment="1">
      <alignment vertical="center"/>
    </xf>
    <xf numFmtId="3" fontId="25" fillId="0" borderId="112" xfId="0" applyNumberFormat="1" applyFont="1" applyFill="1" applyBorder="1" applyAlignment="1">
      <alignment vertical="center"/>
    </xf>
    <xf numFmtId="3" fontId="24" fillId="0" borderId="113" xfId="0" applyNumberFormat="1" applyFont="1" applyFill="1" applyBorder="1" applyAlignment="1">
      <alignment vertical="center"/>
    </xf>
    <xf numFmtId="3" fontId="24" fillId="0" borderId="113" xfId="0" applyNumberFormat="1" applyFont="1" applyBorder="1" applyAlignment="1">
      <alignment vertical="center"/>
    </xf>
    <xf numFmtId="3" fontId="24" fillId="0" borderId="114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3" fontId="25" fillId="0" borderId="112" xfId="0" applyNumberFormat="1" applyFont="1" applyBorder="1" applyAlignment="1">
      <alignment vertical="center"/>
    </xf>
    <xf numFmtId="3" fontId="24" fillId="0" borderId="114" xfId="0" applyNumberFormat="1" applyFont="1" applyFill="1" applyBorder="1" applyAlignment="1">
      <alignment vertical="center"/>
    </xf>
    <xf numFmtId="3" fontId="24" fillId="0" borderId="116" xfId="0" applyNumberFormat="1" applyFont="1" applyBorder="1" applyAlignment="1">
      <alignment vertical="center"/>
    </xf>
    <xf numFmtId="3" fontId="24" fillId="0" borderId="116" xfId="0" applyNumberFormat="1" applyFont="1" applyFill="1" applyBorder="1" applyAlignment="1">
      <alignment vertical="center"/>
    </xf>
    <xf numFmtId="3" fontId="32" fillId="0" borderId="112" xfId="0" applyNumberFormat="1" applyFont="1" applyFill="1" applyBorder="1" applyAlignment="1">
      <alignment vertical="center"/>
    </xf>
    <xf numFmtId="0" fontId="23" fillId="0" borderId="116" xfId="0" applyFont="1" applyBorder="1" applyAlignment="1">
      <alignment vertical="center"/>
    </xf>
    <xf numFmtId="3" fontId="25" fillId="0" borderId="112" xfId="0" applyNumberFormat="1" applyFont="1" applyFill="1" applyBorder="1" applyAlignment="1">
      <alignment horizontal="right" vertical="center"/>
    </xf>
    <xf numFmtId="3" fontId="24" fillId="0" borderId="117" xfId="0" applyNumberFormat="1" applyFont="1" applyFill="1" applyBorder="1" applyAlignment="1">
      <alignment vertical="center"/>
    </xf>
    <xf numFmtId="3" fontId="25" fillId="0" borderId="118" xfId="0" applyNumberFormat="1" applyFont="1" applyBorder="1" applyAlignment="1">
      <alignment vertical="center"/>
    </xf>
    <xf numFmtId="3" fontId="24" fillId="0" borderId="119" xfId="0" applyNumberFormat="1" applyFont="1" applyFill="1" applyBorder="1" applyAlignment="1">
      <alignment vertical="center"/>
    </xf>
    <xf numFmtId="3" fontId="24" fillId="0" borderId="120" xfId="0" applyNumberFormat="1" applyFont="1" applyFill="1" applyBorder="1" applyAlignment="1">
      <alignment vertical="center"/>
    </xf>
    <xf numFmtId="3" fontId="25" fillId="0" borderId="118" xfId="0" applyNumberFormat="1" applyFont="1" applyFill="1" applyBorder="1" applyAlignment="1">
      <alignment vertical="center"/>
    </xf>
    <xf numFmtId="3" fontId="23" fillId="0" borderId="100" xfId="0" applyNumberFormat="1" applyFont="1" applyBorder="1" applyAlignment="1">
      <alignment vertical="center"/>
    </xf>
    <xf numFmtId="3" fontId="21" fillId="0" borderId="121" xfId="0" applyNumberFormat="1" applyFont="1" applyBorder="1" applyAlignment="1">
      <alignment vertical="center"/>
    </xf>
    <xf numFmtId="3" fontId="21" fillId="0" borderId="122" xfId="0" applyNumberFormat="1" applyFont="1" applyBorder="1" applyAlignment="1">
      <alignment vertical="center"/>
    </xf>
    <xf numFmtId="0" fontId="21" fillId="0" borderId="122" xfId="0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3" fontId="23" fillId="0" borderId="112" xfId="0" applyNumberFormat="1" applyFont="1" applyBorder="1" applyAlignment="1">
      <alignment vertical="center"/>
    </xf>
    <xf numFmtId="3" fontId="21" fillId="0" borderId="112" xfId="0" applyNumberFormat="1" applyFont="1" applyBorder="1" applyAlignment="1">
      <alignment vertical="center"/>
    </xf>
    <xf numFmtId="3" fontId="23" fillId="0" borderId="122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vertical="center"/>
    </xf>
    <xf numFmtId="3" fontId="23" fillId="0" borderId="118" xfId="0" applyNumberFormat="1" applyFont="1" applyBorder="1" applyAlignment="1">
      <alignment vertical="center"/>
    </xf>
    <xf numFmtId="3" fontId="24" fillId="0" borderId="124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06" fillId="0" borderId="54" xfId="102" applyNumberFormat="1" applyFont="1" applyFill="1" applyBorder="1" applyAlignment="1">
      <alignment horizontal="center" vertical="center"/>
      <protection/>
    </xf>
    <xf numFmtId="3" fontId="106" fillId="0" borderId="57" xfId="102" applyNumberFormat="1" applyFont="1" applyFill="1" applyBorder="1" applyAlignment="1">
      <alignment horizontal="center" vertical="center"/>
      <protection/>
    </xf>
    <xf numFmtId="3" fontId="106" fillId="0" borderId="42" xfId="102" applyNumberFormat="1" applyFont="1" applyFill="1" applyBorder="1" applyAlignment="1">
      <alignment horizontal="center" vertical="center"/>
      <protection/>
    </xf>
    <xf numFmtId="3" fontId="65" fillId="0" borderId="72" xfId="102" applyNumberFormat="1" applyFont="1" applyBorder="1" applyAlignment="1">
      <alignment vertical="center" wrapText="1"/>
      <protection/>
    </xf>
    <xf numFmtId="3" fontId="65" fillId="0" borderId="65" xfId="102" applyNumberFormat="1" applyFont="1" applyBorder="1" applyAlignment="1">
      <alignment vertical="center" wrapText="1"/>
      <protection/>
    </xf>
    <xf numFmtId="3" fontId="65" fillId="0" borderId="62" xfId="102" applyNumberFormat="1" applyFont="1" applyBorder="1" applyAlignment="1">
      <alignment vertical="center" wrapText="1"/>
      <protection/>
    </xf>
    <xf numFmtId="3" fontId="65" fillId="0" borderId="76" xfId="102" applyNumberFormat="1" applyFont="1" applyBorder="1" applyAlignment="1">
      <alignment vertical="center" wrapText="1"/>
      <protection/>
    </xf>
    <xf numFmtId="3" fontId="64" fillId="0" borderId="58" xfId="102" applyNumberFormat="1" applyFont="1" applyBorder="1" applyAlignment="1">
      <alignment vertical="center" wrapText="1"/>
      <protection/>
    </xf>
    <xf numFmtId="3" fontId="64" fillId="0" borderId="53" xfId="102" applyNumberFormat="1" applyFont="1" applyBorder="1" applyAlignment="1">
      <alignment vertical="center"/>
      <protection/>
    </xf>
    <xf numFmtId="3" fontId="64" fillId="0" borderId="71" xfId="102" applyNumberFormat="1" applyFont="1" applyBorder="1" applyAlignment="1">
      <alignment vertical="center"/>
      <protection/>
    </xf>
    <xf numFmtId="3" fontId="26" fillId="0" borderId="0" xfId="102" applyNumberFormat="1" applyFont="1" applyAlignment="1">
      <alignment vertical="center"/>
      <protection/>
    </xf>
    <xf numFmtId="0" fontId="70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2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166" fontId="0" fillId="0" borderId="44" xfId="0" applyNumberFormat="1" applyBorder="1" applyAlignment="1" applyProtection="1">
      <alignment/>
      <protection locked="0"/>
    </xf>
    <xf numFmtId="166" fontId="0" fillId="0" borderId="73" xfId="0" applyNumberFormat="1" applyBorder="1" applyAlignment="1">
      <alignment/>
    </xf>
    <xf numFmtId="0" fontId="58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166" fontId="0" fillId="0" borderId="52" xfId="0" applyNumberFormat="1" applyBorder="1" applyAlignment="1" applyProtection="1">
      <alignment/>
      <protection locked="0"/>
    </xf>
    <xf numFmtId="166" fontId="0" fillId="0" borderId="39" xfId="0" applyNumberFormat="1" applyBorder="1" applyAlignment="1">
      <alignment/>
    </xf>
    <xf numFmtId="0" fontId="5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166" fontId="0" fillId="0" borderId="46" xfId="0" applyNumberFormat="1" applyBorder="1" applyAlignment="1" applyProtection="1">
      <alignment/>
      <protection locked="0"/>
    </xf>
    <xf numFmtId="166" fontId="0" fillId="0" borderId="92" xfId="0" applyNumberForma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6" fontId="52" fillId="0" borderId="38" xfId="0" applyNumberFormat="1" applyFont="1" applyBorder="1" applyAlignment="1">
      <alignment/>
    </xf>
    <xf numFmtId="166" fontId="52" fillId="0" borderId="22" xfId="0" applyNumberFormat="1" applyFont="1" applyBorder="1" applyAlignment="1">
      <alignment/>
    </xf>
    <xf numFmtId="0" fontId="0" fillId="0" borderId="125" xfId="0" applyBorder="1" applyAlignment="1">
      <alignment/>
    </xf>
    <xf numFmtId="0" fontId="53" fillId="0" borderId="125" xfId="0" applyFont="1" applyBorder="1" applyAlignment="1">
      <alignment horizontal="center"/>
    </xf>
    <xf numFmtId="10" fontId="25" fillId="0" borderId="126" xfId="0" applyNumberFormat="1" applyFont="1" applyFill="1" applyBorder="1" applyAlignment="1">
      <alignment horizontal="center" vertical="center" wrapText="1"/>
    </xf>
    <xf numFmtId="3" fontId="25" fillId="35" borderId="20" xfId="0" applyNumberFormat="1" applyFont="1" applyFill="1" applyBorder="1" applyAlignment="1">
      <alignment horizontal="right" vertical="center" wrapText="1"/>
    </xf>
    <xf numFmtId="0" fontId="24" fillId="0" borderId="109" xfId="0" applyFont="1" applyFill="1" applyBorder="1" applyAlignment="1">
      <alignment horizontal="center" vertical="center" wrapText="1"/>
    </xf>
    <xf numFmtId="3" fontId="84" fillId="52" borderId="46" xfId="103" applyNumberFormat="1" applyFont="1" applyFill="1" applyBorder="1" applyAlignment="1">
      <alignment horizontal="right"/>
      <protection/>
    </xf>
    <xf numFmtId="3" fontId="86" fillId="35" borderId="20" xfId="103" applyNumberFormat="1" applyFont="1" applyFill="1" applyBorder="1" applyAlignment="1">
      <alignment horizontal="center" vertical="center"/>
      <protection/>
    </xf>
    <xf numFmtId="3" fontId="136" fillId="0" borderId="46" xfId="103" applyNumberFormat="1" applyFont="1" applyBorder="1" applyAlignment="1">
      <alignment horizontal="right"/>
      <protection/>
    </xf>
    <xf numFmtId="2" fontId="43" fillId="0" borderId="0" xfId="103" applyNumberFormat="1" applyFont="1" applyFill="1" applyBorder="1" applyAlignment="1">
      <alignment horizontal="right" vertical="center"/>
      <protection/>
    </xf>
    <xf numFmtId="3" fontId="76" fillId="0" borderId="22" xfId="103" applyNumberFormat="1" applyFont="1" applyBorder="1" applyAlignment="1">
      <alignment horizontal="right" vertical="center"/>
      <protection/>
    </xf>
    <xf numFmtId="0" fontId="19" fillId="0" borderId="127" xfId="102" applyFont="1" applyBorder="1">
      <alignment/>
      <protection/>
    </xf>
    <xf numFmtId="3" fontId="1" fillId="0" borderId="0" xfId="101" applyNumberFormat="1" applyFill="1">
      <alignment/>
      <protection/>
    </xf>
    <xf numFmtId="0" fontId="19" fillId="0" borderId="19" xfId="101" applyFont="1" applyFill="1" applyBorder="1">
      <alignment/>
      <protection/>
    </xf>
    <xf numFmtId="3" fontId="19" fillId="0" borderId="38" xfId="101" applyNumberFormat="1" applyFont="1" applyFill="1" applyBorder="1">
      <alignment/>
      <protection/>
    </xf>
    <xf numFmtId="3" fontId="1" fillId="0" borderId="35" xfId="101" applyNumberFormat="1" applyFill="1" applyBorder="1">
      <alignment/>
      <protection/>
    </xf>
    <xf numFmtId="3" fontId="1" fillId="0" borderId="29" xfId="101" applyNumberFormat="1" applyFill="1" applyBorder="1">
      <alignment/>
      <protection/>
    </xf>
    <xf numFmtId="3" fontId="1" fillId="0" borderId="21" xfId="101" applyNumberFormat="1" applyFont="1" applyFill="1" applyBorder="1">
      <alignment/>
      <protection/>
    </xf>
    <xf numFmtId="3" fontId="24" fillId="0" borderId="128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100" fillId="0" borderId="89" xfId="0" applyNumberFormat="1" applyFont="1" applyFill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3" fontId="100" fillId="0" borderId="91" xfId="0" applyNumberFormat="1" applyFont="1" applyBorder="1" applyAlignment="1">
      <alignment vertical="center"/>
    </xf>
    <xf numFmtId="3" fontId="30" fillId="0" borderId="87" xfId="0" applyNumberFormat="1" applyFont="1" applyBorder="1" applyAlignment="1">
      <alignment vertical="center"/>
    </xf>
    <xf numFmtId="3" fontId="30" fillId="0" borderId="91" xfId="0" applyNumberFormat="1" applyFont="1" applyBorder="1" applyAlignment="1">
      <alignment vertical="center"/>
    </xf>
    <xf numFmtId="3" fontId="25" fillId="35" borderId="109" xfId="0" applyNumberFormat="1" applyFont="1" applyFill="1" applyBorder="1" applyAlignment="1">
      <alignment horizontal="right" vertical="center" wrapText="1"/>
    </xf>
    <xf numFmtId="3" fontId="30" fillId="35" borderId="109" xfId="0" applyNumberFormat="1" applyFont="1" applyFill="1" applyBorder="1" applyAlignment="1">
      <alignment horizontal="right" vertical="center" wrapText="1"/>
    </xf>
    <xf numFmtId="3" fontId="100" fillId="35" borderId="129" xfId="0" applyNumberFormat="1" applyFont="1" applyFill="1" applyBorder="1" applyAlignment="1">
      <alignment horizontal="right" vertical="center" wrapText="1"/>
    </xf>
    <xf numFmtId="3" fontId="100" fillId="35" borderId="130" xfId="0" applyNumberFormat="1" applyFont="1" applyFill="1" applyBorder="1" applyAlignment="1">
      <alignment horizontal="right" vertical="center" wrapText="1"/>
    </xf>
    <xf numFmtId="3" fontId="100" fillId="35" borderId="131" xfId="0" applyNumberFormat="1" applyFont="1" applyFill="1" applyBorder="1" applyAlignment="1">
      <alignment horizontal="right" vertical="center" wrapText="1"/>
    </xf>
    <xf numFmtId="3" fontId="100" fillId="35" borderId="132" xfId="0" applyNumberFormat="1" applyFont="1" applyFill="1" applyBorder="1" applyAlignment="1">
      <alignment horizontal="right" vertical="center" wrapText="1"/>
    </xf>
    <xf numFmtId="3" fontId="100" fillId="0" borderId="130" xfId="0" applyNumberFormat="1" applyFont="1" applyFill="1" applyBorder="1" applyAlignment="1">
      <alignment horizontal="right" vertical="center"/>
    </xf>
    <xf numFmtId="3" fontId="100" fillId="0" borderId="133" xfId="0" applyNumberFormat="1" applyFont="1" applyFill="1" applyBorder="1" applyAlignment="1">
      <alignment horizontal="right" vertical="center"/>
    </xf>
    <xf numFmtId="3" fontId="30" fillId="0" borderId="109" xfId="0" applyNumberFormat="1" applyFont="1" applyFill="1" applyBorder="1" applyAlignment="1">
      <alignment horizontal="right" vertical="center"/>
    </xf>
    <xf numFmtId="3" fontId="30" fillId="0" borderId="134" xfId="0" applyNumberFormat="1" applyFont="1" applyFill="1" applyBorder="1" applyAlignment="1">
      <alignment horizontal="right" vertical="center"/>
    </xf>
    <xf numFmtId="3" fontId="30" fillId="0" borderId="135" xfId="0" applyNumberFormat="1" applyFont="1" applyFill="1" applyBorder="1" applyAlignment="1">
      <alignment horizontal="right" vertical="center"/>
    </xf>
    <xf numFmtId="3" fontId="30" fillId="0" borderId="136" xfId="0" applyNumberFormat="1" applyFont="1" applyFill="1" applyBorder="1" applyAlignment="1">
      <alignment horizontal="right" vertical="center"/>
    </xf>
    <xf numFmtId="3" fontId="100" fillId="0" borderId="132" xfId="0" applyNumberFormat="1" applyFont="1" applyFill="1" applyBorder="1" applyAlignment="1">
      <alignment horizontal="right" vertical="center"/>
    </xf>
    <xf numFmtId="3" fontId="100" fillId="0" borderId="137" xfId="0" applyNumberFormat="1" applyFont="1" applyFill="1" applyBorder="1" applyAlignment="1">
      <alignment horizontal="right" vertical="center"/>
    </xf>
    <xf numFmtId="3" fontId="30" fillId="0" borderId="132" xfId="0" applyNumberFormat="1" applyFont="1" applyFill="1" applyBorder="1" applyAlignment="1">
      <alignment horizontal="right" vertical="center"/>
    </xf>
    <xf numFmtId="3" fontId="30" fillId="0" borderId="137" xfId="0" applyNumberFormat="1" applyFont="1" applyFill="1" applyBorder="1" applyAlignment="1">
      <alignment vertical="center"/>
    </xf>
    <xf numFmtId="3" fontId="30" fillId="0" borderId="109" xfId="0" applyNumberFormat="1" applyFont="1" applyFill="1" applyBorder="1" applyAlignment="1">
      <alignment vertical="center"/>
    </xf>
    <xf numFmtId="3" fontId="30" fillId="0" borderId="132" xfId="0" applyNumberFormat="1" applyFont="1" applyFill="1" applyBorder="1" applyAlignment="1">
      <alignment vertical="center"/>
    </xf>
    <xf numFmtId="3" fontId="100" fillId="0" borderId="137" xfId="0" applyNumberFormat="1" applyFont="1" applyFill="1" applyBorder="1" applyAlignment="1">
      <alignment vertical="center"/>
    </xf>
    <xf numFmtId="3" fontId="100" fillId="0" borderId="130" xfId="0" applyNumberFormat="1" applyFont="1" applyFill="1" applyBorder="1" applyAlignment="1">
      <alignment vertical="center"/>
    </xf>
    <xf numFmtId="3" fontId="30" fillId="0" borderId="109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6" fontId="34" fillId="0" borderId="109" xfId="0" applyNumberFormat="1" applyFont="1" applyFill="1" applyBorder="1" applyAlignment="1" applyProtection="1">
      <alignment horizontal="center" vertical="center" wrapText="1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80" fillId="0" borderId="0" xfId="103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 vertical="center"/>
      <protection/>
    </xf>
    <xf numFmtId="0" fontId="76" fillId="49" borderId="56" xfId="103" applyFont="1" applyFill="1" applyBorder="1" applyAlignment="1">
      <alignment horizontal="center" vertical="center" wrapText="1"/>
      <protection/>
    </xf>
    <xf numFmtId="3" fontId="24" fillId="35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33" xfId="0" applyNumberFormat="1" applyFont="1" applyFill="1" applyBorder="1" applyAlignment="1">
      <alignment horizontal="right" vertical="center"/>
    </xf>
    <xf numFmtId="0" fontId="72" fillId="0" borderId="19" xfId="105" applyFont="1" applyFill="1" applyBorder="1" applyAlignment="1">
      <alignment horizontal="left"/>
      <protection/>
    </xf>
    <xf numFmtId="3" fontId="72" fillId="0" borderId="21" xfId="105" applyNumberFormat="1" applyFont="1" applyFill="1" applyBorder="1" applyAlignment="1">
      <alignment horizontal="right" vertical="center" wrapText="1"/>
      <protection/>
    </xf>
    <xf numFmtId="3" fontId="73" fillId="0" borderId="21" xfId="105" applyNumberFormat="1" applyFont="1" applyFill="1" applyBorder="1" applyAlignment="1">
      <alignment horizontal="right" vertical="top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1" fillId="0" borderId="40" xfId="101" applyFont="1" applyBorder="1">
      <alignment/>
      <protection/>
    </xf>
    <xf numFmtId="3" fontId="21" fillId="0" borderId="0" xfId="0" applyNumberFormat="1" applyFont="1" applyAlignment="1">
      <alignment vertical="center"/>
    </xf>
    <xf numFmtId="0" fontId="82" fillId="0" borderId="89" xfId="0" applyFont="1" applyFill="1" applyBorder="1" applyAlignment="1">
      <alignment vertical="center" wrapText="1"/>
    </xf>
    <xf numFmtId="3" fontId="86" fillId="35" borderId="21" xfId="103" applyNumberFormat="1" applyFont="1" applyFill="1" applyBorder="1" applyAlignment="1">
      <alignment horizontal="center" vertical="center"/>
      <protection/>
    </xf>
    <xf numFmtId="3" fontId="76" fillId="0" borderId="21" xfId="103" applyNumberFormat="1" applyFont="1" applyBorder="1" applyAlignment="1">
      <alignment horizontal="right" vertical="center"/>
      <protection/>
    </xf>
    <xf numFmtId="2" fontId="66" fillId="0" borderId="42" xfId="104" applyNumberFormat="1" applyFont="1" applyFill="1" applyBorder="1" applyAlignment="1">
      <alignment horizontal="center" vertical="center" wrapText="1"/>
      <protection/>
    </xf>
    <xf numFmtId="0" fontId="29" fillId="0" borderId="0" xfId="106" applyFont="1" applyFill="1" applyBorder="1" applyAlignment="1">
      <alignment horizontal="center"/>
      <protection/>
    </xf>
    <xf numFmtId="166" fontId="49" fillId="0" borderId="0" xfId="0" applyNumberFormat="1" applyFont="1" applyFill="1" applyBorder="1" applyAlignment="1">
      <alignment horizontal="right" vertical="center" wrapText="1"/>
    </xf>
    <xf numFmtId="0" fontId="82" fillId="0" borderId="0" xfId="103" applyFont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6" fillId="49" borderId="88" xfId="103" applyFont="1" applyFill="1" applyBorder="1" applyAlignment="1">
      <alignment horizontal="center" vertical="center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2" fontId="66" fillId="0" borderId="39" xfId="104" applyNumberFormat="1" applyFont="1" applyFill="1" applyBorder="1" applyAlignment="1">
      <alignment horizontal="center" vertical="center" wrapText="1"/>
      <protection/>
    </xf>
    <xf numFmtId="4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35" borderId="73" xfId="0" applyNumberFormat="1" applyFont="1" applyFill="1" applyBorder="1" applyAlignment="1">
      <alignment horizontal="right" vertical="center" wrapText="1"/>
    </xf>
    <xf numFmtId="3" fontId="24" fillId="0" borderId="92" xfId="0" applyNumberFormat="1" applyFont="1" applyFill="1" applyBorder="1" applyAlignment="1">
      <alignment horizontal="right" vertical="center"/>
    </xf>
    <xf numFmtId="3" fontId="24" fillId="0" borderId="64" xfId="0" applyNumberFormat="1" applyFont="1" applyFill="1" applyBorder="1" applyAlignment="1">
      <alignment horizontal="right" vertical="center"/>
    </xf>
    <xf numFmtId="0" fontId="14" fillId="0" borderId="0" xfId="103" applyFont="1" applyFill="1" applyAlignment="1">
      <alignment vertical="center"/>
      <protection/>
    </xf>
    <xf numFmtId="0" fontId="42" fillId="0" borderId="0" xfId="103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43" fillId="0" borderId="19" xfId="103" applyFont="1" applyFill="1" applyBorder="1" applyAlignment="1">
      <alignment horizontal="center" vertical="center"/>
      <protection/>
    </xf>
    <xf numFmtId="0" fontId="43" fillId="0" borderId="22" xfId="103" applyFont="1" applyFill="1" applyBorder="1" applyAlignment="1">
      <alignment horizontal="center" vertical="center"/>
      <protection/>
    </xf>
    <xf numFmtId="0" fontId="43" fillId="0" borderId="21" xfId="103" applyFont="1" applyFill="1" applyBorder="1" applyAlignment="1">
      <alignment horizontal="center" vertical="center"/>
      <protection/>
    </xf>
    <xf numFmtId="0" fontId="91" fillId="0" borderId="33" xfId="103" applyFont="1" applyFill="1" applyBorder="1" applyAlignment="1">
      <alignment vertical="center" wrapText="1"/>
      <protection/>
    </xf>
    <xf numFmtId="3" fontId="14" fillId="0" borderId="73" xfId="103" applyNumberFormat="1" applyFont="1" applyFill="1" applyBorder="1" applyAlignment="1">
      <alignment vertical="center"/>
      <protection/>
    </xf>
    <xf numFmtId="3" fontId="14" fillId="0" borderId="138" xfId="103" applyNumberFormat="1" applyFont="1" applyFill="1" applyBorder="1" applyAlignment="1">
      <alignment vertical="center"/>
      <protection/>
    </xf>
    <xf numFmtId="0" fontId="91" fillId="0" borderId="27" xfId="103" applyFont="1" applyFill="1" applyBorder="1" applyAlignment="1">
      <alignment vertical="center" wrapText="1"/>
      <protection/>
    </xf>
    <xf numFmtId="3" fontId="14" fillId="0" borderId="39" xfId="103" applyNumberFormat="1" applyFont="1" applyFill="1" applyBorder="1" applyAlignment="1">
      <alignment vertical="center"/>
      <protection/>
    </xf>
    <xf numFmtId="3" fontId="14" fillId="0" borderId="110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 wrapText="1"/>
      <protection/>
    </xf>
    <xf numFmtId="0" fontId="91" fillId="0" borderId="37" xfId="103" applyFont="1" applyFill="1" applyBorder="1" applyAlignment="1">
      <alignment vertical="center" wrapText="1"/>
      <protection/>
    </xf>
    <xf numFmtId="0" fontId="91" fillId="0" borderId="30" xfId="103" applyFont="1" applyFill="1" applyBorder="1" applyAlignment="1">
      <alignment vertical="center" wrapText="1"/>
      <protection/>
    </xf>
    <xf numFmtId="0" fontId="91" fillId="0" borderId="31" xfId="103" applyFont="1" applyFill="1" applyBorder="1" applyAlignment="1">
      <alignment vertical="center" wrapText="1"/>
      <protection/>
    </xf>
    <xf numFmtId="0" fontId="92" fillId="0" borderId="139" xfId="103" applyFont="1" applyFill="1" applyBorder="1" applyAlignment="1">
      <alignment vertical="center" wrapText="1"/>
      <protection/>
    </xf>
    <xf numFmtId="3" fontId="14" fillId="0" borderId="92" xfId="103" applyNumberFormat="1" applyFont="1" applyFill="1" applyBorder="1" applyAlignment="1">
      <alignment vertical="center"/>
      <protection/>
    </xf>
    <xf numFmtId="0" fontId="92" fillId="0" borderId="50" xfId="103" applyFont="1" applyFill="1" applyBorder="1" applyAlignment="1">
      <alignment vertical="center" wrapText="1"/>
      <protection/>
    </xf>
    <xf numFmtId="3" fontId="43" fillId="0" borderId="140" xfId="103" applyNumberFormat="1" applyFont="1" applyFill="1" applyBorder="1" applyAlignment="1">
      <alignment vertical="center"/>
      <protection/>
    </xf>
    <xf numFmtId="0" fontId="91" fillId="0" borderId="33" xfId="103" applyFont="1" applyFill="1" applyBorder="1" applyAlignment="1">
      <alignment vertical="center"/>
      <protection/>
    </xf>
    <xf numFmtId="3" fontId="14" fillId="0" borderId="42" xfId="103" applyNumberFormat="1" applyFont="1" applyFill="1" applyBorder="1" applyAlignment="1">
      <alignment vertical="center"/>
      <protection/>
    </xf>
    <xf numFmtId="3" fontId="14" fillId="0" borderId="141" xfId="103" applyNumberFormat="1" applyFont="1" applyFill="1" applyBorder="1" applyAlignment="1">
      <alignment vertical="center"/>
      <protection/>
    </xf>
    <xf numFmtId="3" fontId="43" fillId="0" borderId="75" xfId="103" applyNumberFormat="1" applyFont="1" applyFill="1" applyBorder="1" applyAlignment="1">
      <alignment vertical="center"/>
      <protection/>
    </xf>
    <xf numFmtId="0" fontId="92" fillId="0" borderId="20" xfId="103" applyFont="1" applyFill="1" applyBorder="1" applyAlignment="1">
      <alignment vertical="center" wrapText="1"/>
      <protection/>
    </xf>
    <xf numFmtId="0" fontId="93" fillId="0" borderId="19" xfId="103" applyFont="1" applyFill="1" applyBorder="1" applyAlignment="1">
      <alignment horizontal="center" vertical="center"/>
      <protection/>
    </xf>
    <xf numFmtId="3" fontId="44" fillId="0" borderId="22" xfId="103" applyNumberFormat="1" applyFont="1" applyFill="1" applyBorder="1" applyAlignment="1">
      <alignment vertical="center"/>
      <protection/>
    </xf>
    <xf numFmtId="0" fontId="93" fillId="0" borderId="20" xfId="103" applyFont="1" applyFill="1" applyBorder="1" applyAlignment="1">
      <alignment horizontal="center" vertical="center" wrapText="1"/>
      <protection/>
    </xf>
    <xf numFmtId="3" fontId="43" fillId="0" borderId="108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/>
      <protection/>
    </xf>
    <xf numFmtId="3" fontId="44" fillId="0" borderId="42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 wrapText="1"/>
      <protection/>
    </xf>
    <xf numFmtId="3" fontId="14" fillId="0" borderId="108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Alignment="1">
      <alignment vertical="center"/>
      <protection/>
    </xf>
    <xf numFmtId="3" fontId="14" fillId="0" borderId="142" xfId="103" applyNumberFormat="1" applyFont="1" applyFill="1" applyBorder="1" applyAlignment="1">
      <alignment vertical="center"/>
      <protection/>
    </xf>
    <xf numFmtId="0" fontId="91" fillId="0" borderId="25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 wrapText="1"/>
      <protection/>
    </xf>
    <xf numFmtId="0" fontId="92" fillId="0" borderId="20" xfId="103" applyFont="1" applyFill="1" applyBorder="1" applyAlignment="1">
      <alignment vertical="center"/>
      <protection/>
    </xf>
    <xf numFmtId="3" fontId="43" fillId="0" borderId="22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/>
      <protection/>
    </xf>
    <xf numFmtId="3" fontId="44" fillId="0" borderId="92" xfId="103" applyNumberFormat="1" applyFont="1" applyFill="1" applyBorder="1" applyAlignment="1">
      <alignment vertical="center"/>
      <protection/>
    </xf>
    <xf numFmtId="0" fontId="91" fillId="0" borderId="37" xfId="103" applyFont="1" applyFill="1" applyBorder="1" applyAlignment="1">
      <alignment vertical="center"/>
      <protection/>
    </xf>
    <xf numFmtId="3" fontId="14" fillId="0" borderId="22" xfId="103" applyNumberFormat="1" applyFont="1" applyFill="1" applyBorder="1" applyAlignment="1">
      <alignment vertical="center"/>
      <protection/>
    </xf>
    <xf numFmtId="0" fontId="95" fillId="0" borderId="139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139" xfId="103" applyFont="1" applyFill="1" applyBorder="1" applyAlignment="1">
      <alignment horizontal="left" vertical="center"/>
      <protection/>
    </xf>
    <xf numFmtId="3" fontId="45" fillId="0" borderId="71" xfId="103" applyNumberFormat="1" applyFont="1" applyFill="1" applyBorder="1" applyAlignment="1">
      <alignment vertical="center"/>
      <protection/>
    </xf>
    <xf numFmtId="0" fontId="96" fillId="0" borderId="50" xfId="103" applyFont="1" applyFill="1" applyBorder="1" applyAlignment="1">
      <alignment horizontal="left" vertical="center"/>
      <protection/>
    </xf>
    <xf numFmtId="3" fontId="14" fillId="0" borderId="71" xfId="103" applyNumberFormat="1" applyFont="1" applyFill="1" applyBorder="1" applyAlignment="1">
      <alignment vertical="center"/>
      <protection/>
    </xf>
    <xf numFmtId="0" fontId="96" fillId="0" borderId="0" xfId="103" applyFont="1" applyFill="1" applyBorder="1" applyAlignment="1">
      <alignment horizontal="left" vertical="center"/>
      <protection/>
    </xf>
    <xf numFmtId="3" fontId="45" fillId="0" borderId="0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Border="1" applyAlignment="1">
      <alignment vertical="center"/>
      <protection/>
    </xf>
    <xf numFmtId="3" fontId="43" fillId="0" borderId="0" xfId="103" applyNumberFormat="1" applyFont="1" applyFill="1" applyAlignment="1">
      <alignment vertical="center"/>
      <protection/>
    </xf>
    <xf numFmtId="3" fontId="25" fillId="35" borderId="75" xfId="0" applyNumberFormat="1" applyFont="1" applyFill="1" applyBorder="1" applyAlignment="1">
      <alignment horizontal="right" vertical="center" wrapText="1"/>
    </xf>
    <xf numFmtId="3" fontId="25" fillId="35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/>
    </xf>
    <xf numFmtId="3" fontId="86" fillId="35" borderId="0" xfId="103" applyNumberFormat="1" applyFont="1" applyFill="1" applyBorder="1" applyAlignment="1">
      <alignment horizontal="center" vertical="center"/>
      <protection/>
    </xf>
    <xf numFmtId="0" fontId="43" fillId="0" borderId="109" xfId="103" applyFont="1" applyFill="1" applyBorder="1" applyAlignment="1">
      <alignment horizontal="center" vertical="center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10" fontId="79" fillId="0" borderId="0" xfId="103" applyNumberFormat="1" applyFont="1" applyBorder="1" applyAlignment="1">
      <alignment horizontal="right" vertical="center" wrapText="1"/>
      <protection/>
    </xf>
    <xf numFmtId="10" fontId="46" fillId="11" borderId="0" xfId="103" applyNumberFormat="1" applyFont="1" applyFill="1" applyBorder="1" applyAlignment="1">
      <alignment horizontal="right" vertical="center" wrapText="1"/>
      <protection/>
    </xf>
    <xf numFmtId="0" fontId="76" fillId="49" borderId="39" xfId="103" applyFont="1" applyFill="1" applyBorder="1" applyAlignment="1">
      <alignment horizontal="center" vertical="center"/>
      <protection/>
    </xf>
    <xf numFmtId="0" fontId="14" fillId="0" borderId="63" xfId="103" applyFont="1" applyBorder="1">
      <alignment/>
      <protection/>
    </xf>
    <xf numFmtId="0" fontId="14" fillId="0" borderId="52" xfId="103" applyFont="1" applyBorder="1">
      <alignment/>
      <protection/>
    </xf>
    <xf numFmtId="0" fontId="14" fillId="51" borderId="54" xfId="103" applyFont="1" applyFill="1" applyBorder="1">
      <alignment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3" fontId="25" fillId="35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3" fontId="30" fillId="35" borderId="23" xfId="0" applyNumberFormat="1" applyFont="1" applyFill="1" applyBorder="1" applyAlignment="1">
      <alignment horizontal="right" vertical="center" wrapText="1"/>
    </xf>
    <xf numFmtId="3" fontId="100" fillId="35" borderId="55" xfId="0" applyNumberFormat="1" applyFont="1" applyFill="1" applyBorder="1" applyAlignment="1">
      <alignment horizontal="right" vertical="center" wrapText="1"/>
    </xf>
    <xf numFmtId="3" fontId="100" fillId="35" borderId="65" xfId="0" applyNumberFormat="1" applyFont="1" applyFill="1" applyBorder="1" applyAlignment="1">
      <alignment horizontal="right" vertical="center" wrapText="1"/>
    </xf>
    <xf numFmtId="3" fontId="100" fillId="35" borderId="76" xfId="0" applyNumberFormat="1" applyFont="1" applyFill="1" applyBorder="1" applyAlignment="1">
      <alignment horizontal="right" vertical="center" wrapText="1"/>
    </xf>
    <xf numFmtId="3" fontId="100" fillId="35" borderId="72" xfId="0" applyNumberFormat="1" applyFont="1" applyFill="1" applyBorder="1" applyAlignment="1">
      <alignment horizontal="right" vertical="center" wrapText="1"/>
    </xf>
    <xf numFmtId="3" fontId="100" fillId="0" borderId="65" xfId="0" applyNumberFormat="1" applyFont="1" applyFill="1" applyBorder="1" applyAlignment="1">
      <alignment horizontal="right" vertical="center"/>
    </xf>
    <xf numFmtId="3" fontId="100" fillId="0" borderId="74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60" xfId="0" applyNumberFormat="1" applyFont="1" applyFill="1" applyBorder="1" applyAlignment="1">
      <alignment horizontal="right" vertical="center"/>
    </xf>
    <xf numFmtId="3" fontId="30" fillId="0" borderId="143" xfId="0" applyNumberFormat="1" applyFont="1" applyFill="1" applyBorder="1" applyAlignment="1">
      <alignment horizontal="right" vertical="center"/>
    </xf>
    <xf numFmtId="3" fontId="30" fillId="0" borderId="58" xfId="0" applyNumberFormat="1" applyFont="1" applyFill="1" applyBorder="1" applyAlignment="1">
      <alignment horizontal="right" vertical="center"/>
    </xf>
    <xf numFmtId="3" fontId="100" fillId="0" borderId="72" xfId="0" applyNumberFormat="1" applyFont="1" applyFill="1" applyBorder="1" applyAlignment="1">
      <alignment horizontal="right" vertical="center"/>
    </xf>
    <xf numFmtId="3" fontId="100" fillId="0" borderId="6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0" fillId="0" borderId="62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72" xfId="0" applyNumberFormat="1" applyFont="1" applyFill="1" applyBorder="1" applyAlignment="1">
      <alignment vertical="center"/>
    </xf>
    <xf numFmtId="3" fontId="100" fillId="0" borderId="62" xfId="0" applyNumberFormat="1" applyFont="1" applyFill="1" applyBorder="1" applyAlignment="1">
      <alignment vertical="center"/>
    </xf>
    <xf numFmtId="3" fontId="100" fillId="0" borderId="65" xfId="0" applyNumberFormat="1" applyFont="1" applyFill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74" xfId="0" applyNumberFormat="1" applyFont="1" applyFill="1" applyBorder="1" applyAlignment="1">
      <alignment horizontal="right" vertical="center"/>
    </xf>
    <xf numFmtId="3" fontId="25" fillId="0" borderId="61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vertical="center"/>
    </xf>
    <xf numFmtId="3" fontId="100" fillId="0" borderId="44" xfId="0" applyNumberFormat="1" applyFont="1" applyFill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3" fontId="30" fillId="0" borderId="38" xfId="0" applyNumberFormat="1" applyFont="1" applyFill="1" applyBorder="1" applyAlignment="1">
      <alignment horizontal="right" vertical="center"/>
    </xf>
    <xf numFmtId="3" fontId="100" fillId="0" borderId="46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3" fontId="100" fillId="0" borderId="51" xfId="0" applyNumberFormat="1" applyFont="1" applyFill="1" applyBorder="1" applyAlignment="1">
      <alignment vertical="center"/>
    </xf>
    <xf numFmtId="3" fontId="100" fillId="0" borderId="52" xfId="0" applyNumberFormat="1" applyFont="1" applyFill="1" applyBorder="1" applyAlignment="1">
      <alignment vertical="center"/>
    </xf>
    <xf numFmtId="3" fontId="100" fillId="0" borderId="54" xfId="0" applyNumberFormat="1" applyFont="1" applyFill="1" applyBorder="1" applyAlignment="1">
      <alignment vertical="center"/>
    </xf>
    <xf numFmtId="3" fontId="30" fillId="0" borderId="76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61" xfId="0" applyNumberFormat="1" applyFont="1" applyFill="1" applyBorder="1" applyAlignment="1">
      <alignment horizontal="center" vertical="center"/>
    </xf>
    <xf numFmtId="10" fontId="21" fillId="0" borderId="20" xfId="0" applyNumberFormat="1" applyFont="1" applyBorder="1" applyAlignment="1">
      <alignment vertical="center"/>
    </xf>
    <xf numFmtId="10" fontId="23" fillId="0" borderId="43" xfId="0" applyNumberFormat="1" applyFont="1" applyBorder="1" applyAlignment="1">
      <alignment vertical="center"/>
    </xf>
    <xf numFmtId="3" fontId="84" fillId="0" borderId="63" xfId="103" applyNumberFormat="1" applyFont="1" applyBorder="1" applyAlignment="1">
      <alignment horizontal="right"/>
      <protection/>
    </xf>
    <xf numFmtId="0" fontId="76" fillId="49" borderId="44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vertical="center" wrapText="1"/>
      <protection/>
    </xf>
    <xf numFmtId="0" fontId="19" fillId="0" borderId="36" xfId="101" applyFont="1" applyBorder="1" applyAlignment="1">
      <alignment wrapText="1"/>
      <protection/>
    </xf>
    <xf numFmtId="3" fontId="19" fillId="0" borderId="54" xfId="101" applyNumberFormat="1" applyFont="1" applyBorder="1" applyAlignment="1">
      <alignment horizontal="right"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3" fontId="107" fillId="0" borderId="46" xfId="101" applyNumberFormat="1" applyFont="1" applyBorder="1">
      <alignment/>
      <protection/>
    </xf>
    <xf numFmtId="3" fontId="84" fillId="0" borderId="86" xfId="103" applyNumberFormat="1" applyFont="1" applyBorder="1" applyAlignment="1">
      <alignment horizontal="right"/>
      <protection/>
    </xf>
    <xf numFmtId="0" fontId="14" fillId="0" borderId="0" xfId="103" applyFont="1" applyBorder="1">
      <alignment/>
      <protection/>
    </xf>
    <xf numFmtId="0" fontId="14" fillId="0" borderId="133" xfId="103" applyFont="1" applyBorder="1">
      <alignment/>
      <protection/>
    </xf>
    <xf numFmtId="3" fontId="24" fillId="53" borderId="39" xfId="0" applyNumberFormat="1" applyFont="1" applyFill="1" applyBorder="1" applyAlignment="1">
      <alignment horizontal="right" vertical="center" wrapText="1"/>
    </xf>
    <xf numFmtId="3" fontId="21" fillId="52" borderId="121" xfId="0" applyNumberFormat="1" applyFont="1" applyFill="1" applyBorder="1" applyAlignment="1">
      <alignment vertical="center"/>
    </xf>
    <xf numFmtId="3" fontId="21" fillId="52" borderId="122" xfId="0" applyNumberFormat="1" applyFont="1" applyFill="1" applyBorder="1" applyAlignment="1">
      <alignment vertical="center"/>
    </xf>
    <xf numFmtId="3" fontId="24" fillId="52" borderId="114" xfId="0" applyNumberFormat="1" applyFont="1" applyFill="1" applyBorder="1" applyAlignment="1">
      <alignment vertical="center"/>
    </xf>
    <xf numFmtId="3" fontId="19" fillId="0" borderId="46" xfId="101" applyNumberFormat="1" applyFont="1" applyBorder="1" applyAlignment="1">
      <alignment horizontal="right"/>
      <protection/>
    </xf>
    <xf numFmtId="3" fontId="108" fillId="0" borderId="52" xfId="101" applyNumberFormat="1" applyFont="1" applyBorder="1" applyAlignment="1">
      <alignment horizontal="right"/>
      <protection/>
    </xf>
    <xf numFmtId="0" fontId="0" fillId="0" borderId="0" xfId="95">
      <alignment/>
      <protection/>
    </xf>
    <xf numFmtId="3" fontId="0" fillId="0" borderId="0" xfId="95" applyNumberFormat="1">
      <alignment/>
      <protection/>
    </xf>
    <xf numFmtId="0" fontId="0" fillId="0" borderId="0" xfId="95" applyAlignment="1">
      <alignment wrapText="1"/>
      <protection/>
    </xf>
    <xf numFmtId="0" fontId="0" fillId="0" borderId="105" xfId="95" applyBorder="1" applyAlignment="1">
      <alignment vertical="center" wrapText="1"/>
      <protection/>
    </xf>
    <xf numFmtId="3" fontId="0" fillId="0" borderId="144" xfId="95" applyNumberFormat="1" applyBorder="1" applyAlignment="1">
      <alignment horizontal="right" vertical="center"/>
      <protection/>
    </xf>
    <xf numFmtId="3" fontId="0" fillId="0" borderId="145" xfId="95" applyNumberFormat="1" applyBorder="1" applyAlignment="1">
      <alignment horizontal="right" vertical="center"/>
      <protection/>
    </xf>
    <xf numFmtId="3" fontId="0" fillId="0" borderId="146" xfId="95" applyNumberFormat="1" applyBorder="1" applyAlignment="1">
      <alignment horizontal="right" vertical="center"/>
      <protection/>
    </xf>
    <xf numFmtId="0" fontId="26" fillId="0" borderId="101" xfId="95" applyFont="1" applyBorder="1" applyAlignment="1">
      <alignment horizontal="center" vertical="center"/>
      <protection/>
    </xf>
    <xf numFmtId="0" fontId="0" fillId="0" borderId="105" xfId="95" applyBorder="1" applyAlignment="1">
      <alignment wrapText="1"/>
      <protection/>
    </xf>
    <xf numFmtId="3" fontId="0" fillId="0" borderId="145" xfId="95" applyNumberFormat="1" applyBorder="1">
      <alignment/>
      <protection/>
    </xf>
    <xf numFmtId="0" fontId="0" fillId="0" borderId="145" xfId="95" applyBorder="1">
      <alignment/>
      <protection/>
    </xf>
    <xf numFmtId="3" fontId="0" fillId="0" borderId="144" xfId="95" applyNumberFormat="1" applyBorder="1">
      <alignment/>
      <protection/>
    </xf>
    <xf numFmtId="0" fontId="26" fillId="0" borderId="147" xfId="95" applyFont="1" applyBorder="1" applyAlignment="1">
      <alignment horizontal="center" vertical="center"/>
      <protection/>
    </xf>
    <xf numFmtId="3" fontId="26" fillId="0" borderId="104" xfId="95" applyNumberFormat="1" applyFont="1" applyBorder="1" applyAlignment="1">
      <alignment wrapText="1"/>
      <protection/>
    </xf>
    <xf numFmtId="0" fontId="0" fillId="0" borderId="104" xfId="95" applyBorder="1">
      <alignment/>
      <protection/>
    </xf>
    <xf numFmtId="0" fontId="0" fillId="0" borderId="104" xfId="95" applyBorder="1" applyAlignment="1">
      <alignment wrapText="1"/>
      <protection/>
    </xf>
    <xf numFmtId="0" fontId="26" fillId="0" borderId="0" xfId="95" applyFont="1" applyAlignment="1">
      <alignment horizontal="center"/>
      <protection/>
    </xf>
    <xf numFmtId="0" fontId="26" fillId="0" borderId="148" xfId="95" applyFont="1" applyBorder="1" applyAlignment="1">
      <alignment horizontal="center" vertical="center" wrapText="1"/>
      <protection/>
    </xf>
    <xf numFmtId="0" fontId="59" fillId="0" borderId="0" xfId="95" applyFont="1" applyAlignment="1">
      <alignment horizontal="right"/>
      <protection/>
    </xf>
    <xf numFmtId="166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49" xfId="95" applyFont="1" applyBorder="1" applyAlignment="1">
      <alignment horizontal="center" vertical="center"/>
      <protection/>
    </xf>
    <xf numFmtId="3" fontId="65" fillId="52" borderId="44" xfId="102" applyNumberFormat="1" applyFont="1" applyFill="1" applyBorder="1" applyAlignment="1">
      <alignment vertical="center"/>
      <protection/>
    </xf>
    <xf numFmtId="3" fontId="65" fillId="52" borderId="46" xfId="102" applyNumberFormat="1" applyFont="1" applyFill="1" applyBorder="1" applyAlignment="1">
      <alignment vertical="center"/>
      <protection/>
    </xf>
    <xf numFmtId="3" fontId="65" fillId="52" borderId="46" xfId="102" applyNumberFormat="1" applyFont="1" applyFill="1" applyBorder="1" applyAlignment="1">
      <alignment horizontal="right" vertical="center"/>
      <protection/>
    </xf>
    <xf numFmtId="3" fontId="65" fillId="52" borderId="92" xfId="102" applyNumberFormat="1" applyFont="1" applyFill="1" applyBorder="1" applyAlignment="1">
      <alignment horizontal="right" vertical="center"/>
      <protection/>
    </xf>
    <xf numFmtId="3" fontId="65" fillId="0" borderId="46" xfId="102" applyNumberFormat="1" applyFont="1" applyFill="1" applyBorder="1" applyAlignment="1">
      <alignment vertical="center"/>
      <protection/>
    </xf>
    <xf numFmtId="3" fontId="65" fillId="0" borderId="44" xfId="102" applyNumberFormat="1" applyFont="1" applyFill="1" applyBorder="1" applyAlignment="1">
      <alignment vertical="center"/>
      <protection/>
    </xf>
    <xf numFmtId="3" fontId="65" fillId="0" borderId="46" xfId="102" applyNumberFormat="1" applyFont="1" applyFill="1" applyBorder="1" applyAlignment="1">
      <alignment horizontal="right" vertical="center"/>
      <protection/>
    </xf>
    <xf numFmtId="3" fontId="65" fillId="0" borderId="39" xfId="102" applyNumberFormat="1" applyFont="1" applyFill="1" applyBorder="1" applyAlignment="1">
      <alignment horizontal="right" vertical="center"/>
      <protection/>
    </xf>
    <xf numFmtId="3" fontId="65" fillId="0" borderId="54" xfId="102" applyNumberFormat="1" applyFont="1" applyFill="1" applyBorder="1" applyAlignment="1">
      <alignment vertical="center"/>
      <protection/>
    </xf>
    <xf numFmtId="3" fontId="65" fillId="0" borderId="54" xfId="102" applyNumberFormat="1" applyFont="1" applyFill="1" applyBorder="1" applyAlignment="1">
      <alignment horizontal="right" vertical="center"/>
      <protection/>
    </xf>
    <xf numFmtId="3" fontId="65" fillId="0" borderId="42" xfId="102" applyNumberFormat="1" applyFont="1" applyFill="1" applyBorder="1" applyAlignment="1">
      <alignment horizontal="right" vertical="center"/>
      <protection/>
    </xf>
    <xf numFmtId="3" fontId="0" fillId="0" borderId="43" xfId="0" applyNumberFormat="1" applyFont="1" applyBorder="1" applyAlignment="1">
      <alignment/>
    </xf>
    <xf numFmtId="0" fontId="82" fillId="0" borderId="52" xfId="0" applyFont="1" applyBorder="1" applyAlignment="1">
      <alignment vertical="center" wrapText="1"/>
    </xf>
    <xf numFmtId="0" fontId="82" fillId="0" borderId="89" xfId="0" applyFont="1" applyBorder="1" applyAlignment="1">
      <alignment vertical="center" wrapText="1"/>
    </xf>
    <xf numFmtId="3" fontId="83" fillId="0" borderId="39" xfId="0" applyNumberFormat="1" applyFont="1" applyBorder="1" applyAlignment="1">
      <alignment horizontal="right" vertical="center"/>
    </xf>
    <xf numFmtId="3" fontId="83" fillId="0" borderId="39" xfId="103" applyNumberFormat="1" applyFont="1" applyBorder="1" applyAlignment="1">
      <alignment vertical="center"/>
      <protection/>
    </xf>
    <xf numFmtId="166" fontId="58" fillId="0" borderId="0" xfId="97" applyNumberFormat="1" applyAlignment="1">
      <alignment vertical="center" wrapText="1"/>
      <protection/>
    </xf>
    <xf numFmtId="166" fontId="58" fillId="0" borderId="0" xfId="97" applyNumberFormat="1" applyAlignment="1">
      <alignment horizontal="center" vertical="center" wrapText="1"/>
      <protection/>
    </xf>
    <xf numFmtId="166" fontId="53" fillId="0" borderId="0" xfId="97" applyNumberFormat="1" applyFont="1" applyAlignment="1">
      <alignment horizontal="right"/>
      <protection/>
    </xf>
    <xf numFmtId="166" fontId="35" fillId="0" borderId="0" xfId="97" applyNumberFormat="1" applyFont="1" applyAlignment="1">
      <alignment vertical="center"/>
      <protection/>
    </xf>
    <xf numFmtId="166" fontId="47" fillId="0" borderId="150" xfId="97" applyNumberFormat="1" applyFont="1" applyBorder="1" applyAlignment="1">
      <alignment horizontal="center" vertical="center"/>
      <protection/>
    </xf>
    <xf numFmtId="166" fontId="47" fillId="0" borderId="151" xfId="97" applyNumberFormat="1" applyFont="1" applyBorder="1" applyAlignment="1">
      <alignment horizontal="center" vertical="center" wrapText="1"/>
      <protection/>
    </xf>
    <xf numFmtId="166" fontId="35" fillId="0" borderId="0" xfId="97" applyNumberFormat="1" applyFont="1" applyAlignment="1">
      <alignment horizontal="center" vertical="center"/>
      <protection/>
    </xf>
    <xf numFmtId="166" fontId="34" fillId="0" borderId="152" xfId="97" applyNumberFormat="1" applyFont="1" applyBorder="1" applyAlignment="1">
      <alignment horizontal="center" vertical="center" wrapText="1"/>
      <protection/>
    </xf>
    <xf numFmtId="166" fontId="34" fillId="0" borderId="153" xfId="97" applyNumberFormat="1" applyFont="1" applyBorder="1" applyAlignment="1">
      <alignment horizontal="center" vertical="center" wrapText="1"/>
      <protection/>
    </xf>
    <xf numFmtId="166" fontId="34" fillId="0" borderId="154" xfId="97" applyNumberFormat="1" applyFont="1" applyBorder="1" applyAlignment="1">
      <alignment horizontal="center" vertical="center" wrapText="1"/>
      <protection/>
    </xf>
    <xf numFmtId="166" fontId="34" fillId="0" borderId="100" xfId="97" applyNumberFormat="1" applyFont="1" applyBorder="1" applyAlignment="1">
      <alignment horizontal="center" vertical="center" wrapText="1"/>
      <protection/>
    </xf>
    <xf numFmtId="166" fontId="34" fillId="0" borderId="155" xfId="97" applyNumberFormat="1" applyFont="1" applyBorder="1" applyAlignment="1">
      <alignment horizontal="center" vertical="center" wrapText="1"/>
      <protection/>
    </xf>
    <xf numFmtId="166" fontId="35" fillId="0" borderId="0" xfId="97" applyNumberFormat="1" applyFont="1" applyAlignment="1">
      <alignment horizontal="center" vertical="center" wrapText="1"/>
      <protection/>
    </xf>
    <xf numFmtId="166" fontId="34" fillId="0" borderId="153" xfId="97" applyNumberFormat="1" applyFont="1" applyBorder="1" applyAlignment="1">
      <alignment horizontal="left" vertical="center" wrapText="1" indent="1"/>
      <protection/>
    </xf>
    <xf numFmtId="49" fontId="109" fillId="0" borderId="99" xfId="97" applyNumberFormat="1" applyFont="1" applyBorder="1" applyAlignment="1" applyProtection="1">
      <alignment horizontal="center" vertical="center" wrapText="1"/>
      <protection locked="0"/>
    </xf>
    <xf numFmtId="166" fontId="109" fillId="0" borderId="153" xfId="97" applyNumberFormat="1" applyFont="1" applyBorder="1" applyAlignment="1">
      <alignment vertical="center" wrapText="1"/>
      <protection/>
    </xf>
    <xf numFmtId="166" fontId="109" fillId="0" borderId="148" xfId="97" applyNumberFormat="1" applyFont="1" applyBorder="1" applyAlignment="1">
      <alignment vertical="center" wrapText="1"/>
      <protection/>
    </xf>
    <xf numFmtId="166" fontId="109" fillId="0" borderId="99" xfId="97" applyNumberFormat="1" applyFont="1" applyBorder="1" applyAlignment="1">
      <alignment vertical="center" wrapText="1"/>
      <protection/>
    </xf>
    <xf numFmtId="166" fontId="109" fillId="0" borderId="100" xfId="97" applyNumberFormat="1" applyFont="1" applyBorder="1" applyAlignment="1">
      <alignment vertical="center" wrapText="1"/>
      <protection/>
    </xf>
    <xf numFmtId="166" fontId="33" fillId="0" borderId="153" xfId="97" applyNumberFormat="1" applyFont="1" applyBorder="1" applyAlignment="1">
      <alignment vertical="center" wrapText="1"/>
      <protection/>
    </xf>
    <xf numFmtId="166" fontId="33" fillId="0" borderId="156" xfId="97" applyNumberFormat="1" applyFont="1" applyBorder="1" applyAlignment="1" applyProtection="1">
      <alignment horizontal="left" vertical="center" wrapText="1" indent="1"/>
      <protection locked="0"/>
    </xf>
    <xf numFmtId="49" fontId="109" fillId="0" borderId="104" xfId="97" applyNumberFormat="1" applyFont="1" applyBorder="1" applyAlignment="1" applyProtection="1">
      <alignment horizontal="center" vertical="center" wrapText="1"/>
      <protection locked="0"/>
    </xf>
    <xf numFmtId="166" fontId="109" fillId="0" borderId="156" xfId="97" applyNumberFormat="1" applyFont="1" applyBorder="1" applyAlignment="1" applyProtection="1">
      <alignment vertical="center" wrapText="1"/>
      <protection locked="0"/>
    </xf>
    <xf numFmtId="166" fontId="109" fillId="0" borderId="102" xfId="97" applyNumberFormat="1" applyFont="1" applyBorder="1" applyAlignment="1" applyProtection="1">
      <alignment vertical="center" wrapText="1"/>
      <protection locked="0"/>
    </xf>
    <xf numFmtId="166" fontId="109" fillId="0" borderId="104" xfId="97" applyNumberFormat="1" applyFont="1" applyBorder="1" applyAlignment="1" applyProtection="1">
      <alignment vertical="center" wrapText="1"/>
      <protection locked="0"/>
    </xf>
    <xf numFmtId="166" fontId="109" fillId="0" borderId="122" xfId="97" applyNumberFormat="1" applyFont="1" applyBorder="1" applyAlignment="1" applyProtection="1">
      <alignment vertical="center" wrapText="1"/>
      <protection locked="0"/>
    </xf>
    <xf numFmtId="166" fontId="33" fillId="0" borderId="156" xfId="97" applyNumberFormat="1" applyFont="1" applyBorder="1" applyAlignment="1">
      <alignment vertical="center" wrapText="1"/>
      <protection/>
    </xf>
    <xf numFmtId="166" fontId="34" fillId="0" borderId="155" xfId="97" applyNumberFormat="1" applyFont="1" applyBorder="1" applyAlignment="1">
      <alignment horizontal="left" vertical="center" wrapText="1" indent="1"/>
      <protection/>
    </xf>
    <xf numFmtId="166" fontId="33" fillId="0" borderId="155" xfId="97" applyNumberFormat="1" applyFont="1" applyBorder="1" applyAlignment="1">
      <alignment horizontal="left" vertical="center" wrapText="1" indent="1"/>
      <protection/>
    </xf>
    <xf numFmtId="49" fontId="109" fillId="0" borderId="157" xfId="97" applyNumberFormat="1" applyFont="1" applyBorder="1" applyAlignment="1" applyProtection="1">
      <alignment horizontal="center" vertical="center" wrapText="1"/>
      <protection locked="0"/>
    </xf>
    <xf numFmtId="166" fontId="109" fillId="0" borderId="155" xfId="97" applyNumberFormat="1" applyFont="1" applyBorder="1" applyAlignment="1">
      <alignment vertical="center" wrapText="1"/>
      <protection/>
    </xf>
    <xf numFmtId="166" fontId="109" fillId="0" borderId="157" xfId="97" applyNumberFormat="1" applyFont="1" applyBorder="1" applyAlignment="1">
      <alignment vertical="center" wrapText="1"/>
      <protection/>
    </xf>
    <xf numFmtId="166" fontId="109" fillId="0" borderId="116" xfId="97" applyNumberFormat="1" applyFont="1" applyBorder="1" applyAlignment="1">
      <alignment vertical="center" wrapText="1"/>
      <protection/>
    </xf>
    <xf numFmtId="166" fontId="33" fillId="0" borderId="155" xfId="97" applyNumberFormat="1" applyFont="1" applyBorder="1" applyAlignment="1">
      <alignment vertical="center" wrapText="1"/>
      <protection/>
    </xf>
    <xf numFmtId="166" fontId="33" fillId="0" borderId="158" xfId="97" applyNumberFormat="1" applyFont="1" applyBorder="1" applyAlignment="1" applyProtection="1">
      <alignment horizontal="left" vertical="center" wrapText="1" indent="1"/>
      <protection locked="0"/>
    </xf>
    <xf numFmtId="166" fontId="34" fillId="0" borderId="153" xfId="97" applyNumberFormat="1" applyFont="1" applyBorder="1" applyAlignment="1">
      <alignment horizontal="left" vertical="center" wrapText="1" indent="1"/>
      <protection/>
    </xf>
    <xf numFmtId="166" fontId="33" fillId="0" borderId="159" xfId="97" applyNumberFormat="1" applyFont="1" applyBorder="1" applyAlignment="1" applyProtection="1">
      <alignment horizontal="left" vertical="center" wrapText="1" indent="1"/>
      <protection locked="0"/>
    </xf>
    <xf numFmtId="49" fontId="109" fillId="0" borderId="101" xfId="97" applyNumberFormat="1" applyFont="1" applyBorder="1" applyAlignment="1" applyProtection="1">
      <alignment horizontal="center" vertical="center" wrapText="1"/>
      <protection locked="0"/>
    </xf>
    <xf numFmtId="166" fontId="109" fillId="0" borderId="160" xfId="97" applyNumberFormat="1" applyFont="1" applyBorder="1" applyAlignment="1">
      <alignment vertical="center" wrapText="1"/>
      <protection/>
    </xf>
    <xf numFmtId="166" fontId="109" fillId="0" borderId="146" xfId="97" applyNumberFormat="1" applyFont="1" applyBorder="1" applyAlignment="1">
      <alignment vertical="center" wrapText="1"/>
      <protection/>
    </xf>
    <xf numFmtId="166" fontId="109" fillId="0" borderId="161" xfId="97" applyNumberFormat="1" applyFont="1" applyBorder="1" applyAlignment="1">
      <alignment vertical="center" wrapText="1"/>
      <protection/>
    </xf>
    <xf numFmtId="49" fontId="109" fillId="0" borderId="162" xfId="97" applyNumberFormat="1" applyFont="1" applyBorder="1" applyAlignment="1" applyProtection="1">
      <alignment horizontal="center" vertical="center" wrapText="1"/>
      <protection locked="0"/>
    </xf>
    <xf numFmtId="166" fontId="109" fillId="0" borderId="103" xfId="97" applyNumberFormat="1" applyFont="1" applyBorder="1" applyAlignment="1" applyProtection="1">
      <alignment vertical="center" wrapText="1"/>
      <protection locked="0"/>
    </xf>
    <xf numFmtId="166" fontId="109" fillId="0" borderId="105" xfId="97" applyNumberFormat="1" applyFont="1" applyBorder="1" applyAlignment="1" applyProtection="1">
      <alignment vertical="center" wrapText="1"/>
      <protection locked="0"/>
    </xf>
    <xf numFmtId="166" fontId="109" fillId="0" borderId="151" xfId="97" applyNumberFormat="1" applyFont="1" applyBorder="1" applyAlignment="1" applyProtection="1">
      <alignment vertical="center" wrapText="1"/>
      <protection locked="0"/>
    </xf>
    <xf numFmtId="166" fontId="33" fillId="0" borderId="163" xfId="97" applyNumberFormat="1" applyFont="1" applyBorder="1" applyAlignment="1">
      <alignment vertical="center" wrapText="1"/>
      <protection/>
    </xf>
    <xf numFmtId="166" fontId="109" fillId="54" borderId="154" xfId="97" applyNumberFormat="1" applyFont="1" applyFill="1" applyBorder="1" applyAlignment="1">
      <alignment horizontal="left" vertical="center" wrapText="1" indent="2"/>
      <protection/>
    </xf>
    <xf numFmtId="0" fontId="26" fillId="0" borderId="164" xfId="95" applyFont="1" applyBorder="1">
      <alignment/>
      <protection/>
    </xf>
    <xf numFmtId="0" fontId="26" fillId="0" borderId="104" xfId="95" applyFont="1" applyBorder="1">
      <alignment/>
      <protection/>
    </xf>
    <xf numFmtId="0" fontId="0" fillId="0" borderId="144" xfId="95" applyBorder="1" applyAlignment="1">
      <alignment wrapText="1"/>
      <protection/>
    </xf>
    <xf numFmtId="0" fontId="0" fillId="0" borderId="144" xfId="95" applyBorder="1">
      <alignment/>
      <protection/>
    </xf>
    <xf numFmtId="0" fontId="0" fillId="0" borderId="145" xfId="95" applyBorder="1" applyAlignment="1">
      <alignment vertical="center" wrapText="1"/>
      <protection/>
    </xf>
    <xf numFmtId="3" fontId="0" fillId="0" borderId="105" xfId="95" applyNumberFormat="1" applyBorder="1">
      <alignment/>
      <protection/>
    </xf>
    <xf numFmtId="0" fontId="0" fillId="0" borderId="105" xfId="95" applyBorder="1">
      <alignment/>
      <protection/>
    </xf>
    <xf numFmtId="0" fontId="0" fillId="0" borderId="0" xfId="95" applyAlignment="1">
      <alignment horizontal="left" vertical="center" wrapText="1"/>
      <protection/>
    </xf>
    <xf numFmtId="0" fontId="0" fillId="0" borderId="146" xfId="95" applyBorder="1" applyAlignment="1">
      <alignment horizontal="left" vertical="center" wrapText="1"/>
      <protection/>
    </xf>
    <xf numFmtId="0" fontId="0" fillId="0" borderId="146" xfId="95" applyBorder="1" applyAlignment="1">
      <alignment horizontal="left" vertical="center"/>
      <protection/>
    </xf>
    <xf numFmtId="0" fontId="0" fillId="0" borderId="0" xfId="95" applyAlignment="1">
      <alignment vertical="center" wrapText="1"/>
      <protection/>
    </xf>
    <xf numFmtId="3" fontId="21" fillId="0" borderId="121" xfId="0" applyNumberFormat="1" applyFont="1" applyFill="1" applyBorder="1" applyAlignment="1">
      <alignment vertical="center"/>
    </xf>
    <xf numFmtId="3" fontId="21" fillId="0" borderId="1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5" fillId="0" borderId="0" xfId="104" applyFont="1" applyFill="1" applyAlignment="1">
      <alignment horizontal="left" vertical="center" wrapText="1"/>
      <protection/>
    </xf>
    <xf numFmtId="0" fontId="60" fillId="0" borderId="0" xfId="104" applyFont="1" applyFill="1" applyAlignment="1">
      <alignment horizontal="center" vertical="center"/>
      <protection/>
    </xf>
    <xf numFmtId="0" fontId="62" fillId="0" borderId="0" xfId="104" applyFont="1" applyFill="1" applyAlignment="1">
      <alignment horizontal="center" vertical="center"/>
      <protection/>
    </xf>
    <xf numFmtId="0" fontId="63" fillId="0" borderId="54" xfId="104" applyFont="1" applyFill="1" applyBorder="1" applyAlignment="1">
      <alignment horizontal="center" vertical="center" wrapText="1"/>
      <protection/>
    </xf>
    <xf numFmtId="0" fontId="63" fillId="0" borderId="42" xfId="104" applyFont="1" applyFill="1" applyBorder="1" applyAlignment="1">
      <alignment horizontal="center" vertical="center" wrapText="1"/>
      <protection/>
    </xf>
    <xf numFmtId="0" fontId="63" fillId="0" borderId="76" xfId="104" applyFont="1" applyFill="1" applyBorder="1" applyAlignment="1">
      <alignment horizontal="center" vertical="center" wrapText="1"/>
      <protection/>
    </xf>
    <xf numFmtId="0" fontId="60" fillId="0" borderId="76" xfId="104" applyFont="1" applyFill="1" applyBorder="1" applyAlignment="1">
      <alignment horizontal="center" vertical="center"/>
      <protection/>
    </xf>
    <xf numFmtId="0" fontId="60" fillId="0" borderId="42" xfId="104" applyFont="1" applyFill="1" applyBorder="1" applyAlignment="1">
      <alignment horizontal="center" vertical="center"/>
      <protection/>
    </xf>
    <xf numFmtId="0" fontId="65" fillId="0" borderId="65" xfId="104" applyFont="1" applyFill="1" applyBorder="1" applyAlignment="1">
      <alignment horizontal="left" vertical="center" wrapText="1"/>
      <protection/>
    </xf>
    <xf numFmtId="0" fontId="60" fillId="0" borderId="72" xfId="104" applyFont="1" applyFill="1" applyBorder="1" applyAlignment="1">
      <alignment horizontal="center" vertical="center"/>
      <protection/>
    </xf>
    <xf numFmtId="10" fontId="60" fillId="0" borderId="73" xfId="104" applyNumberFormat="1" applyFont="1" applyFill="1" applyBorder="1" applyAlignment="1">
      <alignment horizontal="center" vertical="center"/>
      <protection/>
    </xf>
    <xf numFmtId="0" fontId="60" fillId="0" borderId="65" xfId="104" applyFont="1" applyFill="1" applyBorder="1" applyAlignment="1">
      <alignment horizontal="center" vertical="center"/>
      <protection/>
    </xf>
    <xf numFmtId="10" fontId="60" fillId="0" borderId="39" xfId="104" applyNumberFormat="1" applyFont="1" applyFill="1" applyBorder="1" applyAlignment="1">
      <alignment horizontal="center" vertical="center"/>
      <protection/>
    </xf>
    <xf numFmtId="0" fontId="65" fillId="0" borderId="30" xfId="0" applyFont="1" applyFill="1" applyBorder="1" applyAlignment="1">
      <alignment vertical="center" wrapText="1"/>
    </xf>
    <xf numFmtId="0" fontId="60" fillId="0" borderId="62" xfId="104" applyFont="1" applyFill="1" applyBorder="1" applyAlignment="1">
      <alignment horizontal="center" vertical="center"/>
      <protection/>
    </xf>
    <xf numFmtId="10" fontId="60" fillId="0" borderId="92" xfId="104" applyNumberFormat="1" applyFont="1" applyFill="1" applyBorder="1" applyAlignment="1">
      <alignment horizontal="center" vertical="center"/>
      <protection/>
    </xf>
    <xf numFmtId="0" fontId="46" fillId="0" borderId="58" xfId="104" applyFont="1" applyFill="1" applyBorder="1" applyAlignment="1">
      <alignment horizontal="left" vertical="center" wrapText="1"/>
      <protection/>
    </xf>
    <xf numFmtId="2" fontId="67" fillId="0" borderId="53" xfId="104" applyNumberFormat="1" applyFont="1" applyFill="1" applyBorder="1" applyAlignment="1">
      <alignment horizontal="center" vertical="center"/>
      <protection/>
    </xf>
    <xf numFmtId="2" fontId="67" fillId="0" borderId="22" xfId="104" applyNumberFormat="1" applyFont="1" applyFill="1" applyBorder="1" applyAlignment="1">
      <alignment horizontal="center" vertical="center"/>
      <protection/>
    </xf>
    <xf numFmtId="1" fontId="67" fillId="0" borderId="23" xfId="104" applyNumberFormat="1" applyFont="1" applyFill="1" applyBorder="1" applyAlignment="1">
      <alignment horizontal="center" vertical="center"/>
      <protection/>
    </xf>
    <xf numFmtId="10" fontId="60" fillId="0" borderId="22" xfId="104" applyNumberFormat="1" applyFont="1" applyFill="1" applyBorder="1" applyAlignment="1">
      <alignment horizontal="center" vertical="center"/>
      <protection/>
    </xf>
    <xf numFmtId="0" fontId="46" fillId="0" borderId="0" xfId="104" applyFont="1" applyFill="1" applyBorder="1" applyAlignment="1">
      <alignment horizontal="left" vertical="center" wrapText="1"/>
      <protection/>
    </xf>
    <xf numFmtId="1" fontId="67" fillId="0" borderId="0" xfId="104" applyNumberFormat="1" applyFont="1" applyFill="1" applyBorder="1" applyAlignment="1">
      <alignment horizontal="center" vertical="center"/>
      <protection/>
    </xf>
    <xf numFmtId="2" fontId="67" fillId="0" borderId="0" xfId="104" applyNumberFormat="1" applyFont="1" applyFill="1" applyBorder="1" applyAlignment="1">
      <alignment horizontal="center" vertical="center"/>
      <protection/>
    </xf>
    <xf numFmtId="10" fontId="60" fillId="0" borderId="0" xfId="104" applyNumberFormat="1" applyFont="1" applyFill="1" applyBorder="1" applyAlignment="1">
      <alignment horizontal="center" vertical="center"/>
      <protection/>
    </xf>
    <xf numFmtId="10" fontId="60" fillId="0" borderId="0" xfId="104" applyNumberFormat="1" applyFont="1" applyFill="1" applyAlignment="1">
      <alignment horizontal="center" vertical="center"/>
      <protection/>
    </xf>
    <xf numFmtId="1" fontId="67" fillId="0" borderId="19" xfId="104" applyNumberFormat="1" applyFont="1" applyFill="1" applyBorder="1" applyAlignment="1">
      <alignment horizontal="center" vertical="center" wrapText="1"/>
      <protection/>
    </xf>
    <xf numFmtId="1" fontId="67" fillId="0" borderId="20" xfId="104" applyNumberFormat="1" applyFont="1" applyFill="1" applyBorder="1" applyAlignment="1">
      <alignment horizontal="center" vertical="center" wrapText="1"/>
      <protection/>
    </xf>
    <xf numFmtId="1" fontId="67" fillId="0" borderId="109" xfId="104" applyNumberFormat="1" applyFont="1" applyFill="1" applyBorder="1" applyAlignment="1">
      <alignment horizontal="center" vertical="center" wrapText="1"/>
      <protection/>
    </xf>
    <xf numFmtId="0" fontId="60" fillId="0" borderId="19" xfId="104" applyFont="1" applyFill="1" applyBorder="1" applyAlignment="1">
      <alignment horizontal="center" vertical="center"/>
      <protection/>
    </xf>
    <xf numFmtId="10" fontId="60" fillId="0" borderId="109" xfId="104" applyNumberFormat="1" applyFont="1" applyFill="1" applyBorder="1" applyAlignment="1">
      <alignment horizontal="center" vertical="center"/>
      <protection/>
    </xf>
    <xf numFmtId="0" fontId="64" fillId="0" borderId="55" xfId="104" applyFont="1" applyFill="1" applyBorder="1" applyAlignment="1">
      <alignment horizontal="left" vertical="center"/>
      <protection/>
    </xf>
    <xf numFmtId="0" fontId="64" fillId="0" borderId="51" xfId="104" applyFont="1" applyFill="1" applyBorder="1" applyAlignment="1">
      <alignment horizontal="left" vertical="center"/>
      <protection/>
    </xf>
    <xf numFmtId="1" fontId="67" fillId="0" borderId="69" xfId="104" applyNumberFormat="1" applyFont="1" applyFill="1" applyBorder="1" applyAlignment="1">
      <alignment horizontal="center" vertical="center" wrapText="1"/>
      <protection/>
    </xf>
    <xf numFmtId="0" fontId="60" fillId="0" borderId="0" xfId="104" applyFont="1" applyFill="1" applyBorder="1" applyAlignment="1">
      <alignment horizontal="center" vertical="center"/>
      <protection/>
    </xf>
    <xf numFmtId="0" fontId="60" fillId="0" borderId="0" xfId="104" applyFont="1" applyFill="1" applyAlignment="1">
      <alignment vertical="center"/>
      <protection/>
    </xf>
    <xf numFmtId="0" fontId="65" fillId="0" borderId="65" xfId="104" applyFont="1" applyFill="1" applyBorder="1" applyAlignment="1">
      <alignment horizontal="left" vertical="center"/>
      <protection/>
    </xf>
    <xf numFmtId="0" fontId="64" fillId="0" borderId="52" xfId="104" applyFont="1" applyFill="1" applyBorder="1" applyAlignment="1">
      <alignment horizontal="left" vertical="center"/>
      <protection/>
    </xf>
    <xf numFmtId="0" fontId="64" fillId="0" borderId="54" xfId="104" applyFont="1" applyFill="1" applyBorder="1" applyAlignment="1">
      <alignment horizontal="left" vertical="center"/>
      <protection/>
    </xf>
    <xf numFmtId="1" fontId="66" fillId="0" borderId="42" xfId="104" applyNumberFormat="1" applyFont="1" applyFill="1" applyBorder="1" applyAlignment="1">
      <alignment horizontal="center" vertical="center" wrapText="1"/>
      <protection/>
    </xf>
    <xf numFmtId="0" fontId="64" fillId="0" borderId="76" xfId="104" applyFont="1" applyFill="1" applyBorder="1" applyAlignment="1">
      <alignment horizontal="left" vertical="center"/>
      <protection/>
    </xf>
    <xf numFmtId="0" fontId="64" fillId="0" borderId="38" xfId="104" applyFont="1" applyFill="1" applyBorder="1" applyAlignment="1">
      <alignment horizontal="left" vertical="center"/>
      <protection/>
    </xf>
    <xf numFmtId="1" fontId="67" fillId="0" borderId="22" xfId="104" applyNumberFormat="1" applyFont="1" applyFill="1" applyBorder="1" applyAlignment="1">
      <alignment horizontal="center" vertical="center" wrapText="1"/>
      <protection/>
    </xf>
    <xf numFmtId="0" fontId="64" fillId="0" borderId="0" xfId="104" applyFont="1" applyFill="1" applyBorder="1" applyAlignment="1">
      <alignment horizontal="left" vertical="center"/>
      <protection/>
    </xf>
    <xf numFmtId="1" fontId="67" fillId="0" borderId="0" xfId="104" applyNumberFormat="1" applyFont="1" applyFill="1" applyBorder="1" applyAlignment="1">
      <alignment horizontal="center" vertical="center" wrapText="1"/>
      <protection/>
    </xf>
    <xf numFmtId="3" fontId="65" fillId="0" borderId="44" xfId="102" applyNumberFormat="1" applyFont="1" applyFill="1" applyBorder="1" applyAlignment="1">
      <alignment horizontal="right" vertical="center"/>
      <protection/>
    </xf>
    <xf numFmtId="3" fontId="65" fillId="0" borderId="73" xfId="102" applyNumberFormat="1" applyFont="1" applyFill="1" applyBorder="1" applyAlignment="1">
      <alignment horizontal="right" vertical="center"/>
      <protection/>
    </xf>
    <xf numFmtId="3" fontId="65" fillId="0" borderId="52" xfId="102" applyNumberFormat="1" applyFont="1" applyFill="1" applyBorder="1" applyAlignment="1">
      <alignment vertical="center"/>
      <protection/>
    </xf>
    <xf numFmtId="3" fontId="65" fillId="0" borderId="52" xfId="102" applyNumberFormat="1" applyFont="1" applyFill="1" applyBorder="1" applyAlignment="1">
      <alignment horizontal="right" vertical="center"/>
      <protection/>
    </xf>
    <xf numFmtId="3" fontId="64" fillId="0" borderId="53" xfId="102" applyNumberFormat="1" applyFont="1" applyFill="1" applyBorder="1" applyAlignment="1">
      <alignment vertical="center"/>
      <protection/>
    </xf>
    <xf numFmtId="3" fontId="64" fillId="0" borderId="71" xfId="102" applyNumberFormat="1" applyFont="1" applyFill="1" applyBorder="1" applyAlignment="1">
      <alignment vertical="center"/>
      <protection/>
    </xf>
    <xf numFmtId="0" fontId="14" fillId="0" borderId="0" xfId="103" applyFill="1">
      <alignment/>
      <protection/>
    </xf>
    <xf numFmtId="0" fontId="68" fillId="0" borderId="0" xfId="103" applyFont="1" applyFill="1" applyAlignment="1">
      <alignment horizontal="right"/>
      <protection/>
    </xf>
    <xf numFmtId="3" fontId="44" fillId="0" borderId="0" xfId="103" applyNumberFormat="1" applyFont="1" applyFill="1" applyBorder="1" applyAlignment="1">
      <alignment horizontal="right"/>
      <protection/>
    </xf>
    <xf numFmtId="0" fontId="15" fillId="0" borderId="0" xfId="105" applyFill="1">
      <alignment/>
      <protection/>
    </xf>
    <xf numFmtId="0" fontId="68" fillId="0" borderId="0" xfId="103" applyFont="1" applyFill="1">
      <alignment/>
      <protection/>
    </xf>
    <xf numFmtId="3" fontId="14" fillId="0" borderId="0" xfId="103" applyNumberFormat="1" applyFill="1">
      <alignment/>
      <protection/>
    </xf>
    <xf numFmtId="0" fontId="43" fillId="0" borderId="23" xfId="103" applyFont="1" applyFill="1" applyBorder="1" applyAlignment="1">
      <alignment horizontal="center" vertical="center" wrapText="1"/>
      <protection/>
    </xf>
    <xf numFmtId="0" fontId="14" fillId="0" borderId="0" xfId="103" applyFill="1" applyAlignment="1">
      <alignment vertical="center" wrapText="1"/>
      <protection/>
    </xf>
    <xf numFmtId="0" fontId="43" fillId="0" borderId="60" xfId="103" applyFont="1" applyFill="1" applyBorder="1" applyAlignment="1">
      <alignment horizontal="center" vertical="center" wrapText="1"/>
      <protection/>
    </xf>
    <xf numFmtId="168" fontId="71" fillId="0" borderId="43" xfId="105" applyNumberFormat="1" applyFont="1" applyFill="1" applyBorder="1" applyAlignment="1">
      <alignment horizontal="center" vertical="center" wrapText="1"/>
      <protection/>
    </xf>
    <xf numFmtId="3" fontId="71" fillId="0" borderId="21" xfId="105" applyNumberFormat="1" applyFont="1" applyFill="1" applyBorder="1" applyAlignment="1">
      <alignment horizontal="center" vertical="center" wrapText="1"/>
      <protection/>
    </xf>
    <xf numFmtId="3" fontId="72" fillId="0" borderId="48" xfId="105" applyNumberFormat="1" applyFont="1" applyFill="1" applyBorder="1" applyAlignment="1">
      <alignment horizontal="right" vertical="center" wrapText="1"/>
      <protection/>
    </xf>
    <xf numFmtId="3" fontId="14" fillId="0" borderId="21" xfId="103" applyNumberFormat="1" applyFill="1" applyBorder="1" applyAlignment="1">
      <alignment vertical="center" wrapText="1"/>
      <protection/>
    </xf>
    <xf numFmtId="0" fontId="43" fillId="0" borderId="21" xfId="103" applyFont="1" applyFill="1" applyBorder="1" applyAlignment="1">
      <alignment horizontal="center" vertical="center" wrapText="1"/>
      <protection/>
    </xf>
    <xf numFmtId="0" fontId="14" fillId="0" borderId="21" xfId="103" applyFont="1" applyFill="1" applyBorder="1">
      <alignment/>
      <protection/>
    </xf>
    <xf numFmtId="0" fontId="14" fillId="0" borderId="19" xfId="103" applyFill="1" applyBorder="1">
      <alignment/>
      <protection/>
    </xf>
    <xf numFmtId="3" fontId="14" fillId="0" borderId="21" xfId="103" applyNumberFormat="1" applyFill="1" applyBorder="1">
      <alignment/>
      <protection/>
    </xf>
    <xf numFmtId="0" fontId="14" fillId="0" borderId="19" xfId="103" applyFont="1" applyFill="1" applyBorder="1" applyAlignment="1">
      <alignment/>
      <protection/>
    </xf>
    <xf numFmtId="0" fontId="0" fillId="0" borderId="20" xfId="0" applyFill="1" applyBorder="1" applyAlignment="1">
      <alignment/>
    </xf>
    <xf numFmtId="0" fontId="43" fillId="0" borderId="19" xfId="103" applyFont="1" applyFill="1" applyBorder="1" applyAlignment="1">
      <alignment horizontal="center" vertical="center" wrapText="1"/>
      <protection/>
    </xf>
    <xf numFmtId="3" fontId="14" fillId="0" borderId="165" xfId="103" applyNumberFormat="1" applyFill="1" applyBorder="1">
      <alignment/>
      <protection/>
    </xf>
    <xf numFmtId="0" fontId="14" fillId="0" borderId="23" xfId="103" applyFont="1" applyFill="1" applyBorder="1" applyAlignment="1">
      <alignment horizontal="center" vertical="center"/>
      <protection/>
    </xf>
    <xf numFmtId="3" fontId="74" fillId="0" borderId="165" xfId="105" applyNumberFormat="1" applyFont="1" applyFill="1" applyBorder="1" applyAlignment="1">
      <alignment vertical="center"/>
      <protection/>
    </xf>
    <xf numFmtId="3" fontId="68" fillId="0" borderId="0" xfId="103" applyNumberFormat="1" applyFont="1" applyFill="1">
      <alignment/>
      <protection/>
    </xf>
    <xf numFmtId="0" fontId="24" fillId="0" borderId="28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13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5" fillId="0" borderId="20" xfId="0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131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0" fontId="0" fillId="0" borderId="50" xfId="0" applyBorder="1" applyAlignment="1">
      <alignment horizontal="right"/>
    </xf>
    <xf numFmtId="0" fontId="0" fillId="0" borderId="50" xfId="0" applyFont="1" applyBorder="1" applyAlignment="1">
      <alignment horizontal="right"/>
    </xf>
    <xf numFmtId="49" fontId="24" fillId="0" borderId="19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/>
    </xf>
    <xf numFmtId="166" fontId="27" fillId="0" borderId="0" xfId="106" applyNumberFormat="1" applyFont="1" applyFill="1" applyBorder="1" applyAlignment="1" applyProtection="1">
      <alignment horizontal="left" vertical="center"/>
      <protection/>
    </xf>
    <xf numFmtId="166" fontId="29" fillId="0" borderId="0" xfId="106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30" fillId="0" borderId="10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166" fontId="49" fillId="0" borderId="50" xfId="106" applyNumberFormat="1" applyFont="1" applyFill="1" applyBorder="1" applyAlignment="1" applyProtection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0" xfId="0" applyNumberFormat="1" applyFont="1" applyBorder="1" applyAlignment="1">
      <alignment horizontal="left" vertical="center"/>
    </xf>
    <xf numFmtId="0" fontId="29" fillId="0" borderId="0" xfId="106" applyFont="1" applyFill="1" applyBorder="1" applyAlignment="1">
      <alignment horizontal="center"/>
      <protection/>
    </xf>
    <xf numFmtId="0" fontId="29" fillId="0" borderId="38" xfId="106" applyFont="1" applyFill="1" applyBorder="1" applyAlignment="1" applyProtection="1">
      <alignment horizontal="left" vertical="center" wrapText="1"/>
      <protection/>
    </xf>
    <xf numFmtId="0" fontId="29" fillId="0" borderId="0" xfId="106" applyFont="1" applyFill="1" applyBorder="1" applyAlignment="1">
      <alignment horizontal="center" wrapText="1"/>
      <protection/>
    </xf>
    <xf numFmtId="166" fontId="49" fillId="0" borderId="0" xfId="106" applyNumberFormat="1" applyFont="1" applyFill="1" applyBorder="1" applyAlignment="1" applyProtection="1">
      <alignment horizontal="left" vertical="center"/>
      <protection/>
    </xf>
    <xf numFmtId="0" fontId="39" fillId="0" borderId="104" xfId="106" applyFont="1" applyFill="1" applyBorder="1" applyAlignment="1">
      <alignment horizontal="left"/>
      <protection/>
    </xf>
    <xf numFmtId="0" fontId="38" fillId="0" borderId="166" xfId="106" applyFont="1" applyFill="1" applyBorder="1" applyAlignment="1" applyProtection="1">
      <alignment horizontal="left" vertical="center" wrapText="1"/>
      <protection/>
    </xf>
    <xf numFmtId="0" fontId="38" fillId="0" borderId="164" xfId="106" applyFont="1" applyFill="1" applyBorder="1" applyAlignment="1" applyProtection="1">
      <alignment horizontal="left" vertical="center" wrapText="1"/>
      <protection/>
    </xf>
    <xf numFmtId="0" fontId="38" fillId="0" borderId="167" xfId="106" applyFont="1" applyFill="1" applyBorder="1" applyAlignment="1" applyProtection="1">
      <alignment horizontal="left" vertical="center" wrapText="1"/>
      <protection/>
    </xf>
    <xf numFmtId="0" fontId="38" fillId="0" borderId="168" xfId="106" applyFont="1" applyFill="1" applyBorder="1" applyAlignment="1" applyProtection="1">
      <alignment horizontal="left" vertical="center" wrapText="1"/>
      <protection/>
    </xf>
    <xf numFmtId="0" fontId="38" fillId="0" borderId="169" xfId="106" applyFont="1" applyFill="1" applyBorder="1" applyAlignment="1" applyProtection="1">
      <alignment horizontal="left" vertical="center" wrapText="1"/>
      <protection/>
    </xf>
    <xf numFmtId="0" fontId="38" fillId="0" borderId="170" xfId="106" applyFont="1" applyFill="1" applyBorder="1" applyAlignment="1" applyProtection="1">
      <alignment horizontal="left" vertical="center" wrapText="1"/>
      <protection/>
    </xf>
    <xf numFmtId="0" fontId="38" fillId="0" borderId="171" xfId="106" applyFont="1" applyFill="1" applyBorder="1" applyAlignment="1" applyProtection="1">
      <alignment horizontal="left" vertical="center" wrapText="1"/>
      <protection/>
    </xf>
    <xf numFmtId="0" fontId="38" fillId="0" borderId="172" xfId="106" applyFont="1" applyFill="1" applyBorder="1" applyAlignment="1" applyProtection="1">
      <alignment horizontal="left" vertical="center" wrapText="1"/>
      <protection/>
    </xf>
    <xf numFmtId="0" fontId="38" fillId="0" borderId="173" xfId="106" applyFont="1" applyFill="1" applyBorder="1" applyAlignment="1" applyProtection="1">
      <alignment horizontal="left" vertical="center" wrapText="1"/>
      <protection/>
    </xf>
    <xf numFmtId="0" fontId="38" fillId="0" borderId="104" xfId="106" applyFont="1" applyFill="1" applyBorder="1" applyAlignment="1">
      <alignment horizontal="left"/>
      <protection/>
    </xf>
    <xf numFmtId="0" fontId="39" fillId="0" borderId="105" xfId="106" applyFont="1" applyFill="1" applyBorder="1" applyAlignment="1">
      <alignment horizontal="left"/>
      <protection/>
    </xf>
    <xf numFmtId="0" fontId="38" fillId="0" borderId="150" xfId="106" applyFont="1" applyFill="1" applyBorder="1" applyAlignment="1" applyProtection="1">
      <alignment horizontal="left" vertical="center" wrapText="1"/>
      <protection/>
    </xf>
    <xf numFmtId="0" fontId="38" fillId="0" borderId="174" xfId="106" applyFont="1" applyFill="1" applyBorder="1" applyAlignment="1" applyProtection="1">
      <alignment horizontal="left" vertical="center" wrapText="1"/>
      <protection/>
    </xf>
    <xf numFmtId="0" fontId="38" fillId="0" borderId="175" xfId="106" applyFont="1" applyFill="1" applyBorder="1" applyAlignment="1" applyProtection="1">
      <alignment horizontal="left" vertical="center" wrapText="1"/>
      <protection/>
    </xf>
    <xf numFmtId="0" fontId="49" fillId="0" borderId="0" xfId="106" applyFont="1" applyFill="1" applyBorder="1" applyAlignment="1">
      <alignment horizontal="left"/>
      <protection/>
    </xf>
    <xf numFmtId="0" fontId="29" fillId="0" borderId="51" xfId="106" applyFont="1" applyFill="1" applyBorder="1" applyAlignment="1">
      <alignment horizontal="left" vertical="center"/>
      <protection/>
    </xf>
    <xf numFmtId="0" fontId="42" fillId="0" borderId="50" xfId="103" applyFont="1" applyFill="1" applyBorder="1" applyAlignment="1">
      <alignment horizontal="center" vertical="center"/>
      <protection/>
    </xf>
    <xf numFmtId="0" fontId="42" fillId="0" borderId="0" xfId="103" applyFont="1" applyFill="1" applyBorder="1" applyAlignment="1">
      <alignment horizontal="center" vertical="center"/>
      <protection/>
    </xf>
    <xf numFmtId="0" fontId="41" fillId="0" borderId="0" xfId="103" applyFont="1" applyFill="1" applyBorder="1" applyAlignment="1">
      <alignment horizontal="center" vertical="center"/>
      <protection/>
    </xf>
    <xf numFmtId="0" fontId="40" fillId="0" borderId="0" xfId="103" applyFont="1" applyFill="1" applyBorder="1" applyAlignment="1">
      <alignment horizontal="right" vertical="center"/>
      <protection/>
    </xf>
    <xf numFmtId="0" fontId="24" fillId="0" borderId="130" xfId="0" applyFont="1" applyBorder="1" applyAlignment="1">
      <alignment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29" xfId="0" applyFont="1" applyFill="1" applyBorder="1" applyAlignment="1">
      <alignment horizontal="left" vertical="center" wrapText="1"/>
    </xf>
    <xf numFmtId="0" fontId="24" fillId="0" borderId="131" xfId="0" applyFont="1" applyBorder="1" applyAlignment="1">
      <alignment horizontal="left" wrapText="1"/>
    </xf>
    <xf numFmtId="0" fontId="24" fillId="0" borderId="129" xfId="0" applyFont="1" applyBorder="1" applyAlignment="1">
      <alignment horizontal="left" wrapText="1"/>
    </xf>
    <xf numFmtId="0" fontId="25" fillId="0" borderId="20" xfId="0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5" fillId="0" borderId="152" xfId="0" applyFont="1" applyFill="1" applyBorder="1" applyAlignment="1">
      <alignment horizontal="center" vertical="center" wrapText="1"/>
    </xf>
    <xf numFmtId="0" fontId="25" fillId="0" borderId="149" xfId="0" applyFont="1" applyFill="1" applyBorder="1" applyAlignment="1">
      <alignment horizontal="center" vertical="center" wrapText="1"/>
    </xf>
    <xf numFmtId="0" fontId="25" fillId="0" borderId="10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5" fillId="0" borderId="10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66" fontId="49" fillId="0" borderId="0" xfId="0" applyNumberFormat="1" applyFont="1" applyFill="1" applyBorder="1" applyAlignment="1">
      <alignment horizontal="right" vertical="center" wrapText="1"/>
    </xf>
    <xf numFmtId="0" fontId="52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104" applyFont="1" applyFill="1" applyBorder="1" applyAlignment="1">
      <alignment horizontal="center" vertical="center"/>
      <protection/>
    </xf>
    <xf numFmtId="0" fontId="104" fillId="0" borderId="0" xfId="104" applyFont="1" applyFill="1" applyAlignment="1">
      <alignment horizontal="right" vertical="center"/>
      <protection/>
    </xf>
    <xf numFmtId="0" fontId="61" fillId="0" borderId="0" xfId="104" applyFont="1" applyFill="1" applyBorder="1" applyAlignment="1">
      <alignment horizontal="right" vertical="center"/>
      <protection/>
    </xf>
    <xf numFmtId="0" fontId="64" fillId="0" borderId="19" xfId="104" applyFont="1" applyFill="1" applyBorder="1" applyAlignment="1">
      <alignment horizontal="center" vertical="center"/>
      <protection/>
    </xf>
    <xf numFmtId="0" fontId="64" fillId="0" borderId="20" xfId="104" applyFont="1" applyFill="1" applyBorder="1" applyAlignment="1">
      <alignment horizontal="center" vertical="center"/>
      <protection/>
    </xf>
    <xf numFmtId="0" fontId="0" fillId="0" borderId="109" xfId="0" applyFont="1" applyFill="1" applyBorder="1" applyAlignment="1">
      <alignment horizontal="center" vertical="center"/>
    </xf>
    <xf numFmtId="167" fontId="62" fillId="0" borderId="0" xfId="104" applyNumberFormat="1" applyFont="1" applyFill="1" applyBorder="1" applyAlignment="1">
      <alignment horizontal="center" vertical="center" wrapText="1"/>
      <protection/>
    </xf>
    <xf numFmtId="0" fontId="63" fillId="0" borderId="0" xfId="104" applyFont="1" applyFill="1" applyBorder="1" applyAlignment="1">
      <alignment horizontal="center" vertical="center"/>
      <protection/>
    </xf>
    <xf numFmtId="0" fontId="64" fillId="0" borderId="23" xfId="104" applyFont="1" applyFill="1" applyBorder="1" applyAlignment="1">
      <alignment horizontal="center" vertical="center" wrapText="1"/>
      <protection/>
    </xf>
    <xf numFmtId="0" fontId="64" fillId="0" borderId="69" xfId="104" applyFont="1" applyFill="1" applyBorder="1" applyAlignment="1">
      <alignment horizontal="center" vertical="center" wrapText="1"/>
      <protection/>
    </xf>
    <xf numFmtId="0" fontId="64" fillId="0" borderId="26" xfId="104" applyFont="1" applyFill="1" applyBorder="1" applyAlignment="1">
      <alignment horizontal="center" vertical="center" wrapText="1"/>
      <protection/>
    </xf>
    <xf numFmtId="0" fontId="63" fillId="0" borderId="26" xfId="104" applyFont="1" applyFill="1" applyBorder="1" applyAlignment="1">
      <alignment horizontal="center" vertical="center" wrapText="1"/>
      <protection/>
    </xf>
    <xf numFmtId="3" fontId="76" fillId="35" borderId="19" xfId="103" applyNumberFormat="1" applyFont="1" applyFill="1" applyBorder="1" applyAlignment="1">
      <alignment horizontal="center" vertical="center"/>
      <protection/>
    </xf>
    <xf numFmtId="3" fontId="76" fillId="35" borderId="20" xfId="103" applyNumberFormat="1" applyFont="1" applyFill="1" applyBorder="1" applyAlignment="1">
      <alignment horizontal="center" vertical="center"/>
      <protection/>
    </xf>
    <xf numFmtId="3" fontId="76" fillId="35" borderId="109" xfId="103" applyNumberFormat="1" applyFont="1" applyFill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82" fillId="0" borderId="0" xfId="103" applyFont="1" applyBorder="1" applyAlignment="1">
      <alignment horizontal="center" vertical="center"/>
      <protection/>
    </xf>
    <xf numFmtId="0" fontId="76" fillId="0" borderId="23" xfId="103" applyFont="1" applyBorder="1" applyAlignment="1">
      <alignment horizontal="center" vertical="center"/>
      <protection/>
    </xf>
    <xf numFmtId="0" fontId="76" fillId="0" borderId="19" xfId="103" applyFont="1" applyBorder="1" applyAlignment="1">
      <alignment horizontal="center" vertical="center"/>
      <protection/>
    </xf>
    <xf numFmtId="0" fontId="72" fillId="0" borderId="21" xfId="105" applyFont="1" applyFill="1" applyBorder="1" applyAlignment="1">
      <alignment horizontal="left" vertical="center" wrapText="1"/>
      <protection/>
    </xf>
    <xf numFmtId="0" fontId="72" fillId="0" borderId="19" xfId="105" applyFont="1" applyFill="1" applyBorder="1" applyAlignment="1">
      <alignment horizontal="left" vertical="center" wrapText="1"/>
      <protection/>
    </xf>
    <xf numFmtId="0" fontId="14" fillId="0" borderId="19" xfId="103" applyFont="1" applyFill="1" applyBorder="1" applyAlignment="1">
      <alignment/>
      <protection/>
    </xf>
    <xf numFmtId="0" fontId="0" fillId="0" borderId="20" xfId="0" applyFill="1" applyBorder="1" applyAlignment="1">
      <alignment/>
    </xf>
    <xf numFmtId="3" fontId="71" fillId="0" borderId="19" xfId="105" applyNumberFormat="1" applyFont="1" applyFill="1" applyBorder="1" applyAlignment="1">
      <alignment horizontal="center" vertical="center" wrapText="1"/>
      <protection/>
    </xf>
    <xf numFmtId="3" fontId="71" fillId="0" borderId="20" xfId="105" applyNumberFormat="1" applyFont="1" applyFill="1" applyBorder="1" applyAlignment="1">
      <alignment horizontal="center" vertical="center" wrapText="1"/>
      <protection/>
    </xf>
    <xf numFmtId="3" fontId="71" fillId="0" borderId="109" xfId="105" applyNumberFormat="1" applyFont="1" applyFill="1" applyBorder="1" applyAlignment="1">
      <alignment horizontal="center" vertical="center" wrapText="1"/>
      <protection/>
    </xf>
    <xf numFmtId="0" fontId="69" fillId="0" borderId="0" xfId="103" applyFont="1" applyFill="1" applyBorder="1" applyAlignment="1">
      <alignment horizontal="center"/>
      <protection/>
    </xf>
    <xf numFmtId="0" fontId="70" fillId="0" borderId="0" xfId="103" applyFont="1" applyFill="1" applyBorder="1" applyAlignment="1">
      <alignment horizontal="center"/>
      <protection/>
    </xf>
    <xf numFmtId="0" fontId="15" fillId="0" borderId="0" xfId="103" applyFont="1" applyFill="1" applyBorder="1" applyAlignment="1">
      <alignment horizontal="center"/>
      <protection/>
    </xf>
    <xf numFmtId="0" fontId="74" fillId="0" borderId="50" xfId="105" applyFont="1" applyFill="1" applyBorder="1" applyAlignment="1">
      <alignment horizontal="center" vertical="center" wrapText="1"/>
      <protection/>
    </xf>
    <xf numFmtId="168" fontId="72" fillId="0" borderId="21" xfId="105" applyNumberFormat="1" applyFont="1" applyFill="1" applyBorder="1" applyAlignment="1">
      <alignment horizontal="left" wrapText="1"/>
      <protection/>
    </xf>
    <xf numFmtId="168" fontId="72" fillId="0" borderId="19" xfId="105" applyNumberFormat="1" applyFont="1" applyFill="1" applyBorder="1" applyAlignment="1">
      <alignment horizontal="left" wrapText="1"/>
      <protection/>
    </xf>
    <xf numFmtId="0" fontId="72" fillId="0" borderId="21" xfId="105" applyFont="1" applyFill="1" applyBorder="1" applyAlignment="1">
      <alignment horizontal="left"/>
      <protection/>
    </xf>
    <xf numFmtId="0" fontId="72" fillId="0" borderId="19" xfId="105" applyFont="1" applyFill="1" applyBorder="1" applyAlignment="1">
      <alignment horizontal="left"/>
      <protection/>
    </xf>
    <xf numFmtId="0" fontId="14" fillId="0" borderId="61" xfId="103" applyFont="1" applyFill="1" applyBorder="1" applyAlignment="1">
      <alignment horizontal="left"/>
      <protection/>
    </xf>
    <xf numFmtId="0" fontId="14" fillId="0" borderId="109" xfId="103" applyFont="1" applyFill="1" applyBorder="1" applyAlignment="1">
      <alignment horizontal="left"/>
      <protection/>
    </xf>
    <xf numFmtId="168" fontId="71" fillId="0" borderId="20" xfId="105" applyNumberFormat="1" applyFont="1" applyFill="1" applyBorder="1" applyAlignment="1">
      <alignment horizontal="center" vertical="center" wrapText="1"/>
      <protection/>
    </xf>
    <xf numFmtId="168" fontId="72" fillId="0" borderId="61" xfId="105" applyNumberFormat="1" applyFont="1" applyFill="1" applyBorder="1" applyAlignment="1">
      <alignment horizontal="left" vertical="center" wrapText="1"/>
      <protection/>
    </xf>
    <xf numFmtId="168" fontId="72" fillId="0" borderId="20" xfId="105" applyNumberFormat="1" applyFont="1" applyFill="1" applyBorder="1" applyAlignment="1">
      <alignment horizontal="left" vertical="center" wrapText="1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8" fillId="11" borderId="176" xfId="103" applyFont="1" applyFill="1" applyBorder="1" applyAlignment="1">
      <alignment horizontal="center" vertical="center" wrapText="1"/>
      <protection/>
    </xf>
    <xf numFmtId="0" fontId="55" fillId="11" borderId="177" xfId="103" applyFont="1" applyFill="1" applyBorder="1" applyAlignment="1">
      <alignment horizontal="center" vertical="center" wrapText="1"/>
      <protection/>
    </xf>
    <xf numFmtId="3" fontId="78" fillId="11" borderId="59" xfId="103" applyNumberFormat="1" applyFont="1" applyFill="1" applyBorder="1" applyAlignment="1">
      <alignment horizontal="center" vertical="center" wrapText="1"/>
      <protection/>
    </xf>
    <xf numFmtId="3" fontId="78" fillId="11" borderId="43" xfId="103" applyNumberFormat="1" applyFont="1" applyFill="1" applyBorder="1" applyAlignment="1">
      <alignment horizontal="center" vertical="center" wrapText="1"/>
      <protection/>
    </xf>
    <xf numFmtId="3" fontId="78" fillId="11" borderId="87" xfId="103" applyNumberFormat="1" applyFont="1" applyFill="1" applyBorder="1" applyAlignment="1">
      <alignment horizontal="center" vertical="center" wrapText="1"/>
      <protection/>
    </xf>
    <xf numFmtId="3" fontId="78" fillId="11" borderId="86" xfId="103" applyNumberFormat="1" applyFont="1" applyFill="1" applyBorder="1" applyAlignment="1">
      <alignment horizontal="center" vertical="center" wrapText="1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3" fontId="78" fillId="11" borderId="85" xfId="103" applyNumberFormat="1" applyFont="1" applyFill="1" applyBorder="1" applyAlignment="1">
      <alignment horizontal="center" vertical="center" wrapText="1"/>
      <protection/>
    </xf>
    <xf numFmtId="3" fontId="78" fillId="11" borderId="178" xfId="103" applyNumberFormat="1" applyFont="1" applyFill="1" applyBorder="1" applyAlignment="1">
      <alignment horizontal="center" vertical="center" wrapText="1"/>
      <protection/>
    </xf>
    <xf numFmtId="3" fontId="78" fillId="11" borderId="107" xfId="103" applyNumberFormat="1" applyFont="1" applyFill="1" applyBorder="1" applyAlignment="1">
      <alignment horizontal="center" vertical="center" wrapText="1"/>
      <protection/>
    </xf>
    <xf numFmtId="3" fontId="78" fillId="11" borderId="179" xfId="103" applyNumberFormat="1" applyFont="1" applyFill="1" applyBorder="1" applyAlignment="1">
      <alignment horizontal="center" vertical="center" wrapText="1"/>
      <protection/>
    </xf>
    <xf numFmtId="0" fontId="76" fillId="49" borderId="67" xfId="103" applyFont="1" applyFill="1" applyBorder="1" applyAlignment="1">
      <alignment horizontal="center" vertical="center" wrapText="1"/>
      <protection/>
    </xf>
    <xf numFmtId="0" fontId="76" fillId="49" borderId="28" xfId="103" applyFont="1" applyFill="1" applyBorder="1" applyAlignment="1">
      <alignment horizontal="center" vertical="center" wrapText="1"/>
      <protection/>
    </xf>
    <xf numFmtId="0" fontId="76" fillId="49" borderId="56" xfId="103" applyFont="1" applyFill="1" applyBorder="1" applyAlignment="1">
      <alignment horizontal="center" vertical="center" wrapText="1"/>
      <protection/>
    </xf>
    <xf numFmtId="0" fontId="76" fillId="49" borderId="55" xfId="103" applyFont="1" applyFill="1" applyBorder="1" applyAlignment="1">
      <alignment horizontal="center" vertical="center"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68" xfId="103" applyFont="1" applyFill="1" applyBorder="1" applyAlignment="1">
      <alignment horizontal="center" vertical="center"/>
      <protection/>
    </xf>
    <xf numFmtId="0" fontId="76" fillId="49" borderId="25" xfId="103" applyFont="1" applyFill="1" applyBorder="1" applyAlignment="1">
      <alignment horizontal="center" vertical="center"/>
      <protection/>
    </xf>
    <xf numFmtId="0" fontId="76" fillId="49" borderId="88" xfId="103" applyFont="1" applyFill="1" applyBorder="1" applyAlignment="1">
      <alignment horizontal="center" vertical="center"/>
      <protection/>
    </xf>
    <xf numFmtId="0" fontId="76" fillId="49" borderId="67" xfId="103" applyFont="1" applyFill="1" applyBorder="1" applyAlignment="1">
      <alignment horizontal="center" vertical="center"/>
      <protection/>
    </xf>
    <xf numFmtId="0" fontId="76" fillId="49" borderId="28" xfId="103" applyFont="1" applyFill="1" applyBorder="1" applyAlignment="1">
      <alignment horizontal="center" vertical="center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76" fillId="49" borderId="51" xfId="103" applyFont="1" applyFill="1" applyBorder="1" applyAlignment="1">
      <alignment horizontal="center" vertical="center"/>
      <protection/>
    </xf>
    <xf numFmtId="0" fontId="76" fillId="49" borderId="69" xfId="103" applyFont="1" applyFill="1" applyBorder="1" applyAlignment="1">
      <alignment horizontal="center" vertical="center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76" fillId="49" borderId="39" xfId="103" applyFont="1" applyFill="1" applyBorder="1" applyAlignment="1">
      <alignment horizontal="center" vertical="center" wrapText="1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76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0" fontId="76" fillId="49" borderId="90" xfId="103" applyFont="1" applyFill="1" applyBorder="1" applyAlignment="1">
      <alignment horizontal="center" vertical="center" wrapText="1"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0" fontId="29" fillId="0" borderId="23" xfId="106" applyFont="1" applyFill="1" applyBorder="1" applyAlignment="1" applyProtection="1">
      <alignment horizontal="left" vertical="center"/>
      <protection/>
    </xf>
    <xf numFmtId="0" fontId="88" fillId="0" borderId="180" xfId="106" applyFont="1" applyFill="1" applyBorder="1" applyAlignment="1">
      <alignment horizontal="justify" vertical="center" wrapText="1"/>
      <protection/>
    </xf>
    <xf numFmtId="0" fontId="88" fillId="0" borderId="181" xfId="106" applyFont="1" applyFill="1" applyBorder="1" applyAlignment="1">
      <alignment horizontal="justify" vertical="center" wrapText="1"/>
      <protection/>
    </xf>
    <xf numFmtId="166" fontId="88" fillId="0" borderId="0" xfId="106" applyNumberFormat="1" applyFont="1" applyFill="1" applyBorder="1" applyAlignment="1" applyProtection="1">
      <alignment horizontal="center" vertical="center" wrapText="1"/>
      <protection/>
    </xf>
    <xf numFmtId="3" fontId="37" fillId="0" borderId="22" xfId="107" applyNumberFormat="1" applyFont="1" applyFill="1" applyBorder="1" applyAlignment="1" applyProtection="1">
      <alignment horizontal="left" vertical="center" indent="1"/>
      <protection/>
    </xf>
    <xf numFmtId="3" fontId="87" fillId="0" borderId="0" xfId="107" applyNumberFormat="1" applyFont="1" applyFill="1" applyBorder="1" applyAlignment="1" applyProtection="1">
      <alignment horizontal="center"/>
      <protection locked="0"/>
    </xf>
    <xf numFmtId="3" fontId="29" fillId="0" borderId="0" xfId="107" applyNumberFormat="1" applyFont="1" applyFill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0" fontId="78" fillId="0" borderId="0" xfId="101" applyFont="1" applyFill="1" applyBorder="1" applyAlignment="1" applyProtection="1">
      <alignment horizontal="center" vertical="center" wrapText="1"/>
      <protection/>
    </xf>
    <xf numFmtId="0" fontId="89" fillId="0" borderId="0" xfId="101" applyFont="1" applyFill="1" applyBorder="1" applyAlignment="1">
      <alignment horizontal="right" vertical="center"/>
      <protection/>
    </xf>
    <xf numFmtId="0" fontId="103" fillId="0" borderId="50" xfId="101" applyFont="1" applyFill="1" applyBorder="1" applyAlignment="1">
      <alignment horizontal="right"/>
      <protection/>
    </xf>
    <xf numFmtId="3" fontId="1" fillId="0" borderId="50" xfId="102" applyNumberFormat="1" applyFont="1" applyBorder="1" applyAlignment="1">
      <alignment horizontal="right" vertical="center"/>
      <protection/>
    </xf>
    <xf numFmtId="3" fontId="106" fillId="0" borderId="129" xfId="102" applyNumberFormat="1" applyFont="1" applyFill="1" applyBorder="1" applyAlignment="1">
      <alignment horizontal="center" vertical="center"/>
      <protection/>
    </xf>
    <xf numFmtId="3" fontId="105" fillId="0" borderId="0" xfId="102" applyNumberFormat="1" applyFont="1" applyFill="1" applyBorder="1" applyAlignment="1">
      <alignment horizontal="center" vertical="center"/>
      <protection/>
    </xf>
    <xf numFmtId="3" fontId="106" fillId="0" borderId="23" xfId="102" applyNumberFormat="1" applyFont="1" applyFill="1" applyBorder="1" applyAlignment="1">
      <alignment horizontal="center" vertical="center" wrapText="1"/>
      <protection/>
    </xf>
    <xf numFmtId="3" fontId="106" fillId="0" borderId="51" xfId="102" applyNumberFormat="1" applyFont="1" applyFill="1" applyBorder="1" applyAlignment="1">
      <alignment horizontal="center" vertical="center"/>
      <protection/>
    </xf>
    <xf numFmtId="3" fontId="40" fillId="0" borderId="0" xfId="102" applyNumberFormat="1" applyFont="1" applyBorder="1" applyAlignment="1">
      <alignment horizontal="center" vertical="center"/>
      <protection/>
    </xf>
    <xf numFmtId="3" fontId="69" fillId="0" borderId="0" xfId="102" applyNumberFormat="1" applyFont="1" applyBorder="1" applyAlignment="1">
      <alignment horizontal="center" vertical="center"/>
      <protection/>
    </xf>
    <xf numFmtId="0" fontId="105" fillId="0" borderId="0" xfId="102" applyNumberFormat="1" applyFont="1" applyBorder="1" applyAlignment="1">
      <alignment horizontal="center" vertical="center"/>
      <protection/>
    </xf>
    <xf numFmtId="3" fontId="105" fillId="0" borderId="0" xfId="102" applyNumberFormat="1" applyFont="1" applyBorder="1" applyAlignment="1">
      <alignment horizontal="center" vertical="center"/>
      <protection/>
    </xf>
    <xf numFmtId="166" fontId="57" fillId="0" borderId="182" xfId="97" applyNumberFormat="1" applyFont="1" applyBorder="1" applyAlignment="1">
      <alignment horizontal="center" textRotation="180" wrapText="1"/>
      <protection/>
    </xf>
    <xf numFmtId="166" fontId="47" fillId="0" borderId="152" xfId="97" applyNumberFormat="1" applyFont="1" applyBorder="1" applyAlignment="1">
      <alignment horizontal="left" vertical="center" wrapText="1" indent="2"/>
      <protection/>
    </xf>
    <xf numFmtId="166" fontId="47" fillId="0" borderId="106" xfId="97" applyNumberFormat="1" applyFont="1" applyBorder="1" applyAlignment="1">
      <alignment horizontal="left" vertical="center" wrapText="1" indent="2"/>
      <protection/>
    </xf>
    <xf numFmtId="166" fontId="29" fillId="0" borderId="0" xfId="97" applyNumberFormat="1" applyFont="1" applyAlignment="1">
      <alignment horizontal="center" vertical="center" wrapText="1"/>
      <protection/>
    </xf>
    <xf numFmtId="166" fontId="47" fillId="0" borderId="183" xfId="97" applyNumberFormat="1" applyFont="1" applyBorder="1" applyAlignment="1">
      <alignment horizontal="center" vertical="center" wrapText="1"/>
      <protection/>
    </xf>
    <xf numFmtId="166" fontId="47" fillId="0" borderId="184" xfId="97" applyNumberFormat="1" applyFont="1" applyBorder="1" applyAlignment="1">
      <alignment horizontal="center" vertical="center" wrapText="1"/>
      <protection/>
    </xf>
    <xf numFmtId="166" fontId="47" fillId="0" borderId="183" xfId="97" applyNumberFormat="1" applyFont="1" applyBorder="1" applyAlignment="1">
      <alignment horizontal="center" vertical="center"/>
      <protection/>
    </xf>
    <xf numFmtId="166" fontId="47" fillId="0" borderId="184" xfId="97" applyNumberFormat="1" applyFont="1" applyBorder="1" applyAlignment="1">
      <alignment horizontal="center" vertical="center"/>
      <protection/>
    </xf>
    <xf numFmtId="49" fontId="47" fillId="0" borderId="183" xfId="97" applyNumberFormat="1" applyFont="1" applyBorder="1" applyAlignment="1">
      <alignment horizontal="center" vertical="center" wrapText="1"/>
      <protection/>
    </xf>
    <xf numFmtId="49" fontId="47" fillId="0" borderId="184" xfId="97" applyNumberFormat="1" applyFont="1" applyBorder="1" applyAlignment="1">
      <alignment horizontal="center" vertical="center" wrapText="1"/>
      <protection/>
    </xf>
    <xf numFmtId="166" fontId="47" fillId="0" borderId="185" xfId="97" applyNumberFormat="1" applyFont="1" applyBorder="1" applyAlignment="1">
      <alignment horizontal="center" vertical="center"/>
      <protection/>
    </xf>
    <xf numFmtId="166" fontId="47" fillId="0" borderId="164" xfId="97" applyNumberFormat="1" applyFont="1" applyBorder="1" applyAlignment="1">
      <alignment horizontal="center" vertical="center"/>
      <protection/>
    </xf>
    <xf numFmtId="166" fontId="47" fillId="0" borderId="186" xfId="97" applyNumberFormat="1" applyFont="1" applyBorder="1" applyAlignment="1">
      <alignment horizontal="center" vertical="center"/>
      <protection/>
    </xf>
    <xf numFmtId="0" fontId="0" fillId="0" borderId="187" xfId="95" applyFont="1" applyBorder="1" applyAlignment="1">
      <alignment horizontal="left" vertical="center" wrapText="1"/>
      <protection/>
    </xf>
    <xf numFmtId="0" fontId="0" fillId="0" borderId="188" xfId="95" applyBorder="1" applyAlignment="1">
      <alignment horizontal="left" vertical="center" wrapText="1"/>
      <protection/>
    </xf>
    <xf numFmtId="0" fontId="0" fillId="0" borderId="189" xfId="95" applyBorder="1" applyAlignment="1">
      <alignment horizontal="left" vertical="center" wrapText="1"/>
      <protection/>
    </xf>
    <xf numFmtId="0" fontId="0" fillId="0" borderId="145" xfId="95" applyFont="1" applyBorder="1" applyAlignment="1">
      <alignment horizontal="left" vertical="center" wrapText="1"/>
      <protection/>
    </xf>
    <xf numFmtId="0" fontId="0" fillId="0" borderId="144" xfId="95" applyBorder="1" applyAlignment="1">
      <alignment horizontal="left" vertical="center" wrapText="1"/>
      <protection/>
    </xf>
    <xf numFmtId="0" fontId="0" fillId="0" borderId="145" xfId="95" applyBorder="1" applyAlignment="1">
      <alignment horizontal="center"/>
      <protection/>
    </xf>
    <xf numFmtId="0" fontId="0" fillId="0" borderId="144" xfId="95" applyBorder="1" applyAlignment="1">
      <alignment horizontal="center"/>
      <protection/>
    </xf>
    <xf numFmtId="0" fontId="0" fillId="0" borderId="187" xfId="95" applyBorder="1" applyAlignment="1">
      <alignment horizontal="left" vertical="center" wrapText="1"/>
      <protection/>
    </xf>
    <xf numFmtId="0" fontId="26" fillId="0" borderId="154" xfId="95" applyFont="1" applyBorder="1" applyAlignment="1">
      <alignment horizontal="center" vertical="center"/>
      <protection/>
    </xf>
    <xf numFmtId="0" fontId="26" fillId="0" borderId="149" xfId="95" applyFont="1" applyBorder="1" applyAlignment="1">
      <alignment horizontal="center" vertical="center"/>
      <protection/>
    </xf>
    <xf numFmtId="0" fontId="0" fillId="0" borderId="145" xfId="95" applyBorder="1" applyAlignment="1">
      <alignment horizontal="left" vertical="center" wrapText="1"/>
      <protection/>
    </xf>
    <xf numFmtId="3" fontId="0" fillId="0" borderId="145" xfId="95" applyNumberFormat="1" applyBorder="1" applyAlignment="1">
      <alignment horizontal="right" vertical="center"/>
      <protection/>
    </xf>
    <xf numFmtId="3" fontId="0" fillId="0" borderId="144" xfId="95" applyNumberFormat="1" applyBorder="1" applyAlignment="1">
      <alignment horizontal="right" vertical="center"/>
      <protection/>
    </xf>
    <xf numFmtId="0" fontId="59" fillId="0" borderId="0" xfId="95" applyFont="1" applyAlignment="1">
      <alignment horizontal="right"/>
      <protection/>
    </xf>
    <xf numFmtId="0" fontId="112" fillId="0" borderId="0" xfId="95" applyFont="1" applyAlignment="1">
      <alignment horizontal="right"/>
      <protection/>
    </xf>
    <xf numFmtId="0" fontId="32" fillId="0" borderId="0" xfId="95" applyFont="1" applyAlignment="1">
      <alignment horizontal="center"/>
      <protection/>
    </xf>
    <xf numFmtId="0" fontId="24" fillId="0" borderId="0" xfId="95" applyFont="1" applyAlignment="1">
      <alignment horizontal="center" wrapText="1"/>
      <protection/>
    </xf>
    <xf numFmtId="0" fontId="4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2" xfId="102"/>
    <cellStyle name="Normál_2007. év költségvetés terv 1.mellékletek" xfId="103"/>
    <cellStyle name="Normál_2008. év költségvetés terv 1. sz. melléklet" xfId="104"/>
    <cellStyle name="Normál_Dologi kiadás" xfId="105"/>
    <cellStyle name="Normál_KVRENMUNKA" xfId="106"/>
    <cellStyle name="Normál_SEGEDLETEK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\R&#225;bakec&#246;l\K&#246;lts&#233;gvet&#233;s\M&#243;dos&#237;t&#225;s\M&#243;d.%20III\1542361839_1532589791_3.np.%20koltsegvetesi%20rendelet%20rabakecol%20egyseges%202018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 sz.m. előir felh terv"/>
      <sheetName val="1.sz.m-önk.össze.bev"/>
      <sheetName val="1 .sz.m.önk.össz.kiad."/>
      <sheetName val="2.sz.m.összehasonlító"/>
      <sheetName val="3.sz.m Önk  bev."/>
      <sheetName val="4.sz.m.ÖNK kiadás"/>
      <sheetName val="5. sz. m óvoda"/>
      <sheetName val="6 .sz.m. Létszám (2)"/>
      <sheetName val="7.sz.m.fejlesztés (2)"/>
      <sheetName val="7.a.sz.m.intfejl (2)"/>
      <sheetName val="8.sz.m.Dologi kiadás (2)"/>
      <sheetName val="9.sz.m.szociális kiadások"/>
      <sheetName val="10.sz.m.átadott pe (2)"/>
      <sheetName val="11. sz hatályát vesztette"/>
      <sheetName val="12.sz.m. . saját bevételek"/>
      <sheetName val="14.sz.m. állami támogatás "/>
      <sheetName val="15. sz.m. közvetett tám."/>
      <sheetName val="16.sz.m.többéves kihatás"/>
      <sheetName val="17. sz. m. EU "/>
      <sheetName val="18.sz.m. tartozás"/>
    </sheetNames>
    <sheetDataSet>
      <sheetData sheetId="8">
        <row r="29">
          <cell r="F29">
            <v>33516445</v>
          </cell>
          <cell r="G29">
            <v>33516445</v>
          </cell>
          <cell r="H29">
            <v>33461445</v>
          </cell>
          <cell r="J29">
            <v>29123524</v>
          </cell>
          <cell r="K29">
            <v>29123524</v>
          </cell>
          <cell r="L29">
            <v>29074024</v>
          </cell>
          <cell r="N29">
            <v>4392921</v>
          </cell>
          <cell r="O29">
            <v>4392921</v>
          </cell>
          <cell r="P29">
            <v>4387421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="85" zoomScaleNormal="85" workbookViewId="0" topLeftCell="A59">
      <selection activeCell="D74" sqref="D74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20.140625" style="3" customWidth="1"/>
    <col min="7" max="7" width="17.7109375" style="3" customWidth="1"/>
    <col min="8" max="9" width="17.7109375" style="3" hidden="1" customWidth="1"/>
    <col min="10" max="10" width="24.140625" style="4" customWidth="1"/>
    <col min="11" max="11" width="18.00390625" style="4" customWidth="1"/>
    <col min="12" max="13" width="18.00390625" style="4" hidden="1" customWidth="1"/>
    <col min="14" max="14" width="21.140625" style="5" customWidth="1"/>
    <col min="15" max="15" width="17.28125" style="5" customWidth="1"/>
    <col min="16" max="17" width="17.28125" style="5" hidden="1" customWidth="1"/>
    <col min="18" max="18" width="16.00390625" style="5" customWidth="1"/>
    <col min="19" max="19" width="10.28125" style="5" bestFit="1" customWidth="1"/>
    <col min="20" max="16384" width="9.140625" style="5" customWidth="1"/>
  </cols>
  <sheetData>
    <row r="1" spans="1:5" ht="12.75">
      <c r="A1" s="6"/>
      <c r="B1" s="6"/>
      <c r="C1" s="6"/>
      <c r="D1" s="7"/>
      <c r="E1" s="7"/>
    </row>
    <row r="2" spans="1:18" s="8" customFormat="1" ht="34.5" customHeight="1">
      <c r="A2" s="1119" t="s">
        <v>632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</row>
    <row r="3" spans="1:18" ht="13.5" thickBot="1">
      <c r="A3" s="9"/>
      <c r="B3" s="9"/>
      <c r="C3" s="9"/>
      <c r="D3" s="10"/>
      <c r="E3" s="11"/>
      <c r="J3" s="12"/>
      <c r="K3" s="12"/>
      <c r="L3" s="12"/>
      <c r="M3" s="12"/>
      <c r="N3" s="1126" t="s">
        <v>536</v>
      </c>
      <c r="O3" s="1126"/>
      <c r="P3" s="1126"/>
      <c r="Q3" s="1126"/>
      <c r="R3" s="1127"/>
    </row>
    <row r="4" spans="1:18" ht="45.75" customHeight="1" thickBot="1">
      <c r="A4" s="1117" t="s">
        <v>1</v>
      </c>
      <c r="B4" s="1117"/>
      <c r="C4" s="1117"/>
      <c r="D4" s="14" t="s">
        <v>2</v>
      </c>
      <c r="E4" s="15" t="s">
        <v>3</v>
      </c>
      <c r="F4" s="1108" t="s">
        <v>4</v>
      </c>
      <c r="G4" s="1109"/>
      <c r="H4" s="1109"/>
      <c r="I4" s="1110"/>
      <c r="J4" s="1108" t="s">
        <v>244</v>
      </c>
      <c r="K4" s="1109"/>
      <c r="L4" s="1109"/>
      <c r="M4" s="1110"/>
      <c r="N4" s="1108" t="s">
        <v>299</v>
      </c>
      <c r="O4" s="1109"/>
      <c r="P4" s="1109"/>
      <c r="Q4" s="1110"/>
      <c r="R4" s="625" t="s">
        <v>5</v>
      </c>
    </row>
    <row r="5" spans="1:18" ht="36.75" customHeight="1" thickBot="1">
      <c r="A5" s="13"/>
      <c r="B5" s="16"/>
      <c r="C5" s="16"/>
      <c r="D5" s="14"/>
      <c r="E5" s="15"/>
      <c r="F5" s="876" t="s">
        <v>6</v>
      </c>
      <c r="G5" s="17" t="s">
        <v>136</v>
      </c>
      <c r="H5" s="17" t="s">
        <v>137</v>
      </c>
      <c r="I5" s="14" t="s">
        <v>138</v>
      </c>
      <c r="J5" s="876" t="s">
        <v>6</v>
      </c>
      <c r="K5" s="17" t="s">
        <v>136</v>
      </c>
      <c r="L5" s="17" t="s">
        <v>137</v>
      </c>
      <c r="M5" s="14" t="s">
        <v>138</v>
      </c>
      <c r="N5" s="876" t="s">
        <v>6</v>
      </c>
      <c r="O5" s="17" t="s">
        <v>136</v>
      </c>
      <c r="P5" s="17" t="s">
        <v>137</v>
      </c>
      <c r="Q5" s="14" t="s">
        <v>138</v>
      </c>
      <c r="R5" s="728" t="s">
        <v>700</v>
      </c>
    </row>
    <row r="6" spans="1:18" s="21" customFormat="1" ht="21.75" customHeight="1" thickBot="1">
      <c r="A6" s="18"/>
      <c r="B6" s="1116"/>
      <c r="C6" s="1116"/>
      <c r="D6" s="1116"/>
      <c r="E6" s="19"/>
      <c r="F6" s="20"/>
      <c r="G6" s="601"/>
      <c r="H6" s="727"/>
      <c r="I6" s="727"/>
      <c r="J6" s="20"/>
      <c r="K6" s="601"/>
      <c r="L6" s="727"/>
      <c r="M6" s="727"/>
      <c r="N6" s="20"/>
      <c r="O6" s="601"/>
      <c r="P6" s="601"/>
      <c r="Q6" s="749"/>
      <c r="R6" s="749"/>
    </row>
    <row r="7" spans="1:18" s="21" customFormat="1" ht="21.75" customHeight="1" thickBot="1">
      <c r="A7" s="18" t="s">
        <v>10</v>
      </c>
      <c r="B7" s="1116" t="s">
        <v>11</v>
      </c>
      <c r="C7" s="1116"/>
      <c r="D7" s="1116"/>
      <c r="E7" s="22" t="s">
        <v>12</v>
      </c>
      <c r="F7" s="877">
        <f>F8+F13+F16+F17+F20</f>
        <v>19177972</v>
      </c>
      <c r="G7" s="877">
        <f>G8+G13+G16+G17+G20</f>
        <v>19177972</v>
      </c>
      <c r="H7" s="626">
        <f>H8+H13+H16+H17+H20</f>
        <v>0</v>
      </c>
      <c r="I7" s="626">
        <f>I8+I13+I16+I17+I20</f>
        <v>0</v>
      </c>
      <c r="J7" s="877">
        <f aca="true" t="shared" si="0" ref="J7:M12">F7-N7</f>
        <v>12359373</v>
      </c>
      <c r="K7" s="877">
        <f t="shared" si="0"/>
        <v>12359373</v>
      </c>
      <c r="L7" s="626">
        <f t="shared" si="0"/>
        <v>0</v>
      </c>
      <c r="M7" s="626">
        <f t="shared" si="0"/>
        <v>0</v>
      </c>
      <c r="N7" s="877">
        <f>N8+N13+N16+N17+N20</f>
        <v>6818599</v>
      </c>
      <c r="O7" s="626">
        <f>O8+O13+O16+O17+O20</f>
        <v>6818599</v>
      </c>
      <c r="P7" s="626">
        <f>P8+P13+P16+P17+P20</f>
        <v>0</v>
      </c>
      <c r="Q7" s="626">
        <f>Q8+Q13+Q16+Q17+Q20</f>
        <v>0</v>
      </c>
      <c r="R7" s="750">
        <f>R8+R13+R16+R17+R20</f>
        <v>0</v>
      </c>
    </row>
    <row r="8" spans="1:18" ht="21.75" customHeight="1">
      <c r="A8" s="23"/>
      <c r="B8" s="24" t="s">
        <v>13</v>
      </c>
      <c r="C8" s="1118" t="s">
        <v>14</v>
      </c>
      <c r="D8" s="1118"/>
      <c r="E8" s="25" t="s">
        <v>15</v>
      </c>
      <c r="F8" s="878">
        <f>'3.sz.m Önk  bev.'!F8</f>
        <v>2496040</v>
      </c>
      <c r="G8" s="878">
        <f>'3.sz.m Önk  bev.'!G8</f>
        <v>2496040</v>
      </c>
      <c r="H8" s="627">
        <f>'3.sz.m Önk  bev.'!H8</f>
        <v>0</v>
      </c>
      <c r="I8" s="627">
        <f>'3.sz.m Önk  bev.'!I8</f>
        <v>0</v>
      </c>
      <c r="J8" s="878">
        <f t="shared" si="0"/>
        <v>2496040</v>
      </c>
      <c r="K8" s="878">
        <f t="shared" si="0"/>
        <v>2496040</v>
      </c>
      <c r="L8" s="627">
        <f t="shared" si="0"/>
        <v>0</v>
      </c>
      <c r="M8" s="627">
        <f t="shared" si="0"/>
        <v>0</v>
      </c>
      <c r="N8" s="878"/>
      <c r="O8" s="627"/>
      <c r="P8" s="627"/>
      <c r="Q8" s="627"/>
      <c r="R8" s="751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879"/>
      <c r="G9" s="879"/>
      <c r="H9" s="628">
        <f>'3.sz.m Önk  bev.'!H9</f>
        <v>0</v>
      </c>
      <c r="I9" s="628">
        <f>'3.sz.m Önk  bev.'!I9</f>
        <v>0</v>
      </c>
      <c r="J9" s="879">
        <f t="shared" si="0"/>
        <v>0</v>
      </c>
      <c r="K9" s="879">
        <f t="shared" si="0"/>
        <v>0</v>
      </c>
      <c r="L9" s="628">
        <f t="shared" si="0"/>
        <v>0</v>
      </c>
      <c r="M9" s="628">
        <f t="shared" si="0"/>
        <v>0</v>
      </c>
      <c r="N9" s="879"/>
      <c r="O9" s="628"/>
      <c r="P9" s="628"/>
      <c r="Q9" s="628"/>
      <c r="R9" s="752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879">
        <f>'3.sz.m Önk  bev.'!F10</f>
        <v>2496040</v>
      </c>
      <c r="G10" s="879">
        <f>'3.sz.m Önk  bev.'!G10</f>
        <v>2496040</v>
      </c>
      <c r="H10" s="628">
        <f>'3.sz.m Önk  bev.'!H10</f>
        <v>0</v>
      </c>
      <c r="I10" s="628">
        <f>'3.sz.m Önk  bev.'!I10</f>
        <v>0</v>
      </c>
      <c r="J10" s="879">
        <f t="shared" si="0"/>
        <v>2496040</v>
      </c>
      <c r="K10" s="879">
        <f t="shared" si="0"/>
        <v>2496040</v>
      </c>
      <c r="L10" s="628">
        <f t="shared" si="0"/>
        <v>0</v>
      </c>
      <c r="M10" s="628">
        <f t="shared" si="0"/>
        <v>0</v>
      </c>
      <c r="N10" s="879"/>
      <c r="O10" s="628"/>
      <c r="P10" s="628"/>
      <c r="Q10" s="628"/>
      <c r="R10" s="752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879">
        <f>'3.sz.m Önk  bev.'!F11</f>
        <v>0</v>
      </c>
      <c r="G11" s="879">
        <f>'3.sz.m Önk  bev.'!G11</f>
        <v>0</v>
      </c>
      <c r="H11" s="628">
        <f>'3.sz.m Önk  bev.'!H11</f>
        <v>0</v>
      </c>
      <c r="I11" s="628">
        <f>'3.sz.m Önk  bev.'!I11</f>
        <v>0</v>
      </c>
      <c r="J11" s="879">
        <f t="shared" si="0"/>
        <v>0</v>
      </c>
      <c r="K11" s="879">
        <f t="shared" si="0"/>
        <v>0</v>
      </c>
      <c r="L11" s="628">
        <f t="shared" si="0"/>
        <v>0</v>
      </c>
      <c r="M11" s="628">
        <f t="shared" si="0"/>
        <v>0</v>
      </c>
      <c r="N11" s="879"/>
      <c r="O11" s="628"/>
      <c r="P11" s="628"/>
      <c r="Q11" s="628"/>
      <c r="R11" s="752"/>
    </row>
    <row r="12" spans="1:27" ht="21.75" customHeight="1" hidden="1">
      <c r="A12" s="26"/>
      <c r="B12" s="27"/>
      <c r="C12" s="27"/>
      <c r="D12" s="28"/>
      <c r="E12" s="29"/>
      <c r="F12" s="879">
        <f>'3.sz.m Önk  bev.'!F12</f>
        <v>0</v>
      </c>
      <c r="G12" s="879">
        <f>'3.sz.m Önk  bev.'!G12</f>
        <v>0</v>
      </c>
      <c r="H12" s="628">
        <f>'3.sz.m Önk  bev.'!H12</f>
        <v>0</v>
      </c>
      <c r="I12" s="628">
        <f>'3.sz.m Önk  bev.'!I12</f>
        <v>0</v>
      </c>
      <c r="J12" s="879">
        <f t="shared" si="0"/>
        <v>0</v>
      </c>
      <c r="K12" s="879">
        <f t="shared" si="0"/>
        <v>0</v>
      </c>
      <c r="L12" s="628">
        <f t="shared" si="0"/>
        <v>0</v>
      </c>
      <c r="M12" s="628">
        <f t="shared" si="0"/>
        <v>0</v>
      </c>
      <c r="N12" s="879"/>
      <c r="O12" s="628"/>
      <c r="P12" s="628"/>
      <c r="Q12" s="628"/>
      <c r="R12" s="752"/>
      <c r="AA12" s="5" t="s">
        <v>22</v>
      </c>
    </row>
    <row r="13" spans="1:18" ht="21.75" customHeight="1">
      <c r="A13" s="26"/>
      <c r="B13" s="27" t="s">
        <v>23</v>
      </c>
      <c r="C13" s="1112" t="s">
        <v>24</v>
      </c>
      <c r="D13" s="1112"/>
      <c r="E13" s="31" t="s">
        <v>25</v>
      </c>
      <c r="F13" s="879">
        <f>'3.sz.m Önk  bev.'!F13</f>
        <v>13500000</v>
      </c>
      <c r="G13" s="879">
        <f>'3.sz.m Önk  bev.'!G13</f>
        <v>13500000</v>
      </c>
      <c r="H13" s="628">
        <f>'3.sz.m Önk  bev.'!H13</f>
        <v>0</v>
      </c>
      <c r="I13" s="628">
        <f>'3.sz.m Önk  bev.'!I13</f>
        <v>0</v>
      </c>
      <c r="J13" s="879">
        <f aca="true" t="shared" si="1" ref="J13:P13">SUM(J14:J15)</f>
        <v>6681401</v>
      </c>
      <c r="K13" s="879">
        <f>SUM(K14:K15)</f>
        <v>6681401</v>
      </c>
      <c r="L13" s="628">
        <f t="shared" si="1"/>
        <v>0</v>
      </c>
      <c r="M13" s="628">
        <f>SUM(M14:M15)</f>
        <v>0</v>
      </c>
      <c r="N13" s="879">
        <f t="shared" si="1"/>
        <v>6818599</v>
      </c>
      <c r="O13" s="628">
        <f t="shared" si="1"/>
        <v>6818599</v>
      </c>
      <c r="P13" s="628">
        <f t="shared" si="1"/>
        <v>0</v>
      </c>
      <c r="Q13" s="628">
        <f>SUM(Q14:Q15)</f>
        <v>0</v>
      </c>
      <c r="R13" s="752"/>
    </row>
    <row r="14" spans="1:18" ht="21.75" customHeight="1">
      <c r="A14" s="26"/>
      <c r="B14" s="27"/>
      <c r="C14" s="27" t="s">
        <v>26</v>
      </c>
      <c r="D14" s="30" t="s">
        <v>473</v>
      </c>
      <c r="E14" s="31"/>
      <c r="F14" s="879">
        <f>'3.sz.m Önk  bev.'!F14</f>
        <v>13500000</v>
      </c>
      <c r="G14" s="879">
        <f>'3.sz.m Önk  bev.'!G14</f>
        <v>13500000</v>
      </c>
      <c r="H14" s="628">
        <f>'3.sz.m Önk  bev.'!H14</f>
        <v>0</v>
      </c>
      <c r="I14" s="628">
        <f>'3.sz.m Önk  bev.'!I14</f>
        <v>0</v>
      </c>
      <c r="J14" s="879">
        <f aca="true" t="shared" si="2" ref="J14:M20">F14-N14</f>
        <v>6681401</v>
      </c>
      <c r="K14" s="879">
        <f t="shared" si="2"/>
        <v>6681401</v>
      </c>
      <c r="L14" s="628">
        <f t="shared" si="2"/>
        <v>0</v>
      </c>
      <c r="M14" s="628">
        <f t="shared" si="2"/>
        <v>0</v>
      </c>
      <c r="N14" s="879">
        <f>'3.sz.m Önk  bev.'!N14</f>
        <v>6818599</v>
      </c>
      <c r="O14" s="628">
        <f>'3.sz.m Önk  bev.'!O14</f>
        <v>6818599</v>
      </c>
      <c r="P14" s="628">
        <f>'3.sz.m Önk  bev.'!P14</f>
        <v>0</v>
      </c>
      <c r="Q14" s="628">
        <f>'3.sz.m Önk  bev.'!Q14</f>
        <v>0</v>
      </c>
      <c r="R14" s="752"/>
    </row>
    <row r="15" spans="1:18" ht="21.75" customHeight="1">
      <c r="A15" s="26"/>
      <c r="B15" s="27"/>
      <c r="C15" s="27" t="s">
        <v>27</v>
      </c>
      <c r="D15" s="30" t="s">
        <v>28</v>
      </c>
      <c r="E15" s="31"/>
      <c r="F15" s="879">
        <f>'3.sz.m Önk  bev.'!F15</f>
        <v>0</v>
      </c>
      <c r="G15" s="879">
        <f>'3.sz.m Önk  bev.'!G15</f>
        <v>0</v>
      </c>
      <c r="H15" s="628">
        <f>'3.sz.m Önk  bev.'!H15</f>
        <v>0</v>
      </c>
      <c r="I15" s="628">
        <f>'3.sz.m Önk  bev.'!I15</f>
        <v>0</v>
      </c>
      <c r="J15" s="879">
        <f t="shared" si="2"/>
        <v>0</v>
      </c>
      <c r="K15" s="879">
        <f t="shared" si="2"/>
        <v>0</v>
      </c>
      <c r="L15" s="628">
        <f t="shared" si="2"/>
        <v>0</v>
      </c>
      <c r="M15" s="628">
        <f t="shared" si="2"/>
        <v>0</v>
      </c>
      <c r="N15" s="879"/>
      <c r="O15" s="628"/>
      <c r="P15" s="628"/>
      <c r="Q15" s="628"/>
      <c r="R15" s="752"/>
    </row>
    <row r="16" spans="1:18" ht="29.25" customHeight="1">
      <c r="A16" s="26"/>
      <c r="B16" s="27" t="s">
        <v>29</v>
      </c>
      <c r="C16" s="1112" t="s">
        <v>30</v>
      </c>
      <c r="D16" s="1112"/>
      <c r="E16" s="31" t="s">
        <v>31</v>
      </c>
      <c r="F16" s="879">
        <f>'3.sz.m Önk  bev.'!F16</f>
        <v>1915702</v>
      </c>
      <c r="G16" s="879">
        <f>'3.sz.m Önk  bev.'!G16</f>
        <v>1915702</v>
      </c>
      <c r="H16" s="628">
        <f>'3.sz.m Önk  bev.'!H16</f>
        <v>0</v>
      </c>
      <c r="I16" s="628">
        <f>'3.sz.m Önk  bev.'!I16</f>
        <v>0</v>
      </c>
      <c r="J16" s="879">
        <f t="shared" si="2"/>
        <v>1915702</v>
      </c>
      <c r="K16" s="879">
        <f t="shared" si="2"/>
        <v>1915702</v>
      </c>
      <c r="L16" s="628">
        <f t="shared" si="2"/>
        <v>0</v>
      </c>
      <c r="M16" s="628">
        <f t="shared" si="2"/>
        <v>0</v>
      </c>
      <c r="N16" s="879"/>
      <c r="O16" s="628"/>
      <c r="P16" s="628"/>
      <c r="Q16" s="628"/>
      <c r="R16" s="752"/>
    </row>
    <row r="17" spans="1:18" ht="29.25" customHeight="1">
      <c r="A17" s="26"/>
      <c r="B17" s="27" t="s">
        <v>32</v>
      </c>
      <c r="C17" s="1115" t="s">
        <v>33</v>
      </c>
      <c r="D17" s="1115"/>
      <c r="E17" s="32" t="s">
        <v>34</v>
      </c>
      <c r="F17" s="879">
        <f>'3.sz.m Önk  bev.'!F17</f>
        <v>0</v>
      </c>
      <c r="G17" s="879">
        <f>'3.sz.m Önk  bev.'!G17</f>
        <v>0</v>
      </c>
      <c r="H17" s="628">
        <f>'3.sz.m Önk  bev.'!H17</f>
        <v>0</v>
      </c>
      <c r="I17" s="628">
        <f>'3.sz.m Önk  bev.'!I17</f>
        <v>0</v>
      </c>
      <c r="J17" s="879">
        <f t="shared" si="2"/>
        <v>0</v>
      </c>
      <c r="K17" s="879">
        <f t="shared" si="2"/>
        <v>0</v>
      </c>
      <c r="L17" s="628">
        <f t="shared" si="2"/>
        <v>0</v>
      </c>
      <c r="M17" s="628">
        <f t="shared" si="2"/>
        <v>0</v>
      </c>
      <c r="N17" s="879"/>
      <c r="O17" s="628"/>
      <c r="P17" s="628"/>
      <c r="Q17" s="628"/>
      <c r="R17" s="752"/>
    </row>
    <row r="18" spans="1:18" ht="31.5" customHeight="1">
      <c r="A18" s="26"/>
      <c r="B18" s="27"/>
      <c r="C18" s="27" t="s">
        <v>35</v>
      </c>
      <c r="D18" s="30" t="s">
        <v>36</v>
      </c>
      <c r="E18" s="31"/>
      <c r="F18" s="879">
        <f>'3.sz.m Önk  bev.'!F18</f>
        <v>0</v>
      </c>
      <c r="G18" s="879">
        <f>'3.sz.m Önk  bev.'!G18</f>
        <v>0</v>
      </c>
      <c r="H18" s="628">
        <f>'3.sz.m Önk  bev.'!H18</f>
        <v>0</v>
      </c>
      <c r="I18" s="628">
        <f>'3.sz.m Önk  bev.'!I18</f>
        <v>0</v>
      </c>
      <c r="J18" s="879">
        <f t="shared" si="2"/>
        <v>0</v>
      </c>
      <c r="K18" s="879">
        <f t="shared" si="2"/>
        <v>0</v>
      </c>
      <c r="L18" s="628">
        <f t="shared" si="2"/>
        <v>0</v>
      </c>
      <c r="M18" s="628">
        <f t="shared" si="2"/>
        <v>0</v>
      </c>
      <c r="N18" s="879"/>
      <c r="O18" s="628"/>
      <c r="P18" s="628"/>
      <c r="Q18" s="628"/>
      <c r="R18" s="752"/>
    </row>
    <row r="19" spans="1:18" ht="21.75" customHeight="1">
      <c r="A19" s="26"/>
      <c r="B19" s="27"/>
      <c r="C19" s="27" t="s">
        <v>37</v>
      </c>
      <c r="D19" s="30" t="s">
        <v>38</v>
      </c>
      <c r="E19" s="31"/>
      <c r="F19" s="879">
        <f>'3.sz.m Önk  bev.'!F19</f>
        <v>0</v>
      </c>
      <c r="G19" s="879">
        <f>'3.sz.m Önk  bev.'!G19</f>
        <v>0</v>
      </c>
      <c r="H19" s="628">
        <f>'3.sz.m Önk  bev.'!H19</f>
        <v>0</v>
      </c>
      <c r="I19" s="628">
        <f>'3.sz.m Önk  bev.'!I19</f>
        <v>0</v>
      </c>
      <c r="J19" s="879">
        <f t="shared" si="2"/>
        <v>0</v>
      </c>
      <c r="K19" s="879">
        <f t="shared" si="2"/>
        <v>0</v>
      </c>
      <c r="L19" s="628">
        <f t="shared" si="2"/>
        <v>0</v>
      </c>
      <c r="M19" s="628">
        <f t="shared" si="2"/>
        <v>0</v>
      </c>
      <c r="N19" s="879"/>
      <c r="O19" s="628"/>
      <c r="P19" s="628"/>
      <c r="Q19" s="628"/>
      <c r="R19" s="752"/>
    </row>
    <row r="20" spans="1:18" ht="21.75" customHeight="1" thickBot="1">
      <c r="A20" s="33"/>
      <c r="B20" s="34" t="s">
        <v>39</v>
      </c>
      <c r="C20" s="1113" t="s">
        <v>40</v>
      </c>
      <c r="D20" s="1113"/>
      <c r="E20" s="35" t="s">
        <v>41</v>
      </c>
      <c r="F20" s="880">
        <f>'3.sz.m Önk  bev.'!F20</f>
        <v>1266230</v>
      </c>
      <c r="G20" s="880">
        <f>'3.sz.m Önk  bev.'!G20</f>
        <v>1266230</v>
      </c>
      <c r="H20" s="634">
        <f>'3.sz.m Önk  bev.'!H20</f>
        <v>0</v>
      </c>
      <c r="I20" s="634">
        <f>'3.sz.m Önk  bev.'!I20</f>
        <v>0</v>
      </c>
      <c r="J20" s="880">
        <f t="shared" si="2"/>
        <v>1266230</v>
      </c>
      <c r="K20" s="880">
        <f t="shared" si="2"/>
        <v>1266230</v>
      </c>
      <c r="L20" s="634">
        <f t="shared" si="2"/>
        <v>0</v>
      </c>
      <c r="M20" s="634">
        <f t="shared" si="2"/>
        <v>0</v>
      </c>
      <c r="N20" s="880"/>
      <c r="O20" s="634"/>
      <c r="P20" s="634"/>
      <c r="Q20" s="634"/>
      <c r="R20" s="753"/>
    </row>
    <row r="21" spans="1:18" ht="21.75" customHeight="1" thickBot="1">
      <c r="A21" s="18" t="s">
        <v>42</v>
      </c>
      <c r="B21" s="1116" t="s">
        <v>43</v>
      </c>
      <c r="C21" s="1116"/>
      <c r="D21" s="1116"/>
      <c r="E21" s="19" t="s">
        <v>44</v>
      </c>
      <c r="F21" s="877">
        <f aca="true" t="shared" si="3" ref="F21:Q21">F22+F25+F26+F27+F34+F35+F36+F23</f>
        <v>9817347</v>
      </c>
      <c r="G21" s="877">
        <f t="shared" si="3"/>
        <v>9960710</v>
      </c>
      <c r="H21" s="626">
        <f t="shared" si="3"/>
        <v>0</v>
      </c>
      <c r="I21" s="626">
        <f t="shared" si="3"/>
        <v>0</v>
      </c>
      <c r="J21" s="877">
        <f t="shared" si="3"/>
        <v>9817347</v>
      </c>
      <c r="K21" s="877">
        <f t="shared" si="3"/>
        <v>9960710</v>
      </c>
      <c r="L21" s="626">
        <f t="shared" si="3"/>
        <v>0</v>
      </c>
      <c r="M21" s="626">
        <f t="shared" si="3"/>
        <v>0</v>
      </c>
      <c r="N21" s="877">
        <f t="shared" si="3"/>
        <v>0</v>
      </c>
      <c r="O21" s="626">
        <f t="shared" si="3"/>
        <v>0</v>
      </c>
      <c r="P21" s="626">
        <f t="shared" si="3"/>
        <v>0</v>
      </c>
      <c r="Q21" s="626">
        <f t="shared" si="3"/>
        <v>0</v>
      </c>
      <c r="R21" s="750">
        <f>R25+R26+R27+R32+R33+R34+R35</f>
        <v>0</v>
      </c>
    </row>
    <row r="22" spans="1:18" ht="21.75" customHeight="1">
      <c r="A22" s="502"/>
      <c r="B22" s="27" t="s">
        <v>45</v>
      </c>
      <c r="C22" s="1106" t="s">
        <v>427</v>
      </c>
      <c r="D22" s="1107"/>
      <c r="E22" s="25" t="s">
        <v>430</v>
      </c>
      <c r="F22" s="878">
        <f>'3.sz.m Önk  bev.'!F22</f>
        <v>0</v>
      </c>
      <c r="G22" s="878">
        <f>'3.sz.m Önk  bev.'!G22</f>
        <v>0</v>
      </c>
      <c r="H22" s="627">
        <f>'3.sz.m Önk  bev.'!H22</f>
        <v>0</v>
      </c>
      <c r="I22" s="627">
        <f>'3.sz.m Önk  bev.'!I22</f>
        <v>0</v>
      </c>
      <c r="J22" s="878">
        <f>F22-N22</f>
        <v>0</v>
      </c>
      <c r="K22" s="878">
        <f>G22-O22</f>
        <v>0</v>
      </c>
      <c r="L22" s="627">
        <f>H22-P22</f>
        <v>0</v>
      </c>
      <c r="M22" s="627">
        <f>I22-Q22</f>
        <v>0</v>
      </c>
      <c r="N22" s="878"/>
      <c r="O22" s="627"/>
      <c r="P22" s="627"/>
      <c r="Q22" s="627"/>
      <c r="R22" s="751"/>
    </row>
    <row r="23" spans="1:18" ht="21.75" customHeight="1">
      <c r="A23" s="26"/>
      <c r="B23" s="27" t="s">
        <v>48</v>
      </c>
      <c r="C23" s="1105" t="s">
        <v>435</v>
      </c>
      <c r="D23" s="1105"/>
      <c r="E23" s="39"/>
      <c r="F23" s="881">
        <f>'5. sz. m óvoda'!J11</f>
        <v>519921</v>
      </c>
      <c r="G23" s="881">
        <f>'5. sz. m óvoda'!K11</f>
        <v>519921</v>
      </c>
      <c r="H23" s="629">
        <f>'5. sz. m óvoda'!L11</f>
        <v>0</v>
      </c>
      <c r="I23" s="629">
        <f>'5. sz. m óvoda'!M11</f>
        <v>0</v>
      </c>
      <c r="J23" s="881">
        <f>'5. sz. m óvoda'!N11</f>
        <v>519921</v>
      </c>
      <c r="K23" s="881">
        <f>'5. sz. m óvoda'!O11</f>
        <v>519921</v>
      </c>
      <c r="L23" s="629">
        <f>'5. sz. m óvoda'!P11</f>
        <v>0</v>
      </c>
      <c r="M23" s="629">
        <f>'5. sz. m óvoda'!Q11</f>
        <v>0</v>
      </c>
      <c r="N23" s="881"/>
      <c r="O23" s="629"/>
      <c r="P23" s="629"/>
      <c r="Q23" s="629"/>
      <c r="R23" s="754"/>
    </row>
    <row r="24" spans="1:18" ht="21.75" customHeight="1" hidden="1">
      <c r="A24" s="502"/>
      <c r="B24" s="501"/>
      <c r="C24" s="501"/>
      <c r="D24" s="501"/>
      <c r="E24" s="39"/>
      <c r="F24" s="881"/>
      <c r="G24" s="881"/>
      <c r="H24" s="629"/>
      <c r="I24" s="629"/>
      <c r="J24" s="881"/>
      <c r="K24" s="881"/>
      <c r="L24" s="629"/>
      <c r="M24" s="629"/>
      <c r="N24" s="881"/>
      <c r="O24" s="629"/>
      <c r="P24" s="629"/>
      <c r="Q24" s="629"/>
      <c r="R24" s="754"/>
    </row>
    <row r="25" spans="1:18" ht="21.75" customHeight="1">
      <c r="A25" s="36"/>
      <c r="B25" s="37" t="s">
        <v>51</v>
      </c>
      <c r="C25" s="1114" t="s">
        <v>46</v>
      </c>
      <c r="D25" s="1114"/>
      <c r="E25" s="39" t="s">
        <v>47</v>
      </c>
      <c r="F25" s="881">
        <f>'3.sz.m Önk  bev.'!F23+'5. sz. m óvoda'!J10</f>
        <v>7166640</v>
      </c>
      <c r="G25" s="881">
        <f>'3.sz.m Önk  bev.'!G23+'5. sz. m óvoda'!K10</f>
        <v>7166640</v>
      </c>
      <c r="H25" s="629">
        <f>'3.sz.m Önk  bev.'!H23+'5. sz. m óvoda'!L10</f>
        <v>0</v>
      </c>
      <c r="I25" s="629">
        <f>'3.sz.m Önk  bev.'!I23+'5. sz. m óvoda'!M10</f>
        <v>0</v>
      </c>
      <c r="J25" s="881">
        <f>'3.sz.m Önk  bev.'!J23+'5. sz. m óvoda'!N10</f>
        <v>7166640</v>
      </c>
      <c r="K25" s="881">
        <f>'3.sz.m Önk  bev.'!K23+'5. sz. m óvoda'!O10</f>
        <v>7166640</v>
      </c>
      <c r="L25" s="629">
        <f>'3.sz.m Önk  bev.'!L23+'5. sz. m óvoda'!P10</f>
        <v>0</v>
      </c>
      <c r="M25" s="629">
        <f>'3.sz.m Önk  bev.'!M23+'5. sz. m óvoda'!Q10</f>
        <v>0</v>
      </c>
      <c r="N25" s="881">
        <f>'3.sz.m Önk  bev.'!N23</f>
        <v>0</v>
      </c>
      <c r="O25" s="629">
        <f>'3.sz.m Önk  bev.'!O23</f>
        <v>0</v>
      </c>
      <c r="P25" s="629">
        <f>'3.sz.m Önk  bev.'!P23</f>
        <v>0</v>
      </c>
      <c r="Q25" s="629">
        <f>'3.sz.m Önk  bev.'!Q23</f>
        <v>0</v>
      </c>
      <c r="R25" s="754"/>
    </row>
    <row r="26" spans="1:18" ht="21.75" customHeight="1">
      <c r="A26" s="26"/>
      <c r="B26" s="27" t="s">
        <v>60</v>
      </c>
      <c r="C26" s="1105" t="s">
        <v>49</v>
      </c>
      <c r="D26" s="1105"/>
      <c r="E26" s="29" t="s">
        <v>50</v>
      </c>
      <c r="F26" s="882">
        <f>'3.sz.m Önk  bev.'!F24</f>
        <v>0</v>
      </c>
      <c r="G26" s="882">
        <f>'3.sz.m Önk  bev.'!G24</f>
        <v>0</v>
      </c>
      <c r="H26" s="498">
        <f>'3.sz.m Önk  bev.'!H24</f>
        <v>0</v>
      </c>
      <c r="I26" s="498">
        <f>'3.sz.m Önk  bev.'!I24</f>
        <v>0</v>
      </c>
      <c r="J26" s="882">
        <f aca="true" t="shared" si="4" ref="J26:M30">F26-N26</f>
        <v>0</v>
      </c>
      <c r="K26" s="882">
        <f t="shared" si="4"/>
        <v>0</v>
      </c>
      <c r="L26" s="498">
        <f t="shared" si="4"/>
        <v>0</v>
      </c>
      <c r="M26" s="498">
        <f t="shared" si="4"/>
        <v>0</v>
      </c>
      <c r="N26" s="882"/>
      <c r="O26" s="498"/>
      <c r="P26" s="498"/>
      <c r="Q26" s="498"/>
      <c r="R26" s="755"/>
    </row>
    <row r="27" spans="1:18" ht="21.75" customHeight="1">
      <c r="A27" s="26"/>
      <c r="B27" s="27" t="s">
        <v>62</v>
      </c>
      <c r="C27" s="1105" t="s">
        <v>52</v>
      </c>
      <c r="D27" s="1105"/>
      <c r="E27" s="29" t="s">
        <v>53</v>
      </c>
      <c r="F27" s="882">
        <f>SUM(F28:F31)</f>
        <v>1190649</v>
      </c>
      <c r="G27" s="882">
        <f>SUM(G28:G31)</f>
        <v>1190649</v>
      </c>
      <c r="H27" s="498">
        <f>SUM(H28:H31)</f>
        <v>0</v>
      </c>
      <c r="I27" s="498">
        <f>SUM(I28:I31)</f>
        <v>0</v>
      </c>
      <c r="J27" s="882">
        <f t="shared" si="4"/>
        <v>1190649</v>
      </c>
      <c r="K27" s="882">
        <f t="shared" si="4"/>
        <v>1190649</v>
      </c>
      <c r="L27" s="498">
        <f t="shared" si="4"/>
        <v>0</v>
      </c>
      <c r="M27" s="498">
        <f t="shared" si="4"/>
        <v>0</v>
      </c>
      <c r="N27" s="882"/>
      <c r="O27" s="498"/>
      <c r="P27" s="498"/>
      <c r="Q27" s="498"/>
      <c r="R27" s="755"/>
    </row>
    <row r="28" spans="1:18" ht="31.5" customHeight="1">
      <c r="A28" s="26"/>
      <c r="B28" s="27"/>
      <c r="C28" s="27" t="s">
        <v>440</v>
      </c>
      <c r="D28" s="28" t="s">
        <v>55</v>
      </c>
      <c r="E28" s="29"/>
      <c r="F28" s="882">
        <f>'3.sz.m Önk  bev.'!F26</f>
        <v>1190649</v>
      </c>
      <c r="G28" s="882">
        <f>'3.sz.m Önk  bev.'!G26</f>
        <v>1190649</v>
      </c>
      <c r="H28" s="498">
        <f>'3.sz.m Önk  bev.'!H26</f>
        <v>0</v>
      </c>
      <c r="I28" s="498">
        <f>'3.sz.m Önk  bev.'!I26</f>
        <v>0</v>
      </c>
      <c r="J28" s="882">
        <f t="shared" si="4"/>
        <v>1190649</v>
      </c>
      <c r="K28" s="882">
        <f t="shared" si="4"/>
        <v>1190649</v>
      </c>
      <c r="L28" s="498">
        <f t="shared" si="4"/>
        <v>0</v>
      </c>
      <c r="M28" s="498">
        <f t="shared" si="4"/>
        <v>0</v>
      </c>
      <c r="N28" s="882"/>
      <c r="O28" s="498"/>
      <c r="P28" s="498"/>
      <c r="Q28" s="498"/>
      <c r="R28" s="755"/>
    </row>
    <row r="29" spans="1:18" ht="41.25" customHeight="1">
      <c r="A29" s="26"/>
      <c r="B29" s="27"/>
      <c r="C29" s="27" t="s">
        <v>441</v>
      </c>
      <c r="D29" s="28" t="s">
        <v>57</v>
      </c>
      <c r="E29" s="29"/>
      <c r="F29" s="882">
        <f>'3.sz.m Önk  bev.'!F27</f>
        <v>0</v>
      </c>
      <c r="G29" s="882">
        <f>'3.sz.m Önk  bev.'!G27</f>
        <v>0</v>
      </c>
      <c r="H29" s="498">
        <f>'3.sz.m Önk  bev.'!H27</f>
        <v>0</v>
      </c>
      <c r="I29" s="498">
        <f>'3.sz.m Önk  bev.'!I27</f>
        <v>0</v>
      </c>
      <c r="J29" s="882">
        <f t="shared" si="4"/>
        <v>0</v>
      </c>
      <c r="K29" s="882">
        <f t="shared" si="4"/>
        <v>0</v>
      </c>
      <c r="L29" s="498">
        <f t="shared" si="4"/>
        <v>0</v>
      </c>
      <c r="M29" s="498">
        <f t="shared" si="4"/>
        <v>0</v>
      </c>
      <c r="N29" s="882"/>
      <c r="O29" s="498"/>
      <c r="P29" s="498"/>
      <c r="Q29" s="498"/>
      <c r="R29" s="755"/>
    </row>
    <row r="30" spans="1:18" ht="21.75" customHeight="1">
      <c r="A30" s="26"/>
      <c r="B30" s="27"/>
      <c r="C30" s="27" t="s">
        <v>442</v>
      </c>
      <c r="D30" s="28" t="s">
        <v>59</v>
      </c>
      <c r="E30" s="29"/>
      <c r="F30" s="882">
        <f>'3.sz.m Önk  bev.'!F28</f>
        <v>0</v>
      </c>
      <c r="G30" s="882">
        <f>'3.sz.m Önk  bev.'!G28</f>
        <v>0</v>
      </c>
      <c r="H30" s="498">
        <f>'3.sz.m Önk  bev.'!H28</f>
        <v>0</v>
      </c>
      <c r="I30" s="498">
        <f>'3.sz.m Önk  bev.'!I28</f>
        <v>0</v>
      </c>
      <c r="J30" s="882">
        <f t="shared" si="4"/>
        <v>0</v>
      </c>
      <c r="K30" s="882">
        <f t="shared" si="4"/>
        <v>0</v>
      </c>
      <c r="L30" s="498">
        <f t="shared" si="4"/>
        <v>0</v>
      </c>
      <c r="M30" s="498">
        <f t="shared" si="4"/>
        <v>0</v>
      </c>
      <c r="N30" s="882"/>
      <c r="O30" s="498"/>
      <c r="P30" s="498"/>
      <c r="Q30" s="498"/>
      <c r="R30" s="755"/>
    </row>
    <row r="31" spans="1:18" ht="36" customHeight="1">
      <c r="A31" s="26"/>
      <c r="B31" s="27"/>
      <c r="C31" s="27" t="s">
        <v>510</v>
      </c>
      <c r="D31" s="28" t="s">
        <v>509</v>
      </c>
      <c r="E31" s="29"/>
      <c r="F31" s="882">
        <f>'3.sz.m Önk  bev.'!F29</f>
        <v>0</v>
      </c>
      <c r="G31" s="882">
        <f>'3.sz.m Önk  bev.'!G29</f>
        <v>0</v>
      </c>
      <c r="H31" s="498">
        <f>'3.sz.m Önk  bev.'!H29</f>
        <v>0</v>
      </c>
      <c r="I31" s="498">
        <f>'3.sz.m Önk  bev.'!I29</f>
        <v>0</v>
      </c>
      <c r="J31" s="882"/>
      <c r="K31" s="882"/>
      <c r="L31" s="498"/>
      <c r="M31" s="498"/>
      <c r="N31" s="882"/>
      <c r="O31" s="498"/>
      <c r="P31" s="498"/>
      <c r="Q31" s="498"/>
      <c r="R31" s="755"/>
    </row>
    <row r="32" spans="1:18" ht="21.75" customHeight="1">
      <c r="A32" s="26"/>
      <c r="B32" s="27" t="s">
        <v>64</v>
      </c>
      <c r="C32" s="1105" t="s">
        <v>61</v>
      </c>
      <c r="D32" s="1105"/>
      <c r="E32" s="29"/>
      <c r="F32" s="882"/>
      <c r="G32" s="882"/>
      <c r="H32" s="498"/>
      <c r="I32" s="498"/>
      <c r="J32" s="882">
        <f aca="true" t="shared" si="5" ref="J32:K59">F32-N32</f>
        <v>0</v>
      </c>
      <c r="K32" s="882">
        <f t="shared" si="5"/>
        <v>0</v>
      </c>
      <c r="L32" s="498">
        <f aca="true" t="shared" si="6" ref="L32:M59">H32-P32</f>
        <v>0</v>
      </c>
      <c r="M32" s="498">
        <f t="shared" si="6"/>
        <v>0</v>
      </c>
      <c r="N32" s="882"/>
      <c r="O32" s="498"/>
      <c r="P32" s="498"/>
      <c r="Q32" s="498"/>
      <c r="R32" s="755"/>
    </row>
    <row r="33" spans="1:18" ht="21.75" customHeight="1">
      <c r="A33" s="40"/>
      <c r="B33" s="41" t="s">
        <v>436</v>
      </c>
      <c r="C33" s="1105" t="s">
        <v>63</v>
      </c>
      <c r="D33" s="1105"/>
      <c r="E33" s="29"/>
      <c r="F33" s="882"/>
      <c r="G33" s="882"/>
      <c r="H33" s="498"/>
      <c r="I33" s="498"/>
      <c r="J33" s="882">
        <f t="shared" si="5"/>
        <v>0</v>
      </c>
      <c r="K33" s="882">
        <f t="shared" si="5"/>
        <v>0</v>
      </c>
      <c r="L33" s="498">
        <f t="shared" si="6"/>
        <v>0</v>
      </c>
      <c r="M33" s="498">
        <f t="shared" si="6"/>
        <v>0</v>
      </c>
      <c r="N33" s="882"/>
      <c r="O33" s="498"/>
      <c r="P33" s="498"/>
      <c r="Q33" s="498"/>
      <c r="R33" s="755"/>
    </row>
    <row r="34" spans="1:18" ht="21.75" customHeight="1">
      <c r="A34" s="40"/>
      <c r="B34" s="41" t="s">
        <v>437</v>
      </c>
      <c r="C34" s="1105" t="s">
        <v>65</v>
      </c>
      <c r="D34" s="1105"/>
      <c r="E34" s="29" t="s">
        <v>66</v>
      </c>
      <c r="F34" s="882">
        <f>'3.sz.m Önk  bev.'!F32+'5. sz. m óvoda'!J12</f>
        <v>36792</v>
      </c>
      <c r="G34" s="882">
        <f>'3.sz.m Önk  bev.'!G32+'5. sz. m óvoda'!K12</f>
        <v>36792</v>
      </c>
      <c r="H34" s="498">
        <f>'3.sz.m Önk  bev.'!H32+'5. sz. m óvoda'!L12</f>
        <v>0</v>
      </c>
      <c r="I34" s="498">
        <f>'3.sz.m Önk  bev.'!I32+'5. sz. m óvoda'!M12</f>
        <v>0</v>
      </c>
      <c r="J34" s="882">
        <f t="shared" si="5"/>
        <v>36792</v>
      </c>
      <c r="K34" s="882">
        <f t="shared" si="5"/>
        <v>36792</v>
      </c>
      <c r="L34" s="498">
        <f t="shared" si="6"/>
        <v>0</v>
      </c>
      <c r="M34" s="498">
        <f t="shared" si="6"/>
        <v>0</v>
      </c>
      <c r="N34" s="882"/>
      <c r="O34" s="498"/>
      <c r="P34" s="498"/>
      <c r="Q34" s="498"/>
      <c r="R34" s="755"/>
    </row>
    <row r="35" spans="1:18" ht="21.75" customHeight="1">
      <c r="A35" s="40"/>
      <c r="B35" s="41" t="s">
        <v>438</v>
      </c>
      <c r="C35" s="1111" t="s">
        <v>68</v>
      </c>
      <c r="D35" s="1111"/>
      <c r="E35" s="42" t="s">
        <v>426</v>
      </c>
      <c r="F35" s="882">
        <f>'3.sz.m Önk  bev.'!F33+'5. sz. m óvoda'!J13</f>
        <v>903345</v>
      </c>
      <c r="G35" s="882">
        <f>'3.sz.m Önk  bev.'!G33+'5. sz. m óvoda'!K13</f>
        <v>837370</v>
      </c>
      <c r="H35" s="498">
        <f>'3.sz.m Önk  bev.'!H33+'5. sz. m óvoda'!L13</f>
        <v>0</v>
      </c>
      <c r="I35" s="498">
        <f>'3.sz.m Önk  bev.'!I33+'5. sz. m óvoda'!M13</f>
        <v>0</v>
      </c>
      <c r="J35" s="882">
        <f t="shared" si="5"/>
        <v>903345</v>
      </c>
      <c r="K35" s="882">
        <f t="shared" si="5"/>
        <v>837370</v>
      </c>
      <c r="L35" s="498">
        <f t="shared" si="6"/>
        <v>0</v>
      </c>
      <c r="M35" s="498">
        <f t="shared" si="6"/>
        <v>0</v>
      </c>
      <c r="N35" s="882"/>
      <c r="O35" s="498"/>
      <c r="P35" s="498"/>
      <c r="Q35" s="498"/>
      <c r="R35" s="755"/>
    </row>
    <row r="36" spans="1:18" ht="21.75" customHeight="1" thickBot="1">
      <c r="A36" s="33"/>
      <c r="B36" s="34" t="s">
        <v>439</v>
      </c>
      <c r="C36" s="1123" t="s">
        <v>550</v>
      </c>
      <c r="D36" s="1124"/>
      <c r="E36" s="51" t="s">
        <v>551</v>
      </c>
      <c r="F36" s="883">
        <f>'3.sz.m Önk  bev.'!F34</f>
        <v>0</v>
      </c>
      <c r="G36" s="883">
        <f>'3.sz.m Önk  bev.'!G34</f>
        <v>209338</v>
      </c>
      <c r="H36" s="630">
        <f>'3.sz.m Önk  bev.'!H34</f>
        <v>0</v>
      </c>
      <c r="I36" s="630">
        <f>'3.sz.m Önk  bev.'!I34</f>
        <v>0</v>
      </c>
      <c r="J36" s="883">
        <f t="shared" si="5"/>
        <v>0</v>
      </c>
      <c r="K36" s="883">
        <f t="shared" si="5"/>
        <v>209338</v>
      </c>
      <c r="L36" s="630">
        <f t="shared" si="6"/>
        <v>0</v>
      </c>
      <c r="M36" s="630">
        <f t="shared" si="6"/>
        <v>0</v>
      </c>
      <c r="N36" s="883"/>
      <c r="O36" s="630"/>
      <c r="P36" s="630"/>
      <c r="Q36" s="630"/>
      <c r="R36" s="756"/>
    </row>
    <row r="37" spans="1:18" ht="30.75" customHeight="1" thickBot="1">
      <c r="A37" s="43" t="s">
        <v>69</v>
      </c>
      <c r="B37" s="1116" t="s">
        <v>70</v>
      </c>
      <c r="C37" s="1116"/>
      <c r="D37" s="1116"/>
      <c r="E37" s="19" t="s">
        <v>71</v>
      </c>
      <c r="F37" s="884">
        <f>F38+F41+F39</f>
        <v>64891763</v>
      </c>
      <c r="G37" s="884">
        <f>G38+G41+G39</f>
        <v>66426757</v>
      </c>
      <c r="H37" s="619">
        <f>H38+H41+H39</f>
        <v>0</v>
      </c>
      <c r="I37" s="619">
        <f>I38+I41+I39</f>
        <v>0</v>
      </c>
      <c r="J37" s="884">
        <f t="shared" si="5"/>
        <v>64891763</v>
      </c>
      <c r="K37" s="884">
        <f t="shared" si="5"/>
        <v>66426757</v>
      </c>
      <c r="L37" s="619">
        <f t="shared" si="6"/>
        <v>0</v>
      </c>
      <c r="M37" s="619">
        <f t="shared" si="6"/>
        <v>0</v>
      </c>
      <c r="N37" s="884">
        <f>SUM(N38:N41)</f>
        <v>0</v>
      </c>
      <c r="O37" s="619">
        <f>SUM(O38:O41)</f>
        <v>0</v>
      </c>
      <c r="P37" s="619">
        <f>SUM(P38:P41)</f>
        <v>0</v>
      </c>
      <c r="Q37" s="619">
        <f>SUM(Q38:Q41)</f>
        <v>0</v>
      </c>
      <c r="R37" s="757">
        <f>R38+R39+R40+R41</f>
        <v>0</v>
      </c>
    </row>
    <row r="38" spans="1:18" ht="21.75" customHeight="1">
      <c r="A38" s="36"/>
      <c r="B38" s="41" t="s">
        <v>72</v>
      </c>
      <c r="C38" s="1125" t="s">
        <v>73</v>
      </c>
      <c r="D38" s="1125"/>
      <c r="E38" s="44" t="s">
        <v>74</v>
      </c>
      <c r="F38" s="885">
        <f>'3.sz.m Önk  bev.'!F36</f>
        <v>32021473</v>
      </c>
      <c r="G38" s="885">
        <f>'3.sz.m Önk  bev.'!G36</f>
        <v>32160066</v>
      </c>
      <c r="H38" s="635">
        <f>'3.sz.m Önk  bev.'!H36</f>
        <v>0</v>
      </c>
      <c r="I38" s="635">
        <f>'3.sz.m Önk  bev.'!I36</f>
        <v>0</v>
      </c>
      <c r="J38" s="885">
        <f t="shared" si="5"/>
        <v>32021473</v>
      </c>
      <c r="K38" s="885">
        <f t="shared" si="5"/>
        <v>32160066</v>
      </c>
      <c r="L38" s="635">
        <f t="shared" si="6"/>
        <v>0</v>
      </c>
      <c r="M38" s="635">
        <f t="shared" si="6"/>
        <v>0</v>
      </c>
      <c r="N38" s="885">
        <f>'3.sz.m Önk  bev.'!N36</f>
        <v>0</v>
      </c>
      <c r="O38" s="635">
        <f>'3.sz.m Önk  bev.'!O36</f>
        <v>0</v>
      </c>
      <c r="P38" s="635">
        <f>'3.sz.m Önk  bev.'!P36</f>
        <v>0</v>
      </c>
      <c r="Q38" s="635">
        <f>'3.sz.m Önk  bev.'!Q36</f>
        <v>0</v>
      </c>
      <c r="R38" s="758"/>
    </row>
    <row r="39" spans="1:18" ht="21.75" customHeight="1">
      <c r="A39" s="26"/>
      <c r="B39" s="41" t="s">
        <v>75</v>
      </c>
      <c r="C39" s="1105" t="s">
        <v>76</v>
      </c>
      <c r="D39" s="1105"/>
      <c r="E39" s="29"/>
      <c r="F39" s="886">
        <f>'3.sz.m Önk  bev.'!F37</f>
        <v>0</v>
      </c>
      <c r="G39" s="886">
        <f>'3.sz.m Önk  bev.'!G37</f>
        <v>0</v>
      </c>
      <c r="H39" s="636">
        <f>'3.sz.m Önk  bev.'!H37</f>
        <v>0</v>
      </c>
      <c r="I39" s="636">
        <f>'3.sz.m Önk  bev.'!I37</f>
        <v>0</v>
      </c>
      <c r="J39" s="886">
        <f t="shared" si="5"/>
        <v>0</v>
      </c>
      <c r="K39" s="886">
        <f t="shared" si="5"/>
        <v>0</v>
      </c>
      <c r="L39" s="636">
        <f t="shared" si="6"/>
        <v>0</v>
      </c>
      <c r="M39" s="636">
        <f t="shared" si="6"/>
        <v>0</v>
      </c>
      <c r="N39" s="886"/>
      <c r="O39" s="636"/>
      <c r="P39" s="636"/>
      <c r="Q39" s="636"/>
      <c r="R39" s="759"/>
    </row>
    <row r="40" spans="1:18" ht="21.75" customHeight="1">
      <c r="A40" s="26"/>
      <c r="B40" s="41" t="s">
        <v>77</v>
      </c>
      <c r="C40" s="1105" t="s">
        <v>78</v>
      </c>
      <c r="D40" s="1105"/>
      <c r="E40" s="29"/>
      <c r="F40" s="886"/>
      <c r="G40" s="886"/>
      <c r="H40" s="636"/>
      <c r="I40" s="636"/>
      <c r="J40" s="886">
        <f t="shared" si="5"/>
        <v>0</v>
      </c>
      <c r="K40" s="886">
        <f t="shared" si="5"/>
        <v>0</v>
      </c>
      <c r="L40" s="636">
        <f t="shared" si="6"/>
        <v>0</v>
      </c>
      <c r="M40" s="636">
        <f t="shared" si="6"/>
        <v>0</v>
      </c>
      <c r="N40" s="886"/>
      <c r="O40" s="636"/>
      <c r="P40" s="636"/>
      <c r="Q40" s="636"/>
      <c r="R40" s="759"/>
    </row>
    <row r="41" spans="1:19" ht="33.75" customHeight="1">
      <c r="A41" s="26"/>
      <c r="B41" s="41" t="s">
        <v>79</v>
      </c>
      <c r="C41" s="1105" t="s">
        <v>80</v>
      </c>
      <c r="D41" s="1105"/>
      <c r="E41" s="29" t="s">
        <v>81</v>
      </c>
      <c r="F41" s="886">
        <f>SUM(F42:F44)</f>
        <v>32870290</v>
      </c>
      <c r="G41" s="886">
        <f>SUM(G42:G44)</f>
        <v>34266691</v>
      </c>
      <c r="H41" s="886">
        <f aca="true" t="shared" si="7" ref="H41:N41">SUM(H42:H44)</f>
        <v>0</v>
      </c>
      <c r="I41" s="886">
        <f t="shared" si="7"/>
        <v>0</v>
      </c>
      <c r="J41" s="886">
        <f t="shared" si="7"/>
        <v>32870290</v>
      </c>
      <c r="K41" s="886">
        <f>SUM(K42:K44)</f>
        <v>34266691</v>
      </c>
      <c r="L41" s="886">
        <f t="shared" si="7"/>
        <v>0</v>
      </c>
      <c r="M41" s="886">
        <f t="shared" si="7"/>
        <v>0</v>
      </c>
      <c r="N41" s="886">
        <f t="shared" si="7"/>
        <v>0</v>
      </c>
      <c r="O41" s="636"/>
      <c r="P41" s="636"/>
      <c r="Q41" s="636"/>
      <c r="R41" s="759"/>
      <c r="S41" s="4"/>
    </row>
    <row r="42" spans="1:19" ht="31.5">
      <c r="A42" s="26"/>
      <c r="B42" s="41"/>
      <c r="C42" s="37" t="s">
        <v>82</v>
      </c>
      <c r="D42" s="38" t="s">
        <v>83</v>
      </c>
      <c r="E42" s="39"/>
      <c r="F42" s="886">
        <f>'3.sz.m Önk  bev.'!F40</f>
        <v>14919600</v>
      </c>
      <c r="G42" s="886">
        <f>'3.sz.m Önk  bev.'!G40</f>
        <v>14919600</v>
      </c>
      <c r="H42" s="636">
        <f>'3.sz.m Önk  bev.'!H40</f>
        <v>0</v>
      </c>
      <c r="I42" s="636">
        <f>'3.sz.m Önk  bev.'!I40</f>
        <v>0</v>
      </c>
      <c r="J42" s="886">
        <f t="shared" si="5"/>
        <v>14919600</v>
      </c>
      <c r="K42" s="886">
        <f t="shared" si="5"/>
        <v>14919600</v>
      </c>
      <c r="L42" s="636">
        <f t="shared" si="6"/>
        <v>0</v>
      </c>
      <c r="M42" s="636">
        <f t="shared" si="6"/>
        <v>0</v>
      </c>
      <c r="N42" s="886"/>
      <c r="O42" s="636"/>
      <c r="P42" s="636"/>
      <c r="Q42" s="636"/>
      <c r="R42" s="759"/>
      <c r="S42" s="4"/>
    </row>
    <row r="43" spans="1:18" ht="21.75" customHeight="1">
      <c r="A43" s="26"/>
      <c r="B43" s="41"/>
      <c r="C43" s="27" t="s">
        <v>84</v>
      </c>
      <c r="D43" s="28" t="s">
        <v>85</v>
      </c>
      <c r="E43" s="29"/>
      <c r="F43" s="886">
        <f>'3.sz.m Önk  bev.'!F41</f>
        <v>13380361</v>
      </c>
      <c r="G43" s="886">
        <f>'3.sz.m Önk  bev.'!G41</f>
        <v>14934365</v>
      </c>
      <c r="H43" s="636"/>
      <c r="I43" s="636"/>
      <c r="J43" s="886">
        <f t="shared" si="5"/>
        <v>13380361</v>
      </c>
      <c r="K43" s="886">
        <f t="shared" si="5"/>
        <v>14934365</v>
      </c>
      <c r="L43" s="636">
        <f t="shared" si="6"/>
        <v>0</v>
      </c>
      <c r="M43" s="636">
        <f t="shared" si="6"/>
        <v>0</v>
      </c>
      <c r="N43" s="886"/>
      <c r="O43" s="636"/>
      <c r="P43" s="636"/>
      <c r="Q43" s="636"/>
      <c r="R43" s="759"/>
    </row>
    <row r="44" spans="1:18" ht="45.75" customHeight="1" thickBot="1">
      <c r="A44" s="26"/>
      <c r="B44" s="41"/>
      <c r="C44" s="27" t="s">
        <v>86</v>
      </c>
      <c r="D44" s="28" t="s">
        <v>87</v>
      </c>
      <c r="E44" s="29"/>
      <c r="F44" s="887">
        <f>'3.sz.m Önk  bev.'!F42+'5. sz. m óvoda'!J15</f>
        <v>4570329</v>
      </c>
      <c r="G44" s="887">
        <f>'3.sz.m Önk  bev.'!G42+'5. sz. m óvoda'!K15</f>
        <v>4412726</v>
      </c>
      <c r="H44" s="637">
        <f>'3.sz.m Önk  bev.'!H42+'5. sz. m óvoda'!L15</f>
        <v>0</v>
      </c>
      <c r="I44" s="637">
        <f>'3.sz.m Önk  bev.'!I42+'5. sz. m óvoda'!M15</f>
        <v>0</v>
      </c>
      <c r="J44" s="887">
        <f t="shared" si="5"/>
        <v>4570329</v>
      </c>
      <c r="K44" s="887">
        <f t="shared" si="5"/>
        <v>4412726</v>
      </c>
      <c r="L44" s="637">
        <f t="shared" si="6"/>
        <v>0</v>
      </c>
      <c r="M44" s="637">
        <f t="shared" si="6"/>
        <v>0</v>
      </c>
      <c r="N44" s="887">
        <f>+'3.sz.m Önk  bev.'!N42</f>
        <v>0</v>
      </c>
      <c r="O44" s="637"/>
      <c r="P44" s="637"/>
      <c r="Q44" s="637"/>
      <c r="R44" s="760"/>
    </row>
    <row r="45" spans="1:18" ht="32.25" customHeight="1" thickBot="1">
      <c r="A45" s="43" t="s">
        <v>88</v>
      </c>
      <c r="B45" s="1129" t="s">
        <v>89</v>
      </c>
      <c r="C45" s="1129"/>
      <c r="D45" s="1129"/>
      <c r="E45" s="46" t="s">
        <v>90</v>
      </c>
      <c r="F45" s="884">
        <f>F46+F47</f>
        <v>85647503</v>
      </c>
      <c r="G45" s="884">
        <f>G46+G47</f>
        <v>85647503</v>
      </c>
      <c r="H45" s="619">
        <f>H46+H47</f>
        <v>0</v>
      </c>
      <c r="I45" s="619">
        <f>I46+I47</f>
        <v>0</v>
      </c>
      <c r="J45" s="884">
        <f t="shared" si="5"/>
        <v>85647503</v>
      </c>
      <c r="K45" s="884">
        <f t="shared" si="5"/>
        <v>85647503</v>
      </c>
      <c r="L45" s="619">
        <f t="shared" si="6"/>
        <v>0</v>
      </c>
      <c r="M45" s="619">
        <f t="shared" si="6"/>
        <v>0</v>
      </c>
      <c r="N45" s="884"/>
      <c r="O45" s="619"/>
      <c r="P45" s="619"/>
      <c r="Q45" s="619"/>
      <c r="R45" s="757">
        <f>R46+R47</f>
        <v>0</v>
      </c>
    </row>
    <row r="46" spans="1:18" ht="21.75" customHeight="1">
      <c r="A46" s="36"/>
      <c r="B46" s="47" t="s">
        <v>91</v>
      </c>
      <c r="C46" s="1114" t="s">
        <v>92</v>
      </c>
      <c r="D46" s="1114"/>
      <c r="E46" s="39" t="s">
        <v>93</v>
      </c>
      <c r="F46" s="888">
        <f>+'3.sz.m Önk  bev.'!F44</f>
        <v>0</v>
      </c>
      <c r="G46" s="888">
        <f>+'3.sz.m Önk  bev.'!G44</f>
        <v>0</v>
      </c>
      <c r="H46" s="631"/>
      <c r="I46" s="631"/>
      <c r="J46" s="888">
        <f t="shared" si="5"/>
        <v>0</v>
      </c>
      <c r="K46" s="888">
        <f t="shared" si="5"/>
        <v>0</v>
      </c>
      <c r="L46" s="631">
        <f t="shared" si="6"/>
        <v>0</v>
      </c>
      <c r="M46" s="631">
        <f t="shared" si="6"/>
        <v>0</v>
      </c>
      <c r="N46" s="888"/>
      <c r="O46" s="631"/>
      <c r="P46" s="631"/>
      <c r="Q46" s="631"/>
      <c r="R46" s="761"/>
    </row>
    <row r="47" spans="1:18" ht="36" customHeight="1">
      <c r="A47" s="26"/>
      <c r="B47" s="48" t="s">
        <v>94</v>
      </c>
      <c r="C47" s="1105" t="s">
        <v>95</v>
      </c>
      <c r="D47" s="1105"/>
      <c r="E47" s="29" t="s">
        <v>96</v>
      </c>
      <c r="F47" s="882">
        <f>F50+F49+F48</f>
        <v>85647503</v>
      </c>
      <c r="G47" s="882">
        <f>G50+G49+G48</f>
        <v>85647503</v>
      </c>
      <c r="H47" s="498">
        <f>H50</f>
        <v>0</v>
      </c>
      <c r="I47" s="498">
        <f>I50</f>
        <v>0</v>
      </c>
      <c r="J47" s="882">
        <f t="shared" si="5"/>
        <v>85647503</v>
      </c>
      <c r="K47" s="882">
        <f t="shared" si="5"/>
        <v>85647503</v>
      </c>
      <c r="L47" s="498">
        <f t="shared" si="6"/>
        <v>0</v>
      </c>
      <c r="M47" s="498">
        <f t="shared" si="6"/>
        <v>0</v>
      </c>
      <c r="N47" s="882"/>
      <c r="O47" s="498"/>
      <c r="P47" s="498"/>
      <c r="Q47" s="498"/>
      <c r="R47" s="755"/>
    </row>
    <row r="48" spans="1:18" ht="33.75" customHeight="1">
      <c r="A48" s="26"/>
      <c r="B48" s="47"/>
      <c r="C48" s="37" t="s">
        <v>97</v>
      </c>
      <c r="D48" s="38" t="s">
        <v>83</v>
      </c>
      <c r="E48" s="39"/>
      <c r="F48" s="882"/>
      <c r="G48" s="882"/>
      <c r="H48" s="498"/>
      <c r="I48" s="498"/>
      <c r="J48" s="882">
        <f t="shared" si="5"/>
        <v>0</v>
      </c>
      <c r="K48" s="882">
        <f t="shared" si="5"/>
        <v>0</v>
      </c>
      <c r="L48" s="498">
        <f t="shared" si="6"/>
        <v>0</v>
      </c>
      <c r="M48" s="498">
        <f t="shared" si="6"/>
        <v>0</v>
      </c>
      <c r="N48" s="882"/>
      <c r="O48" s="498"/>
      <c r="P48" s="498"/>
      <c r="Q48" s="498"/>
      <c r="R48" s="755"/>
    </row>
    <row r="49" spans="1:18" ht="21.75" customHeight="1">
      <c r="A49" s="26"/>
      <c r="B49" s="48"/>
      <c r="C49" s="27" t="s">
        <v>98</v>
      </c>
      <c r="D49" s="38" t="s">
        <v>85</v>
      </c>
      <c r="E49" s="39"/>
      <c r="F49" s="882">
        <f>+'3.sz.m Önk  bev.'!F47</f>
        <v>85647503</v>
      </c>
      <c r="G49" s="882">
        <f>+'3.sz.m Önk  bev.'!G47</f>
        <v>85647503</v>
      </c>
      <c r="H49" s="498"/>
      <c r="I49" s="498"/>
      <c r="J49" s="882">
        <f t="shared" si="5"/>
        <v>85647503</v>
      </c>
      <c r="K49" s="882">
        <f t="shared" si="5"/>
        <v>85647503</v>
      </c>
      <c r="L49" s="498">
        <f t="shared" si="6"/>
        <v>0</v>
      </c>
      <c r="M49" s="498">
        <f t="shared" si="6"/>
        <v>0</v>
      </c>
      <c r="N49" s="882"/>
      <c r="O49" s="498"/>
      <c r="P49" s="498"/>
      <c r="Q49" s="498"/>
      <c r="R49" s="755"/>
    </row>
    <row r="50" spans="1:18" ht="21.75" customHeight="1" thickBot="1">
      <c r="A50" s="40"/>
      <c r="B50" s="47"/>
      <c r="C50" s="37" t="s">
        <v>99</v>
      </c>
      <c r="D50" s="38" t="s">
        <v>100</v>
      </c>
      <c r="E50" s="39"/>
      <c r="F50" s="882">
        <f>+'3.sz.m Önk  bev.'!F48</f>
        <v>0</v>
      </c>
      <c r="G50" s="882">
        <f>+'3.sz.m Önk  bev.'!G48</f>
        <v>0</v>
      </c>
      <c r="H50" s="638">
        <f>'3.sz.m Önk  bev.'!H48</f>
        <v>0</v>
      </c>
      <c r="I50" s="638">
        <f>'3.sz.m Önk  bev.'!I48</f>
        <v>0</v>
      </c>
      <c r="J50" s="889">
        <f t="shared" si="5"/>
        <v>0</v>
      </c>
      <c r="K50" s="889">
        <f t="shared" si="5"/>
        <v>0</v>
      </c>
      <c r="L50" s="638">
        <f t="shared" si="6"/>
        <v>0</v>
      </c>
      <c r="M50" s="638">
        <f t="shared" si="6"/>
        <v>0</v>
      </c>
      <c r="N50" s="889"/>
      <c r="O50" s="638"/>
      <c r="P50" s="638"/>
      <c r="Q50" s="638"/>
      <c r="R50" s="762"/>
    </row>
    <row r="51" spans="1:18" ht="21.75" customHeight="1" hidden="1">
      <c r="A51" s="50"/>
      <c r="B51" s="48"/>
      <c r="C51" s="1105"/>
      <c r="D51" s="1105"/>
      <c r="E51" s="29"/>
      <c r="F51" s="883"/>
      <c r="G51" s="883"/>
      <c r="H51" s="630"/>
      <c r="I51" s="630"/>
      <c r="J51" s="883">
        <f t="shared" si="5"/>
        <v>0</v>
      </c>
      <c r="K51" s="883">
        <f t="shared" si="5"/>
        <v>0</v>
      </c>
      <c r="L51" s="630">
        <f t="shared" si="6"/>
        <v>0</v>
      </c>
      <c r="M51" s="630">
        <f t="shared" si="6"/>
        <v>0</v>
      </c>
      <c r="N51" s="883"/>
      <c r="O51" s="630"/>
      <c r="P51" s="630"/>
      <c r="Q51" s="630"/>
      <c r="R51" s="756"/>
    </row>
    <row r="52" spans="1:18" ht="21.75" customHeight="1" hidden="1">
      <c r="A52" s="50"/>
      <c r="B52" s="47"/>
      <c r="C52" s="1123"/>
      <c r="D52" s="1123"/>
      <c r="E52" s="51"/>
      <c r="F52" s="883"/>
      <c r="G52" s="883"/>
      <c r="H52" s="630"/>
      <c r="I52" s="630"/>
      <c r="J52" s="883">
        <f t="shared" si="5"/>
        <v>0</v>
      </c>
      <c r="K52" s="883">
        <f t="shared" si="5"/>
        <v>0</v>
      </c>
      <c r="L52" s="630">
        <f t="shared" si="6"/>
        <v>0</v>
      </c>
      <c r="M52" s="630">
        <f t="shared" si="6"/>
        <v>0</v>
      </c>
      <c r="N52" s="883"/>
      <c r="O52" s="630"/>
      <c r="P52" s="630"/>
      <c r="Q52" s="630"/>
      <c r="R52" s="756"/>
    </row>
    <row r="53" spans="1:18" ht="21.75" customHeight="1" thickBot="1">
      <c r="A53" s="43" t="s">
        <v>101</v>
      </c>
      <c r="B53" s="1116" t="s">
        <v>102</v>
      </c>
      <c r="C53" s="1116"/>
      <c r="D53" s="1116"/>
      <c r="E53" s="19"/>
      <c r="F53" s="884">
        <f>SUM(F54:F56)</f>
        <v>135000</v>
      </c>
      <c r="G53" s="884">
        <f>SUM(G54:G56)</f>
        <v>135000</v>
      </c>
      <c r="H53" s="619">
        <f>SUM(H54:H56)</f>
        <v>0</v>
      </c>
      <c r="I53" s="619">
        <f>SUM(I54:I56)</f>
        <v>0</v>
      </c>
      <c r="J53" s="884">
        <f t="shared" si="5"/>
        <v>135000</v>
      </c>
      <c r="K53" s="884">
        <f t="shared" si="5"/>
        <v>135000</v>
      </c>
      <c r="L53" s="619">
        <f t="shared" si="6"/>
        <v>0</v>
      </c>
      <c r="M53" s="619">
        <f t="shared" si="6"/>
        <v>0</v>
      </c>
      <c r="N53" s="884"/>
      <c r="O53" s="619"/>
      <c r="P53" s="619"/>
      <c r="Q53" s="619"/>
      <c r="R53" s="757">
        <f>R54+R56</f>
        <v>0</v>
      </c>
    </row>
    <row r="54" spans="1:18" s="21" customFormat="1" ht="21.75" customHeight="1">
      <c r="A54" s="53"/>
      <c r="B54" s="47" t="s">
        <v>103</v>
      </c>
      <c r="C54" s="1114" t="s">
        <v>428</v>
      </c>
      <c r="D54" s="1114"/>
      <c r="E54" s="39" t="s">
        <v>105</v>
      </c>
      <c r="F54" s="890">
        <f>'3.sz.m Önk  bev.'!F52</f>
        <v>31008</v>
      </c>
      <c r="G54" s="890">
        <f>'3.sz.m Önk  bev.'!G52</f>
        <v>31008</v>
      </c>
      <c r="H54" s="639">
        <f>'3.sz.m Önk  bev.'!H52</f>
        <v>0</v>
      </c>
      <c r="I54" s="639">
        <f>'3.sz.m Önk  bev.'!I52</f>
        <v>0</v>
      </c>
      <c r="J54" s="890">
        <f t="shared" si="5"/>
        <v>31008</v>
      </c>
      <c r="K54" s="890">
        <f t="shared" si="5"/>
        <v>31008</v>
      </c>
      <c r="L54" s="639">
        <f t="shared" si="6"/>
        <v>0</v>
      </c>
      <c r="M54" s="639">
        <f t="shared" si="6"/>
        <v>0</v>
      </c>
      <c r="N54" s="890"/>
      <c r="O54" s="639"/>
      <c r="P54" s="639"/>
      <c r="Q54" s="639"/>
      <c r="R54" s="763"/>
    </row>
    <row r="55" spans="1:18" s="21" customFormat="1" ht="34.5" customHeight="1">
      <c r="A55" s="53"/>
      <c r="B55" s="47" t="s">
        <v>106</v>
      </c>
      <c r="C55" s="1114" t="s">
        <v>523</v>
      </c>
      <c r="D55" s="1114"/>
      <c r="E55" s="39"/>
      <c r="F55" s="890">
        <f>'3.sz.m Önk  bev.'!F53</f>
        <v>0</v>
      </c>
      <c r="G55" s="890">
        <f>'3.sz.m Önk  bev.'!G53</f>
        <v>0</v>
      </c>
      <c r="H55" s="639">
        <f>'3.sz.m Önk  bev.'!H53</f>
        <v>0</v>
      </c>
      <c r="I55" s="639">
        <f>'3.sz.m Önk  bev.'!I53</f>
        <v>0</v>
      </c>
      <c r="J55" s="890">
        <f t="shared" si="5"/>
        <v>0</v>
      </c>
      <c r="K55" s="890">
        <f t="shared" si="5"/>
        <v>0</v>
      </c>
      <c r="L55" s="639">
        <f t="shared" si="6"/>
        <v>0</v>
      </c>
      <c r="M55" s="639">
        <f t="shared" si="6"/>
        <v>0</v>
      </c>
      <c r="N55" s="897"/>
      <c r="O55" s="777"/>
      <c r="P55" s="777"/>
      <c r="Q55" s="777"/>
      <c r="R55" s="778"/>
    </row>
    <row r="56" spans="1:18" ht="21.75" customHeight="1" thickBot="1">
      <c r="A56" s="26"/>
      <c r="B56" s="27" t="s">
        <v>263</v>
      </c>
      <c r="C56" s="1105" t="s">
        <v>429</v>
      </c>
      <c r="D56" s="1105"/>
      <c r="E56" s="29" t="s">
        <v>108</v>
      </c>
      <c r="F56" s="891">
        <f>'3.sz.m Önk  bev.'!F54</f>
        <v>103992</v>
      </c>
      <c r="G56" s="891">
        <f>'3.sz.m Önk  bev.'!G54</f>
        <v>103992</v>
      </c>
      <c r="H56" s="640">
        <f>'3.sz.m Önk  bev.'!H54</f>
        <v>0</v>
      </c>
      <c r="I56" s="640">
        <f>'3.sz.m Önk  bev.'!I54</f>
        <v>0</v>
      </c>
      <c r="J56" s="891">
        <f t="shared" si="5"/>
        <v>103992</v>
      </c>
      <c r="K56" s="891">
        <f t="shared" si="5"/>
        <v>103992</v>
      </c>
      <c r="L56" s="640">
        <f t="shared" si="6"/>
        <v>0</v>
      </c>
      <c r="M56" s="640">
        <f t="shared" si="6"/>
        <v>0</v>
      </c>
      <c r="N56" s="891"/>
      <c r="O56" s="640"/>
      <c r="P56" s="640"/>
      <c r="Q56" s="640"/>
      <c r="R56" s="764"/>
    </row>
    <row r="57" spans="1:18" ht="21.75" customHeight="1" thickBot="1">
      <c r="A57" s="43" t="s">
        <v>109</v>
      </c>
      <c r="B57" s="1116" t="s">
        <v>110</v>
      </c>
      <c r="C57" s="1116"/>
      <c r="D57" s="1116"/>
      <c r="E57" s="19" t="s">
        <v>111</v>
      </c>
      <c r="F57" s="892"/>
      <c r="G57" s="892">
        <f>+G58+G59</f>
        <v>50000</v>
      </c>
      <c r="H57" s="616"/>
      <c r="I57" s="616"/>
      <c r="J57" s="892">
        <f t="shared" si="5"/>
        <v>0</v>
      </c>
      <c r="K57" s="892">
        <f t="shared" si="5"/>
        <v>50000</v>
      </c>
      <c r="L57" s="616">
        <f t="shared" si="6"/>
        <v>0</v>
      </c>
      <c r="M57" s="616">
        <f t="shared" si="6"/>
        <v>0</v>
      </c>
      <c r="N57" s="892"/>
      <c r="O57" s="616"/>
      <c r="P57" s="616"/>
      <c r="Q57" s="616"/>
      <c r="R57" s="765">
        <f>R58+R59</f>
        <v>0</v>
      </c>
    </row>
    <row r="58" spans="1:18" s="21" customFormat="1" ht="21.75" customHeight="1">
      <c r="A58" s="53"/>
      <c r="B58" s="37" t="s">
        <v>112</v>
      </c>
      <c r="C58" s="1114" t="s">
        <v>113</v>
      </c>
      <c r="D58" s="1114"/>
      <c r="E58" s="39" t="s">
        <v>114</v>
      </c>
      <c r="F58" s="893"/>
      <c r="G58" s="893">
        <f>+'3.sz.m Önk  bev.'!G56</f>
        <v>50000</v>
      </c>
      <c r="H58" s="633"/>
      <c r="I58" s="633"/>
      <c r="J58" s="893">
        <f t="shared" si="5"/>
        <v>0</v>
      </c>
      <c r="K58" s="893">
        <f t="shared" si="5"/>
        <v>50000</v>
      </c>
      <c r="L58" s="633">
        <f t="shared" si="6"/>
        <v>0</v>
      </c>
      <c r="M58" s="633">
        <f t="shared" si="6"/>
        <v>0</v>
      </c>
      <c r="N58" s="893"/>
      <c r="O58" s="633"/>
      <c r="P58" s="633"/>
      <c r="Q58" s="633"/>
      <c r="R58" s="766"/>
    </row>
    <row r="59" spans="1:18" ht="21.75" customHeight="1" thickBot="1">
      <c r="A59" s="40"/>
      <c r="B59" s="41" t="s">
        <v>115</v>
      </c>
      <c r="C59" s="1111" t="s">
        <v>116</v>
      </c>
      <c r="D59" s="1111"/>
      <c r="E59" s="42" t="s">
        <v>117</v>
      </c>
      <c r="F59" s="894"/>
      <c r="G59" s="894"/>
      <c r="H59" s="632"/>
      <c r="I59" s="632"/>
      <c r="J59" s="894">
        <f t="shared" si="5"/>
        <v>0</v>
      </c>
      <c r="K59" s="894">
        <f t="shared" si="5"/>
        <v>0</v>
      </c>
      <c r="L59" s="632">
        <f t="shared" si="6"/>
        <v>0</v>
      </c>
      <c r="M59" s="632">
        <f t="shared" si="6"/>
        <v>0</v>
      </c>
      <c r="N59" s="894"/>
      <c r="O59" s="632"/>
      <c r="P59" s="632"/>
      <c r="Q59" s="632"/>
      <c r="R59" s="767"/>
    </row>
    <row r="60" spans="1:18" ht="21.75" customHeight="1" thickBot="1">
      <c r="A60" s="43" t="s">
        <v>118</v>
      </c>
      <c r="B60" s="1121" t="s">
        <v>119</v>
      </c>
      <c r="C60" s="1121"/>
      <c r="D60" s="1121"/>
      <c r="E60" s="55"/>
      <c r="F60" s="892">
        <f aca="true" t="shared" si="8" ref="F60:K60">F7+F21+F37+F53+F57+F45</f>
        <v>179669585</v>
      </c>
      <c r="G60" s="892">
        <f t="shared" si="8"/>
        <v>181397942</v>
      </c>
      <c r="H60" s="616">
        <f t="shared" si="8"/>
        <v>0</v>
      </c>
      <c r="I60" s="616">
        <f t="shared" si="8"/>
        <v>0</v>
      </c>
      <c r="J60" s="892">
        <f t="shared" si="8"/>
        <v>172850986</v>
      </c>
      <c r="K60" s="892">
        <f t="shared" si="8"/>
        <v>174579343</v>
      </c>
      <c r="L60" s="616">
        <f>L7+L21+L37+L53+L57</f>
        <v>0</v>
      </c>
      <c r="M60" s="616">
        <f>M7+M21+M37+M53+M57+M45</f>
        <v>0</v>
      </c>
      <c r="N60" s="892">
        <f>N7+N21+N37</f>
        <v>6818599</v>
      </c>
      <c r="O60" s="616">
        <f>O7+O21+O37</f>
        <v>6818599</v>
      </c>
      <c r="P60" s="616">
        <f>P7+P21+P37</f>
        <v>0</v>
      </c>
      <c r="Q60" s="616">
        <f>Q7+Q21+Q37</f>
        <v>0</v>
      </c>
      <c r="R60" s="765">
        <f>R7+R21+R37+R45+R53+R57</f>
        <v>0</v>
      </c>
    </row>
    <row r="61" spans="1:18" ht="24" customHeight="1" thickBot="1">
      <c r="A61" s="18" t="s">
        <v>120</v>
      </c>
      <c r="B61" s="1116" t="s">
        <v>121</v>
      </c>
      <c r="C61" s="1116"/>
      <c r="D61" s="1116"/>
      <c r="E61" s="19"/>
      <c r="F61" s="892">
        <f aca="true" t="shared" si="9" ref="F61:N61">SUM(F62:F64)</f>
        <v>52654394</v>
      </c>
      <c r="G61" s="892">
        <f>SUM(G62:G64)</f>
        <v>52654394</v>
      </c>
      <c r="H61" s="616">
        <f t="shared" si="9"/>
        <v>0</v>
      </c>
      <c r="I61" s="616">
        <f t="shared" si="9"/>
        <v>0</v>
      </c>
      <c r="J61" s="892">
        <f t="shared" si="9"/>
        <v>52654394</v>
      </c>
      <c r="K61" s="892">
        <f>SUM(K62:K64)</f>
        <v>52654394</v>
      </c>
      <c r="L61" s="892">
        <f t="shared" si="9"/>
        <v>0</v>
      </c>
      <c r="M61" s="892">
        <f t="shared" si="9"/>
        <v>0</v>
      </c>
      <c r="N61" s="892">
        <f t="shared" si="9"/>
        <v>0</v>
      </c>
      <c r="O61" s="616"/>
      <c r="P61" s="616"/>
      <c r="Q61" s="616"/>
      <c r="R61" s="765"/>
    </row>
    <row r="62" spans="1:18" ht="27.75" customHeight="1">
      <c r="A62" s="36"/>
      <c r="B62" s="37" t="s">
        <v>122</v>
      </c>
      <c r="C62" s="1114" t="s">
        <v>123</v>
      </c>
      <c r="D62" s="1114"/>
      <c r="E62" s="39" t="s">
        <v>124</v>
      </c>
      <c r="F62" s="893">
        <f>'3.sz.m Önk  bev.'!F60</f>
        <v>0</v>
      </c>
      <c r="G62" s="893">
        <f>'3.sz.m Önk  bev.'!G60</f>
        <v>0</v>
      </c>
      <c r="H62" s="633">
        <f>'3.sz.m Önk  bev.'!H60</f>
        <v>0</v>
      </c>
      <c r="I62" s="633">
        <f>'3.sz.m Önk  bev.'!I60</f>
        <v>0</v>
      </c>
      <c r="J62" s="893">
        <f aca="true" t="shared" si="10" ref="J62:M64">F62-N62</f>
        <v>0</v>
      </c>
      <c r="K62" s="893">
        <f t="shared" si="10"/>
        <v>0</v>
      </c>
      <c r="L62" s="633">
        <f t="shared" si="10"/>
        <v>0</v>
      </c>
      <c r="M62" s="633">
        <f t="shared" si="10"/>
        <v>0</v>
      </c>
      <c r="N62" s="893"/>
      <c r="O62" s="633"/>
      <c r="P62" s="633"/>
      <c r="Q62" s="633"/>
      <c r="R62" s="766"/>
    </row>
    <row r="63" spans="1:18" ht="24" customHeight="1">
      <c r="A63" s="26"/>
      <c r="B63" s="48" t="s">
        <v>125</v>
      </c>
      <c r="C63" s="1114" t="s">
        <v>511</v>
      </c>
      <c r="D63" s="1114"/>
      <c r="E63" s="39" t="s">
        <v>126</v>
      </c>
      <c r="F63" s="895">
        <f>'3.sz.m Önk  bev.'!F61</f>
        <v>0</v>
      </c>
      <c r="G63" s="895">
        <f>'3.sz.m Önk  bev.'!G61</f>
        <v>0</v>
      </c>
      <c r="H63" s="623">
        <f>'3.sz.m Önk  bev.'!H61</f>
        <v>0</v>
      </c>
      <c r="I63" s="623">
        <f>'3.sz.m Önk  bev.'!I61</f>
        <v>0</v>
      </c>
      <c r="J63" s="895">
        <f t="shared" si="10"/>
        <v>0</v>
      </c>
      <c r="K63" s="895">
        <f t="shared" si="10"/>
        <v>0</v>
      </c>
      <c r="L63" s="623">
        <f t="shared" si="10"/>
        <v>0</v>
      </c>
      <c r="M63" s="623">
        <f t="shared" si="10"/>
        <v>0</v>
      </c>
      <c r="N63" s="895"/>
      <c r="O63" s="623"/>
      <c r="P63" s="623"/>
      <c r="Q63" s="623"/>
      <c r="R63" s="768"/>
    </row>
    <row r="64" spans="1:18" ht="39" customHeight="1" thickBot="1">
      <c r="A64" s="26"/>
      <c r="B64" s="48" t="s">
        <v>127</v>
      </c>
      <c r="C64" s="1114" t="s">
        <v>128</v>
      </c>
      <c r="D64" s="1114"/>
      <c r="E64" s="39" t="s">
        <v>129</v>
      </c>
      <c r="F64" s="894">
        <f>'3.sz.m Önk  bev.'!F62+'5. sz. m óvoda'!J25</f>
        <v>52654394</v>
      </c>
      <c r="G64" s="894">
        <f>'3.sz.m Önk  bev.'!G62+'5. sz. m óvoda'!K25</f>
        <v>52654394</v>
      </c>
      <c r="H64" s="632">
        <f>'3.sz.m Önk  bev.'!H62+'5. sz. m óvoda'!L25</f>
        <v>0</v>
      </c>
      <c r="I64" s="632">
        <f>'3.sz.m Önk  bev.'!I62+'5. sz. m óvoda'!M25</f>
        <v>0</v>
      </c>
      <c r="J64" s="894">
        <f t="shared" si="10"/>
        <v>52654394</v>
      </c>
      <c r="K64" s="894">
        <f t="shared" si="10"/>
        <v>52654394</v>
      </c>
      <c r="L64" s="632">
        <f t="shared" si="10"/>
        <v>0</v>
      </c>
      <c r="M64" s="632">
        <f t="shared" si="10"/>
        <v>0</v>
      </c>
      <c r="N64" s="894">
        <f>+'3.sz.m Önk  bev.'!N62</f>
        <v>0</v>
      </c>
      <c r="O64" s="632"/>
      <c r="P64" s="632"/>
      <c r="Q64" s="632"/>
      <c r="R64" s="767"/>
    </row>
    <row r="65" spans="1:18" ht="35.25" customHeight="1" thickBot="1">
      <c r="A65" s="56" t="s">
        <v>130</v>
      </c>
      <c r="B65" s="1122" t="s">
        <v>131</v>
      </c>
      <c r="C65" s="1122"/>
      <c r="D65" s="1122"/>
      <c r="E65" s="57"/>
      <c r="F65" s="896">
        <f aca="true" t="shared" si="11" ref="F65:N65">F60+F61</f>
        <v>232323979</v>
      </c>
      <c r="G65" s="896">
        <f>G60+G61</f>
        <v>234052336</v>
      </c>
      <c r="H65" s="618">
        <f t="shared" si="11"/>
        <v>0</v>
      </c>
      <c r="I65" s="618">
        <f>I60+I61</f>
        <v>0</v>
      </c>
      <c r="J65" s="896">
        <f t="shared" si="11"/>
        <v>225505380</v>
      </c>
      <c r="K65" s="896">
        <f>K60+K61</f>
        <v>227233737</v>
      </c>
      <c r="L65" s="896">
        <f t="shared" si="11"/>
        <v>0</v>
      </c>
      <c r="M65" s="896">
        <f t="shared" si="11"/>
        <v>0</v>
      </c>
      <c r="N65" s="896">
        <f t="shared" si="11"/>
        <v>6818599</v>
      </c>
      <c r="O65" s="618">
        <f>O60</f>
        <v>6818599</v>
      </c>
      <c r="P65" s="618">
        <f>P60</f>
        <v>0</v>
      </c>
      <c r="Q65" s="618">
        <f>Q60</f>
        <v>0</v>
      </c>
      <c r="R65" s="769">
        <f>R60+R61</f>
        <v>0</v>
      </c>
    </row>
    <row r="66" spans="1:17" ht="21.75" customHeight="1" hidden="1">
      <c r="A66" s="1128" t="s">
        <v>132</v>
      </c>
      <c r="B66" s="1128"/>
      <c r="C66" s="1128"/>
      <c r="D66" s="1128"/>
      <c r="E66" s="58"/>
      <c r="F66" s="464"/>
      <c r="G66" s="464"/>
      <c r="H66" s="912"/>
      <c r="I66" s="912"/>
      <c r="J66" s="626">
        <f>F66-N66</f>
        <v>0</v>
      </c>
      <c r="K66" s="466"/>
      <c r="L66" s="466"/>
      <c r="M66" s="466"/>
      <c r="N66" s="466"/>
      <c r="O66" s="466"/>
      <c r="P66" s="466"/>
      <c r="Q66" s="466"/>
    </row>
    <row r="67" spans="1:17" ht="21.75" customHeight="1" hidden="1">
      <c r="A67" s="1120" t="s">
        <v>133</v>
      </c>
      <c r="B67" s="1120"/>
      <c r="C67" s="1120"/>
      <c r="D67" s="1120"/>
      <c r="E67" s="59"/>
      <c r="F67" s="465"/>
      <c r="G67" s="465"/>
      <c r="H67" s="913"/>
      <c r="I67" s="913"/>
      <c r="J67" s="627">
        <f>F67-N67</f>
        <v>0</v>
      </c>
      <c r="K67" s="467"/>
      <c r="L67" s="467"/>
      <c r="M67" s="467"/>
      <c r="N67" s="467"/>
      <c r="O67" s="467"/>
      <c r="P67" s="467"/>
      <c r="Q67" s="467"/>
    </row>
    <row r="68" spans="1:17" ht="21.75" customHeight="1">
      <c r="A68" s="60"/>
      <c r="B68" s="61"/>
      <c r="C68" s="61"/>
      <c r="D68" s="61"/>
      <c r="E68" s="61"/>
      <c r="F68" s="62"/>
      <c r="G68" s="62"/>
      <c r="H68" s="62"/>
      <c r="I68" s="62"/>
      <c r="J68" s="62"/>
      <c r="K68" s="468"/>
      <c r="L68" s="468"/>
      <c r="M68" s="468"/>
      <c r="N68" s="468"/>
      <c r="O68" s="468"/>
      <c r="P68" s="468"/>
      <c r="Q68" s="468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9">
    <mergeCell ref="N3:R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  <mergeCell ref="B65:D65"/>
    <mergeCell ref="B57:D57"/>
    <mergeCell ref="C36:D36"/>
    <mergeCell ref="C51:D51"/>
    <mergeCell ref="C39:D39"/>
    <mergeCell ref="C52:D52"/>
    <mergeCell ref="C55:D55"/>
    <mergeCell ref="B37:D37"/>
    <mergeCell ref="C38:D38"/>
    <mergeCell ref="B7:D7"/>
    <mergeCell ref="C8:D8"/>
    <mergeCell ref="C13:D13"/>
    <mergeCell ref="A2:R2"/>
    <mergeCell ref="A67:D67"/>
    <mergeCell ref="B60:D60"/>
    <mergeCell ref="B61:D61"/>
    <mergeCell ref="C62:D62"/>
    <mergeCell ref="C63:D63"/>
    <mergeCell ref="B53:D53"/>
    <mergeCell ref="C35:D35"/>
    <mergeCell ref="C33:D33"/>
    <mergeCell ref="C16:D16"/>
    <mergeCell ref="C20:D20"/>
    <mergeCell ref="C54:D54"/>
    <mergeCell ref="C17:D17"/>
    <mergeCell ref="C40:D40"/>
    <mergeCell ref="B21:D21"/>
    <mergeCell ref="C25:D25"/>
    <mergeCell ref="C34:D34"/>
    <mergeCell ref="C26:D26"/>
    <mergeCell ref="C23:D23"/>
    <mergeCell ref="C22:D22"/>
    <mergeCell ref="C27:D27"/>
    <mergeCell ref="C32:D32"/>
    <mergeCell ref="N4:Q4"/>
    <mergeCell ref="J4:M4"/>
    <mergeCell ref="F4:I4"/>
    <mergeCell ref="A4:C4"/>
    <mergeCell ref="B6:D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75" zoomScaleNormal="75" workbookViewId="0" topLeftCell="A1">
      <selection activeCell="Q10" sqref="Q10"/>
    </sheetView>
  </sheetViews>
  <sheetFormatPr defaultColWidth="9.140625" defaultRowHeight="12.75"/>
  <cols>
    <col min="1" max="1" width="40.00390625" style="165" customWidth="1"/>
    <col min="2" max="2" width="9.7109375" style="165" customWidth="1"/>
    <col min="3" max="3" width="16.140625" style="166" customWidth="1"/>
    <col min="4" max="4" width="14.8515625" style="166" customWidth="1"/>
    <col min="5" max="5" width="14.8515625" style="166" hidden="1" customWidth="1"/>
    <col min="6" max="6" width="16.7109375" style="166" hidden="1" customWidth="1"/>
    <col min="7" max="7" width="16.7109375" style="166" customWidth="1"/>
    <col min="8" max="8" width="13.7109375" style="166" customWidth="1"/>
    <col min="9" max="10" width="13.7109375" style="166" hidden="1" customWidth="1"/>
    <col min="11" max="11" width="15.7109375" style="165" customWidth="1"/>
    <col min="12" max="12" width="15.57421875" style="165" customWidth="1"/>
    <col min="13" max="13" width="13.140625" style="165" hidden="1" customWidth="1"/>
    <col min="14" max="14" width="13.00390625" style="165" hidden="1" customWidth="1"/>
    <col min="15" max="16384" width="9.140625" style="165" customWidth="1"/>
  </cols>
  <sheetData>
    <row r="1" spans="7:10" ht="24.75" customHeight="1">
      <c r="G1" s="774"/>
      <c r="H1" s="774"/>
      <c r="I1" s="774"/>
      <c r="J1" s="774"/>
    </row>
    <row r="2" spans="1:10" ht="37.5" customHeight="1">
      <c r="A2" s="1230" t="s">
        <v>149</v>
      </c>
      <c r="B2" s="1230"/>
      <c r="C2" s="1230"/>
      <c r="D2" s="1230"/>
      <c r="E2" s="1230"/>
      <c r="F2" s="1230"/>
      <c r="G2" s="1230"/>
      <c r="H2" s="793"/>
      <c r="I2" s="793"/>
      <c r="J2" s="793"/>
    </row>
    <row r="3" spans="1:10" ht="18.75" customHeight="1">
      <c r="A3" s="1231" t="s">
        <v>641</v>
      </c>
      <c r="B3" s="1231"/>
      <c r="C3" s="1231"/>
      <c r="D3" s="1231"/>
      <c r="E3" s="1231"/>
      <c r="F3" s="1231"/>
      <c r="G3" s="1231"/>
      <c r="H3" s="794"/>
      <c r="I3" s="794"/>
      <c r="J3" s="794"/>
    </row>
    <row r="4" spans="1:10" ht="15.75" customHeight="1">
      <c r="A4" s="1232" t="s">
        <v>311</v>
      </c>
      <c r="B4" s="1232"/>
      <c r="C4" s="1232"/>
      <c r="D4" s="1232"/>
      <c r="E4" s="1232"/>
      <c r="F4" s="1232"/>
      <c r="G4" s="1232"/>
      <c r="H4" s="795"/>
      <c r="I4" s="795"/>
      <c r="J4" s="795"/>
    </row>
    <row r="5" spans="1:11" ht="19.5" thickBot="1">
      <c r="A5" s="292"/>
      <c r="B5" s="292"/>
      <c r="K5" s="165" t="s">
        <v>536</v>
      </c>
    </row>
    <row r="6" spans="1:14" ht="19.5" customHeight="1" thickBot="1">
      <c r="A6" s="1233" t="s">
        <v>312</v>
      </c>
      <c r="B6" s="1234" t="s">
        <v>313</v>
      </c>
      <c r="C6" s="1235" t="s">
        <v>4</v>
      </c>
      <c r="D6" s="1236"/>
      <c r="E6" s="1236"/>
      <c r="F6" s="1237"/>
      <c r="G6" s="1235" t="s">
        <v>528</v>
      </c>
      <c r="H6" s="1236"/>
      <c r="I6" s="1236"/>
      <c r="J6" s="1237"/>
      <c r="K6" s="1235" t="s">
        <v>314</v>
      </c>
      <c r="L6" s="1236"/>
      <c r="M6" s="1236"/>
      <c r="N6" s="1237"/>
    </row>
    <row r="7" spans="1:14" ht="12.75" customHeight="1" thickBot="1" thickTop="1">
      <c r="A7" s="1233"/>
      <c r="B7" s="1234"/>
      <c r="C7" s="1238"/>
      <c r="D7" s="1239"/>
      <c r="E7" s="1239"/>
      <c r="F7" s="1240"/>
      <c r="G7" s="1238"/>
      <c r="H7" s="1239"/>
      <c r="I7" s="1239"/>
      <c r="J7" s="1240"/>
      <c r="K7" s="1238"/>
      <c r="L7" s="1239"/>
      <c r="M7" s="1239"/>
      <c r="N7" s="1240"/>
    </row>
    <row r="8" spans="1:14" ht="20.25" customHeight="1" thickBot="1" thickTop="1">
      <c r="A8" s="1233"/>
      <c r="B8" s="1234"/>
      <c r="C8" s="1241"/>
      <c r="D8" s="1242"/>
      <c r="E8" s="1242"/>
      <c r="F8" s="1243"/>
      <c r="G8" s="1241"/>
      <c r="H8" s="1242"/>
      <c r="I8" s="1242"/>
      <c r="J8" s="1243"/>
      <c r="K8" s="1241"/>
      <c r="L8" s="1242"/>
      <c r="M8" s="1242"/>
      <c r="N8" s="1243"/>
    </row>
    <row r="9" spans="1:10" ht="19.5" hidden="1" thickTop="1">
      <c r="A9" s="293"/>
      <c r="B9" s="294"/>
      <c r="C9" s="295"/>
      <c r="D9" s="295"/>
      <c r="E9" s="295"/>
      <c r="F9" s="295"/>
      <c r="G9" s="295"/>
      <c r="H9" s="864"/>
      <c r="I9" s="864"/>
      <c r="J9" s="864"/>
    </row>
    <row r="10" spans="1:14" ht="27" customHeight="1" thickTop="1">
      <c r="A10" s="293"/>
      <c r="B10" s="294"/>
      <c r="C10" s="481" t="s">
        <v>325</v>
      </c>
      <c r="D10" s="481" t="s">
        <v>7</v>
      </c>
      <c r="E10" s="481" t="s">
        <v>541</v>
      </c>
      <c r="F10" s="481" t="s">
        <v>552</v>
      </c>
      <c r="G10" s="481" t="s">
        <v>325</v>
      </c>
      <c r="H10" s="481" t="s">
        <v>7</v>
      </c>
      <c r="I10" s="481" t="s">
        <v>541</v>
      </c>
      <c r="J10" s="481" t="s">
        <v>552</v>
      </c>
      <c r="K10" s="481" t="s">
        <v>325</v>
      </c>
      <c r="L10" s="481" t="s">
        <v>7</v>
      </c>
      <c r="M10" s="481" t="s">
        <v>541</v>
      </c>
      <c r="N10" s="481" t="s">
        <v>552</v>
      </c>
    </row>
    <row r="11" spans="1:14" ht="38.25" customHeight="1">
      <c r="A11" s="297" t="s">
        <v>583</v>
      </c>
      <c r="B11" s="298" t="s">
        <v>318</v>
      </c>
      <c r="C11" s="299">
        <v>375000</v>
      </c>
      <c r="D11" s="299">
        <v>375000</v>
      </c>
      <c r="E11" s="299"/>
      <c r="F11" s="299"/>
      <c r="G11" s="299">
        <v>375000</v>
      </c>
      <c r="H11" s="299">
        <v>375000</v>
      </c>
      <c r="I11" s="299"/>
      <c r="J11" s="299"/>
      <c r="K11" s="299"/>
      <c r="L11" s="299"/>
      <c r="M11" s="299"/>
      <c r="N11" s="299"/>
    </row>
    <row r="12" spans="1:14" ht="28.5" customHeight="1">
      <c r="A12" s="297" t="s">
        <v>584</v>
      </c>
      <c r="B12" s="298" t="s">
        <v>318</v>
      </c>
      <c r="C12" s="299">
        <v>480000</v>
      </c>
      <c r="D12" s="299">
        <v>480000</v>
      </c>
      <c r="E12" s="299"/>
      <c r="F12" s="299"/>
      <c r="G12" s="299">
        <v>480000</v>
      </c>
      <c r="H12" s="299">
        <v>480000</v>
      </c>
      <c r="I12" s="299"/>
      <c r="J12" s="299"/>
      <c r="K12" s="299"/>
      <c r="L12" s="299"/>
      <c r="M12" s="299"/>
      <c r="N12" s="299"/>
    </row>
    <row r="13" spans="1:14" ht="36.75" customHeight="1">
      <c r="A13" s="297" t="s">
        <v>585</v>
      </c>
      <c r="B13" s="298" t="s">
        <v>318</v>
      </c>
      <c r="C13" s="299">
        <v>292000</v>
      </c>
      <c r="D13" s="299">
        <v>292000</v>
      </c>
      <c r="E13" s="299"/>
      <c r="F13" s="299"/>
      <c r="G13" s="299">
        <v>292000</v>
      </c>
      <c r="H13" s="299">
        <v>292000</v>
      </c>
      <c r="I13" s="299"/>
      <c r="J13" s="299"/>
      <c r="K13" s="299"/>
      <c r="L13" s="299"/>
      <c r="M13" s="299"/>
      <c r="N13" s="299"/>
    </row>
    <row r="14" spans="1:14" ht="36.75" customHeight="1">
      <c r="A14" s="297" t="s">
        <v>671</v>
      </c>
      <c r="B14" s="298" t="s">
        <v>318</v>
      </c>
      <c r="C14" s="299">
        <v>50000</v>
      </c>
      <c r="D14" s="299">
        <v>50000</v>
      </c>
      <c r="E14" s="299"/>
      <c r="F14" s="299"/>
      <c r="G14" s="299">
        <v>50000</v>
      </c>
      <c r="H14" s="299">
        <v>50000</v>
      </c>
      <c r="I14" s="299"/>
      <c r="J14" s="299"/>
      <c r="K14" s="299"/>
      <c r="L14" s="299"/>
      <c r="M14" s="299"/>
      <c r="N14" s="299"/>
    </row>
    <row r="15" spans="1:14" ht="28.5" customHeight="1">
      <c r="A15" s="297" t="s">
        <v>316</v>
      </c>
      <c r="B15" s="298" t="s">
        <v>318</v>
      </c>
      <c r="C15" s="299">
        <f>329000+464000</f>
        <v>793000</v>
      </c>
      <c r="D15" s="299">
        <f>329000+464000</f>
        <v>793000</v>
      </c>
      <c r="E15" s="299"/>
      <c r="F15" s="299"/>
      <c r="G15" s="299">
        <f>329000+464000</f>
        <v>793000</v>
      </c>
      <c r="H15" s="299">
        <f>329000+464000</f>
        <v>793000</v>
      </c>
      <c r="I15" s="313"/>
      <c r="J15" s="299"/>
      <c r="K15" s="299"/>
      <c r="L15" s="299"/>
      <c r="M15" s="299"/>
      <c r="N15" s="299"/>
    </row>
    <row r="16" spans="1:14" ht="32.25" customHeight="1">
      <c r="A16" s="297" t="s">
        <v>586</v>
      </c>
      <c r="B16" s="298" t="s">
        <v>315</v>
      </c>
      <c r="C16" s="299">
        <v>90000</v>
      </c>
      <c r="D16" s="299">
        <v>90000</v>
      </c>
      <c r="E16" s="299"/>
      <c r="F16" s="299"/>
      <c r="G16" s="299">
        <v>90000</v>
      </c>
      <c r="H16" s="299">
        <v>90000</v>
      </c>
      <c r="I16" s="299"/>
      <c r="J16" s="299"/>
      <c r="K16" s="299"/>
      <c r="L16" s="299"/>
      <c r="M16" s="299"/>
      <c r="N16" s="299"/>
    </row>
    <row r="17" spans="1:14" ht="33" customHeight="1" thickBot="1">
      <c r="A17" s="297" t="s">
        <v>587</v>
      </c>
      <c r="B17" s="298" t="s">
        <v>315</v>
      </c>
      <c r="C17" s="302">
        <v>765000</v>
      </c>
      <c r="D17" s="302">
        <v>765000</v>
      </c>
      <c r="E17" s="302"/>
      <c r="F17" s="302"/>
      <c r="G17" s="302">
        <v>765000</v>
      </c>
      <c r="H17" s="302">
        <v>765000</v>
      </c>
      <c r="I17" s="299"/>
      <c r="J17" s="299"/>
      <c r="K17" s="302"/>
      <c r="L17" s="302"/>
      <c r="M17" s="302"/>
      <c r="N17" s="302"/>
    </row>
    <row r="18" spans="1:14" ht="39" customHeight="1" thickBot="1" thickTop="1">
      <c r="A18" s="303" t="s">
        <v>317</v>
      </c>
      <c r="B18" s="304"/>
      <c r="C18" s="478">
        <f aca="true" t="shared" si="0" ref="C18:M18">SUM(C11:C17)</f>
        <v>2845000</v>
      </c>
      <c r="D18" s="478">
        <f>SUM(D11:D17)</f>
        <v>2845000</v>
      </c>
      <c r="E18" s="478">
        <f t="shared" si="0"/>
        <v>0</v>
      </c>
      <c r="F18" s="478">
        <f t="shared" si="0"/>
        <v>0</v>
      </c>
      <c r="G18" s="478">
        <f t="shared" si="0"/>
        <v>2845000</v>
      </c>
      <c r="H18" s="478">
        <f>SUM(H11:H17)</f>
        <v>2845000</v>
      </c>
      <c r="I18" s="478">
        <f t="shared" si="0"/>
        <v>0</v>
      </c>
      <c r="J18" s="478">
        <f>SUM(J11:J17)</f>
        <v>0</v>
      </c>
      <c r="K18" s="478">
        <f t="shared" si="0"/>
        <v>0</v>
      </c>
      <c r="L18" s="478">
        <f t="shared" si="0"/>
        <v>0</v>
      </c>
      <c r="M18" s="478">
        <f t="shared" si="0"/>
        <v>0</v>
      </c>
      <c r="N18" s="478">
        <f>SUM(N11:N17)</f>
        <v>0</v>
      </c>
    </row>
    <row r="19" spans="1:10" ht="19.5" customHeight="1">
      <c r="A19" s="306"/>
      <c r="B19" s="306"/>
      <c r="C19" s="307"/>
      <c r="D19" s="307"/>
      <c r="E19" s="307"/>
      <c r="F19" s="307"/>
      <c r="G19" s="307"/>
      <c r="H19" s="307"/>
      <c r="I19" s="307"/>
      <c r="J19" s="307"/>
    </row>
    <row r="20" spans="1:10" ht="28.5" customHeight="1" hidden="1" thickBot="1">
      <c r="A20" s="1230"/>
      <c r="B20" s="1230"/>
      <c r="C20" s="1230"/>
      <c r="D20" s="1230"/>
      <c r="E20" s="1230"/>
      <c r="F20" s="1230"/>
      <c r="G20" s="1230"/>
      <c r="H20" s="793"/>
      <c r="I20" s="793"/>
      <c r="J20" s="793"/>
    </row>
    <row r="21" spans="1:10" ht="19.5" customHeight="1" hidden="1" thickBot="1">
      <c r="A21" s="1233"/>
      <c r="B21" s="1234"/>
      <c r="C21" s="573"/>
      <c r="D21" s="573"/>
      <c r="E21" s="573"/>
      <c r="F21" s="573"/>
      <c r="G21" s="573"/>
      <c r="H21" s="578"/>
      <c r="I21" s="578"/>
      <c r="J21" s="578"/>
    </row>
    <row r="22" spans="1:10" s="308" customFormat="1" ht="19.5" customHeight="1" hidden="1" thickBot="1" thickTop="1">
      <c r="A22" s="1233"/>
      <c r="B22" s="1234"/>
      <c r="C22" s="578"/>
      <c r="D22" s="578"/>
      <c r="E22" s="578"/>
      <c r="F22" s="578"/>
      <c r="G22" s="578"/>
      <c r="H22" s="578"/>
      <c r="I22" s="578"/>
      <c r="J22" s="578"/>
    </row>
    <row r="23" spans="1:10" s="308" customFormat="1" ht="19.5" customHeight="1" hidden="1" thickBot="1" thickTop="1">
      <c r="A23" s="1233"/>
      <c r="B23" s="1234"/>
      <c r="C23" s="579"/>
      <c r="D23" s="579"/>
      <c r="E23" s="579"/>
      <c r="F23" s="579"/>
      <c r="G23" s="579"/>
      <c r="H23" s="578"/>
      <c r="I23" s="578"/>
      <c r="J23" s="578"/>
    </row>
    <row r="24" spans="1:10" s="308" customFormat="1" ht="57.75" customHeight="1" hidden="1" thickTop="1">
      <c r="A24" s="309"/>
      <c r="B24" s="310"/>
      <c r="C24" s="296"/>
      <c r="D24" s="482"/>
      <c r="E24" s="482"/>
      <c r="F24" s="482"/>
      <c r="G24" s="482"/>
      <c r="H24" s="864"/>
      <c r="I24" s="864"/>
      <c r="J24" s="864"/>
    </row>
    <row r="25" spans="1:10" s="308" customFormat="1" ht="31.5" customHeight="1" hidden="1">
      <c r="A25" s="483"/>
      <c r="B25" s="484"/>
      <c r="C25" s="482"/>
      <c r="D25" s="482"/>
      <c r="E25" s="482"/>
      <c r="F25" s="482"/>
      <c r="G25" s="482"/>
      <c r="H25" s="864"/>
      <c r="I25" s="864"/>
      <c r="J25" s="864"/>
    </row>
    <row r="26" spans="1:10" s="308" customFormat="1" ht="34.5" customHeight="1" hidden="1">
      <c r="A26" s="311"/>
      <c r="B26" s="312"/>
      <c r="C26" s="300"/>
      <c r="D26" s="300"/>
      <c r="E26" s="300"/>
      <c r="F26" s="300"/>
      <c r="G26" s="300"/>
      <c r="H26" s="865"/>
      <c r="I26" s="865"/>
      <c r="J26" s="865"/>
    </row>
    <row r="27" spans="1:10" s="308" customFormat="1" ht="30.75" customHeight="1" hidden="1">
      <c r="A27" s="314"/>
      <c r="B27" s="315"/>
      <c r="C27" s="301"/>
      <c r="D27" s="300"/>
      <c r="E27" s="300"/>
      <c r="F27" s="300"/>
      <c r="G27" s="300"/>
      <c r="H27" s="865"/>
      <c r="I27" s="865"/>
      <c r="J27" s="865"/>
    </row>
    <row r="28" spans="1:10" s="308" customFormat="1" ht="31.5" customHeight="1" hidden="1">
      <c r="A28" s="314"/>
      <c r="B28" s="315"/>
      <c r="C28" s="301"/>
      <c r="D28" s="300"/>
      <c r="E28" s="300"/>
      <c r="F28" s="300"/>
      <c r="G28" s="300"/>
      <c r="H28" s="865"/>
      <c r="I28" s="865"/>
      <c r="J28" s="865"/>
    </row>
    <row r="29" spans="1:10" s="308" customFormat="1" ht="31.5" customHeight="1" hidden="1">
      <c r="A29" s="314"/>
      <c r="B29" s="315"/>
      <c r="C29" s="301"/>
      <c r="D29" s="301"/>
      <c r="E29" s="301"/>
      <c r="F29" s="301"/>
      <c r="G29" s="301"/>
      <c r="H29" s="865"/>
      <c r="I29" s="865"/>
      <c r="J29" s="865"/>
    </row>
    <row r="30" spans="1:10" s="308" customFormat="1" ht="27.75" customHeight="1" hidden="1">
      <c r="A30" s="314"/>
      <c r="B30" s="315"/>
      <c r="C30" s="301"/>
      <c r="D30" s="301"/>
      <c r="E30" s="301"/>
      <c r="F30" s="301"/>
      <c r="G30" s="301"/>
      <c r="H30" s="865"/>
      <c r="I30" s="865"/>
      <c r="J30" s="865"/>
    </row>
    <row r="31" spans="1:10" ht="33" customHeight="1" hidden="1" thickBot="1">
      <c r="A31" s="316"/>
      <c r="B31" s="317"/>
      <c r="C31" s="479"/>
      <c r="D31" s="479"/>
      <c r="E31" s="479"/>
      <c r="F31" s="479"/>
      <c r="G31" s="479"/>
      <c r="H31" s="865"/>
      <c r="I31" s="865"/>
      <c r="J31" s="865"/>
    </row>
    <row r="32" spans="1:10" ht="33" customHeight="1" hidden="1" thickBot="1" thickTop="1">
      <c r="A32" s="318"/>
      <c r="B32" s="319"/>
      <c r="C32" s="480"/>
      <c r="D32" s="480"/>
      <c r="E32" s="480"/>
      <c r="F32" s="480"/>
      <c r="G32" s="480"/>
      <c r="H32" s="865"/>
      <c r="I32" s="865"/>
      <c r="J32" s="865"/>
    </row>
    <row r="33" spans="1:10" ht="33" customHeight="1" hidden="1" thickBot="1" thickTop="1">
      <c r="A33" s="303"/>
      <c r="B33" s="304"/>
      <c r="C33" s="305"/>
      <c r="D33" s="305"/>
      <c r="E33" s="305"/>
      <c r="F33" s="305"/>
      <c r="G33" s="305"/>
      <c r="H33" s="866"/>
      <c r="I33" s="866"/>
      <c r="J33" s="866"/>
    </row>
    <row r="35" ht="31.5" customHeight="1" hidden="1" thickBot="1">
      <c r="B35" s="320" t="s">
        <v>319</v>
      </c>
    </row>
    <row r="36" spans="1:14" ht="12.75" customHeight="1" hidden="1" thickBot="1">
      <c r="A36" s="1233" t="s">
        <v>319</v>
      </c>
      <c r="B36" s="1234" t="s">
        <v>313</v>
      </c>
      <c r="C36" s="1235" t="s">
        <v>4</v>
      </c>
      <c r="D36" s="1236"/>
      <c r="E36" s="1236"/>
      <c r="F36" s="1237"/>
      <c r="G36" s="1235" t="s">
        <v>528</v>
      </c>
      <c r="H36" s="1236"/>
      <c r="I36" s="1236"/>
      <c r="J36" s="1237"/>
      <c r="K36" s="1235" t="s">
        <v>314</v>
      </c>
      <c r="L36" s="1236"/>
      <c r="M36" s="1236"/>
      <c r="N36" s="1237"/>
    </row>
    <row r="37" spans="1:14" ht="14.25" customHeight="1" hidden="1" thickBot="1" thickTop="1">
      <c r="A37" s="1233"/>
      <c r="B37" s="1234"/>
      <c r="C37" s="1238"/>
      <c r="D37" s="1239"/>
      <c r="E37" s="1239"/>
      <c r="F37" s="1240"/>
      <c r="G37" s="1238"/>
      <c r="H37" s="1239"/>
      <c r="I37" s="1239"/>
      <c r="J37" s="1240"/>
      <c r="K37" s="1238"/>
      <c r="L37" s="1239"/>
      <c r="M37" s="1239"/>
      <c r="N37" s="1240"/>
    </row>
    <row r="38" spans="1:14" ht="14.25" customHeight="1" hidden="1" thickBot="1" thickTop="1">
      <c r="A38" s="1233"/>
      <c r="B38" s="1234"/>
      <c r="C38" s="1241"/>
      <c r="D38" s="1242"/>
      <c r="E38" s="1242"/>
      <c r="F38" s="1243"/>
      <c r="G38" s="1241"/>
      <c r="H38" s="1242"/>
      <c r="I38" s="1242"/>
      <c r="J38" s="1243"/>
      <c r="K38" s="1241"/>
      <c r="L38" s="1242"/>
      <c r="M38" s="1242"/>
      <c r="N38" s="1243"/>
    </row>
    <row r="39" spans="1:14" ht="33" customHeight="1" hidden="1" thickTop="1">
      <c r="A39" s="293"/>
      <c r="B39" s="294"/>
      <c r="C39" s="481" t="s">
        <v>325</v>
      </c>
      <c r="D39" s="481" t="s">
        <v>7</v>
      </c>
      <c r="E39" s="481" t="s">
        <v>541</v>
      </c>
      <c r="F39" s="481" t="s">
        <v>552</v>
      </c>
      <c r="G39" s="481" t="s">
        <v>325</v>
      </c>
      <c r="H39" s="481" t="s">
        <v>7</v>
      </c>
      <c r="I39" s="481" t="s">
        <v>541</v>
      </c>
      <c r="J39" s="481" t="s">
        <v>552</v>
      </c>
      <c r="K39" s="481" t="s">
        <v>325</v>
      </c>
      <c r="L39" s="481" t="s">
        <v>7</v>
      </c>
      <c r="M39" s="481" t="s">
        <v>541</v>
      </c>
      <c r="N39" s="481" t="s">
        <v>552</v>
      </c>
    </row>
    <row r="40" spans="1:14" ht="30.75" hidden="1" thickBot="1">
      <c r="A40" s="297" t="s">
        <v>542</v>
      </c>
      <c r="B40" s="298" t="s">
        <v>318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</row>
    <row r="41" spans="1:14" ht="24" customHeight="1" hidden="1">
      <c r="A41" s="297" t="s">
        <v>320</v>
      </c>
      <c r="B41" s="298" t="s">
        <v>318</v>
      </c>
      <c r="C41" s="299"/>
      <c r="D41" s="299"/>
      <c r="E41" s="299"/>
      <c r="F41" s="299"/>
      <c r="G41" s="313"/>
      <c r="H41" s="313"/>
      <c r="I41" s="313"/>
      <c r="J41" s="313"/>
      <c r="K41" s="299"/>
      <c r="L41" s="299"/>
      <c r="M41" s="299"/>
      <c r="N41" s="299"/>
    </row>
    <row r="42" spans="1:14" ht="27" customHeight="1" hidden="1" thickBot="1">
      <c r="A42" s="297" t="s">
        <v>516</v>
      </c>
      <c r="B42" s="298" t="s">
        <v>318</v>
      </c>
      <c r="C42" s="299"/>
      <c r="D42" s="299"/>
      <c r="E42" s="299"/>
      <c r="F42" s="299"/>
      <c r="G42" s="313"/>
      <c r="H42" s="313"/>
      <c r="I42" s="313"/>
      <c r="J42" s="313"/>
      <c r="K42" s="299"/>
      <c r="L42" s="299"/>
      <c r="M42" s="299"/>
      <c r="N42" s="299"/>
    </row>
    <row r="43" spans="1:14" ht="30" customHeight="1" hidden="1" thickBot="1" thickTop="1">
      <c r="A43" s="303" t="s">
        <v>317</v>
      </c>
      <c r="B43" s="304"/>
      <c r="C43" s="478"/>
      <c r="D43" s="478"/>
      <c r="E43" s="478">
        <f>SUM(E40:E42)</f>
        <v>0</v>
      </c>
      <c r="F43" s="478">
        <f>SUM(F40:F42)</f>
        <v>0</v>
      </c>
      <c r="G43" s="478"/>
      <c r="H43" s="478"/>
      <c r="I43" s="478">
        <f>SUM(I40:I42)</f>
        <v>0</v>
      </c>
      <c r="J43" s="478">
        <f>SUM(J40:J42)</f>
        <v>0</v>
      </c>
      <c r="K43" s="478"/>
      <c r="L43" s="478"/>
      <c r="M43" s="478">
        <f>SUM(M40:M42)</f>
        <v>0</v>
      </c>
      <c r="N43" s="478">
        <f>SUM(N40:N42)</f>
        <v>0</v>
      </c>
    </row>
  </sheetData>
  <sheetProtection selectLockedCells="1" selectUnlockedCells="1"/>
  <mergeCells count="16">
    <mergeCell ref="A20:G20"/>
    <mergeCell ref="A21:A23"/>
    <mergeCell ref="B21:B23"/>
    <mergeCell ref="C36:F38"/>
    <mergeCell ref="K6:N8"/>
    <mergeCell ref="K36:N38"/>
    <mergeCell ref="G36:J38"/>
    <mergeCell ref="A36:A38"/>
    <mergeCell ref="B36:B38"/>
    <mergeCell ref="A2:G2"/>
    <mergeCell ref="A3:G3"/>
    <mergeCell ref="A4:G4"/>
    <mergeCell ref="A6:A8"/>
    <mergeCell ref="B6:B8"/>
    <mergeCell ref="C6:F8"/>
    <mergeCell ref="G6:J8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89" r:id="rId1"/>
  <headerFooter alignWithMargins="0">
    <oddHeader>&amp;R9.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workbookViewId="0" topLeftCell="A6">
      <selection activeCell="Q18" sqref="Q18"/>
    </sheetView>
  </sheetViews>
  <sheetFormatPr defaultColWidth="9.140625" defaultRowHeight="12.75"/>
  <cols>
    <col min="1" max="1" width="47.57421875" style="321" customWidth="1"/>
    <col min="2" max="2" width="15.57421875" style="322" customWidth="1"/>
    <col min="3" max="3" width="12.57421875" style="322" customWidth="1"/>
    <col min="4" max="5" width="14.140625" style="322" hidden="1" customWidth="1"/>
    <col min="6" max="7" width="13.421875" style="322" customWidth="1"/>
    <col min="8" max="9" width="13.421875" style="322" hidden="1" customWidth="1"/>
    <col min="10" max="10" width="14.7109375" style="322" customWidth="1"/>
    <col min="11" max="11" width="15.421875" style="322" customWidth="1"/>
    <col min="12" max="14" width="9.140625" style="322" hidden="1" customWidth="1"/>
    <col min="15" max="15" width="9.421875" style="322" hidden="1" customWidth="1"/>
    <col min="16" max="16" width="14.140625" style="322" customWidth="1"/>
    <col min="17" max="17" width="13.8515625" style="322" customWidth="1"/>
    <col min="18" max="18" width="12.421875" style="322" hidden="1" customWidth="1"/>
    <col min="19" max="19" width="13.140625" style="322" hidden="1" customWidth="1"/>
    <col min="20" max="16384" width="9.140625" style="322" customWidth="1"/>
  </cols>
  <sheetData>
    <row r="1" spans="10:11" ht="12.75" customHeight="1">
      <c r="J1" s="773"/>
      <c r="K1" s="773"/>
    </row>
    <row r="2" spans="1:11" ht="30">
      <c r="A2" s="1262" t="s">
        <v>466</v>
      </c>
      <c r="B2" s="1262"/>
      <c r="C2" s="1262"/>
      <c r="D2" s="1262"/>
      <c r="E2" s="1262"/>
      <c r="F2" s="1262"/>
      <c r="G2" s="1262"/>
      <c r="H2" s="1262"/>
      <c r="I2" s="1262"/>
      <c r="J2" s="1262"/>
      <c r="K2" s="799"/>
    </row>
    <row r="3" spans="1:11" ht="15.75">
      <c r="A3" s="1263" t="s">
        <v>641</v>
      </c>
      <c r="B3" s="1263"/>
      <c r="C3" s="1263"/>
      <c r="D3" s="1263"/>
      <c r="E3" s="1263"/>
      <c r="F3" s="1263"/>
      <c r="G3" s="1263"/>
      <c r="H3" s="1263"/>
      <c r="I3" s="1263"/>
      <c r="J3" s="1263"/>
      <c r="K3" s="574"/>
    </row>
    <row r="4" spans="1:11" ht="15.75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</row>
    <row r="5" spans="1:11" ht="15.75">
      <c r="A5" s="574" t="s">
        <v>467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</row>
    <row r="6" spans="1:11" ht="14.25" customHeight="1">
      <c r="A6" s="1261" t="s">
        <v>321</v>
      </c>
      <c r="B6" s="1261"/>
      <c r="C6" s="1261"/>
      <c r="D6" s="1261"/>
      <c r="E6" s="1261"/>
      <c r="F6" s="1261"/>
      <c r="G6" s="1261"/>
      <c r="H6" s="1261"/>
      <c r="I6" s="1261"/>
      <c r="J6" s="1261"/>
      <c r="K6" s="798"/>
    </row>
    <row r="7" ht="13.5" thickBot="1">
      <c r="P7" s="322" t="s">
        <v>536</v>
      </c>
    </row>
    <row r="8" spans="1:19" ht="24.75" customHeight="1">
      <c r="A8" s="1247" t="s">
        <v>322</v>
      </c>
      <c r="B8" s="1250" t="s">
        <v>323</v>
      </c>
      <c r="C8" s="1251"/>
      <c r="D8" s="1251"/>
      <c r="E8" s="1251"/>
      <c r="F8" s="1251"/>
      <c r="G8" s="1251"/>
      <c r="H8" s="1251"/>
      <c r="I8" s="1252"/>
      <c r="J8" s="1256" t="s">
        <v>521</v>
      </c>
      <c r="K8" s="1256"/>
      <c r="L8" s="1256"/>
      <c r="M8" s="1256"/>
      <c r="N8" s="1256"/>
      <c r="O8" s="1256"/>
      <c r="P8" s="1256"/>
      <c r="Q8" s="1256"/>
      <c r="R8" s="1256"/>
      <c r="S8" s="1257"/>
    </row>
    <row r="9" spans="1:19" ht="36.75" customHeight="1">
      <c r="A9" s="1248"/>
      <c r="B9" s="1265" t="s">
        <v>324</v>
      </c>
      <c r="C9" s="1266"/>
      <c r="D9" s="1266"/>
      <c r="E9" s="919"/>
      <c r="F9" s="1265" t="s">
        <v>522</v>
      </c>
      <c r="G9" s="1266"/>
      <c r="H9" s="1266"/>
      <c r="I9" s="919"/>
      <c r="J9" s="1244" t="s">
        <v>324</v>
      </c>
      <c r="K9" s="1245"/>
      <c r="L9" s="1245"/>
      <c r="M9" s="1245"/>
      <c r="N9" s="1245"/>
      <c r="O9" s="1246"/>
      <c r="P9" s="1258" t="s">
        <v>522</v>
      </c>
      <c r="Q9" s="1258"/>
      <c r="R9" s="1258"/>
      <c r="S9" s="1259"/>
    </row>
    <row r="10" spans="1:19" ht="42" customHeight="1" hidden="1">
      <c r="A10" s="583"/>
      <c r="B10" s="323"/>
      <c r="C10" s="323"/>
      <c r="D10" s="323"/>
      <c r="E10" s="323"/>
      <c r="F10" s="323"/>
      <c r="G10" s="323"/>
      <c r="H10" s="323"/>
      <c r="I10" s="325"/>
      <c r="J10" s="325"/>
      <c r="K10" s="325"/>
      <c r="L10" s="325" t="s">
        <v>7</v>
      </c>
      <c r="M10" s="915" t="s">
        <v>326</v>
      </c>
      <c r="N10" s="325" t="s">
        <v>327</v>
      </c>
      <c r="O10" s="325" t="s">
        <v>9</v>
      </c>
      <c r="P10" s="868"/>
      <c r="Q10" s="487"/>
      <c r="R10" s="922"/>
      <c r="S10" s="923"/>
    </row>
    <row r="11" spans="1:19" ht="18" customHeight="1">
      <c r="A11" s="583"/>
      <c r="B11" s="323" t="s">
        <v>325</v>
      </c>
      <c r="C11" s="323" t="s">
        <v>7</v>
      </c>
      <c r="D11" s="323" t="s">
        <v>541</v>
      </c>
      <c r="E11" s="323" t="s">
        <v>552</v>
      </c>
      <c r="F11" s="323" t="s">
        <v>325</v>
      </c>
      <c r="G11" s="323" t="s">
        <v>7</v>
      </c>
      <c r="H11" s="323" t="s">
        <v>541</v>
      </c>
      <c r="I11" s="323" t="s">
        <v>552</v>
      </c>
      <c r="J11" s="323" t="s">
        <v>325</v>
      </c>
      <c r="K11" s="323" t="s">
        <v>7</v>
      </c>
      <c r="L11" s="323" t="s">
        <v>541</v>
      </c>
      <c r="M11" s="323" t="s">
        <v>552</v>
      </c>
      <c r="N11" s="323"/>
      <c r="O11" s="323"/>
      <c r="P11" s="323" t="s">
        <v>325</v>
      </c>
      <c r="Q11" s="323" t="s">
        <v>7</v>
      </c>
      <c r="R11" s="867" t="s">
        <v>541</v>
      </c>
      <c r="S11" s="867" t="s">
        <v>552</v>
      </c>
    </row>
    <row r="12" spans="1:19" ht="18">
      <c r="A12" s="326" t="s">
        <v>531</v>
      </c>
      <c r="B12" s="327"/>
      <c r="C12" s="327"/>
      <c r="D12" s="327"/>
      <c r="E12" s="327"/>
      <c r="F12" s="327"/>
      <c r="G12" s="327"/>
      <c r="H12" s="327"/>
      <c r="I12" s="327"/>
      <c r="J12" s="328"/>
      <c r="K12" s="328"/>
      <c r="L12" s="329"/>
      <c r="M12" s="329"/>
      <c r="N12" s="327"/>
      <c r="O12" s="327"/>
      <c r="P12" s="869"/>
      <c r="Q12" s="869"/>
      <c r="R12" s="869"/>
      <c r="S12" s="485"/>
    </row>
    <row r="13" spans="1:19" ht="30.75">
      <c r="A13" s="326" t="s">
        <v>328</v>
      </c>
      <c r="B13" s="327"/>
      <c r="C13" s="327"/>
      <c r="D13" s="327"/>
      <c r="E13" s="327"/>
      <c r="F13" s="327"/>
      <c r="G13" s="327"/>
      <c r="H13" s="327"/>
      <c r="I13" s="327"/>
      <c r="J13" s="328"/>
      <c r="K13" s="328"/>
      <c r="L13" s="329"/>
      <c r="M13" s="329"/>
      <c r="N13" s="327"/>
      <c r="O13" s="327"/>
      <c r="P13" s="869"/>
      <c r="Q13" s="869"/>
      <c r="R13" s="869"/>
      <c r="S13" s="485"/>
    </row>
    <row r="14" spans="1:19" ht="18">
      <c r="A14" s="326" t="s">
        <v>329</v>
      </c>
      <c r="B14" s="327"/>
      <c r="C14" s="327"/>
      <c r="D14" s="327"/>
      <c r="E14" s="327"/>
      <c r="F14" s="327"/>
      <c r="G14" s="327"/>
      <c r="H14" s="327"/>
      <c r="I14" s="327"/>
      <c r="J14" s="328"/>
      <c r="K14" s="328"/>
      <c r="L14" s="329"/>
      <c r="M14" s="329"/>
      <c r="N14" s="327"/>
      <c r="O14" s="327"/>
      <c r="P14" s="869"/>
      <c r="Q14" s="869"/>
      <c r="R14" s="869"/>
      <c r="S14" s="485"/>
    </row>
    <row r="15" spans="1:19" ht="18">
      <c r="A15" s="331" t="s">
        <v>330</v>
      </c>
      <c r="B15" s="327"/>
      <c r="C15" s="327"/>
      <c r="D15" s="327"/>
      <c r="E15" s="327"/>
      <c r="F15" s="327"/>
      <c r="G15" s="327"/>
      <c r="H15" s="327"/>
      <c r="I15" s="327"/>
      <c r="J15" s="328"/>
      <c r="K15" s="328"/>
      <c r="L15" s="329"/>
      <c r="M15" s="329"/>
      <c r="N15" s="327"/>
      <c r="O15" s="327"/>
      <c r="P15" s="869"/>
      <c r="Q15" s="869"/>
      <c r="R15" s="869"/>
      <c r="S15" s="485"/>
    </row>
    <row r="16" spans="1:19" ht="45.75">
      <c r="A16" s="331" t="s">
        <v>530</v>
      </c>
      <c r="B16" s="327"/>
      <c r="C16" s="327"/>
      <c r="D16" s="327"/>
      <c r="E16" s="327"/>
      <c r="F16" s="327">
        <v>1950000</v>
      </c>
      <c r="G16" s="327">
        <v>1950000</v>
      </c>
      <c r="H16" s="327"/>
      <c r="I16" s="327"/>
      <c r="J16" s="328"/>
      <c r="K16" s="328"/>
      <c r="L16" s="329"/>
      <c r="M16" s="329"/>
      <c r="N16" s="327"/>
      <c r="O16" s="327"/>
      <c r="P16" s="869"/>
      <c r="Q16" s="869"/>
      <c r="R16" s="869"/>
      <c r="S16" s="485"/>
    </row>
    <row r="17" spans="1:19" ht="18">
      <c r="A17" s="331" t="s">
        <v>331</v>
      </c>
      <c r="B17" s="327"/>
      <c r="C17" s="327"/>
      <c r="D17" s="327"/>
      <c r="E17" s="327"/>
      <c r="F17" s="327"/>
      <c r="G17" s="327"/>
      <c r="H17" s="327"/>
      <c r="I17" s="327"/>
      <c r="J17" s="329">
        <v>1941331</v>
      </c>
      <c r="K17" s="329">
        <v>1941331</v>
      </c>
      <c r="L17" s="329"/>
      <c r="M17" s="329"/>
      <c r="N17" s="327"/>
      <c r="O17" s="327"/>
      <c r="P17" s="329"/>
      <c r="Q17" s="329"/>
      <c r="R17" s="329">
        <v>0</v>
      </c>
      <c r="S17" s="334">
        <v>0</v>
      </c>
    </row>
    <row r="18" spans="1:19" ht="34.5" customHeight="1">
      <c r="A18" s="331" t="s">
        <v>672</v>
      </c>
      <c r="B18" s="327"/>
      <c r="C18" s="327"/>
      <c r="D18" s="327"/>
      <c r="E18" s="327"/>
      <c r="F18" s="327">
        <v>500000</v>
      </c>
      <c r="G18" s="327">
        <v>500000</v>
      </c>
      <c r="H18" s="327"/>
      <c r="I18" s="327"/>
      <c r="J18" s="329"/>
      <c r="K18" s="329"/>
      <c r="L18" s="329"/>
      <c r="M18" s="329"/>
      <c r="N18" s="327"/>
      <c r="O18" s="327"/>
      <c r="P18" s="329"/>
      <c r="Q18" s="329"/>
      <c r="R18" s="329"/>
      <c r="S18" s="334"/>
    </row>
    <row r="19" spans="1:19" ht="17.25" customHeight="1" hidden="1">
      <c r="A19" s="580" t="s">
        <v>459</v>
      </c>
      <c r="B19" s="581"/>
      <c r="C19" s="581"/>
      <c r="D19" s="581"/>
      <c r="E19" s="581"/>
      <c r="F19" s="782"/>
      <c r="G19" s="782"/>
      <c r="H19" s="782"/>
      <c r="I19" s="782"/>
      <c r="J19" s="329"/>
      <c r="K19" s="329"/>
      <c r="L19" s="329"/>
      <c r="M19" s="329"/>
      <c r="N19" s="327"/>
      <c r="O19" s="327"/>
      <c r="P19" s="329"/>
      <c r="Q19" s="329"/>
      <c r="R19" s="329"/>
      <c r="S19" s="334"/>
    </row>
    <row r="20" spans="1:19" ht="39" customHeight="1" hidden="1">
      <c r="A20" s="580" t="s">
        <v>460</v>
      </c>
      <c r="B20" s="581"/>
      <c r="C20" s="581"/>
      <c r="D20" s="581"/>
      <c r="E20" s="581"/>
      <c r="F20" s="782"/>
      <c r="G20" s="782"/>
      <c r="H20" s="782"/>
      <c r="I20" s="782"/>
      <c r="J20" s="329"/>
      <c r="K20" s="329"/>
      <c r="L20" s="329"/>
      <c r="M20" s="329"/>
      <c r="N20" s="327"/>
      <c r="O20" s="327"/>
      <c r="P20" s="329"/>
      <c r="Q20" s="329"/>
      <c r="R20" s="329"/>
      <c r="S20" s="334"/>
    </row>
    <row r="21" spans="1:19" ht="18.75" hidden="1">
      <c r="A21" s="580" t="s">
        <v>461</v>
      </c>
      <c r="B21" s="581"/>
      <c r="C21" s="581"/>
      <c r="D21" s="581"/>
      <c r="E21" s="581"/>
      <c r="F21" s="782"/>
      <c r="G21" s="782"/>
      <c r="H21" s="782"/>
      <c r="I21" s="782"/>
      <c r="J21" s="329"/>
      <c r="K21" s="329"/>
      <c r="L21" s="329"/>
      <c r="M21" s="329"/>
      <c r="N21" s="327"/>
      <c r="O21" s="327"/>
      <c r="P21" s="329"/>
      <c r="Q21" s="329"/>
      <c r="R21" s="329"/>
      <c r="S21" s="334"/>
    </row>
    <row r="22" spans="1:19" ht="31.5" hidden="1">
      <c r="A22" s="580" t="s">
        <v>539</v>
      </c>
      <c r="B22" s="581"/>
      <c r="C22" s="581"/>
      <c r="D22" s="581"/>
      <c r="E22" s="581"/>
      <c r="F22" s="782"/>
      <c r="G22" s="782"/>
      <c r="H22" s="782"/>
      <c r="I22" s="782"/>
      <c r="J22" s="329"/>
      <c r="K22" s="329"/>
      <c r="L22" s="329"/>
      <c r="M22" s="329"/>
      <c r="N22" s="327"/>
      <c r="O22" s="327"/>
      <c r="P22" s="329"/>
      <c r="Q22" s="329"/>
      <c r="R22" s="329"/>
      <c r="S22" s="334"/>
    </row>
    <row r="23" spans="1:19" ht="18.75" hidden="1">
      <c r="A23" s="580" t="s">
        <v>462</v>
      </c>
      <c r="B23" s="581"/>
      <c r="C23" s="581"/>
      <c r="D23" s="581"/>
      <c r="E23" s="581"/>
      <c r="F23" s="782"/>
      <c r="G23" s="782"/>
      <c r="H23" s="782"/>
      <c r="I23" s="782"/>
      <c r="J23" s="329"/>
      <c r="K23" s="329"/>
      <c r="L23" s="329"/>
      <c r="M23" s="329"/>
      <c r="N23" s="327"/>
      <c r="O23" s="327"/>
      <c r="P23" s="329"/>
      <c r="Q23" s="329"/>
      <c r="R23" s="329"/>
      <c r="S23" s="334"/>
    </row>
    <row r="24" spans="1:19" ht="18.75" hidden="1">
      <c r="A24" s="580" t="s">
        <v>463</v>
      </c>
      <c r="B24" s="581"/>
      <c r="C24" s="581"/>
      <c r="D24" s="581"/>
      <c r="E24" s="581"/>
      <c r="F24" s="782"/>
      <c r="G24" s="782"/>
      <c r="H24" s="782"/>
      <c r="I24" s="782"/>
      <c r="J24" s="329"/>
      <c r="K24" s="329"/>
      <c r="L24" s="329"/>
      <c r="M24" s="329"/>
      <c r="N24" s="327"/>
      <c r="O24" s="327"/>
      <c r="P24" s="329"/>
      <c r="Q24" s="329"/>
      <c r="R24" s="329"/>
      <c r="S24" s="334"/>
    </row>
    <row r="25" spans="1:19" ht="18.75" hidden="1">
      <c r="A25" s="580" t="s">
        <v>538</v>
      </c>
      <c r="B25" s="581"/>
      <c r="C25" s="581"/>
      <c r="D25" s="581"/>
      <c r="E25" s="581"/>
      <c r="F25" s="782"/>
      <c r="G25" s="782"/>
      <c r="H25" s="782"/>
      <c r="I25" s="782"/>
      <c r="J25" s="329"/>
      <c r="K25" s="329"/>
      <c r="L25" s="329"/>
      <c r="M25" s="329"/>
      <c r="N25" s="327"/>
      <c r="O25" s="327"/>
      <c r="P25" s="329"/>
      <c r="Q25" s="329"/>
      <c r="R25" s="329"/>
      <c r="S25" s="334"/>
    </row>
    <row r="26" spans="1:19" ht="39" customHeight="1" hidden="1">
      <c r="A26" s="580" t="s">
        <v>464</v>
      </c>
      <c r="B26" s="581"/>
      <c r="C26" s="581"/>
      <c r="D26" s="581"/>
      <c r="E26" s="581"/>
      <c r="F26" s="782"/>
      <c r="G26" s="782"/>
      <c r="H26" s="782"/>
      <c r="I26" s="782"/>
      <c r="J26" s="329"/>
      <c r="K26" s="329"/>
      <c r="L26" s="329"/>
      <c r="M26" s="329"/>
      <c r="N26" s="327"/>
      <c r="O26" s="327"/>
      <c r="P26" s="329"/>
      <c r="Q26" s="329"/>
      <c r="R26" s="329"/>
      <c r="S26" s="334"/>
    </row>
    <row r="27" spans="1:19" ht="17.25" customHeight="1" hidden="1">
      <c r="A27" s="580" t="s">
        <v>465</v>
      </c>
      <c r="B27" s="581"/>
      <c r="C27" s="581"/>
      <c r="D27" s="581"/>
      <c r="E27" s="581"/>
      <c r="F27" s="782"/>
      <c r="G27" s="782"/>
      <c r="H27" s="782"/>
      <c r="I27" s="782"/>
      <c r="J27" s="329"/>
      <c r="K27" s="329"/>
      <c r="L27" s="329"/>
      <c r="M27" s="329"/>
      <c r="N27" s="327"/>
      <c r="O27" s="327"/>
      <c r="P27" s="329"/>
      <c r="Q27" s="329"/>
      <c r="R27" s="329"/>
      <c r="S27" s="334"/>
    </row>
    <row r="28" spans="1:19" ht="33" customHeight="1">
      <c r="A28" s="332" t="s">
        <v>332</v>
      </c>
      <c r="B28" s="327"/>
      <c r="C28" s="327"/>
      <c r="D28" s="327"/>
      <c r="E28" s="327"/>
      <c r="F28" s="327">
        <v>12000</v>
      </c>
      <c r="G28" s="327">
        <v>12000</v>
      </c>
      <c r="H28" s="327"/>
      <c r="I28" s="327"/>
      <c r="J28" s="329"/>
      <c r="K28" s="329"/>
      <c r="L28" s="329"/>
      <c r="M28" s="329"/>
      <c r="N28" s="327"/>
      <c r="O28" s="327"/>
      <c r="P28" s="329"/>
      <c r="Q28" s="329"/>
      <c r="R28" s="329"/>
      <c r="S28" s="334"/>
    </row>
    <row r="29" spans="1:19" s="333" customFormat="1" ht="18">
      <c r="A29" s="332" t="s">
        <v>470</v>
      </c>
      <c r="B29" s="327"/>
      <c r="C29" s="327"/>
      <c r="D29" s="327"/>
      <c r="E29" s="327"/>
      <c r="F29" s="327">
        <v>900000</v>
      </c>
      <c r="G29" s="327">
        <v>900000</v>
      </c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30"/>
    </row>
    <row r="30" spans="1:19" ht="18" hidden="1">
      <c r="A30" s="326"/>
      <c r="B30" s="329"/>
      <c r="C30" s="329"/>
      <c r="D30" s="329"/>
      <c r="E30" s="329"/>
      <c r="F30" s="329"/>
      <c r="G30" s="329"/>
      <c r="H30" s="329"/>
      <c r="I30" s="329"/>
      <c r="J30" s="327"/>
      <c r="K30" s="327"/>
      <c r="L30" s="329"/>
      <c r="M30" s="329"/>
      <c r="N30" s="329"/>
      <c r="O30" s="329"/>
      <c r="P30" s="329"/>
      <c r="Q30" s="329"/>
      <c r="R30" s="329"/>
      <c r="S30" s="334"/>
    </row>
    <row r="31" spans="1:19" ht="18" hidden="1">
      <c r="A31" s="326"/>
      <c r="B31" s="329"/>
      <c r="C31" s="329"/>
      <c r="D31" s="329"/>
      <c r="E31" s="329"/>
      <c r="F31" s="329"/>
      <c r="G31" s="329"/>
      <c r="H31" s="329"/>
      <c r="I31" s="329"/>
      <c r="J31" s="327"/>
      <c r="K31" s="327"/>
      <c r="L31" s="329"/>
      <c r="M31" s="329"/>
      <c r="N31" s="329"/>
      <c r="O31" s="329"/>
      <c r="P31" s="329"/>
      <c r="Q31" s="329"/>
      <c r="R31" s="329"/>
      <c r="S31" s="334"/>
    </row>
    <row r="32" spans="1:19" ht="30.75" hidden="1">
      <c r="A32" s="582" t="s">
        <v>543</v>
      </c>
      <c r="B32" s="339"/>
      <c r="C32" s="339"/>
      <c r="D32" s="339"/>
      <c r="E32" s="339"/>
      <c r="F32" s="339"/>
      <c r="G32" s="339"/>
      <c r="H32" s="339"/>
      <c r="I32" s="339"/>
      <c r="J32" s="539"/>
      <c r="K32" s="539"/>
      <c r="L32" s="339"/>
      <c r="M32" s="339"/>
      <c r="N32" s="339"/>
      <c r="O32" s="339"/>
      <c r="P32" s="339"/>
      <c r="Q32" s="339"/>
      <c r="R32" s="339"/>
      <c r="S32" s="486"/>
    </row>
    <row r="33" spans="1:19" ht="18">
      <c r="A33" s="582" t="s">
        <v>515</v>
      </c>
      <c r="B33" s="339"/>
      <c r="C33" s="339"/>
      <c r="D33" s="339"/>
      <c r="E33" s="339"/>
      <c r="F33" s="339">
        <v>43000</v>
      </c>
      <c r="G33" s="339">
        <v>43000</v>
      </c>
      <c r="H33" s="339"/>
      <c r="I33" s="339"/>
      <c r="J33" s="539"/>
      <c r="K33" s="539"/>
      <c r="L33" s="339"/>
      <c r="M33" s="339"/>
      <c r="N33" s="339"/>
      <c r="O33" s="339"/>
      <c r="P33" s="339"/>
      <c r="Q33" s="339"/>
      <c r="R33" s="339"/>
      <c r="S33" s="486"/>
    </row>
    <row r="34" spans="1:19" ht="18" hidden="1">
      <c r="A34" s="582" t="s">
        <v>565</v>
      </c>
      <c r="B34" s="339"/>
      <c r="C34" s="339"/>
      <c r="D34" s="339"/>
      <c r="E34" s="339"/>
      <c r="F34" s="339"/>
      <c r="G34" s="339"/>
      <c r="H34" s="339"/>
      <c r="I34" s="339"/>
      <c r="J34" s="539"/>
      <c r="K34" s="539"/>
      <c r="L34" s="339"/>
      <c r="M34" s="339"/>
      <c r="N34" s="339"/>
      <c r="O34" s="339"/>
      <c r="P34" s="339"/>
      <c r="Q34" s="339"/>
      <c r="R34" s="339"/>
      <c r="S34" s="486"/>
    </row>
    <row r="35" spans="1:19" ht="18" hidden="1">
      <c r="A35" s="332" t="s">
        <v>432</v>
      </c>
      <c r="B35" s="339"/>
      <c r="C35" s="339"/>
      <c r="D35" s="339"/>
      <c r="E35" s="339"/>
      <c r="F35" s="731"/>
      <c r="G35" s="731"/>
      <c r="H35" s="731"/>
      <c r="I35" s="731"/>
      <c r="J35" s="539"/>
      <c r="K35" s="539"/>
      <c r="L35" s="339"/>
      <c r="M35" s="339"/>
      <c r="N35" s="339"/>
      <c r="O35" s="339"/>
      <c r="P35" s="339"/>
      <c r="Q35" s="339"/>
      <c r="R35" s="339"/>
      <c r="S35" s="486"/>
    </row>
    <row r="36" spans="1:19" ht="23.25" customHeight="1" thickBot="1">
      <c r="A36" s="491" t="s">
        <v>293</v>
      </c>
      <c r="B36" s="492"/>
      <c r="C36" s="492"/>
      <c r="D36" s="492"/>
      <c r="E36" s="492"/>
      <c r="F36" s="492">
        <f>F12+F15+F18+F28+F29+F35+F32+F16+F33</f>
        <v>3405000</v>
      </c>
      <c r="G36" s="492">
        <f>G12+G15+G18+G28+G29+G35+G32+G16+G33</f>
        <v>3405000</v>
      </c>
      <c r="H36" s="492">
        <f>H12+H15+H18+H28+H29+H35+H32+H16+H33</f>
        <v>0</v>
      </c>
      <c r="I36" s="492">
        <f>I12+I15+I18+I28+I29+I35+I32+I16+I33+I34</f>
        <v>0</v>
      </c>
      <c r="J36" s="492">
        <f>SUM(J17:J31)</f>
        <v>1941331</v>
      </c>
      <c r="K36" s="492">
        <f>SUM(K17:K31)</f>
        <v>1941331</v>
      </c>
      <c r="L36" s="492">
        <f>SUM(L12:L31)</f>
        <v>0</v>
      </c>
      <c r="M36" s="492">
        <f>SUM(M12:M31)</f>
        <v>0</v>
      </c>
      <c r="N36" s="492">
        <f>SUM(N12:N31)</f>
        <v>0</v>
      </c>
      <c r="O36" s="492">
        <f>SUM(O12:O31)</f>
        <v>0</v>
      </c>
      <c r="P36" s="492">
        <f>SUM(P17:P31)</f>
        <v>0</v>
      </c>
      <c r="Q36" s="492">
        <f>SUM(Q17:Q31)</f>
        <v>0</v>
      </c>
      <c r="R36" s="492">
        <f>SUM(R17:R31)</f>
        <v>0</v>
      </c>
      <c r="S36" s="493">
        <f>SUM(S17:S31)</f>
        <v>0</v>
      </c>
    </row>
    <row r="37" spans="1:16" ht="15">
      <c r="A37" s="335"/>
      <c r="B37" s="336"/>
      <c r="C37" s="336"/>
      <c r="D37" s="336"/>
      <c r="E37" s="336"/>
      <c r="F37" s="337"/>
      <c r="G37" s="337"/>
      <c r="H37" s="337"/>
      <c r="I37" s="337"/>
      <c r="J37" s="336"/>
      <c r="K37" s="336"/>
      <c r="N37" s="338"/>
      <c r="O37" s="338"/>
      <c r="P37" s="338"/>
    </row>
    <row r="38" spans="1:11" ht="14.25" customHeight="1">
      <c r="A38" s="1264" t="s">
        <v>333</v>
      </c>
      <c r="B38" s="1264"/>
      <c r="C38" s="1264"/>
      <c r="D38" s="1264"/>
      <c r="E38" s="1264"/>
      <c r="F38" s="1264"/>
      <c r="G38" s="1264"/>
      <c r="H38" s="1264"/>
      <c r="I38" s="1264"/>
      <c r="J38" s="1264"/>
      <c r="K38" s="800"/>
    </row>
    <row r="39" ht="13.5" thickBot="1"/>
    <row r="40" spans="1:19" ht="29.25" customHeight="1">
      <c r="A40" s="1247" t="s">
        <v>334</v>
      </c>
      <c r="B40" s="1250" t="s">
        <v>323</v>
      </c>
      <c r="C40" s="1251"/>
      <c r="D40" s="1251"/>
      <c r="E40" s="1251"/>
      <c r="F40" s="1251"/>
      <c r="G40" s="1251"/>
      <c r="H40" s="1251"/>
      <c r="I40" s="1252"/>
      <c r="J40" s="1256" t="s">
        <v>521</v>
      </c>
      <c r="K40" s="1256"/>
      <c r="L40" s="1256"/>
      <c r="M40" s="1256"/>
      <c r="N40" s="1256"/>
      <c r="O40" s="1256"/>
      <c r="P40" s="1256"/>
      <c r="Q40" s="1256"/>
      <c r="R40" s="1256"/>
      <c r="S40" s="1257"/>
    </row>
    <row r="41" spans="1:19" ht="36" customHeight="1">
      <c r="A41" s="1248"/>
      <c r="B41" s="1253" t="s">
        <v>324</v>
      </c>
      <c r="C41" s="1254"/>
      <c r="D41" s="1254"/>
      <c r="E41" s="1255"/>
      <c r="F41" s="1253" t="s">
        <v>522</v>
      </c>
      <c r="G41" s="1254"/>
      <c r="H41" s="1254"/>
      <c r="I41" s="1255"/>
      <c r="J41" s="1258" t="s">
        <v>324</v>
      </c>
      <c r="K41" s="1258"/>
      <c r="L41" s="1258"/>
      <c r="M41" s="1258"/>
      <c r="N41" s="916"/>
      <c r="O41" s="916"/>
      <c r="P41" s="1258" t="s">
        <v>522</v>
      </c>
      <c r="Q41" s="1258"/>
      <c r="R41" s="1258"/>
      <c r="S41" s="1259"/>
    </row>
    <row r="42" spans="1:19" ht="29.25" customHeight="1" hidden="1">
      <c r="A42" s="324"/>
      <c r="B42" s="325"/>
      <c r="C42" s="325"/>
      <c r="D42" s="325"/>
      <c r="E42" s="325"/>
      <c r="F42" s="325"/>
      <c r="G42" s="325"/>
      <c r="H42" s="325"/>
      <c r="I42" s="325"/>
      <c r="J42" s="323"/>
      <c r="K42" s="323"/>
      <c r="L42" s="323" t="s">
        <v>7</v>
      </c>
      <c r="M42" s="584" t="s">
        <v>326</v>
      </c>
      <c r="N42" s="323" t="s">
        <v>8</v>
      </c>
      <c r="O42" s="323" t="s">
        <v>9</v>
      </c>
      <c r="P42" s="869"/>
      <c r="Q42" s="869"/>
      <c r="R42" s="869"/>
      <c r="S42" s="485"/>
    </row>
    <row r="43" spans="1:19" ht="18" customHeight="1" hidden="1">
      <c r="A43" s="326" t="s">
        <v>335</v>
      </c>
      <c r="B43" s="329"/>
      <c r="C43" s="329"/>
      <c r="D43" s="329"/>
      <c r="E43" s="329"/>
      <c r="F43" s="329"/>
      <c r="G43" s="329"/>
      <c r="H43" s="329"/>
      <c r="I43" s="329"/>
      <c r="J43" s="323"/>
      <c r="K43" s="323"/>
      <c r="L43" s="323"/>
      <c r="M43" s="584"/>
      <c r="N43" s="323"/>
      <c r="O43" s="323"/>
      <c r="P43" s="323"/>
      <c r="Q43" s="323"/>
      <c r="R43" s="869"/>
      <c r="S43" s="485"/>
    </row>
    <row r="44" spans="1:19" ht="18" customHeight="1" hidden="1">
      <c r="A44" s="332" t="s">
        <v>336</v>
      </c>
      <c r="B44" s="339"/>
      <c r="C44" s="339"/>
      <c r="D44" s="339"/>
      <c r="E44" s="339"/>
      <c r="F44" s="339"/>
      <c r="G44" s="339"/>
      <c r="H44" s="914"/>
      <c r="I44" s="921"/>
      <c r="J44" s="1249"/>
      <c r="K44" s="1249"/>
      <c r="L44" s="1249"/>
      <c r="M44" s="1249"/>
      <c r="N44" s="1249"/>
      <c r="O44" s="1249"/>
      <c r="P44" s="1249"/>
      <c r="Q44" s="1249"/>
      <c r="R44" s="869"/>
      <c r="S44" s="485"/>
    </row>
    <row r="45" spans="1:19" ht="15.75">
      <c r="A45" s="583"/>
      <c r="B45" s="323" t="s">
        <v>325</v>
      </c>
      <c r="C45" s="323" t="s">
        <v>7</v>
      </c>
      <c r="D45" s="323" t="s">
        <v>541</v>
      </c>
      <c r="E45" s="323" t="s">
        <v>552</v>
      </c>
      <c r="F45" s="323" t="s">
        <v>325</v>
      </c>
      <c r="G45" s="323" t="s">
        <v>7</v>
      </c>
      <c r="H45" s="323" t="s">
        <v>541</v>
      </c>
      <c r="I45" s="323" t="s">
        <v>552</v>
      </c>
      <c r="J45" s="323" t="s">
        <v>325</v>
      </c>
      <c r="K45" s="323" t="s">
        <v>7</v>
      </c>
      <c r="L45" s="323" t="s">
        <v>541</v>
      </c>
      <c r="M45" s="323" t="s">
        <v>552</v>
      </c>
      <c r="N45" s="323"/>
      <c r="O45" s="323"/>
      <c r="P45" s="323" t="s">
        <v>325</v>
      </c>
      <c r="Q45" s="323" t="s">
        <v>7</v>
      </c>
      <c r="R45" s="323" t="s">
        <v>541</v>
      </c>
      <c r="S45" s="867" t="s">
        <v>552</v>
      </c>
    </row>
    <row r="46" spans="1:19" ht="18" hidden="1">
      <c r="A46" s="332" t="s">
        <v>513</v>
      </c>
      <c r="B46" s="339"/>
      <c r="C46" s="339"/>
      <c r="D46" s="339"/>
      <c r="E46" s="339"/>
      <c r="F46" s="339"/>
      <c r="G46" s="339"/>
      <c r="H46" s="339"/>
      <c r="I46" s="339"/>
      <c r="J46" s="327"/>
      <c r="K46" s="327"/>
      <c r="L46" s="329"/>
      <c r="M46" s="329"/>
      <c r="N46" s="327"/>
      <c r="O46" s="327"/>
      <c r="P46" s="869"/>
      <c r="Q46" s="869"/>
      <c r="R46" s="869"/>
      <c r="S46" s="485"/>
    </row>
    <row r="47" spans="1:19" ht="30.75">
      <c r="A47" s="332" t="s">
        <v>588</v>
      </c>
      <c r="B47" s="339"/>
      <c r="C47" s="339"/>
      <c r="D47" s="339"/>
      <c r="E47" s="339"/>
      <c r="F47" s="339">
        <v>304560</v>
      </c>
      <c r="G47" s="339">
        <v>304560</v>
      </c>
      <c r="H47" s="339"/>
      <c r="I47" s="339"/>
      <c r="J47" s="327"/>
      <c r="K47" s="327"/>
      <c r="L47" s="329"/>
      <c r="M47" s="329"/>
      <c r="N47" s="327"/>
      <c r="O47" s="327"/>
      <c r="P47" s="869"/>
      <c r="Q47" s="869"/>
      <c r="R47" s="869"/>
      <c r="S47" s="485"/>
    </row>
    <row r="48" spans="1:19" ht="18" hidden="1">
      <c r="A48" s="332" t="s">
        <v>338</v>
      </c>
      <c r="B48" s="339"/>
      <c r="C48" s="339"/>
      <c r="D48" s="339"/>
      <c r="E48" s="339"/>
      <c r="F48" s="339"/>
      <c r="G48" s="339"/>
      <c r="H48" s="339"/>
      <c r="I48" s="339"/>
      <c r="J48" s="327"/>
      <c r="K48" s="327"/>
      <c r="L48" s="329"/>
      <c r="M48" s="329"/>
      <c r="N48" s="327"/>
      <c r="O48" s="327"/>
      <c r="P48" s="869"/>
      <c r="Q48" s="869"/>
      <c r="R48" s="869"/>
      <c r="S48" s="485"/>
    </row>
    <row r="49" spans="1:19" ht="18" hidden="1">
      <c r="A49" s="332" t="s">
        <v>512</v>
      </c>
      <c r="B49" s="339"/>
      <c r="C49" s="339"/>
      <c r="D49" s="339"/>
      <c r="E49" s="339"/>
      <c r="F49" s="339"/>
      <c r="G49" s="339"/>
      <c r="H49" s="339"/>
      <c r="I49" s="339"/>
      <c r="J49" s="327"/>
      <c r="K49" s="327"/>
      <c r="L49" s="329"/>
      <c r="M49" s="329"/>
      <c r="N49" s="327"/>
      <c r="O49" s="327"/>
      <c r="P49" s="869"/>
      <c r="Q49" s="869"/>
      <c r="R49" s="869"/>
      <c r="S49" s="485"/>
    </row>
    <row r="50" spans="1:19" ht="18">
      <c r="A50" s="332" t="s">
        <v>514</v>
      </c>
      <c r="B50" s="339">
        <v>91650</v>
      </c>
      <c r="C50" s="339">
        <v>91650</v>
      </c>
      <c r="D50" s="339"/>
      <c r="E50" s="339"/>
      <c r="F50" s="339"/>
      <c r="G50" s="339"/>
      <c r="H50" s="339"/>
      <c r="I50" s="339"/>
      <c r="J50" s="327"/>
      <c r="K50" s="327"/>
      <c r="L50" s="329"/>
      <c r="M50" s="329"/>
      <c r="N50" s="327"/>
      <c r="O50" s="327"/>
      <c r="P50" s="869"/>
      <c r="Q50" s="869"/>
      <c r="R50" s="869"/>
      <c r="S50" s="485"/>
    </row>
    <row r="51" spans="1:19" ht="18">
      <c r="A51" s="332" t="s">
        <v>626</v>
      </c>
      <c r="B51" s="339"/>
      <c r="C51" s="339"/>
      <c r="D51" s="339"/>
      <c r="E51" s="339"/>
      <c r="F51" s="339">
        <v>258500</v>
      </c>
      <c r="G51" s="339">
        <v>258500</v>
      </c>
      <c r="H51" s="339"/>
      <c r="I51" s="339"/>
      <c r="J51" s="327"/>
      <c r="K51" s="327"/>
      <c r="L51" s="329"/>
      <c r="M51" s="329"/>
      <c r="N51" s="327"/>
      <c r="O51" s="327"/>
      <c r="P51" s="869"/>
      <c r="Q51" s="869"/>
      <c r="R51" s="869"/>
      <c r="S51" s="485"/>
    </row>
    <row r="52" spans="1:19" ht="18" hidden="1">
      <c r="A52" s="332" t="s">
        <v>342</v>
      </c>
      <c r="B52" s="339"/>
      <c r="C52" s="339"/>
      <c r="D52" s="339"/>
      <c r="E52" s="339"/>
      <c r="F52" s="339"/>
      <c r="G52" s="339"/>
      <c r="H52" s="339"/>
      <c r="I52" s="339"/>
      <c r="J52" s="327"/>
      <c r="K52" s="327"/>
      <c r="L52" s="329"/>
      <c r="M52" s="329"/>
      <c r="N52" s="327"/>
      <c r="O52" s="327"/>
      <c r="P52" s="869"/>
      <c r="Q52" s="869"/>
      <c r="R52" s="869"/>
      <c r="S52" s="485"/>
    </row>
    <row r="53" spans="1:19" ht="30.75" hidden="1">
      <c r="A53" s="332" t="s">
        <v>529</v>
      </c>
      <c r="B53" s="539"/>
      <c r="C53" s="539"/>
      <c r="D53" s="539"/>
      <c r="E53" s="539"/>
      <c r="F53" s="339"/>
      <c r="G53" s="339"/>
      <c r="H53" s="339"/>
      <c r="I53" s="339"/>
      <c r="J53" s="327"/>
      <c r="K53" s="327"/>
      <c r="L53" s="329"/>
      <c r="M53" s="329"/>
      <c r="N53" s="327"/>
      <c r="O53" s="327"/>
      <c r="P53" s="869"/>
      <c r="Q53" s="869"/>
      <c r="R53" s="869"/>
      <c r="S53" s="485"/>
    </row>
    <row r="54" spans="1:19" ht="39" customHeight="1">
      <c r="A54" s="326" t="s">
        <v>645</v>
      </c>
      <c r="B54" s="339">
        <v>691331</v>
      </c>
      <c r="C54" s="339">
        <v>691331</v>
      </c>
      <c r="D54" s="339"/>
      <c r="E54" s="339"/>
      <c r="F54" s="339"/>
      <c r="G54" s="339"/>
      <c r="H54" s="339"/>
      <c r="I54" s="339"/>
      <c r="J54" s="327"/>
      <c r="K54" s="327"/>
      <c r="L54" s="329"/>
      <c r="M54" s="329"/>
      <c r="N54" s="327"/>
      <c r="O54" s="327"/>
      <c r="P54" s="869"/>
      <c r="Q54" s="869"/>
      <c r="R54" s="869"/>
      <c r="S54" s="485"/>
    </row>
    <row r="55" spans="1:19" ht="30.75" hidden="1">
      <c r="A55" s="326" t="s">
        <v>646</v>
      </c>
      <c r="B55" s="339"/>
      <c r="C55" s="339"/>
      <c r="D55" s="339"/>
      <c r="E55" s="339"/>
      <c r="F55" s="339"/>
      <c r="G55" s="339"/>
      <c r="H55" s="339"/>
      <c r="I55" s="339"/>
      <c r="J55" s="327"/>
      <c r="K55" s="327"/>
      <c r="L55" s="329"/>
      <c r="M55" s="329"/>
      <c r="N55" s="327"/>
      <c r="O55" s="327"/>
      <c r="P55" s="869"/>
      <c r="Q55" s="869"/>
      <c r="R55" s="869"/>
      <c r="S55" s="485"/>
    </row>
    <row r="56" spans="1:19" ht="46.5" customHeight="1">
      <c r="A56" s="332" t="s">
        <v>563</v>
      </c>
      <c r="B56" s="339">
        <v>160000</v>
      </c>
      <c r="C56" s="339">
        <v>160000</v>
      </c>
      <c r="D56" s="339"/>
      <c r="E56" s="339"/>
      <c r="F56" s="339"/>
      <c r="G56" s="339"/>
      <c r="H56" s="339"/>
      <c r="I56" s="339"/>
      <c r="J56" s="327"/>
      <c r="K56" s="327"/>
      <c r="L56" s="329"/>
      <c r="M56" s="329"/>
      <c r="N56" s="327"/>
      <c r="O56" s="327"/>
      <c r="P56" s="869"/>
      <c r="Q56" s="869"/>
      <c r="R56" s="869"/>
      <c r="S56" s="485"/>
    </row>
    <row r="57" spans="1:19" ht="47.25" customHeight="1" hidden="1">
      <c r="A57" s="332" t="s">
        <v>564</v>
      </c>
      <c r="B57" s="339"/>
      <c r="C57" s="339"/>
      <c r="D57" s="339"/>
      <c r="E57" s="339"/>
      <c r="F57" s="339"/>
      <c r="G57" s="339"/>
      <c r="H57" s="339"/>
      <c r="I57" s="339"/>
      <c r="J57" s="327"/>
      <c r="K57" s="327"/>
      <c r="L57" s="329"/>
      <c r="M57" s="329"/>
      <c r="N57" s="327"/>
      <c r="O57" s="327"/>
      <c r="P57" s="869"/>
      <c r="Q57" s="869"/>
      <c r="R57" s="869"/>
      <c r="S57" s="485"/>
    </row>
    <row r="58" spans="1:19" ht="39" customHeight="1" hidden="1">
      <c r="A58" s="340"/>
      <c r="B58" s="339"/>
      <c r="C58" s="339"/>
      <c r="D58" s="339"/>
      <c r="E58" s="339"/>
      <c r="F58" s="339"/>
      <c r="G58" s="339"/>
      <c r="H58" s="339"/>
      <c r="I58" s="339"/>
      <c r="J58" s="327"/>
      <c r="K58" s="327"/>
      <c r="L58" s="329"/>
      <c r="M58" s="329"/>
      <c r="N58" s="327"/>
      <c r="O58" s="327"/>
      <c r="P58" s="869"/>
      <c r="Q58" s="869"/>
      <c r="R58" s="869"/>
      <c r="S58" s="485"/>
    </row>
    <row r="59" spans="1:19" ht="39" customHeight="1" hidden="1">
      <c r="A59" s="340"/>
      <c r="B59" s="339"/>
      <c r="C59" s="339"/>
      <c r="D59" s="339"/>
      <c r="E59" s="339"/>
      <c r="F59" s="339"/>
      <c r="G59" s="339"/>
      <c r="H59" s="339"/>
      <c r="I59" s="339"/>
      <c r="J59" s="327"/>
      <c r="K59" s="327"/>
      <c r="L59" s="329"/>
      <c r="M59" s="329"/>
      <c r="N59" s="327"/>
      <c r="O59" s="327"/>
      <c r="P59" s="869"/>
      <c r="Q59" s="869"/>
      <c r="R59" s="869"/>
      <c r="S59" s="485"/>
    </row>
    <row r="60" spans="1:19" ht="39" customHeight="1" hidden="1">
      <c r="A60" s="340"/>
      <c r="B60" s="339"/>
      <c r="C60" s="339"/>
      <c r="D60" s="339"/>
      <c r="E60" s="339"/>
      <c r="F60" s="339"/>
      <c r="G60" s="339"/>
      <c r="H60" s="339"/>
      <c r="I60" s="339"/>
      <c r="J60" s="327"/>
      <c r="K60" s="327"/>
      <c r="L60" s="329"/>
      <c r="M60" s="329"/>
      <c r="N60" s="327"/>
      <c r="O60" s="327"/>
      <c r="P60" s="869"/>
      <c r="Q60" s="869"/>
      <c r="R60" s="869"/>
      <c r="S60" s="485"/>
    </row>
    <row r="61" spans="1:19" ht="39" customHeight="1" hidden="1">
      <c r="A61" s="340"/>
      <c r="B61" s="339"/>
      <c r="C61" s="339"/>
      <c r="D61" s="339"/>
      <c r="E61" s="339"/>
      <c r="F61" s="339"/>
      <c r="G61" s="339"/>
      <c r="H61" s="339"/>
      <c r="I61" s="339"/>
      <c r="J61" s="327"/>
      <c r="K61" s="327"/>
      <c r="L61" s="329"/>
      <c r="M61" s="329"/>
      <c r="N61" s="327"/>
      <c r="O61" s="327"/>
      <c r="P61" s="869"/>
      <c r="Q61" s="869"/>
      <c r="R61" s="869"/>
      <c r="S61" s="485"/>
    </row>
    <row r="62" spans="1:19" ht="39" customHeight="1" hidden="1">
      <c r="A62" s="340"/>
      <c r="B62" s="339"/>
      <c r="C62" s="339"/>
      <c r="D62" s="339"/>
      <c r="E62" s="339"/>
      <c r="F62" s="339"/>
      <c r="G62" s="339"/>
      <c r="H62" s="339"/>
      <c r="I62" s="339"/>
      <c r="J62" s="327"/>
      <c r="K62" s="327"/>
      <c r="L62" s="329"/>
      <c r="M62" s="329"/>
      <c r="N62" s="327"/>
      <c r="O62" s="327"/>
      <c r="P62" s="869"/>
      <c r="Q62" s="869"/>
      <c r="R62" s="869"/>
      <c r="S62" s="485"/>
    </row>
    <row r="63" spans="1:19" ht="39" customHeight="1" hidden="1">
      <c r="A63" s="340"/>
      <c r="B63" s="339"/>
      <c r="C63" s="339"/>
      <c r="D63" s="339"/>
      <c r="E63" s="339"/>
      <c r="F63" s="339"/>
      <c r="G63" s="339"/>
      <c r="H63" s="339"/>
      <c r="I63" s="339"/>
      <c r="J63" s="327"/>
      <c r="K63" s="327"/>
      <c r="L63" s="329"/>
      <c r="M63" s="329"/>
      <c r="N63" s="327"/>
      <c r="O63" s="327"/>
      <c r="P63" s="869"/>
      <c r="Q63" s="869"/>
      <c r="R63" s="869"/>
      <c r="S63" s="485"/>
    </row>
    <row r="64" spans="1:19" s="341" customFormat="1" ht="27" customHeight="1" thickBot="1">
      <c r="A64" s="488" t="s">
        <v>293</v>
      </c>
      <c r="B64" s="489">
        <f aca="true" t="shared" si="0" ref="B64:H64">SUM(B46:B63)</f>
        <v>942981</v>
      </c>
      <c r="C64" s="489">
        <f>SUM(C46:C63)</f>
        <v>942981</v>
      </c>
      <c r="D64" s="489">
        <f t="shared" si="0"/>
        <v>0</v>
      </c>
      <c r="E64" s="489">
        <f>SUM(E46:E63)</f>
        <v>0</v>
      </c>
      <c r="F64" s="489">
        <f t="shared" si="0"/>
        <v>563060</v>
      </c>
      <c r="G64" s="489">
        <f>SUM(G46:G63)</f>
        <v>563060</v>
      </c>
      <c r="H64" s="489">
        <f t="shared" si="0"/>
        <v>0</v>
      </c>
      <c r="I64" s="489">
        <f>SUM(I46:I63)</f>
        <v>0</v>
      </c>
      <c r="J64" s="489"/>
      <c r="K64" s="489"/>
      <c r="L64" s="489"/>
      <c r="M64" s="489"/>
      <c r="N64" s="489"/>
      <c r="O64" s="489"/>
      <c r="P64" s="870"/>
      <c r="Q64" s="870"/>
      <c r="R64" s="870"/>
      <c r="S64" s="490"/>
    </row>
    <row r="65" spans="6:9" ht="12.75" hidden="1">
      <c r="F65" s="338">
        <f>SUM(B64:F64)</f>
        <v>2449022</v>
      </c>
      <c r="G65" s="338"/>
      <c r="H65" s="338"/>
      <c r="I65" s="338"/>
    </row>
    <row r="66" spans="6:9" ht="12.75" hidden="1">
      <c r="F66" s="338">
        <f>'4.sz.m.ÖNK kiadás'!F14</f>
        <v>1506041</v>
      </c>
      <c r="G66" s="338"/>
      <c r="H66" s="338"/>
      <c r="I66" s="338"/>
    </row>
    <row r="67" spans="1:5" ht="15.75" hidden="1">
      <c r="A67" s="1260" t="s">
        <v>468</v>
      </c>
      <c r="B67" s="1260"/>
      <c r="C67" s="797"/>
      <c r="D67" s="797"/>
      <c r="E67" s="797"/>
    </row>
    <row r="68" spans="1:11" ht="14.25" hidden="1">
      <c r="A68" s="1261" t="s">
        <v>469</v>
      </c>
      <c r="B68" s="1261"/>
      <c r="C68" s="1261"/>
      <c r="D68" s="1261"/>
      <c r="E68" s="1261"/>
      <c r="F68" s="1261"/>
      <c r="G68" s="1261"/>
      <c r="H68" s="1261"/>
      <c r="I68" s="1261"/>
      <c r="J68" s="1261"/>
      <c r="K68" s="798"/>
    </row>
    <row r="69" ht="12.75" hidden="1"/>
    <row r="70" spans="1:16" ht="15.75" hidden="1">
      <c r="A70" s="1247" t="s">
        <v>322</v>
      </c>
      <c r="B70" s="1251" t="s">
        <v>323</v>
      </c>
      <c r="C70" s="1251"/>
      <c r="D70" s="1251"/>
      <c r="E70" s="1251"/>
      <c r="F70" s="1252"/>
      <c r="G70" s="796"/>
      <c r="H70" s="796"/>
      <c r="I70" s="796"/>
      <c r="J70" s="1256" t="s">
        <v>521</v>
      </c>
      <c r="K70" s="1256"/>
      <c r="L70" s="1256"/>
      <c r="M70" s="1256"/>
      <c r="N70" s="1256"/>
      <c r="O70" s="1256"/>
      <c r="P70" s="1257"/>
    </row>
    <row r="71" spans="1:16" ht="31.5" hidden="1">
      <c r="A71" s="1248"/>
      <c r="B71" s="772" t="s">
        <v>324</v>
      </c>
      <c r="C71" s="772"/>
      <c r="D71" s="772"/>
      <c r="E71" s="772"/>
      <c r="F71" s="775" t="s">
        <v>522</v>
      </c>
      <c r="G71" s="775"/>
      <c r="H71" s="775"/>
      <c r="I71" s="775"/>
      <c r="J71" s="775" t="s">
        <v>324</v>
      </c>
      <c r="K71" s="775"/>
      <c r="L71" s="1258" t="s">
        <v>522</v>
      </c>
      <c r="M71" s="1258"/>
      <c r="N71" s="1258"/>
      <c r="O71" s="1258"/>
      <c r="P71" s="1259"/>
    </row>
    <row r="72" spans="1:16" ht="15.75" hidden="1">
      <c r="A72" s="583"/>
      <c r="B72" s="323" t="s">
        <v>325</v>
      </c>
      <c r="C72" s="323"/>
      <c r="D72" s="323"/>
      <c r="E72" s="323"/>
      <c r="F72" s="323" t="s">
        <v>325</v>
      </c>
      <c r="G72" s="323"/>
      <c r="H72" s="323"/>
      <c r="I72" s="323"/>
      <c r="J72" s="323" t="s">
        <v>325</v>
      </c>
      <c r="K72" s="323"/>
      <c r="L72" s="323"/>
      <c r="M72" s="584"/>
      <c r="N72" s="323"/>
      <c r="O72" s="323"/>
      <c r="P72" s="323" t="s">
        <v>325</v>
      </c>
    </row>
    <row r="73" spans="1:16" ht="18" hidden="1">
      <c r="A73" s="332" t="s">
        <v>470</v>
      </c>
      <c r="B73" s="339"/>
      <c r="C73" s="339"/>
      <c r="D73" s="339"/>
      <c r="E73" s="339"/>
      <c r="F73" s="729"/>
      <c r="G73" s="729"/>
      <c r="H73" s="729"/>
      <c r="I73" s="729"/>
      <c r="J73" s="327"/>
      <c r="K73" s="327"/>
      <c r="L73" s="327"/>
      <c r="M73" s="327"/>
      <c r="N73" s="327"/>
      <c r="O73" s="327"/>
      <c r="P73" s="327"/>
    </row>
    <row r="74" spans="1:16" ht="18" customHeight="1" hidden="1">
      <c r="A74" s="332" t="s">
        <v>337</v>
      </c>
      <c r="B74" s="339"/>
      <c r="C74" s="339"/>
      <c r="D74" s="339"/>
      <c r="E74" s="339"/>
      <c r="F74" s="339"/>
      <c r="G74" s="339"/>
      <c r="H74" s="339"/>
      <c r="I74" s="339"/>
      <c r="J74" s="327"/>
      <c r="K74" s="327"/>
      <c r="L74" s="327"/>
      <c r="M74" s="327"/>
      <c r="N74" s="327"/>
      <c r="O74" s="327"/>
      <c r="P74" s="327"/>
    </row>
    <row r="75" spans="1:16" ht="18" customHeight="1" hidden="1">
      <c r="A75" s="332" t="s">
        <v>338</v>
      </c>
      <c r="B75" s="339"/>
      <c r="C75" s="339"/>
      <c r="D75" s="339"/>
      <c r="E75" s="339"/>
      <c r="F75" s="339"/>
      <c r="G75" s="339"/>
      <c r="H75" s="339"/>
      <c r="I75" s="339"/>
      <c r="J75" s="327"/>
      <c r="K75" s="327"/>
      <c r="L75" s="327"/>
      <c r="M75" s="327"/>
      <c r="N75" s="327"/>
      <c r="O75" s="327"/>
      <c r="P75" s="327"/>
    </row>
    <row r="76" spans="1:16" ht="18" customHeight="1" hidden="1">
      <c r="A76" s="332" t="s">
        <v>339</v>
      </c>
      <c r="B76" s="339"/>
      <c r="C76" s="339"/>
      <c r="D76" s="339"/>
      <c r="E76" s="339"/>
      <c r="F76" s="339"/>
      <c r="G76" s="339"/>
      <c r="H76" s="339"/>
      <c r="I76" s="339"/>
      <c r="J76" s="327"/>
      <c r="K76" s="327"/>
      <c r="L76" s="327"/>
      <c r="M76" s="327"/>
      <c r="N76" s="327"/>
      <c r="O76" s="327"/>
      <c r="P76" s="327"/>
    </row>
    <row r="77" spans="1:16" ht="18" customHeight="1" hidden="1">
      <c r="A77" s="332" t="s">
        <v>340</v>
      </c>
      <c r="B77" s="339"/>
      <c r="C77" s="339"/>
      <c r="D77" s="339"/>
      <c r="E77" s="339"/>
      <c r="F77" s="339"/>
      <c r="G77" s="339"/>
      <c r="H77" s="339"/>
      <c r="I77" s="339"/>
      <c r="J77" s="327"/>
      <c r="K77" s="327"/>
      <c r="L77" s="327"/>
      <c r="M77" s="327"/>
      <c r="N77" s="327"/>
      <c r="O77" s="327"/>
      <c r="P77" s="327"/>
    </row>
    <row r="78" spans="1:16" ht="18" customHeight="1" hidden="1">
      <c r="A78" s="332" t="s">
        <v>341</v>
      </c>
      <c r="B78" s="339"/>
      <c r="C78" s="339"/>
      <c r="D78" s="339"/>
      <c r="E78" s="339"/>
      <c r="F78" s="339"/>
      <c r="G78" s="339"/>
      <c r="H78" s="339"/>
      <c r="I78" s="339"/>
      <c r="J78" s="327"/>
      <c r="K78" s="327"/>
      <c r="L78" s="327"/>
      <c r="M78" s="327"/>
      <c r="N78" s="327"/>
      <c r="O78" s="327"/>
      <c r="P78" s="327"/>
    </row>
    <row r="79" spans="1:16" ht="18" customHeight="1" hidden="1">
      <c r="A79" s="332" t="s">
        <v>342</v>
      </c>
      <c r="B79" s="339"/>
      <c r="C79" s="339"/>
      <c r="D79" s="339"/>
      <c r="E79" s="339"/>
      <c r="F79" s="339"/>
      <c r="G79" s="339"/>
      <c r="H79" s="339"/>
      <c r="I79" s="339"/>
      <c r="J79" s="327"/>
      <c r="K79" s="327"/>
      <c r="L79" s="327"/>
      <c r="M79" s="327"/>
      <c r="N79" s="327"/>
      <c r="O79" s="327"/>
      <c r="P79" s="327"/>
    </row>
    <row r="80" spans="1:16" ht="18" customHeight="1" hidden="1">
      <c r="A80" s="332" t="s">
        <v>343</v>
      </c>
      <c r="B80" s="339"/>
      <c r="C80" s="339"/>
      <c r="D80" s="339"/>
      <c r="E80" s="339"/>
      <c r="F80" s="339"/>
      <c r="G80" s="339"/>
      <c r="H80" s="339"/>
      <c r="I80" s="339"/>
      <c r="J80" s="327"/>
      <c r="K80" s="327"/>
      <c r="L80" s="327"/>
      <c r="M80" s="327"/>
      <c r="N80" s="327"/>
      <c r="O80" s="327"/>
      <c r="P80" s="327"/>
    </row>
    <row r="81" spans="1:16" ht="30.75" customHeight="1" hidden="1">
      <c r="A81" s="326" t="s">
        <v>344</v>
      </c>
      <c r="B81" s="339"/>
      <c r="C81" s="339"/>
      <c r="D81" s="339"/>
      <c r="E81" s="339"/>
      <c r="F81" s="339"/>
      <c r="G81" s="339"/>
      <c r="H81" s="339"/>
      <c r="I81" s="339"/>
      <c r="J81" s="327"/>
      <c r="K81" s="327"/>
      <c r="L81" s="327"/>
      <c r="M81" s="327"/>
      <c r="N81" s="327"/>
      <c r="O81" s="327"/>
      <c r="P81" s="327"/>
    </row>
    <row r="82" spans="1:16" ht="18" customHeight="1" hidden="1">
      <c r="A82" s="585"/>
      <c r="B82" s="339"/>
      <c r="C82" s="339"/>
      <c r="D82" s="339"/>
      <c r="E82" s="339"/>
      <c r="F82" s="339"/>
      <c r="G82" s="339"/>
      <c r="H82" s="339"/>
      <c r="I82" s="339"/>
      <c r="J82" s="327"/>
      <c r="K82" s="327"/>
      <c r="L82" s="327"/>
      <c r="M82" s="327"/>
      <c r="N82" s="327"/>
      <c r="O82" s="327"/>
      <c r="P82" s="327"/>
    </row>
    <row r="83" spans="1:16" ht="18" customHeight="1" hidden="1">
      <c r="A83" s="332" t="s">
        <v>345</v>
      </c>
      <c r="B83" s="339"/>
      <c r="C83" s="339"/>
      <c r="D83" s="339"/>
      <c r="E83" s="339"/>
      <c r="F83" s="339"/>
      <c r="G83" s="339"/>
      <c r="H83" s="339"/>
      <c r="I83" s="339"/>
      <c r="J83" s="327"/>
      <c r="K83" s="327"/>
      <c r="L83" s="327"/>
      <c r="M83" s="327"/>
      <c r="N83" s="327"/>
      <c r="O83" s="327"/>
      <c r="P83" s="327"/>
    </row>
    <row r="84" spans="1:16" ht="30.75" customHeight="1" hidden="1">
      <c r="A84" s="332" t="s">
        <v>346</v>
      </c>
      <c r="B84" s="339"/>
      <c r="C84" s="339"/>
      <c r="D84" s="339"/>
      <c r="E84" s="339"/>
      <c r="F84" s="339"/>
      <c r="G84" s="339"/>
      <c r="H84" s="339"/>
      <c r="I84" s="339"/>
      <c r="J84" s="327"/>
      <c r="K84" s="327"/>
      <c r="L84" s="327"/>
      <c r="M84" s="327"/>
      <c r="N84" s="327"/>
      <c r="O84" s="327"/>
      <c r="P84" s="327"/>
    </row>
    <row r="85" spans="1:16" ht="18" customHeight="1" hidden="1">
      <c r="A85" s="340"/>
      <c r="B85" s="339"/>
      <c r="C85" s="339"/>
      <c r="D85" s="339"/>
      <c r="E85" s="339"/>
      <c r="F85" s="339"/>
      <c r="G85" s="339"/>
      <c r="H85" s="339"/>
      <c r="I85" s="339"/>
      <c r="J85" s="327"/>
      <c r="K85" s="327"/>
      <c r="L85" s="327"/>
      <c r="M85" s="327"/>
      <c r="N85" s="327"/>
      <c r="O85" s="327"/>
      <c r="P85" s="327"/>
    </row>
    <row r="86" spans="1:16" ht="18" customHeight="1" hidden="1">
      <c r="A86" s="340"/>
      <c r="B86" s="339"/>
      <c r="C86" s="339"/>
      <c r="D86" s="339"/>
      <c r="E86" s="339"/>
      <c r="F86" s="339"/>
      <c r="G86" s="339"/>
      <c r="H86" s="339"/>
      <c r="I86" s="339"/>
      <c r="J86" s="327"/>
      <c r="K86" s="327"/>
      <c r="L86" s="327"/>
      <c r="M86" s="327"/>
      <c r="N86" s="327"/>
      <c r="O86" s="327"/>
      <c r="P86" s="327"/>
    </row>
    <row r="87" spans="1:16" ht="18" customHeight="1" hidden="1">
      <c r="A87" s="340"/>
      <c r="B87" s="339"/>
      <c r="C87" s="339"/>
      <c r="D87" s="339"/>
      <c r="E87" s="339"/>
      <c r="F87" s="339"/>
      <c r="G87" s="339"/>
      <c r="H87" s="339"/>
      <c r="I87" s="339"/>
      <c r="J87" s="327"/>
      <c r="K87" s="327"/>
      <c r="L87" s="327"/>
      <c r="M87" s="327"/>
      <c r="N87" s="327"/>
      <c r="O87" s="327"/>
      <c r="P87" s="327"/>
    </row>
    <row r="88" spans="1:16" ht="18" customHeight="1" hidden="1">
      <c r="A88" s="340"/>
      <c r="B88" s="339"/>
      <c r="C88" s="339"/>
      <c r="D88" s="339"/>
      <c r="E88" s="339"/>
      <c r="F88" s="339"/>
      <c r="G88" s="339"/>
      <c r="H88" s="339"/>
      <c r="I88" s="339"/>
      <c r="J88" s="327"/>
      <c r="K88" s="327"/>
      <c r="L88" s="327"/>
      <c r="M88" s="327"/>
      <c r="N88" s="327"/>
      <c r="O88" s="327"/>
      <c r="P88" s="327"/>
    </row>
    <row r="89" spans="1:16" ht="18" customHeight="1" hidden="1">
      <c r="A89" s="340"/>
      <c r="B89" s="339"/>
      <c r="C89" s="339"/>
      <c r="D89" s="339"/>
      <c r="E89" s="339"/>
      <c r="F89" s="339"/>
      <c r="G89" s="339"/>
      <c r="H89" s="339"/>
      <c r="I89" s="339"/>
      <c r="J89" s="327"/>
      <c r="K89" s="327"/>
      <c r="L89" s="327"/>
      <c r="M89" s="327"/>
      <c r="N89" s="327"/>
      <c r="O89" s="327"/>
      <c r="P89" s="327"/>
    </row>
    <row r="90" spans="1:16" ht="18" customHeight="1" hidden="1">
      <c r="A90" s="340"/>
      <c r="B90" s="339"/>
      <c r="C90" s="339"/>
      <c r="D90" s="339"/>
      <c r="E90" s="339"/>
      <c r="F90" s="339"/>
      <c r="G90" s="339"/>
      <c r="H90" s="339"/>
      <c r="I90" s="339"/>
      <c r="J90" s="327"/>
      <c r="K90" s="327"/>
      <c r="L90" s="327"/>
      <c r="M90" s="327"/>
      <c r="N90" s="327"/>
      <c r="O90" s="327"/>
      <c r="P90" s="327"/>
    </row>
    <row r="91" spans="1:16" ht="18.75" hidden="1" thickBot="1">
      <c r="A91" s="488" t="s">
        <v>293</v>
      </c>
      <c r="B91" s="489"/>
      <c r="C91" s="489"/>
      <c r="D91" s="489"/>
      <c r="E91" s="489"/>
      <c r="F91" s="489">
        <f>SUM(F73:F90)</f>
        <v>0</v>
      </c>
      <c r="G91" s="489"/>
      <c r="H91" s="489"/>
      <c r="I91" s="489"/>
      <c r="J91" s="489"/>
      <c r="K91" s="489"/>
      <c r="L91" s="489"/>
      <c r="M91" s="489"/>
      <c r="N91" s="489"/>
      <c r="O91" s="489"/>
      <c r="P91" s="489"/>
    </row>
    <row r="92" spans="6:9" ht="12.75" hidden="1">
      <c r="F92" s="338">
        <f>F66-F65</f>
        <v>-942981</v>
      </c>
      <c r="G92" s="338"/>
      <c r="H92" s="338"/>
      <c r="I92" s="338"/>
    </row>
    <row r="94" ht="12.75">
      <c r="B94" s="338"/>
    </row>
    <row r="95" spans="2:9" ht="12.75">
      <c r="B95" s="338"/>
      <c r="E95" s="338">
        <f>+E64+I64</f>
        <v>0</v>
      </c>
      <c r="G95" s="338"/>
      <c r="H95" s="338"/>
      <c r="I95" s="338"/>
    </row>
    <row r="96" spans="2:9" ht="12.75">
      <c r="B96" s="338"/>
      <c r="E96" s="338">
        <f>+'4.sz.m.ÖNK kiadás'!I14</f>
        <v>0</v>
      </c>
      <c r="H96" s="338"/>
      <c r="I96" s="338"/>
    </row>
    <row r="97" spans="2:9" ht="12.75">
      <c r="B97" s="338"/>
      <c r="H97" s="338"/>
      <c r="I97" s="338"/>
    </row>
    <row r="98" ht="12.75">
      <c r="E98" s="338">
        <f>+E96-E95</f>
        <v>0</v>
      </c>
    </row>
  </sheetData>
  <sheetProtection selectLockedCells="1" selectUnlockedCells="1"/>
  <mergeCells count="25">
    <mergeCell ref="A2:J2"/>
    <mergeCell ref="A3:J3"/>
    <mergeCell ref="A6:J6"/>
    <mergeCell ref="A38:J38"/>
    <mergeCell ref="A8:A9"/>
    <mergeCell ref="B9:D9"/>
    <mergeCell ref="B8:I8"/>
    <mergeCell ref="J8:S8"/>
    <mergeCell ref="F9:H9"/>
    <mergeCell ref="P9:S9"/>
    <mergeCell ref="L71:P71"/>
    <mergeCell ref="J70:P70"/>
    <mergeCell ref="B70:F70"/>
    <mergeCell ref="A67:B67"/>
    <mergeCell ref="A70:A71"/>
    <mergeCell ref="A68:J68"/>
    <mergeCell ref="J9:O9"/>
    <mergeCell ref="A40:A41"/>
    <mergeCell ref="J44:Q44"/>
    <mergeCell ref="B40:I40"/>
    <mergeCell ref="B41:E41"/>
    <mergeCell ref="F41:I41"/>
    <mergeCell ref="J40:S40"/>
    <mergeCell ref="J41:M41"/>
    <mergeCell ref="P41:S41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68" r:id="rId1"/>
  <headerFooter alignWithMargins="0">
    <oddHeader>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8">
      <selection activeCell="E1" sqref="E1:F16384"/>
    </sheetView>
  </sheetViews>
  <sheetFormatPr defaultColWidth="9.140625" defaultRowHeight="12.75"/>
  <cols>
    <col min="1" max="1" width="8.140625" style="407" customWidth="1"/>
    <col min="2" max="2" width="58.7109375" style="407" customWidth="1"/>
    <col min="3" max="3" width="17.7109375" style="407" customWidth="1"/>
    <col min="4" max="4" width="12.8515625" style="407" customWidth="1"/>
    <col min="5" max="5" width="14.00390625" style="407" hidden="1" customWidth="1"/>
    <col min="6" max="6" width="12.421875" style="407" hidden="1" customWidth="1"/>
    <col min="7" max="16384" width="9.140625" style="407" customWidth="1"/>
  </cols>
  <sheetData>
    <row r="1" ht="15">
      <c r="C1" s="408" t="s">
        <v>697</v>
      </c>
    </row>
    <row r="2" spans="1:3" ht="64.5" customHeight="1">
      <c r="A2" s="1270" t="s">
        <v>385</v>
      </c>
      <c r="B2" s="1270"/>
      <c r="C2" s="1270"/>
    </row>
    <row r="3" spans="1:3" ht="15.75" customHeight="1" thickBot="1">
      <c r="A3" s="409"/>
      <c r="B3" s="10"/>
      <c r="C3" s="410" t="s">
        <v>419</v>
      </c>
    </row>
    <row r="4" spans="1:6" ht="44.25" customHeight="1" thickBot="1">
      <c r="A4" s="411" t="s">
        <v>355</v>
      </c>
      <c r="B4" s="412" t="s">
        <v>386</v>
      </c>
      <c r="C4" s="413" t="s">
        <v>631</v>
      </c>
      <c r="D4" s="413" t="s">
        <v>136</v>
      </c>
      <c r="E4" s="413" t="s">
        <v>137</v>
      </c>
      <c r="F4" s="413" t="s">
        <v>138</v>
      </c>
    </row>
    <row r="5" spans="1:6" ht="26.25" customHeight="1" thickBot="1">
      <c r="A5" s="414">
        <v>1</v>
      </c>
      <c r="B5" s="415">
        <v>2</v>
      </c>
      <c r="C5" s="641">
        <v>3</v>
      </c>
      <c r="D5" s="641">
        <v>4</v>
      </c>
      <c r="E5" s="641">
        <v>5</v>
      </c>
      <c r="F5" s="641">
        <v>6</v>
      </c>
    </row>
    <row r="6" spans="1:6" ht="26.25" customHeight="1">
      <c r="A6" s="416" t="s">
        <v>10</v>
      </c>
      <c r="B6" s="417" t="s">
        <v>615</v>
      </c>
      <c r="C6" s="541">
        <f>'1.sz.m-önk.össze.bev'!F13+'1.sz.m-önk.össze.bev'!F8</f>
        <v>15996040</v>
      </c>
      <c r="D6" s="541">
        <f>'1.sz.m-önk.össze.bev'!G13+'1.sz.m-önk.össze.bev'!G8</f>
        <v>15996040</v>
      </c>
      <c r="E6" s="541">
        <f>'1.sz.m-önk.össze.bev'!H13+'1.sz.m-önk.össze.bev'!H8</f>
        <v>0</v>
      </c>
      <c r="F6" s="541">
        <f>'1.sz.m-önk.össze.bev'!I13+'1.sz.m-önk.össze.bev'!I8</f>
        <v>0</v>
      </c>
    </row>
    <row r="7" spans="1:6" ht="26.25" customHeight="1" hidden="1">
      <c r="A7" s="418" t="s">
        <v>163</v>
      </c>
      <c r="B7" s="417" t="s">
        <v>387</v>
      </c>
      <c r="C7" s="542"/>
      <c r="D7" s="542"/>
      <c r="E7" s="542"/>
      <c r="F7" s="542"/>
    </row>
    <row r="8" spans="1:6" ht="33.75" customHeight="1">
      <c r="A8" s="419" t="s">
        <v>163</v>
      </c>
      <c r="B8" s="420" t="s">
        <v>388</v>
      </c>
      <c r="C8" s="542">
        <f>'1.sz.m-önk.össze.bev'!F27</f>
        <v>1190649</v>
      </c>
      <c r="D8" s="542">
        <f>'1.sz.m-önk.össze.bev'!G27</f>
        <v>1190649</v>
      </c>
      <c r="E8" s="542">
        <f>'1.sz.m-önk.össze.bev'!H27</f>
        <v>0</v>
      </c>
      <c r="F8" s="542">
        <f>'1.sz.m-önk.össze.bev'!I27</f>
        <v>0</v>
      </c>
    </row>
    <row r="9" spans="1:6" ht="33" customHeight="1">
      <c r="A9" s="418" t="s">
        <v>69</v>
      </c>
      <c r="B9" s="421" t="s">
        <v>389</v>
      </c>
      <c r="C9" s="542">
        <v>0</v>
      </c>
      <c r="D9" s="542">
        <v>0</v>
      </c>
      <c r="E9" s="542">
        <v>0</v>
      </c>
      <c r="F9" s="542">
        <v>0</v>
      </c>
    </row>
    <row r="10" spans="1:6" ht="26.25" customHeight="1">
      <c r="A10" s="419" t="s">
        <v>88</v>
      </c>
      <c r="B10" s="421" t="s">
        <v>390</v>
      </c>
      <c r="C10" s="542">
        <f>'1.sz.m-önk.össze.bev'!F20</f>
        <v>1266230</v>
      </c>
      <c r="D10" s="542">
        <f>'1.sz.m-önk.össze.bev'!G20</f>
        <v>1266230</v>
      </c>
      <c r="E10" s="542">
        <f>'1.sz.m-önk.össze.bev'!H20</f>
        <v>0</v>
      </c>
      <c r="F10" s="542">
        <f>'1.sz.m-önk.össze.bev'!I20</f>
        <v>0</v>
      </c>
    </row>
    <row r="11" spans="1:6" ht="26.25" customHeight="1" thickBot="1">
      <c r="A11" s="419" t="s">
        <v>109</v>
      </c>
      <c r="B11" s="422" t="s">
        <v>391</v>
      </c>
      <c r="C11" s="543">
        <v>0</v>
      </c>
      <c r="D11" s="543">
        <v>0</v>
      </c>
      <c r="E11" s="543">
        <v>0</v>
      </c>
      <c r="F11" s="543">
        <v>0</v>
      </c>
    </row>
    <row r="12" spans="1:6" ht="26.25" customHeight="1" thickBot="1">
      <c r="A12" s="1267" t="s">
        <v>392</v>
      </c>
      <c r="B12" s="1267"/>
      <c r="C12" s="572">
        <f>SUM(C6:C11)</f>
        <v>18452919</v>
      </c>
      <c r="D12" s="572">
        <f>SUM(D6:D11)</f>
        <v>18452919</v>
      </c>
      <c r="E12" s="572">
        <f>SUM(E6:E11)</f>
        <v>0</v>
      </c>
      <c r="F12" s="572">
        <f>SUM(F6:F11)</f>
        <v>0</v>
      </c>
    </row>
    <row r="13" spans="1:6" ht="33.75" customHeight="1" thickBot="1">
      <c r="A13" s="1268" t="s">
        <v>393</v>
      </c>
      <c r="B13" s="1269"/>
      <c r="C13" s="495">
        <f>C12/2</f>
        <v>9226459.5</v>
      </c>
      <c r="D13" s="495">
        <f>D12/2</f>
        <v>9226459.5</v>
      </c>
      <c r="E13" s="495">
        <f>E12/2</f>
        <v>0</v>
      </c>
      <c r="F13" s="495">
        <f>F12/2</f>
        <v>0</v>
      </c>
    </row>
    <row r="14" ht="15.75" thickTop="1"/>
  </sheetData>
  <sheetProtection selectLockedCells="1" selectUnlockedCells="1"/>
  <mergeCells count="3">
    <mergeCell ref="A12:B12"/>
    <mergeCell ref="A13:B13"/>
    <mergeCell ref="A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0">
      <selection activeCell="O12" sqref="O12"/>
    </sheetView>
  </sheetViews>
  <sheetFormatPr defaultColWidth="9.140625" defaultRowHeight="12.75"/>
  <cols>
    <col min="1" max="1" width="4.57421875" style="383" customWidth="1"/>
    <col min="2" max="2" width="18.421875" style="384" customWidth="1"/>
    <col min="3" max="3" width="9.140625" style="385" customWidth="1"/>
    <col min="4" max="4" width="8.57421875" style="385" customWidth="1"/>
    <col min="5" max="5" width="8.7109375" style="385" customWidth="1"/>
    <col min="6" max="6" width="8.421875" style="385" customWidth="1"/>
    <col min="7" max="8" width="9.57421875" style="385" bestFit="1" customWidth="1"/>
    <col min="9" max="9" width="9.57421875" style="385" customWidth="1"/>
    <col min="10" max="10" width="9.57421875" style="385" bestFit="1" customWidth="1"/>
    <col min="11" max="11" width="9.28125" style="385" customWidth="1"/>
    <col min="12" max="12" width="11.57421875" style="385" customWidth="1"/>
    <col min="13" max="13" width="10.140625" style="385" customWidth="1"/>
    <col min="14" max="14" width="9.28125" style="385" customWidth="1"/>
    <col min="15" max="15" width="9.421875" style="383" customWidth="1"/>
    <col min="16" max="17" width="0" style="385" hidden="1" customWidth="1"/>
    <col min="18" max="18" width="11.28125" style="385" hidden="1" customWidth="1"/>
    <col min="19" max="19" width="10.140625" style="385" hidden="1" customWidth="1"/>
    <col min="20" max="20" width="12.421875" style="385" bestFit="1" customWidth="1"/>
    <col min="21" max="21" width="11.8515625" style="385" customWidth="1"/>
    <col min="22" max="16384" width="9.140625" style="385" customWidth="1"/>
  </cols>
  <sheetData>
    <row r="1" spans="13:15" ht="15.75">
      <c r="M1" s="1272" t="s">
        <v>384</v>
      </c>
      <c r="N1" s="1272"/>
      <c r="O1" s="1272"/>
    </row>
    <row r="2" spans="1:15" ht="31.5" customHeight="1">
      <c r="A2" s="1273" t="s">
        <v>647</v>
      </c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1273"/>
    </row>
    <row r="3" spans="7:15" ht="16.5" customHeight="1">
      <c r="G3" s="1274"/>
      <c r="H3" s="1274"/>
      <c r="I3" s="1274"/>
      <c r="O3" s="386" t="s">
        <v>421</v>
      </c>
    </row>
    <row r="4" spans="1:15" s="383" customFormat="1" ht="35.25" customHeight="1">
      <c r="A4" s="387" t="s">
        <v>355</v>
      </c>
      <c r="B4" s="388" t="s">
        <v>134</v>
      </c>
      <c r="C4" s="389" t="s">
        <v>356</v>
      </c>
      <c r="D4" s="389" t="s">
        <v>357</v>
      </c>
      <c r="E4" s="389" t="s">
        <v>358</v>
      </c>
      <c r="F4" s="389" t="s">
        <v>359</v>
      </c>
      <c r="G4" s="389" t="s">
        <v>360</v>
      </c>
      <c r="H4" s="389" t="s">
        <v>361</v>
      </c>
      <c r="I4" s="389" t="s">
        <v>362</v>
      </c>
      <c r="J4" s="389" t="s">
        <v>363</v>
      </c>
      <c r="K4" s="389" t="s">
        <v>364</v>
      </c>
      <c r="L4" s="389" t="s">
        <v>365</v>
      </c>
      <c r="M4" s="389" t="s">
        <v>366</v>
      </c>
      <c r="N4" s="389" t="s">
        <v>367</v>
      </c>
      <c r="O4" s="390" t="s">
        <v>317</v>
      </c>
    </row>
    <row r="5" spans="1:15" s="392" customFormat="1" ht="15" customHeight="1">
      <c r="A5" s="391" t="s">
        <v>10</v>
      </c>
      <c r="B5" s="1271" t="s">
        <v>249</v>
      </c>
      <c r="C5" s="1271"/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</row>
    <row r="6" spans="1:19" s="392" customFormat="1" ht="15" customHeight="1">
      <c r="A6" s="393" t="s">
        <v>163</v>
      </c>
      <c r="B6" s="394" t="s">
        <v>368</v>
      </c>
      <c r="C6" s="395"/>
      <c r="D6" s="395"/>
      <c r="E6" s="395">
        <v>9588986</v>
      </c>
      <c r="F6" s="395"/>
      <c r="G6" s="395"/>
      <c r="H6" s="395"/>
      <c r="I6" s="395"/>
      <c r="J6" s="395"/>
      <c r="K6" s="395">
        <v>9588986</v>
      </c>
      <c r="L6" s="395"/>
      <c r="M6" s="395"/>
      <c r="N6" s="395"/>
      <c r="O6" s="396">
        <f>SUM(D6:N6)</f>
        <v>19177972</v>
      </c>
      <c r="P6" s="392">
        <v>105070</v>
      </c>
      <c r="R6" s="392">
        <f>'1.sz.m-önk.össze.bev'!F7</f>
        <v>19177972</v>
      </c>
      <c r="S6" s="392">
        <f>R6/2</f>
        <v>9588986</v>
      </c>
    </row>
    <row r="7" spans="1:21" s="400" customFormat="1" ht="13.5" customHeight="1">
      <c r="A7" s="397" t="s">
        <v>69</v>
      </c>
      <c r="B7" s="398" t="s">
        <v>532</v>
      </c>
      <c r="C7" s="399">
        <v>818112</v>
      </c>
      <c r="D7" s="399">
        <v>818112</v>
      </c>
      <c r="E7" s="399">
        <v>818113</v>
      </c>
      <c r="F7" s="399">
        <v>818112</v>
      </c>
      <c r="G7" s="399">
        <v>818112</v>
      </c>
      <c r="H7" s="399">
        <f>818112+143363</f>
        <v>961475</v>
      </c>
      <c r="I7" s="399">
        <v>818113</v>
      </c>
      <c r="J7" s="399">
        <v>818112</v>
      </c>
      <c r="K7" s="399">
        <v>818112</v>
      </c>
      <c r="L7" s="399">
        <v>818112</v>
      </c>
      <c r="M7" s="399">
        <v>818113</v>
      </c>
      <c r="N7" s="399">
        <v>818112</v>
      </c>
      <c r="O7" s="396">
        <f>SUM(C7:N7)</f>
        <v>9960710</v>
      </c>
      <c r="P7" s="400">
        <v>73977</v>
      </c>
      <c r="R7" s="400">
        <f>'1.sz.m-önk.össze.bev'!F21</f>
        <v>9817347</v>
      </c>
      <c r="S7" s="400">
        <f>R7/12</f>
        <v>818112.25</v>
      </c>
      <c r="U7" s="392"/>
    </row>
    <row r="8" spans="1:21" s="400" customFormat="1" ht="30" customHeight="1">
      <c r="A8" s="397" t="s">
        <v>88</v>
      </c>
      <c r="B8" s="401" t="s">
        <v>533</v>
      </c>
      <c r="C8" s="402">
        <v>5407647</v>
      </c>
      <c r="D8" s="402">
        <v>5407647</v>
      </c>
      <c r="E8" s="402">
        <v>5407647</v>
      </c>
      <c r="F8" s="402">
        <v>5407647</v>
      </c>
      <c r="G8" s="402">
        <v>5407647</v>
      </c>
      <c r="H8" s="402">
        <v>5407647</v>
      </c>
      <c r="I8" s="402">
        <f>5407647+1534994</f>
        <v>6942641</v>
      </c>
      <c r="J8" s="402">
        <v>5407647</v>
      </c>
      <c r="K8" s="402">
        <v>5407646</v>
      </c>
      <c r="L8" s="402">
        <v>5407647</v>
      </c>
      <c r="M8" s="402">
        <v>5407647</v>
      </c>
      <c r="N8" s="402">
        <v>5407647</v>
      </c>
      <c r="O8" s="396">
        <f>SUM(C8:N8)</f>
        <v>66426757</v>
      </c>
      <c r="P8" s="400">
        <v>13700</v>
      </c>
      <c r="R8" s="400">
        <f>'1.sz.m-önk.össze.bev'!F37</f>
        <v>64891763</v>
      </c>
      <c r="S8" s="400">
        <f>R8/12</f>
        <v>5407646.916666667</v>
      </c>
      <c r="U8" s="392"/>
    </row>
    <row r="9" spans="1:21" s="400" customFormat="1" ht="41.25" customHeight="1">
      <c r="A9" s="397" t="s">
        <v>101</v>
      </c>
      <c r="B9" s="401" t="s">
        <v>534</v>
      </c>
      <c r="C9" s="402"/>
      <c r="D9" s="402"/>
      <c r="E9" s="402"/>
      <c r="F9" s="402"/>
      <c r="G9" s="402">
        <v>80000000</v>
      </c>
      <c r="H9" s="402"/>
      <c r="I9" s="402"/>
      <c r="J9" s="402"/>
      <c r="K9" s="402"/>
      <c r="L9" s="402"/>
      <c r="M9" s="402"/>
      <c r="N9" s="402">
        <v>5647503</v>
      </c>
      <c r="O9" s="396">
        <f>SUM(C9:N9)</f>
        <v>85647503</v>
      </c>
      <c r="P9" s="400">
        <v>246945</v>
      </c>
      <c r="U9" s="392"/>
    </row>
    <row r="10" spans="1:21" s="400" customFormat="1" ht="23.25" customHeight="1">
      <c r="A10" s="397" t="s">
        <v>109</v>
      </c>
      <c r="B10" s="398" t="s">
        <v>369</v>
      </c>
      <c r="C10" s="399"/>
      <c r="D10" s="399"/>
      <c r="E10" s="399"/>
      <c r="F10" s="399"/>
      <c r="G10" s="402"/>
      <c r="H10" s="402"/>
      <c r="I10" s="402"/>
      <c r="J10" s="399">
        <v>135000</v>
      </c>
      <c r="K10" s="399"/>
      <c r="L10" s="399"/>
      <c r="M10" s="399"/>
      <c r="N10" s="399"/>
      <c r="O10" s="396">
        <f>SUM(E10:N10)</f>
        <v>135000</v>
      </c>
      <c r="P10" s="400">
        <v>0</v>
      </c>
      <c r="U10" s="392"/>
    </row>
    <row r="11" spans="1:21" s="400" customFormat="1" ht="23.25" customHeight="1">
      <c r="A11" s="397" t="s">
        <v>118</v>
      </c>
      <c r="B11" s="398" t="s">
        <v>370</v>
      </c>
      <c r="C11" s="399"/>
      <c r="D11" s="399">
        <v>50000</v>
      </c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6">
        <f>SUM(C11:N11)</f>
        <v>50000</v>
      </c>
      <c r="P11" s="400">
        <v>7592</v>
      </c>
      <c r="U11" s="392"/>
    </row>
    <row r="12" spans="1:21" s="400" customFormat="1" ht="17.25" customHeight="1">
      <c r="A12" s="397" t="s">
        <v>130</v>
      </c>
      <c r="B12" s="398" t="s">
        <v>371</v>
      </c>
      <c r="C12" s="399">
        <f>+'1.sz.m-önk.össze.bev'!F64</f>
        <v>52654394</v>
      </c>
      <c r="D12" s="399"/>
      <c r="E12" s="399"/>
      <c r="F12" s="399"/>
      <c r="G12" s="399">
        <f>+'1.sz.m-önk.össze.bev'!F62</f>
        <v>0</v>
      </c>
      <c r="H12" s="399"/>
      <c r="I12" s="399"/>
      <c r="J12" s="399"/>
      <c r="K12" s="399"/>
      <c r="L12" s="399"/>
      <c r="M12" s="399"/>
      <c r="N12" s="399"/>
      <c r="O12" s="396">
        <f>SUM(C12:N12)</f>
        <v>52654394</v>
      </c>
      <c r="P12" s="400">
        <v>156053</v>
      </c>
      <c r="U12" s="392"/>
    </row>
    <row r="13" spans="1:17" s="392" customFormat="1" ht="21.75" customHeight="1">
      <c r="A13" s="397" t="s">
        <v>372</v>
      </c>
      <c r="B13" s="403"/>
      <c r="C13" s="403">
        <f>SUM(C7:C12)</f>
        <v>58880153</v>
      </c>
      <c r="D13" s="403">
        <f>SUM(D6:D12)</f>
        <v>6275759</v>
      </c>
      <c r="E13" s="403">
        <f aca="true" t="shared" si="0" ref="E13:O13">SUM(E6:E12)</f>
        <v>15814746</v>
      </c>
      <c r="F13" s="403">
        <f t="shared" si="0"/>
        <v>6225759</v>
      </c>
      <c r="G13" s="403">
        <f t="shared" si="0"/>
        <v>86225759</v>
      </c>
      <c r="H13" s="403">
        <f t="shared" si="0"/>
        <v>6369122</v>
      </c>
      <c r="I13" s="403">
        <f t="shared" si="0"/>
        <v>7760754</v>
      </c>
      <c r="J13" s="403">
        <f t="shared" si="0"/>
        <v>6360759</v>
      </c>
      <c r="K13" s="403">
        <f t="shared" si="0"/>
        <v>15814744</v>
      </c>
      <c r="L13" s="403">
        <f t="shared" si="0"/>
        <v>6225759</v>
      </c>
      <c r="M13" s="403">
        <f t="shared" si="0"/>
        <v>6225760</v>
      </c>
      <c r="N13" s="403">
        <f>SUM(N6:N12)</f>
        <v>11873262</v>
      </c>
      <c r="O13" s="403">
        <f t="shared" si="0"/>
        <v>234052336</v>
      </c>
      <c r="Q13" s="392">
        <f>SUM(P6:P12)</f>
        <v>603337</v>
      </c>
    </row>
    <row r="14" spans="1:15" s="392" customFormat="1" ht="22.5" customHeight="1">
      <c r="A14" s="397" t="s">
        <v>373</v>
      </c>
      <c r="B14" s="1271" t="s">
        <v>268</v>
      </c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>
        <f>SUM(O6:O13)</f>
        <v>468104672</v>
      </c>
    </row>
    <row r="15" spans="1:21" s="400" customFormat="1" ht="27.75" customHeight="1">
      <c r="A15" s="397" t="s">
        <v>374</v>
      </c>
      <c r="B15" s="401" t="s">
        <v>535</v>
      </c>
      <c r="C15" s="402">
        <v>8180878</v>
      </c>
      <c r="D15" s="402">
        <v>8180878</v>
      </c>
      <c r="E15" s="402">
        <v>8180878</v>
      </c>
      <c r="F15" s="402">
        <v>8180879</v>
      </c>
      <c r="G15" s="402">
        <v>8180878</v>
      </c>
      <c r="H15" s="402">
        <f>8180878+291665</f>
        <v>8472543</v>
      </c>
      <c r="I15" s="402">
        <v>8180878</v>
      </c>
      <c r="J15" s="402">
        <v>8180878</v>
      </c>
      <c r="K15" s="402">
        <v>8180879</v>
      </c>
      <c r="L15" s="402">
        <v>8180878</v>
      </c>
      <c r="M15" s="402">
        <v>8180878</v>
      </c>
      <c r="N15" s="402">
        <v>8180878</v>
      </c>
      <c r="O15" s="396">
        <f>SUM(C15:N15)</f>
        <v>98462203</v>
      </c>
      <c r="P15" s="400">
        <v>550166</v>
      </c>
      <c r="R15" s="400">
        <f>'1 .sz.m.önk.össz.kiad.'!F9</f>
        <v>98170538</v>
      </c>
      <c r="S15" s="400">
        <f>R15/12</f>
        <v>8180878.166666667</v>
      </c>
      <c r="U15" s="392"/>
    </row>
    <row r="16" spans="1:21" s="400" customFormat="1" ht="27" customHeight="1">
      <c r="A16" s="397" t="s">
        <v>375</v>
      </c>
      <c r="B16" s="398" t="s">
        <v>376</v>
      </c>
      <c r="C16" s="399"/>
      <c r="D16" s="399">
        <f>+'7.sz.m.fejlesztés (2)'!E9</f>
        <v>370113</v>
      </c>
      <c r="E16" s="399"/>
      <c r="F16" s="399"/>
      <c r="G16" s="399">
        <v>234338</v>
      </c>
      <c r="H16" s="399">
        <f>+'7.sz.m.fejlesztés (2)'!E30+'7.sz.m.fejlesztés (2)'!E31+'7.sz.m.fejlesztés (2)'!E10+'7.sz.m.fejlesztés (2)'!E11+'7.sz.m.fejlesztés (2)'!E12+'7.sz.m.fejlesztés (2)'!E13+'7.sz.m.fejlesztés (2)'!E14+'7.sz.m.fejlesztés (2)'!E15</f>
        <v>44510112</v>
      </c>
      <c r="I16" s="399"/>
      <c r="J16" s="399"/>
      <c r="K16" s="399">
        <f>+'7.sz.m.fejlesztés (2)'!E16+'7.sz.m.fejlesztés (2)'!E17+'7.sz.m.fejlesztés (2)'!E18+'7.sz.m.fejlesztés (2)'!E19-40000000+'7.sz.m.fejlesztés (2)'!E20+'7.sz.m.fejlesztés (2)'!E21</f>
        <v>44437755</v>
      </c>
      <c r="L16" s="399">
        <v>2987758</v>
      </c>
      <c r="M16" s="399"/>
      <c r="N16" s="399">
        <v>40000000</v>
      </c>
      <c r="O16" s="404">
        <f>SUM(C16:N16)</f>
        <v>132540076</v>
      </c>
      <c r="P16" s="400">
        <v>124458</v>
      </c>
      <c r="R16" s="400">
        <f>'1 .sz.m.önk.össz.kiad.'!F20-'12. sz.m. előir felh terv'!O16</f>
        <v>-234338</v>
      </c>
      <c r="U16" s="392"/>
    </row>
    <row r="17" spans="1:16" s="400" customFormat="1" ht="20.25" customHeight="1">
      <c r="A17" s="397" t="s">
        <v>377</v>
      </c>
      <c r="B17" s="398" t="s">
        <v>378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>
        <f>+'1 .sz.m.önk.össz.kiad.'!G29</f>
        <v>1769198</v>
      </c>
      <c r="O17" s="404">
        <f>SUM(N17:N17)</f>
        <v>1769198</v>
      </c>
      <c r="P17" s="400">
        <v>47140</v>
      </c>
    </row>
    <row r="18" spans="1:15" s="400" customFormat="1" ht="20.25" customHeight="1">
      <c r="A18" s="397">
        <v>16</v>
      </c>
      <c r="B18" s="398" t="s">
        <v>379</v>
      </c>
      <c r="C18" s="399">
        <f>'1 .sz.m.önk.össz.kiad.'!F36</f>
        <v>1280859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404">
        <f>SUM(C18:N18)</f>
        <v>1280859</v>
      </c>
    </row>
    <row r="19" spans="1:17" s="392" customFormat="1" ht="21.75" customHeight="1">
      <c r="A19" s="397" t="s">
        <v>380</v>
      </c>
      <c r="B19" s="405" t="s">
        <v>381</v>
      </c>
      <c r="C19" s="403">
        <f>SUM(C15:C18)</f>
        <v>9461737</v>
      </c>
      <c r="D19" s="403">
        <f aca="true" t="shared" si="1" ref="D19:N19">SUM(D15:D18)</f>
        <v>8550991</v>
      </c>
      <c r="E19" s="403">
        <f t="shared" si="1"/>
        <v>8180878</v>
      </c>
      <c r="F19" s="403">
        <f t="shared" si="1"/>
        <v>8180879</v>
      </c>
      <c r="G19" s="403">
        <f t="shared" si="1"/>
        <v>8415216</v>
      </c>
      <c r="H19" s="403">
        <f t="shared" si="1"/>
        <v>52982655</v>
      </c>
      <c r="I19" s="403">
        <f t="shared" si="1"/>
        <v>8180878</v>
      </c>
      <c r="J19" s="403">
        <f t="shared" si="1"/>
        <v>8180878</v>
      </c>
      <c r="K19" s="403">
        <f t="shared" si="1"/>
        <v>52618634</v>
      </c>
      <c r="L19" s="403">
        <f t="shared" si="1"/>
        <v>11168636</v>
      </c>
      <c r="M19" s="403">
        <f t="shared" si="1"/>
        <v>8180878</v>
      </c>
      <c r="N19" s="403">
        <f t="shared" si="1"/>
        <v>49950076</v>
      </c>
      <c r="O19" s="403">
        <f>SUM(O15:O18)</f>
        <v>234052336</v>
      </c>
      <c r="Q19" s="392">
        <f>SUM(P15:P17)</f>
        <v>721764</v>
      </c>
    </row>
    <row r="20" spans="1:15" ht="26.25" customHeight="1">
      <c r="A20" s="397" t="s">
        <v>382</v>
      </c>
      <c r="B20" s="406" t="s">
        <v>383</v>
      </c>
      <c r="C20" s="544">
        <f>C13-C19</f>
        <v>49418416</v>
      </c>
      <c r="D20" s="544">
        <f>C13+D13-C19-D19</f>
        <v>47143184</v>
      </c>
      <c r="E20" s="544">
        <f>C13+D13+E13-C19-D19-E19</f>
        <v>54777052</v>
      </c>
      <c r="F20" s="544">
        <f>C13+D13+E13+F13-C19-D19-E19-F19</f>
        <v>52821932</v>
      </c>
      <c r="G20" s="544">
        <f>(SUM(C13:G13))-(SUM(C19:G19))</f>
        <v>130632475</v>
      </c>
      <c r="H20" s="544">
        <f>(SUM(C13:H13))-(SUM(C19:H19))</f>
        <v>84018942</v>
      </c>
      <c r="I20" s="544">
        <f>(SUM(C13:I13))-(SUM(C19:I19))</f>
        <v>83598818</v>
      </c>
      <c r="J20" s="544">
        <f>(SUM(C13:J13))-(SUM(C19:J19))</f>
        <v>81778699</v>
      </c>
      <c r="K20" s="544">
        <f>(SUM(C13:K13))-(SUM(C19:K19))</f>
        <v>44974809</v>
      </c>
      <c r="L20" s="544">
        <f>(SUM(C13:L13))-(SUM(C19:L19))</f>
        <v>40031932</v>
      </c>
      <c r="M20" s="544">
        <f>(SUM(C13:M13))-(SUM(C19:M19))</f>
        <v>38076814</v>
      </c>
      <c r="N20" s="544">
        <f>(SUM(C13:N13))-(SUM(C19:N19))</f>
        <v>0</v>
      </c>
      <c r="O20" s="545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3.28125" style="423" customWidth="1"/>
    <col min="2" max="2" width="12.8515625" style="423" customWidth="1"/>
    <col min="3" max="3" width="12.00390625" style="423" customWidth="1"/>
    <col min="4" max="4" width="13.28125" style="423" hidden="1" customWidth="1"/>
    <col min="5" max="5" width="13.57421875" style="423" hidden="1" customWidth="1"/>
    <col min="6" max="7" width="13.8515625" style="423" hidden="1" customWidth="1"/>
    <col min="8" max="8" width="13.57421875" style="423" hidden="1" customWidth="1"/>
    <col min="9" max="16384" width="9.140625" style="423" customWidth="1"/>
  </cols>
  <sheetData>
    <row r="1" spans="1:8" ht="21" customHeight="1">
      <c r="A1" s="1276" t="s">
        <v>394</v>
      </c>
      <c r="B1" s="1276"/>
      <c r="C1" s="1276"/>
      <c r="D1" s="1276"/>
      <c r="E1" s="1276"/>
      <c r="F1" s="1276"/>
      <c r="G1" s="1276"/>
      <c r="H1" s="1276"/>
    </row>
    <row r="2" spans="1:8" s="424" customFormat="1" ht="51.75" customHeight="1">
      <c r="A2" s="1275" t="s">
        <v>648</v>
      </c>
      <c r="B2" s="1275"/>
      <c r="C2" s="1275"/>
      <c r="D2" s="1275"/>
      <c r="E2" s="1275"/>
      <c r="F2" s="1275"/>
      <c r="G2" s="1275"/>
      <c r="H2" s="1275"/>
    </row>
    <row r="3" spans="1:8" ht="15.75" customHeight="1" thickBot="1">
      <c r="A3" s="1277" t="s">
        <v>395</v>
      </c>
      <c r="B3" s="1277"/>
      <c r="C3" s="1277"/>
      <c r="D3" s="1277"/>
      <c r="E3" s="1277"/>
      <c r="F3" s="1277"/>
      <c r="G3" s="1277"/>
      <c r="H3" s="1277"/>
    </row>
    <row r="4" spans="1:8" s="427" customFormat="1" ht="24" customHeight="1" thickBot="1">
      <c r="A4" s="425" t="s">
        <v>396</v>
      </c>
      <c r="B4" s="426" t="s">
        <v>397</v>
      </c>
      <c r="C4" s="426" t="s">
        <v>7</v>
      </c>
      <c r="D4" s="426" t="s">
        <v>541</v>
      </c>
      <c r="E4" s="426" t="s">
        <v>552</v>
      </c>
      <c r="F4" s="590" t="s">
        <v>424</v>
      </c>
      <c r="G4" s="591" t="s">
        <v>472</v>
      </c>
      <c r="H4" s="591" t="s">
        <v>518</v>
      </c>
    </row>
    <row r="5" spans="1:8" s="431" customFormat="1" ht="21" customHeight="1" hidden="1">
      <c r="A5" s="428"/>
      <c r="B5" s="429"/>
      <c r="C5" s="429"/>
      <c r="D5" s="429"/>
      <c r="E5" s="430"/>
      <c r="F5" s="588"/>
      <c r="G5" s="588"/>
      <c r="H5" s="588"/>
    </row>
    <row r="6" spans="1:8" s="431" customFormat="1" ht="21" customHeight="1">
      <c r="A6" s="432" t="s">
        <v>398</v>
      </c>
      <c r="B6" s="929">
        <v>2159640</v>
      </c>
      <c r="C6" s="929">
        <v>2159640</v>
      </c>
      <c r="D6" s="433"/>
      <c r="E6" s="433"/>
      <c r="F6" s="589"/>
      <c r="G6" s="592"/>
      <c r="H6" s="592"/>
    </row>
    <row r="7" spans="1:8" s="431" customFormat="1" ht="21" customHeight="1">
      <c r="A7" s="432" t="s">
        <v>399</v>
      </c>
      <c r="B7" s="929">
        <v>1824000</v>
      </c>
      <c r="C7" s="929">
        <v>1824000</v>
      </c>
      <c r="D7" s="433"/>
      <c r="E7" s="433"/>
      <c r="F7" s="433"/>
      <c r="G7" s="434"/>
      <c r="H7" s="434"/>
    </row>
    <row r="8" spans="1:8" s="431" customFormat="1" ht="21" customHeight="1">
      <c r="A8" s="432" t="s">
        <v>400</v>
      </c>
      <c r="B8" s="433">
        <v>625899</v>
      </c>
      <c r="C8" s="433">
        <v>625899</v>
      </c>
      <c r="D8" s="433"/>
      <c r="E8" s="433"/>
      <c r="F8" s="433"/>
      <c r="G8" s="434"/>
      <c r="H8" s="434"/>
    </row>
    <row r="9" spans="1:8" s="431" customFormat="1" ht="21" customHeight="1">
      <c r="A9" s="432" t="s">
        <v>401</v>
      </c>
      <c r="B9" s="433">
        <v>1175860</v>
      </c>
      <c r="C9" s="433">
        <v>1175860</v>
      </c>
      <c r="D9" s="433"/>
      <c r="E9" s="433"/>
      <c r="F9" s="433"/>
      <c r="G9" s="434"/>
      <c r="H9" s="434"/>
    </row>
    <row r="10" spans="1:8" s="431" customFormat="1" ht="21" customHeight="1">
      <c r="A10" s="428" t="s">
        <v>402</v>
      </c>
      <c r="B10" s="435">
        <f>SUM(B6:B9)</f>
        <v>5785399</v>
      </c>
      <c r="C10" s="435">
        <f>SUM(C6:C9)</f>
        <v>5785399</v>
      </c>
      <c r="D10" s="435">
        <f>SUM(D6:D9)</f>
        <v>0</v>
      </c>
      <c r="E10" s="435">
        <f>SUM(E6:E9)</f>
        <v>0</v>
      </c>
      <c r="F10" s="435"/>
      <c r="G10" s="436"/>
      <c r="H10" s="436"/>
    </row>
    <row r="11" spans="1:8" s="431" customFormat="1" ht="21" customHeight="1">
      <c r="A11" s="432" t="s">
        <v>403</v>
      </c>
      <c r="B11" s="433">
        <v>5000000</v>
      </c>
      <c r="C11" s="433">
        <v>5000000</v>
      </c>
      <c r="D11" s="433"/>
      <c r="E11" s="433"/>
      <c r="F11" s="433"/>
      <c r="G11" s="434"/>
      <c r="H11" s="434"/>
    </row>
    <row r="12" spans="1:8" s="431" customFormat="1" ht="21" customHeight="1">
      <c r="A12" s="783" t="s">
        <v>702</v>
      </c>
      <c r="B12" s="433"/>
      <c r="C12" s="433">
        <v>65975</v>
      </c>
      <c r="D12" s="433"/>
      <c r="E12" s="433"/>
      <c r="F12" s="433"/>
      <c r="G12" s="434"/>
      <c r="H12" s="434"/>
    </row>
    <row r="13" spans="1:8" s="431" customFormat="1" ht="21" customHeight="1" hidden="1">
      <c r="A13" s="593" t="s">
        <v>404</v>
      </c>
      <c r="B13" s="433"/>
      <c r="C13" s="433"/>
      <c r="D13" s="433"/>
      <c r="E13" s="433"/>
      <c r="F13" s="433"/>
      <c r="G13" s="434"/>
      <c r="H13" s="434"/>
    </row>
    <row r="14" spans="1:8" s="431" customFormat="1" ht="21" customHeight="1" hidden="1">
      <c r="A14" s="437" t="s">
        <v>405</v>
      </c>
      <c r="B14" s="435"/>
      <c r="C14" s="435"/>
      <c r="D14" s="435"/>
      <c r="E14" s="435"/>
      <c r="F14" s="435"/>
      <c r="G14" s="436"/>
      <c r="H14" s="436"/>
    </row>
    <row r="15" spans="1:8" s="431" customFormat="1" ht="21" customHeight="1">
      <c r="A15" s="438" t="s">
        <v>406</v>
      </c>
      <c r="B15" s="435">
        <v>5000000</v>
      </c>
      <c r="C15" s="435">
        <v>5000000</v>
      </c>
      <c r="D15" s="435"/>
      <c r="E15" s="435"/>
      <c r="F15" s="435"/>
      <c r="G15" s="436"/>
      <c r="H15" s="436"/>
    </row>
    <row r="16" spans="1:8" s="431" customFormat="1" ht="21" customHeight="1">
      <c r="A16" s="437" t="s">
        <v>407</v>
      </c>
      <c r="B16" s="435">
        <v>15300</v>
      </c>
      <c r="C16" s="435">
        <v>15300</v>
      </c>
      <c r="D16" s="435"/>
      <c r="E16" s="435"/>
      <c r="F16" s="439"/>
      <c r="G16" s="440"/>
      <c r="H16" s="440"/>
    </row>
    <row r="17" spans="1:8" s="431" customFormat="1" ht="21" customHeight="1" hidden="1">
      <c r="A17" s="437" t="s">
        <v>590</v>
      </c>
      <c r="B17" s="928"/>
      <c r="C17" s="928"/>
      <c r="D17" s="928"/>
      <c r="E17" s="928"/>
      <c r="F17" s="439"/>
      <c r="G17" s="440"/>
      <c r="H17" s="440"/>
    </row>
    <row r="18" spans="1:8" s="431" customFormat="1" ht="21" customHeight="1" thickBot="1">
      <c r="A18" s="437" t="s">
        <v>589</v>
      </c>
      <c r="B18" s="918">
        <v>512400</v>
      </c>
      <c r="C18" s="918">
        <v>512400</v>
      </c>
      <c r="D18" s="918"/>
      <c r="E18" s="918"/>
      <c r="F18" s="439"/>
      <c r="G18" s="440"/>
      <c r="H18" s="440"/>
    </row>
    <row r="19" spans="1:8" s="443" customFormat="1" ht="24.75" customHeight="1" thickBot="1">
      <c r="A19" s="441" t="s">
        <v>408</v>
      </c>
      <c r="B19" s="442">
        <f>B10+B15+B16+B12+B17+B18</f>
        <v>11313099</v>
      </c>
      <c r="C19" s="442">
        <f>C10+C15+C16+C12+C17+C18</f>
        <v>11379074</v>
      </c>
      <c r="D19" s="442">
        <f>D10+D15+D16+D12+D18</f>
        <v>0</v>
      </c>
      <c r="E19" s="442">
        <f>E10+E15+E16+E12+E18</f>
        <v>0</v>
      </c>
      <c r="F19" s="442">
        <f>SUM(F6:F16)</f>
        <v>0</v>
      </c>
      <c r="G19" s="594">
        <f>SUM(G6:G16)</f>
        <v>0</v>
      </c>
      <c r="H19" s="594">
        <f>SUM(H6:H16)</f>
        <v>0</v>
      </c>
    </row>
    <row r="20" spans="1:8" ht="24.75" customHeight="1">
      <c r="A20" s="444" t="s">
        <v>409</v>
      </c>
      <c r="B20" s="429">
        <f>7868700+2400000</f>
        <v>10268700</v>
      </c>
      <c r="C20" s="429">
        <f>7868700+2400000</f>
        <v>10268700</v>
      </c>
      <c r="D20" s="429"/>
      <c r="E20" s="429"/>
      <c r="F20" s="429"/>
      <c r="G20" s="430"/>
      <c r="H20" s="430"/>
    </row>
    <row r="21" spans="1:8" ht="24.75" customHeight="1" thickBot="1">
      <c r="A21" s="437" t="s">
        <v>410</v>
      </c>
      <c r="B21" s="435">
        <f>909067+454533</f>
        <v>1363600</v>
      </c>
      <c r="C21" s="435">
        <f>909067+454533</f>
        <v>1363600</v>
      </c>
      <c r="D21" s="435"/>
      <c r="E21" s="435"/>
      <c r="F21" s="435"/>
      <c r="G21" s="436"/>
      <c r="H21" s="436"/>
    </row>
    <row r="22" spans="1:8" s="443" customFormat="1" ht="24.75" customHeight="1" thickBot="1">
      <c r="A22" s="441" t="s">
        <v>411</v>
      </c>
      <c r="B22" s="445">
        <f aca="true" t="shared" si="0" ref="B22:G22">SUM(B20:B21)</f>
        <v>11632300</v>
      </c>
      <c r="C22" s="445">
        <f>SUM(C20:C21)</f>
        <v>11632300</v>
      </c>
      <c r="D22" s="445">
        <f>SUM(D20:D21)</f>
        <v>0</v>
      </c>
      <c r="E22" s="445">
        <f>SUM(E20:E21)</f>
        <v>0</v>
      </c>
      <c r="F22" s="445">
        <f t="shared" si="0"/>
        <v>0</v>
      </c>
      <c r="G22" s="595">
        <f t="shared" si="0"/>
        <v>0</v>
      </c>
      <c r="H22" s="595">
        <f>SUM(H20:H21)</f>
        <v>0</v>
      </c>
    </row>
    <row r="23" spans="1:8" ht="24.75" customHeight="1" thickBot="1">
      <c r="A23" s="446" t="s">
        <v>673</v>
      </c>
      <c r="B23" s="447">
        <v>4155000</v>
      </c>
      <c r="C23" s="447">
        <v>4155000</v>
      </c>
      <c r="D23" s="447"/>
      <c r="E23" s="447"/>
      <c r="F23" s="447"/>
      <c r="G23" s="596"/>
      <c r="H23" s="596"/>
    </row>
    <row r="24" spans="1:8" ht="24.75" customHeight="1">
      <c r="A24" s="448" t="s">
        <v>412</v>
      </c>
      <c r="B24" s="449">
        <v>1672000</v>
      </c>
      <c r="C24" s="449">
        <v>1672000</v>
      </c>
      <c r="D24" s="449"/>
      <c r="E24" s="449"/>
      <c r="F24" s="449"/>
      <c r="G24" s="597"/>
      <c r="H24" s="597"/>
    </row>
    <row r="25" spans="1:8" ht="24.75" customHeight="1" thickBot="1">
      <c r="A25" s="450" t="s">
        <v>413</v>
      </c>
      <c r="B25" s="451">
        <v>1449074</v>
      </c>
      <c r="C25" s="451">
        <v>1449074</v>
      </c>
      <c r="D25" s="451"/>
      <c r="E25" s="451"/>
      <c r="F25" s="451"/>
      <c r="G25" s="598"/>
      <c r="H25" s="598"/>
    </row>
    <row r="26" spans="1:8" ht="24.75" customHeight="1" hidden="1" thickBot="1">
      <c r="A26" s="462" t="s">
        <v>420</v>
      </c>
      <c r="B26" s="463">
        <v>0</v>
      </c>
      <c r="C26" s="463">
        <v>0</v>
      </c>
      <c r="D26" s="463">
        <v>0</v>
      </c>
      <c r="E26" s="463">
        <v>0</v>
      </c>
      <c r="F26" s="463"/>
      <c r="G26" s="599"/>
      <c r="H26" s="599"/>
    </row>
    <row r="27" spans="1:9" ht="24.75" customHeight="1" thickBot="1">
      <c r="A27" s="452" t="s">
        <v>414</v>
      </c>
      <c r="B27" s="447">
        <f aca="true" t="shared" si="1" ref="B27:H27">SUM(B24:B26)</f>
        <v>3121074</v>
      </c>
      <c r="C27" s="447">
        <f>SUM(C24:C26)</f>
        <v>3121074</v>
      </c>
      <c r="D27" s="447">
        <f t="shared" si="1"/>
        <v>0</v>
      </c>
      <c r="E27" s="447">
        <f t="shared" si="1"/>
        <v>0</v>
      </c>
      <c r="F27" s="447">
        <f t="shared" si="1"/>
        <v>0</v>
      </c>
      <c r="G27" s="596">
        <f t="shared" si="1"/>
        <v>0</v>
      </c>
      <c r="H27" s="596">
        <f t="shared" si="1"/>
        <v>0</v>
      </c>
      <c r="I27" s="735"/>
    </row>
    <row r="28" spans="1:8" ht="24.75" customHeight="1" thickBot="1">
      <c r="A28" s="453" t="s">
        <v>415</v>
      </c>
      <c r="B28" s="454">
        <v>1800000</v>
      </c>
      <c r="C28" s="454">
        <v>1800000</v>
      </c>
      <c r="D28" s="454"/>
      <c r="E28" s="454"/>
      <c r="F28" s="454"/>
      <c r="G28" s="600"/>
      <c r="H28" s="600"/>
    </row>
    <row r="29" spans="1:8" s="455" customFormat="1" ht="24.75" customHeight="1" thickBot="1">
      <c r="A29" s="736" t="s">
        <v>703</v>
      </c>
      <c r="B29" s="737"/>
      <c r="C29" s="737">
        <v>72618</v>
      </c>
      <c r="D29" s="737"/>
      <c r="E29" s="737"/>
      <c r="F29" s="740"/>
      <c r="G29" s="740"/>
      <c r="H29" s="740"/>
    </row>
    <row r="30" spans="1:8" ht="24.75" customHeight="1" hidden="1">
      <c r="A30" s="734" t="s">
        <v>519</v>
      </c>
      <c r="B30" s="456"/>
      <c r="C30" s="456"/>
      <c r="D30" s="456"/>
      <c r="E30" s="456"/>
      <c r="F30" s="497"/>
      <c r="G30" s="497"/>
      <c r="H30" s="738"/>
    </row>
    <row r="31" spans="1:8" ht="24.75" customHeight="1" hidden="1">
      <c r="A31" s="734" t="s">
        <v>520</v>
      </c>
      <c r="B31" s="457"/>
      <c r="C31" s="457"/>
      <c r="D31" s="457"/>
      <c r="E31" s="457"/>
      <c r="F31" s="496"/>
      <c r="G31" s="496"/>
      <c r="H31" s="739"/>
    </row>
    <row r="32" spans="1:8" ht="24.75" customHeight="1" hidden="1">
      <c r="A32" s="438" t="s">
        <v>649</v>
      </c>
      <c r="B32" s="457"/>
      <c r="C32" s="457"/>
      <c r="D32" s="457"/>
      <c r="E32" s="920"/>
      <c r="F32" s="496"/>
      <c r="G32" s="496"/>
      <c r="H32" s="496"/>
    </row>
    <row r="33" spans="1:8" ht="31.5" customHeight="1" hidden="1">
      <c r="A33" s="917" t="s">
        <v>650</v>
      </c>
      <c r="B33" s="457"/>
      <c r="C33" s="457"/>
      <c r="D33" s="457"/>
      <c r="E33" s="920"/>
      <c r="F33" s="496"/>
      <c r="G33" s="496"/>
      <c r="H33" s="496"/>
    </row>
    <row r="34" spans="1:8" ht="30" customHeight="1" hidden="1">
      <c r="A34" s="917" t="s">
        <v>651</v>
      </c>
      <c r="B34" s="457"/>
      <c r="C34" s="457"/>
      <c r="D34" s="457"/>
      <c r="E34" s="920"/>
      <c r="F34" s="496"/>
      <c r="G34" s="496"/>
      <c r="H34" s="496"/>
    </row>
    <row r="35" spans="1:8" ht="24.75" customHeight="1" hidden="1">
      <c r="A35" s="438" t="s">
        <v>553</v>
      </c>
      <c r="B35" s="457"/>
      <c r="C35" s="457"/>
      <c r="D35" s="457"/>
      <c r="E35" s="920"/>
      <c r="F35" s="496"/>
      <c r="G35" s="496"/>
      <c r="H35" s="496"/>
    </row>
    <row r="36" spans="1:9" ht="24.75" customHeight="1" hidden="1">
      <c r="A36" s="438" t="s">
        <v>554</v>
      </c>
      <c r="B36" s="457"/>
      <c r="C36" s="457"/>
      <c r="D36" s="457"/>
      <c r="E36" s="920"/>
      <c r="F36" s="496"/>
      <c r="G36" s="496"/>
      <c r="H36" s="496"/>
      <c r="I36" s="735"/>
    </row>
    <row r="37" spans="1:9" ht="24.75" customHeight="1" hidden="1">
      <c r="A37" s="438" t="s">
        <v>416</v>
      </c>
      <c r="B37" s="457"/>
      <c r="C37" s="457"/>
      <c r="D37" s="457"/>
      <c r="E37" s="457"/>
      <c r="F37" s="496"/>
      <c r="G37" s="496"/>
      <c r="H37" s="496"/>
      <c r="I37" s="735"/>
    </row>
    <row r="38" spans="1:8" s="461" customFormat="1" ht="26.25" customHeight="1" thickBot="1">
      <c r="A38" s="458" t="s">
        <v>296</v>
      </c>
      <c r="B38" s="459">
        <f>B19+B22+B23+B27+B28</f>
        <v>32021473</v>
      </c>
      <c r="C38" s="459">
        <f>C19+C22+C23+C27+C28+C29</f>
        <v>32160066</v>
      </c>
      <c r="D38" s="459">
        <f>D19+D22+D23+D27+D28+D32+D33+D34</f>
        <v>0</v>
      </c>
      <c r="E38" s="459">
        <f>E19+E22+E23+E27+E28+E32+E33+E34+E35+E36</f>
        <v>0</v>
      </c>
      <c r="F38" s="459">
        <f>F19+F22+F23+F27+F28+F29</f>
        <v>0</v>
      </c>
      <c r="G38" s="460">
        <f>G19+G22+G23+G27+G28+G29</f>
        <v>0</v>
      </c>
      <c r="H38" s="460">
        <f>H19+H22+H23+H27+H28+H29+H30+H31</f>
        <v>0</v>
      </c>
    </row>
    <row r="39" spans="3:5" ht="15">
      <c r="C39" s="735"/>
      <c r="E39" s="735"/>
    </row>
    <row r="40" spans="2:8" ht="15">
      <c r="B40" s="735"/>
      <c r="C40" s="735"/>
      <c r="D40" s="735"/>
      <c r="H40" s="735"/>
    </row>
    <row r="41" spans="5:8" ht="15">
      <c r="E41" s="735"/>
      <c r="H41" s="735"/>
    </row>
    <row r="42" spans="4:8" ht="15">
      <c r="D42" s="735"/>
      <c r="H42" s="735"/>
    </row>
  </sheetData>
  <sheetProtection selectLockedCells="1" selectUnlockedCells="1"/>
  <mergeCells count="3"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31.00390625" style="685" customWidth="1"/>
    <col min="2" max="2" width="19.7109375" style="686" customWidth="1"/>
    <col min="3" max="3" width="15.28125" style="686" customWidth="1"/>
    <col min="4" max="4" width="14.28125" style="686" customWidth="1"/>
    <col min="5" max="5" width="13.421875" style="686" customWidth="1"/>
    <col min="6" max="6" width="13.8515625" style="686" customWidth="1"/>
    <col min="7" max="7" width="12.8515625" style="686" customWidth="1"/>
    <col min="8" max="8" width="13.57421875" style="686" customWidth="1"/>
    <col min="9" max="16384" width="9.140625" style="686" customWidth="1"/>
  </cols>
  <sheetData>
    <row r="1" spans="3:7" ht="15">
      <c r="C1" s="10"/>
      <c r="F1" s="1283" t="s">
        <v>477</v>
      </c>
      <c r="G1" s="1283"/>
    </row>
    <row r="2" spans="1:7" ht="24.75" customHeight="1">
      <c r="A2" s="1284" t="s">
        <v>478</v>
      </c>
      <c r="B2" s="1284"/>
      <c r="C2" s="1284"/>
      <c r="D2" s="1284"/>
      <c r="E2" s="1284"/>
      <c r="F2" s="1284"/>
      <c r="G2" s="1284"/>
    </row>
    <row r="3" spans="1:7" ht="18.75" customHeight="1">
      <c r="A3" s="1285">
        <v>2020</v>
      </c>
      <c r="B3" s="1285"/>
      <c r="C3" s="1285"/>
      <c r="D3" s="1285"/>
      <c r="E3" s="1285"/>
      <c r="F3" s="1285"/>
      <c r="G3" s="1285"/>
    </row>
    <row r="4" spans="1:7" ht="24.75" customHeight="1">
      <c r="A4" s="1286" t="s">
        <v>479</v>
      </c>
      <c r="B4" s="1286"/>
      <c r="C4" s="1286"/>
      <c r="D4" s="1286"/>
      <c r="E4" s="1286"/>
      <c r="F4" s="1286"/>
      <c r="G4" s="1286"/>
    </row>
    <row r="5" spans="6:7" ht="15.75" thickBot="1">
      <c r="F5" s="1278" t="s">
        <v>536</v>
      </c>
      <c r="G5" s="1278"/>
    </row>
    <row r="6" spans="1:7" ht="24.75" customHeight="1" thickBot="1">
      <c r="A6" s="1281" t="s">
        <v>480</v>
      </c>
      <c r="B6" s="1282" t="s">
        <v>481</v>
      </c>
      <c r="C6" s="1282"/>
      <c r="D6" s="1282"/>
      <c r="E6" s="1279" t="s">
        <v>482</v>
      </c>
      <c r="F6" s="1279"/>
      <c r="G6" s="1279"/>
    </row>
    <row r="7" spans="1:7" ht="24.75" customHeight="1" thickBot="1">
      <c r="A7" s="1281"/>
      <c r="B7" s="687" t="s">
        <v>483</v>
      </c>
      <c r="C7" s="687" t="s">
        <v>484</v>
      </c>
      <c r="D7" s="687" t="s">
        <v>485</v>
      </c>
      <c r="E7" s="688" t="s">
        <v>483</v>
      </c>
      <c r="F7" s="687" t="s">
        <v>486</v>
      </c>
      <c r="G7" s="689" t="s">
        <v>485</v>
      </c>
    </row>
    <row r="8" spans="1:7" ht="33.75" customHeight="1">
      <c r="A8" s="690" t="s">
        <v>630</v>
      </c>
      <c r="B8" s="958"/>
      <c r="C8" s="958"/>
      <c r="D8" s="958"/>
      <c r="E8" s="1075"/>
      <c r="F8" s="1075"/>
      <c r="G8" s="1076"/>
    </row>
    <row r="9" spans="1:7" ht="33.75" customHeight="1" hidden="1">
      <c r="A9" s="691" t="s">
        <v>487</v>
      </c>
      <c r="B9" s="1077"/>
      <c r="C9" s="1077"/>
      <c r="D9" s="958"/>
      <c r="E9" s="1078"/>
      <c r="F9" s="1078"/>
      <c r="G9" s="960"/>
    </row>
    <row r="10" spans="1:7" ht="33.75" customHeight="1">
      <c r="A10" s="691" t="s">
        <v>488</v>
      </c>
      <c r="B10" s="1077">
        <v>0</v>
      </c>
      <c r="C10" s="1077"/>
      <c r="D10" s="958">
        <f>+B10+C10</f>
        <v>0</v>
      </c>
      <c r="E10" s="1078">
        <v>24760</v>
      </c>
      <c r="F10" s="1078"/>
      <c r="G10" s="960">
        <f>+E10+F10</f>
        <v>24760</v>
      </c>
    </row>
    <row r="11" spans="1:7" ht="33.75" customHeight="1">
      <c r="A11" s="692" t="s">
        <v>19</v>
      </c>
      <c r="B11" s="957"/>
      <c r="C11" s="957">
        <v>9020000</v>
      </c>
      <c r="D11" s="958">
        <f>+B11+C11</f>
        <v>9020000</v>
      </c>
      <c r="E11" s="959"/>
      <c r="F11" s="959"/>
      <c r="G11" s="960"/>
    </row>
    <row r="12" spans="1:7" ht="33.75" customHeight="1" thickBot="1">
      <c r="A12" s="693" t="s">
        <v>38</v>
      </c>
      <c r="B12" s="961"/>
      <c r="C12" s="961"/>
      <c r="D12" s="958"/>
      <c r="E12" s="962"/>
      <c r="F12" s="962"/>
      <c r="G12" s="963"/>
    </row>
    <row r="13" spans="1:7" ht="33.75" customHeight="1" thickBot="1">
      <c r="A13" s="694" t="s">
        <v>293</v>
      </c>
      <c r="B13" s="1079">
        <f>SUM(B10:B12)</f>
        <v>0</v>
      </c>
      <c r="C13" s="1079">
        <f>SUM(C8:C12)</f>
        <v>9020000</v>
      </c>
      <c r="D13" s="1079">
        <f>SUM(D8:D12)</f>
        <v>9020000</v>
      </c>
      <c r="E13" s="1079">
        <f>SUM(E10:E12)</f>
        <v>24760</v>
      </c>
      <c r="F13" s="1079"/>
      <c r="G13" s="1080">
        <f>SUM(G10:G12)</f>
        <v>24760</v>
      </c>
    </row>
    <row r="15" spans="1:7" ht="28.5" customHeight="1" thickBot="1">
      <c r="A15" s="1280" t="s">
        <v>489</v>
      </c>
      <c r="B15" s="1280"/>
      <c r="C15" s="1280"/>
      <c r="D15" s="1280"/>
      <c r="E15" s="1280"/>
      <c r="F15" s="1280"/>
      <c r="G15" s="1280"/>
    </row>
    <row r="16" spans="1:7" ht="16.5" customHeight="1" thickBot="1">
      <c r="A16" s="1281" t="s">
        <v>396</v>
      </c>
      <c r="B16" s="1282" t="s">
        <v>481</v>
      </c>
      <c r="C16" s="1282"/>
      <c r="D16" s="1282"/>
      <c r="E16" s="1279" t="s">
        <v>482</v>
      </c>
      <c r="F16" s="1279"/>
      <c r="G16" s="1279"/>
    </row>
    <row r="17" spans="1:7" ht="19.5" customHeight="1" thickBot="1">
      <c r="A17" s="1281"/>
      <c r="B17" s="687" t="s">
        <v>483</v>
      </c>
      <c r="C17" s="687" t="s">
        <v>484</v>
      </c>
      <c r="D17" s="687" t="s">
        <v>485</v>
      </c>
      <c r="E17" s="688" t="s">
        <v>483</v>
      </c>
      <c r="F17" s="687" t="s">
        <v>486</v>
      </c>
      <c r="G17" s="689" t="s">
        <v>485</v>
      </c>
    </row>
    <row r="18" spans="1:7" ht="30" customHeight="1">
      <c r="A18" s="692" t="s">
        <v>490</v>
      </c>
      <c r="B18" s="957">
        <v>413952</v>
      </c>
      <c r="C18" s="957"/>
      <c r="D18" s="958">
        <f>SUM(B18:C18)</f>
        <v>413952</v>
      </c>
      <c r="E18" s="959"/>
      <c r="F18" s="959"/>
      <c r="G18" s="960"/>
    </row>
    <row r="19" spans="1:7" ht="30" customHeight="1" hidden="1">
      <c r="A19" s="692" t="s">
        <v>591</v>
      </c>
      <c r="B19" s="954"/>
      <c r="C19" s="954"/>
      <c r="D19" s="953">
        <f>SUM(B19:C19)</f>
        <v>0</v>
      </c>
      <c r="E19" s="955"/>
      <c r="F19" s="955"/>
      <c r="G19" s="956"/>
    </row>
    <row r="20" spans="1:7" ht="29.25" customHeight="1" thickBot="1">
      <c r="A20" s="693" t="s">
        <v>491</v>
      </c>
      <c r="B20" s="961">
        <v>167307</v>
      </c>
      <c r="C20" s="961"/>
      <c r="D20" s="961">
        <f>SUM(B20:C20)</f>
        <v>167307</v>
      </c>
      <c r="E20" s="962"/>
      <c r="F20" s="962"/>
      <c r="G20" s="963"/>
    </row>
    <row r="21" spans="1:7" s="697" customFormat="1" ht="27.75" customHeight="1" thickBot="1">
      <c r="A21" s="694" t="s">
        <v>293</v>
      </c>
      <c r="B21" s="695">
        <f>SUM(B18:B20)</f>
        <v>581259</v>
      </c>
      <c r="C21" s="695"/>
      <c r="D21" s="695">
        <f>SUM(D18:D20)</f>
        <v>581259</v>
      </c>
      <c r="E21" s="695"/>
      <c r="F21" s="695"/>
      <c r="G21" s="696"/>
    </row>
  </sheetData>
  <sheetProtection selectLockedCells="1" selectUnlockedCells="1"/>
  <mergeCells count="12">
    <mergeCell ref="F1:G1"/>
    <mergeCell ref="A2:G2"/>
    <mergeCell ref="A3:G3"/>
    <mergeCell ref="A4:G4"/>
    <mergeCell ref="A6:A7"/>
    <mergeCell ref="B6:D6"/>
    <mergeCell ref="F5:G5"/>
    <mergeCell ref="E6:G6"/>
    <mergeCell ref="A15:G15"/>
    <mergeCell ref="A16:A17"/>
    <mergeCell ref="B16:D16"/>
    <mergeCell ref="E16:G1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workbookViewId="0" topLeftCell="A7">
      <selection activeCell="I3" sqref="I3:I4"/>
    </sheetView>
  </sheetViews>
  <sheetFormatPr defaultColWidth="9.140625" defaultRowHeight="12.75"/>
  <cols>
    <col min="1" max="1" width="5.8515625" style="970" customWidth="1"/>
    <col min="2" max="2" width="42.57421875" style="969" customWidth="1"/>
    <col min="3" max="8" width="11.00390625" style="969" customWidth="1"/>
    <col min="9" max="9" width="12.28125" style="969" customWidth="1"/>
    <col min="10" max="10" width="2.8515625" style="969" customWidth="1"/>
    <col min="11" max="16384" width="9.140625" style="969" customWidth="1"/>
  </cols>
  <sheetData>
    <row r="1" spans="1:9" ht="27.75" customHeight="1">
      <c r="A1" s="1290" t="s">
        <v>592</v>
      </c>
      <c r="B1" s="1290"/>
      <c r="C1" s="1290"/>
      <c r="D1" s="1290"/>
      <c r="E1" s="1290"/>
      <c r="F1" s="1290"/>
      <c r="G1" s="1290"/>
      <c r="H1" s="1290"/>
      <c r="I1" s="1290"/>
    </row>
    <row r="2" ht="20.25" customHeight="1" thickBot="1">
      <c r="I2" s="971" t="str">
        <f>'[1]1. sz tájékoztató t.'!E2</f>
        <v>Forintban!</v>
      </c>
    </row>
    <row r="3" spans="1:9" s="972" customFormat="1" ht="26.25" customHeight="1">
      <c r="A3" s="1291" t="s">
        <v>593</v>
      </c>
      <c r="B3" s="1293" t="s">
        <v>594</v>
      </c>
      <c r="C3" s="1291" t="s">
        <v>595</v>
      </c>
      <c r="D3" s="1295" t="s">
        <v>674</v>
      </c>
      <c r="E3" s="1297" t="s">
        <v>596</v>
      </c>
      <c r="F3" s="1298"/>
      <c r="G3" s="1298"/>
      <c r="H3" s="1299"/>
      <c r="I3" s="1293" t="s">
        <v>293</v>
      </c>
    </row>
    <row r="4" spans="1:9" s="975" customFormat="1" ht="32.25" customHeight="1" thickBot="1">
      <c r="A4" s="1292"/>
      <c r="B4" s="1294"/>
      <c r="C4" s="1294"/>
      <c r="D4" s="1296"/>
      <c r="E4" s="973" t="s">
        <v>612</v>
      </c>
      <c r="F4" s="973" t="s">
        <v>627</v>
      </c>
      <c r="G4" s="973" t="s">
        <v>612</v>
      </c>
      <c r="H4" s="974" t="s">
        <v>687</v>
      </c>
      <c r="I4" s="1294"/>
    </row>
    <row r="5" spans="1:9" s="981" customFormat="1" ht="12.75" customHeight="1" thickBot="1">
      <c r="A5" s="976" t="s">
        <v>597</v>
      </c>
      <c r="B5" s="977" t="s">
        <v>598</v>
      </c>
      <c r="C5" s="978" t="s">
        <v>599</v>
      </c>
      <c r="D5" s="977" t="s">
        <v>600</v>
      </c>
      <c r="E5" s="976" t="s">
        <v>601</v>
      </c>
      <c r="F5" s="978" t="s">
        <v>602</v>
      </c>
      <c r="G5" s="978" t="s">
        <v>603</v>
      </c>
      <c r="H5" s="979" t="s">
        <v>604</v>
      </c>
      <c r="I5" s="980" t="s">
        <v>605</v>
      </c>
    </row>
    <row r="6" spans="1:9" ht="24.75" customHeight="1" thickBot="1">
      <c r="A6" s="982">
        <v>1</v>
      </c>
      <c r="B6" s="982" t="s">
        <v>606</v>
      </c>
      <c r="C6" s="983"/>
      <c r="D6" s="984">
        <f>+D7+D8</f>
        <v>0</v>
      </c>
      <c r="E6" s="985">
        <f>+E7+E8</f>
        <v>0</v>
      </c>
      <c r="F6" s="986">
        <f>+F7+F8</f>
        <v>0</v>
      </c>
      <c r="G6" s="986">
        <f>+G7+G8</f>
        <v>0</v>
      </c>
      <c r="H6" s="987">
        <f>+H7+H8</f>
        <v>0</v>
      </c>
      <c r="I6" s="988">
        <f aca="true" t="shared" si="0" ref="I6:I29">SUM(D6:H6)</f>
        <v>0</v>
      </c>
    </row>
    <row r="7" spans="1:10" ht="19.5" customHeight="1">
      <c r="A7" s="989">
        <v>2</v>
      </c>
      <c r="B7" s="989" t="s">
        <v>607</v>
      </c>
      <c r="C7" s="990"/>
      <c r="D7" s="991"/>
      <c r="E7" s="992"/>
      <c r="F7" s="993"/>
      <c r="G7" s="993"/>
      <c r="H7" s="994"/>
      <c r="I7" s="995">
        <f t="shared" si="0"/>
        <v>0</v>
      </c>
      <c r="J7" s="1287"/>
    </row>
    <row r="8" spans="1:10" ht="19.5" customHeight="1" thickBot="1">
      <c r="A8" s="989">
        <v>3</v>
      </c>
      <c r="B8" s="989" t="s">
        <v>607</v>
      </c>
      <c r="C8" s="990"/>
      <c r="D8" s="991"/>
      <c r="E8" s="992"/>
      <c r="F8" s="993"/>
      <c r="G8" s="993"/>
      <c r="H8" s="994"/>
      <c r="I8" s="995">
        <f t="shared" si="0"/>
        <v>0</v>
      </c>
      <c r="J8" s="1287"/>
    </row>
    <row r="9" spans="1:10" ht="25.5" customHeight="1" thickBot="1">
      <c r="A9" s="982">
        <v>4</v>
      </c>
      <c r="B9" s="982" t="s">
        <v>608</v>
      </c>
      <c r="C9" s="983"/>
      <c r="D9" s="984">
        <f>+D10+D11</f>
        <v>0</v>
      </c>
      <c r="E9" s="985">
        <f>+E10+E11</f>
        <v>0</v>
      </c>
      <c r="F9" s="986">
        <f>+F10+F11</f>
        <v>0</v>
      </c>
      <c r="G9" s="986">
        <f>+G10+G11</f>
        <v>0</v>
      </c>
      <c r="H9" s="987">
        <f>+H10+H11</f>
        <v>0</v>
      </c>
      <c r="I9" s="988">
        <f t="shared" si="0"/>
        <v>0</v>
      </c>
      <c r="J9" s="1287"/>
    </row>
    <row r="10" spans="1:10" ht="19.5" customHeight="1">
      <c r="A10" s="989">
        <v>5</v>
      </c>
      <c r="B10" s="989" t="s">
        <v>607</v>
      </c>
      <c r="C10" s="990"/>
      <c r="D10" s="991"/>
      <c r="E10" s="992"/>
      <c r="F10" s="993"/>
      <c r="G10" s="993"/>
      <c r="H10" s="994"/>
      <c r="I10" s="995">
        <f t="shared" si="0"/>
        <v>0</v>
      </c>
      <c r="J10" s="1287"/>
    </row>
    <row r="11" spans="1:10" ht="19.5" customHeight="1" thickBot="1">
      <c r="A11" s="989">
        <v>6</v>
      </c>
      <c r="B11" s="989" t="s">
        <v>607</v>
      </c>
      <c r="C11" s="990"/>
      <c r="D11" s="991"/>
      <c r="E11" s="992"/>
      <c r="F11" s="993"/>
      <c r="G11" s="993"/>
      <c r="H11" s="994"/>
      <c r="I11" s="995">
        <f t="shared" si="0"/>
        <v>0</v>
      </c>
      <c r="J11" s="1287"/>
    </row>
    <row r="12" spans="1:10" ht="19.5" customHeight="1" thickBot="1">
      <c r="A12" s="982">
        <v>7</v>
      </c>
      <c r="B12" s="982" t="s">
        <v>609</v>
      </c>
      <c r="C12" s="983"/>
      <c r="D12" s="985">
        <f>+D14+D13</f>
        <v>0</v>
      </c>
      <c r="E12" s="986">
        <f>SUM(E13:E22)</f>
        <v>107519368</v>
      </c>
      <c r="F12" s="986">
        <f>SUM(F13:F22)</f>
        <v>0</v>
      </c>
      <c r="G12" s="986">
        <f>SUM(G13:G22)</f>
        <v>0</v>
      </c>
      <c r="H12" s="986">
        <f>SUM(H13:H22)</f>
        <v>0</v>
      </c>
      <c r="I12" s="988">
        <f>SUM(D12:H12)</f>
        <v>107519368</v>
      </c>
      <c r="J12" s="1287"/>
    </row>
    <row r="13" spans="1:10" ht="79.5" customHeight="1" hidden="1">
      <c r="A13" s="996" t="s">
        <v>120</v>
      </c>
      <c r="B13" s="997"/>
      <c r="C13" s="998"/>
      <c r="D13" s="999"/>
      <c r="F13" s="1000"/>
      <c r="G13" s="1000"/>
      <c r="H13" s="1001"/>
      <c r="I13" s="1002">
        <f>SUM(D13:H13)</f>
        <v>0</v>
      </c>
      <c r="J13" s="1287"/>
    </row>
    <row r="14" spans="1:10" ht="22.5">
      <c r="A14" s="989">
        <v>8</v>
      </c>
      <c r="B14" s="989" t="s">
        <v>675</v>
      </c>
      <c r="C14" s="990" t="s">
        <v>676</v>
      </c>
      <c r="D14" s="992"/>
      <c r="E14" s="993">
        <v>2986686</v>
      </c>
      <c r="F14" s="993"/>
      <c r="G14" s="993"/>
      <c r="H14" s="994"/>
      <c r="I14" s="995">
        <f t="shared" si="0"/>
        <v>2986686</v>
      </c>
      <c r="J14" s="1287"/>
    </row>
    <row r="15" spans="1:10" ht="12.75">
      <c r="A15" s="989">
        <v>9</v>
      </c>
      <c r="B15" s="989" t="s">
        <v>677</v>
      </c>
      <c r="C15" s="990" t="s">
        <v>676</v>
      </c>
      <c r="D15" s="992"/>
      <c r="E15" s="993">
        <v>2318575</v>
      </c>
      <c r="F15" s="993"/>
      <c r="G15" s="993"/>
      <c r="H15" s="994"/>
      <c r="I15" s="995">
        <f t="shared" si="0"/>
        <v>2318575</v>
      </c>
      <c r="J15" s="1287"/>
    </row>
    <row r="16" spans="1:10" ht="12.75">
      <c r="A16" s="989">
        <v>10</v>
      </c>
      <c r="B16" s="989" t="s">
        <v>678</v>
      </c>
      <c r="C16" s="990" t="s">
        <v>676</v>
      </c>
      <c r="D16" s="992"/>
      <c r="E16" s="993">
        <v>2510155</v>
      </c>
      <c r="F16" s="993"/>
      <c r="G16" s="993"/>
      <c r="H16" s="994"/>
      <c r="I16" s="995">
        <f t="shared" si="0"/>
        <v>2510155</v>
      </c>
      <c r="J16" s="1287"/>
    </row>
    <row r="17" spans="1:10" ht="22.5">
      <c r="A17" s="989">
        <v>11</v>
      </c>
      <c r="B17" s="989" t="s">
        <v>679</v>
      </c>
      <c r="C17" s="990" t="s">
        <v>676</v>
      </c>
      <c r="D17" s="992"/>
      <c r="E17" s="993">
        <v>14038499</v>
      </c>
      <c r="F17" s="993"/>
      <c r="G17" s="993"/>
      <c r="H17" s="994"/>
      <c r="I17" s="995">
        <f t="shared" si="0"/>
        <v>14038499</v>
      </c>
      <c r="J17" s="1287"/>
    </row>
    <row r="18" spans="1:10" ht="22.5">
      <c r="A18" s="989">
        <v>12</v>
      </c>
      <c r="B18" s="989" t="s">
        <v>680</v>
      </c>
      <c r="C18" s="990" t="s">
        <v>676</v>
      </c>
      <c r="D18" s="992"/>
      <c r="E18" s="993">
        <v>4624698</v>
      </c>
      <c r="F18" s="993"/>
      <c r="G18" s="993"/>
      <c r="H18" s="994"/>
      <c r="I18" s="995">
        <f t="shared" si="0"/>
        <v>4624698</v>
      </c>
      <c r="J18" s="1287"/>
    </row>
    <row r="19" spans="1:10" ht="33.75">
      <c r="A19" s="989">
        <v>13</v>
      </c>
      <c r="B19" s="989" t="s">
        <v>681</v>
      </c>
      <c r="C19" s="990" t="s">
        <v>676</v>
      </c>
      <c r="D19" s="992"/>
      <c r="E19" s="993">
        <v>78720000</v>
      </c>
      <c r="F19" s="993"/>
      <c r="G19" s="993"/>
      <c r="H19" s="994"/>
      <c r="I19" s="995">
        <f t="shared" si="0"/>
        <v>78720000</v>
      </c>
      <c r="J19" s="1287"/>
    </row>
    <row r="20" spans="1:10" ht="33.75">
      <c r="A20" s="989">
        <v>14</v>
      </c>
      <c r="B20" s="989" t="s">
        <v>682</v>
      </c>
      <c r="C20" s="990" t="s">
        <v>676</v>
      </c>
      <c r="D20" s="992"/>
      <c r="E20" s="993">
        <v>80000</v>
      </c>
      <c r="F20" s="993"/>
      <c r="G20" s="993"/>
      <c r="H20" s="994"/>
      <c r="I20" s="995">
        <f t="shared" si="0"/>
        <v>80000</v>
      </c>
      <c r="J20" s="1287"/>
    </row>
    <row r="21" spans="1:10" ht="21.75" customHeight="1" thickBot="1">
      <c r="A21" s="989">
        <v>15</v>
      </c>
      <c r="B21" s="989" t="s">
        <v>683</v>
      </c>
      <c r="C21" s="990" t="s">
        <v>676</v>
      </c>
      <c r="D21" s="992"/>
      <c r="E21" s="993">
        <v>2240755</v>
      </c>
      <c r="F21" s="993"/>
      <c r="G21" s="993"/>
      <c r="H21" s="994"/>
      <c r="I21" s="995">
        <f t="shared" si="0"/>
        <v>2240755</v>
      </c>
      <c r="J21" s="1287"/>
    </row>
    <row r="22" spans="1:10" ht="13.5" hidden="1" thickBot="1">
      <c r="A22" s="989" t="s">
        <v>380</v>
      </c>
      <c r="B22" s="989"/>
      <c r="C22" s="990"/>
      <c r="D22" s="992"/>
      <c r="E22" s="993"/>
      <c r="F22" s="993"/>
      <c r="G22" s="993"/>
      <c r="H22" s="994"/>
      <c r="I22" s="995">
        <f t="shared" si="0"/>
        <v>0</v>
      </c>
      <c r="J22" s="1287"/>
    </row>
    <row r="23" spans="1:10" ht="19.5" customHeight="1" thickBot="1">
      <c r="A23" s="982">
        <v>16</v>
      </c>
      <c r="B23" s="982" t="s">
        <v>610</v>
      </c>
      <c r="C23" s="983"/>
      <c r="D23" s="985">
        <f>+D24+D25</f>
        <v>0</v>
      </c>
      <c r="E23" s="985">
        <f>+E24+E25</f>
        <v>2587500</v>
      </c>
      <c r="F23" s="985">
        <f>+F24+F25</f>
        <v>0</v>
      </c>
      <c r="G23" s="985">
        <f>+G24+G25</f>
        <v>0</v>
      </c>
      <c r="H23" s="985">
        <f>+H24+H25</f>
        <v>0</v>
      </c>
      <c r="I23" s="988">
        <f t="shared" si="0"/>
        <v>2587500</v>
      </c>
      <c r="J23" s="1287"/>
    </row>
    <row r="24" spans="1:10" ht="103.5" customHeight="1" hidden="1">
      <c r="A24" s="1003" t="s">
        <v>684</v>
      </c>
      <c r="B24" s="989"/>
      <c r="C24" s="990"/>
      <c r="D24" s="992"/>
      <c r="E24" s="993"/>
      <c r="F24" s="993"/>
      <c r="G24" s="993"/>
      <c r="H24" s="994"/>
      <c r="I24" s="995">
        <f>SUM(D24:H24)</f>
        <v>0</v>
      </c>
      <c r="J24" s="1287"/>
    </row>
    <row r="25" spans="1:10" ht="23.25" thickBot="1">
      <c r="A25" s="1003">
        <v>17</v>
      </c>
      <c r="B25" s="989" t="s">
        <v>685</v>
      </c>
      <c r="C25" s="990" t="s">
        <v>676</v>
      </c>
      <c r="D25" s="991"/>
      <c r="E25" s="993">
        <v>2587500</v>
      </c>
      <c r="F25" s="993"/>
      <c r="G25" s="993"/>
      <c r="H25" s="994"/>
      <c r="I25" s="995">
        <f>SUM(D25:H25)</f>
        <v>2587500</v>
      </c>
      <c r="J25" s="1287"/>
    </row>
    <row r="26" spans="1:10" ht="13.5" hidden="1" thickBot="1">
      <c r="A26" s="1003"/>
      <c r="B26" s="989"/>
      <c r="C26" s="990"/>
      <c r="D26" s="991"/>
      <c r="E26" s="993"/>
      <c r="F26" s="993"/>
      <c r="G26" s="993"/>
      <c r="H26" s="994"/>
      <c r="I26" s="995"/>
      <c r="J26" s="1287"/>
    </row>
    <row r="27" spans="1:10" ht="19.5" customHeight="1" thickBot="1">
      <c r="A27" s="1004">
        <v>18</v>
      </c>
      <c r="B27" s="1004" t="s">
        <v>611</v>
      </c>
      <c r="C27" s="983"/>
      <c r="D27" s="985">
        <f>SUM(D28:D29)</f>
        <v>14153688</v>
      </c>
      <c r="E27" s="986">
        <f>SUM(E28:E29)</f>
        <v>12295348</v>
      </c>
      <c r="F27" s="986">
        <f>SUM(F28:F29)</f>
        <v>4440000</v>
      </c>
      <c r="G27" s="986">
        <f>SUM(G28:G29)</f>
        <v>0</v>
      </c>
      <c r="H27" s="987">
        <f>SUM(H28:H29)</f>
        <v>0</v>
      </c>
      <c r="I27" s="988">
        <f t="shared" si="0"/>
        <v>30889036</v>
      </c>
      <c r="J27" s="1287"/>
    </row>
    <row r="28" spans="1:10" ht="26.25" customHeight="1">
      <c r="A28" s="1005">
        <v>19</v>
      </c>
      <c r="B28" s="989" t="s">
        <v>613</v>
      </c>
      <c r="C28" s="1006" t="s">
        <v>614</v>
      </c>
      <c r="D28" s="1007">
        <f>3076647+11027041</f>
        <v>14103688</v>
      </c>
      <c r="E28" s="1008">
        <v>7855348</v>
      </c>
      <c r="F28" s="1008"/>
      <c r="G28" s="1008"/>
      <c r="H28" s="1009"/>
      <c r="I28" s="995">
        <f>SUM(D28:H28)</f>
        <v>21959036</v>
      </c>
      <c r="J28" s="1287"/>
    </row>
    <row r="29" spans="1:10" ht="25.5" customHeight="1" thickBot="1">
      <c r="A29" s="1005">
        <v>20</v>
      </c>
      <c r="B29" s="989" t="s">
        <v>686</v>
      </c>
      <c r="C29" s="1010" t="s">
        <v>676</v>
      </c>
      <c r="D29" s="1011">
        <v>50000</v>
      </c>
      <c r="E29" s="1012">
        <v>4440000</v>
      </c>
      <c r="F29" s="1012">
        <v>4440000</v>
      </c>
      <c r="G29" s="1012"/>
      <c r="H29" s="1013"/>
      <c r="I29" s="1014">
        <f t="shared" si="0"/>
        <v>8930000</v>
      </c>
      <c r="J29" s="1287"/>
    </row>
    <row r="30" spans="1:10" ht="19.5" customHeight="1" thickBot="1">
      <c r="A30" s="1288" t="s">
        <v>293</v>
      </c>
      <c r="B30" s="1289"/>
      <c r="C30" s="1015"/>
      <c r="D30" s="984">
        <f aca="true" t="shared" si="1" ref="D30:I30">+D6+D9+D12+D23+D27</f>
        <v>14153688</v>
      </c>
      <c r="E30" s="986">
        <f>+E6+E9+E12+E23+E27</f>
        <v>122402216</v>
      </c>
      <c r="F30" s="986">
        <f>+F6+F9+F12+F23+F27</f>
        <v>4440000</v>
      </c>
      <c r="G30" s="986">
        <f t="shared" si="1"/>
        <v>0</v>
      </c>
      <c r="H30" s="987">
        <f t="shared" si="1"/>
        <v>0</v>
      </c>
      <c r="I30" s="988">
        <f t="shared" si="1"/>
        <v>140995904</v>
      </c>
      <c r="J30" s="1287"/>
    </row>
  </sheetData>
  <sheetProtection/>
  <mergeCells count="9">
    <mergeCell ref="J7:J30"/>
    <mergeCell ref="A30:B30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0" r:id="rId1"/>
  <headerFooter alignWithMargins="0">
    <oddHeader>&amp;R15.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55.57421875" style="932" customWidth="1"/>
    <col min="2" max="2" width="27.7109375" style="932" customWidth="1"/>
    <col min="3" max="3" width="11.140625" style="931" hidden="1" customWidth="1"/>
    <col min="4" max="4" width="12.28125" style="931" customWidth="1"/>
    <col min="5" max="6" width="12.28125" style="931" hidden="1" customWidth="1"/>
    <col min="7" max="7" width="26.8515625" style="930" customWidth="1"/>
    <col min="8" max="8" width="12.00390625" style="930" hidden="1" customWidth="1"/>
    <col min="9" max="9" width="12.00390625" style="930" customWidth="1"/>
    <col min="10" max="10" width="12.00390625" style="930" hidden="1" customWidth="1"/>
    <col min="11" max="11" width="11.7109375" style="930" hidden="1" customWidth="1"/>
    <col min="12" max="12" width="11.8515625" style="930" hidden="1" customWidth="1"/>
    <col min="13" max="13" width="11.00390625" style="930" hidden="1" customWidth="1"/>
    <col min="14" max="15" width="9.140625" style="930" hidden="1" customWidth="1"/>
    <col min="16" max="16384" width="9.140625" style="930" customWidth="1"/>
  </cols>
  <sheetData>
    <row r="1" spans="7:12" ht="12.75">
      <c r="G1" s="1313"/>
      <c r="H1" s="1313"/>
      <c r="I1" s="1313"/>
      <c r="J1" s="1313"/>
      <c r="K1" s="1313"/>
      <c r="L1" s="1313"/>
    </row>
    <row r="2" spans="2:12" ht="12.75">
      <c r="B2" s="1314" t="s">
        <v>698</v>
      </c>
      <c r="C2" s="1314"/>
      <c r="D2" s="1314"/>
      <c r="E2" s="1314"/>
      <c r="F2" s="1314"/>
      <c r="G2" s="1314"/>
      <c r="H2" s="1314"/>
      <c r="I2" s="1314"/>
      <c r="J2" s="1314"/>
      <c r="K2" s="1314"/>
      <c r="L2" s="1314"/>
    </row>
    <row r="3" spans="1:12" ht="26.25" customHeight="1">
      <c r="A3" s="1315" t="s">
        <v>704</v>
      </c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</row>
    <row r="4" spans="1:12" ht="21" customHeight="1">
      <c r="A4" s="1316" t="s">
        <v>621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</row>
    <row r="5" spans="8:9" ht="32.25" customHeight="1" thickBot="1">
      <c r="H5" s="948" t="s">
        <v>536</v>
      </c>
      <c r="I5" s="948"/>
    </row>
    <row r="6" spans="1:15" s="946" customFormat="1" ht="13.5" thickBot="1">
      <c r="A6" s="947" t="s">
        <v>134</v>
      </c>
      <c r="B6" s="1308" t="s">
        <v>620</v>
      </c>
      <c r="C6" s="1309"/>
      <c r="D6" s="1309"/>
      <c r="E6" s="952"/>
      <c r="F6" s="952"/>
      <c r="G6" s="1308" t="s">
        <v>619</v>
      </c>
      <c r="H6" s="1309"/>
      <c r="I6" s="1309"/>
      <c r="J6" s="1308"/>
      <c r="K6" s="1309"/>
      <c r="L6" s="1309"/>
      <c r="M6" s="1308"/>
      <c r="N6" s="1309"/>
      <c r="O6" s="1309"/>
    </row>
    <row r="7" spans="7:15" ht="12.75">
      <c r="G7" s="1016"/>
      <c r="H7" s="1017"/>
      <c r="I7" s="1017"/>
      <c r="J7" s="1017"/>
      <c r="K7" s="1017"/>
      <c r="L7" s="1017" t="s">
        <v>293</v>
      </c>
      <c r="M7" s="1017"/>
      <c r="N7" s="1017">
        <v>2019</v>
      </c>
      <c r="O7" s="1017" t="s">
        <v>293</v>
      </c>
    </row>
    <row r="8" spans="1:15" ht="12.75">
      <c r="A8" s="945"/>
      <c r="B8" s="945"/>
      <c r="C8" s="943" t="s">
        <v>325</v>
      </c>
      <c r="D8" s="943" t="s">
        <v>325</v>
      </c>
      <c r="E8" s="943" t="s">
        <v>541</v>
      </c>
      <c r="F8" s="943" t="s">
        <v>552</v>
      </c>
      <c r="G8" s="944"/>
      <c r="H8" s="943" t="s">
        <v>325</v>
      </c>
      <c r="I8" s="943" t="s">
        <v>325</v>
      </c>
      <c r="J8" s="943" t="s">
        <v>541</v>
      </c>
      <c r="K8" s="943" t="s">
        <v>552</v>
      </c>
      <c r="L8" s="943" t="s">
        <v>541</v>
      </c>
      <c r="M8" s="943" t="s">
        <v>552</v>
      </c>
      <c r="N8" s="943"/>
      <c r="O8" s="943"/>
    </row>
    <row r="9" spans="1:15" ht="20.25" customHeight="1" hidden="1">
      <c r="A9" s="942" t="s">
        <v>618</v>
      </c>
      <c r="B9" s="1018" t="s">
        <v>350</v>
      </c>
      <c r="C9" s="941">
        <v>27505550</v>
      </c>
      <c r="D9" s="941">
        <f>+'[2]7.sz.m.fejlesztés (2)'!J29</f>
        <v>29123524</v>
      </c>
      <c r="E9" s="941">
        <f>+'[2]7.sz.m.fejlesztés (2)'!K29</f>
        <v>29123524</v>
      </c>
      <c r="F9" s="941">
        <f>+'[2]7.sz.m.fejlesztés (2)'!L29</f>
        <v>29074024</v>
      </c>
      <c r="G9" s="1019" t="s">
        <v>616</v>
      </c>
      <c r="H9" s="941">
        <v>33138445</v>
      </c>
      <c r="I9" s="941">
        <f>+'[2]7.sz.m.fejlesztés (2)'!F29</f>
        <v>33516445</v>
      </c>
      <c r="J9" s="941">
        <f>+'[2]7.sz.m.fejlesztés (2)'!G29</f>
        <v>33516445</v>
      </c>
      <c r="K9" s="941">
        <f>+'[2]7.sz.m.fejlesztés (2)'!H29</f>
        <v>33461445</v>
      </c>
      <c r="L9" s="941"/>
      <c r="M9" s="941">
        <f>+'[2]7.sz.m.fejlesztés (2)'!J29</f>
        <v>29123524</v>
      </c>
      <c r="N9" s="941"/>
      <c r="O9" s="941"/>
    </row>
    <row r="10" spans="1:15" ht="18" customHeight="1" hidden="1">
      <c r="A10" s="1300" t="s">
        <v>688</v>
      </c>
      <c r="B10" s="1020" t="s">
        <v>617</v>
      </c>
      <c r="C10" s="939">
        <v>5632895</v>
      </c>
      <c r="D10" s="939">
        <f>+'[2]7.sz.m.fejlesztés (2)'!N29</f>
        <v>4392921</v>
      </c>
      <c r="E10" s="939">
        <f>+'[2]7.sz.m.fejlesztés (2)'!O29</f>
        <v>4392921</v>
      </c>
      <c r="F10" s="939">
        <f>+'[2]7.sz.m.fejlesztés (2)'!P29</f>
        <v>4387421</v>
      </c>
      <c r="G10" s="940"/>
      <c r="H10" s="940"/>
      <c r="I10" s="940"/>
      <c r="J10" s="940"/>
      <c r="K10" s="940"/>
      <c r="L10" s="940"/>
      <c r="M10" s="940"/>
      <c r="N10" s="940"/>
      <c r="O10" s="940"/>
    </row>
    <row r="11" spans="1:15" ht="1.5" customHeight="1" thickBot="1">
      <c r="A11" s="1302"/>
      <c r="B11" s="938" t="s">
        <v>524</v>
      </c>
      <c r="C11" s="1021">
        <f>C9+C10</f>
        <v>33138445</v>
      </c>
      <c r="D11" s="1021">
        <f>D9+D10</f>
        <v>33516445</v>
      </c>
      <c r="E11" s="1021">
        <f>E9+E10</f>
        <v>33516445</v>
      </c>
      <c r="F11" s="1021">
        <f>F9+F10</f>
        <v>33461445</v>
      </c>
      <c r="G11" s="1022" t="s">
        <v>525</v>
      </c>
      <c r="H11" s="1021">
        <f aca="true" t="shared" si="0" ref="H11:O11">H9+H10</f>
        <v>33138445</v>
      </c>
      <c r="I11" s="1021">
        <f t="shared" si="0"/>
        <v>33516445</v>
      </c>
      <c r="J11" s="1021">
        <f t="shared" si="0"/>
        <v>33516445</v>
      </c>
      <c r="K11" s="1021">
        <f t="shared" si="0"/>
        <v>33461445</v>
      </c>
      <c r="L11" s="1021">
        <f t="shared" si="0"/>
        <v>0</v>
      </c>
      <c r="M11" s="1021">
        <f t="shared" si="0"/>
        <v>29123524</v>
      </c>
      <c r="N11" s="1021">
        <f t="shared" si="0"/>
        <v>0</v>
      </c>
      <c r="O11" s="1021">
        <f t="shared" si="0"/>
        <v>0</v>
      </c>
    </row>
    <row r="12" spans="1:9" ht="12" customHeight="1" hidden="1">
      <c r="A12" s="1023"/>
      <c r="H12" s="931"/>
      <c r="I12" s="931"/>
    </row>
    <row r="13" ht="13.5" hidden="1" thickBot="1"/>
    <row r="14" spans="1:15" ht="12.75">
      <c r="A14" s="937" t="s">
        <v>628</v>
      </c>
      <c r="B14" s="1024" t="s">
        <v>350</v>
      </c>
      <c r="C14" s="936">
        <v>21959036</v>
      </c>
      <c r="D14" s="936">
        <v>21959036</v>
      </c>
      <c r="E14" s="936"/>
      <c r="F14" s="936"/>
      <c r="G14" s="1025" t="s">
        <v>616</v>
      </c>
      <c r="H14" s="936">
        <v>21959036</v>
      </c>
      <c r="I14" s="936">
        <v>21959036</v>
      </c>
      <c r="J14" s="936"/>
      <c r="K14" s="936"/>
      <c r="L14" s="936"/>
      <c r="M14" s="936">
        <v>21959036</v>
      </c>
      <c r="N14" s="936"/>
      <c r="O14" s="936"/>
    </row>
    <row r="15" spans="1:15" ht="12.75">
      <c r="A15" s="1300" t="s">
        <v>629</v>
      </c>
      <c r="B15" s="1310" t="s">
        <v>617</v>
      </c>
      <c r="C15" s="1311"/>
      <c r="D15" s="1311"/>
      <c r="E15" s="1311"/>
      <c r="F15" s="1311"/>
      <c r="G15" s="1305"/>
      <c r="H15" s="1305"/>
      <c r="I15" s="1305"/>
      <c r="J15" s="1305"/>
      <c r="K15" s="1305"/>
      <c r="L15" s="1305"/>
      <c r="M15" s="1305"/>
      <c r="N15" s="1305"/>
      <c r="O15" s="1305"/>
    </row>
    <row r="16" spans="1:15" ht="12.75">
      <c r="A16" s="1301"/>
      <c r="B16" s="1304"/>
      <c r="C16" s="1312"/>
      <c r="D16" s="1312"/>
      <c r="E16" s="1312"/>
      <c r="F16" s="1312"/>
      <c r="G16" s="1306"/>
      <c r="H16" s="1306"/>
      <c r="I16" s="1306"/>
      <c r="J16" s="1306"/>
      <c r="K16" s="1306"/>
      <c r="L16" s="1306"/>
      <c r="M16" s="1306"/>
      <c r="N16" s="1306"/>
      <c r="O16" s="1306"/>
    </row>
    <row r="17" spans="1:15" ht="13.5" thickBot="1">
      <c r="A17" s="1302"/>
      <c r="B17" s="933" t="s">
        <v>524</v>
      </c>
      <c r="C17" s="1021">
        <f>C15+C16+C14</f>
        <v>21959036</v>
      </c>
      <c r="D17" s="1021">
        <f>D15+D16+D14</f>
        <v>21959036</v>
      </c>
      <c r="E17" s="1021"/>
      <c r="F17" s="1021"/>
      <c r="G17" s="1022" t="s">
        <v>525</v>
      </c>
      <c r="H17" s="1021">
        <f>H14+H16</f>
        <v>21959036</v>
      </c>
      <c r="I17" s="1021">
        <f>I14+I16</f>
        <v>21959036</v>
      </c>
      <c r="J17" s="1021"/>
      <c r="K17" s="1021"/>
      <c r="L17" s="1021">
        <f>L14+L16</f>
        <v>0</v>
      </c>
      <c r="M17" s="1021">
        <f>M14+M16</f>
        <v>21959036</v>
      </c>
      <c r="N17" s="1021">
        <f>N14+N16</f>
        <v>0</v>
      </c>
      <c r="O17" s="1021">
        <f>O14+O16</f>
        <v>0</v>
      </c>
    </row>
    <row r="18" spans="1:2" ht="12.75">
      <c r="A18" s="1023"/>
      <c r="B18" s="1026"/>
    </row>
    <row r="20" ht="13.5" thickBot="1"/>
    <row r="21" spans="1:9" ht="12.75">
      <c r="A21" s="937" t="s">
        <v>689</v>
      </c>
      <c r="B21" s="1024" t="s">
        <v>350</v>
      </c>
      <c r="C21" s="936"/>
      <c r="D21" s="936">
        <v>9010000</v>
      </c>
      <c r="E21" s="936"/>
      <c r="F21" s="936"/>
      <c r="G21" s="1025" t="s">
        <v>616</v>
      </c>
      <c r="H21" s="936"/>
      <c r="I21" s="936">
        <v>9010000</v>
      </c>
    </row>
    <row r="22" spans="1:9" ht="12.75">
      <c r="A22" s="1300" t="s">
        <v>690</v>
      </c>
      <c r="B22" s="1303" t="s">
        <v>617</v>
      </c>
      <c r="C22" s="935"/>
      <c r="D22" s="935"/>
      <c r="E22" s="935"/>
      <c r="F22" s="935"/>
      <c r="G22" s="1305"/>
      <c r="H22" s="1305"/>
      <c r="I22" s="1305"/>
    </row>
    <row r="23" spans="1:9" ht="12.75">
      <c r="A23" s="1301"/>
      <c r="B23" s="1304"/>
      <c r="C23" s="934"/>
      <c r="D23" s="934">
        <f>+I21-D21</f>
        <v>0</v>
      </c>
      <c r="E23" s="934"/>
      <c r="F23" s="934"/>
      <c r="G23" s="1306"/>
      <c r="H23" s="1306"/>
      <c r="I23" s="1306"/>
    </row>
    <row r="24" spans="1:9" ht="13.5" thickBot="1">
      <c r="A24" s="1302"/>
      <c r="B24" s="933" t="s">
        <v>524</v>
      </c>
      <c r="C24" s="1021">
        <f>+C21+C23</f>
        <v>0</v>
      </c>
      <c r="D24" s="1021">
        <f>+D21+D23</f>
        <v>9010000</v>
      </c>
      <c r="E24" s="1021"/>
      <c r="F24" s="1021"/>
      <c r="G24" s="1022" t="s">
        <v>525</v>
      </c>
      <c r="H24" s="1021">
        <f>H21+H23</f>
        <v>0</v>
      </c>
      <c r="I24" s="1021">
        <f>I21+I23</f>
        <v>9010000</v>
      </c>
    </row>
    <row r="25" ht="13.5" thickBot="1"/>
    <row r="26" spans="1:9" ht="12.75">
      <c r="A26" s="937" t="s">
        <v>691</v>
      </c>
      <c r="B26" s="1024" t="s">
        <v>350</v>
      </c>
      <c r="C26" s="936"/>
      <c r="D26" s="936">
        <v>79950000</v>
      </c>
      <c r="E26" s="936"/>
      <c r="F26" s="936"/>
      <c r="G26" s="1025" t="s">
        <v>616</v>
      </c>
      <c r="H26" s="936"/>
      <c r="I26" s="936">
        <v>79950000</v>
      </c>
    </row>
    <row r="27" spans="1:9" ht="12.75">
      <c r="A27" s="1300" t="s">
        <v>692</v>
      </c>
      <c r="B27" s="1303" t="s">
        <v>617</v>
      </c>
      <c r="C27" s="935"/>
      <c r="D27" s="935"/>
      <c r="E27" s="935"/>
      <c r="F27" s="935"/>
      <c r="G27" s="1305"/>
      <c r="H27" s="1305"/>
      <c r="I27" s="1305"/>
    </row>
    <row r="28" spans="1:9" ht="12.75">
      <c r="A28" s="1301"/>
      <c r="B28" s="1304"/>
      <c r="C28" s="934"/>
      <c r="D28" s="934">
        <f>+I26-D26</f>
        <v>0</v>
      </c>
      <c r="E28" s="934"/>
      <c r="F28" s="934"/>
      <c r="G28" s="1306"/>
      <c r="H28" s="1306"/>
      <c r="I28" s="1306"/>
    </row>
    <row r="29" spans="1:9" ht="13.5" thickBot="1">
      <c r="A29" s="1302"/>
      <c r="B29" s="933" t="s">
        <v>524</v>
      </c>
      <c r="C29" s="1021">
        <f>+C26+C28</f>
        <v>0</v>
      </c>
      <c r="D29" s="1021">
        <f>+D26+D28</f>
        <v>79950000</v>
      </c>
      <c r="E29" s="1021"/>
      <c r="F29" s="1021"/>
      <c r="G29" s="1022" t="s">
        <v>525</v>
      </c>
      <c r="H29" s="1021">
        <f>H26+H28</f>
        <v>0</v>
      </c>
      <c r="I29" s="1021">
        <f>I26+I28</f>
        <v>79950000</v>
      </c>
    </row>
    <row r="30" ht="13.5" thickBot="1"/>
    <row r="31" spans="1:9" ht="12.75">
      <c r="A31" s="937" t="s">
        <v>693</v>
      </c>
      <c r="B31" s="1024" t="s">
        <v>350</v>
      </c>
      <c r="C31" s="936"/>
      <c r="D31" s="936">
        <v>1699999</v>
      </c>
      <c r="E31" s="936"/>
      <c r="F31" s="936"/>
      <c r="G31" s="1025" t="s">
        <v>616</v>
      </c>
      <c r="H31" s="936"/>
      <c r="I31" s="936">
        <v>2240755</v>
      </c>
    </row>
    <row r="32" spans="1:9" ht="12.75">
      <c r="A32" s="1300" t="s">
        <v>694</v>
      </c>
      <c r="B32" s="1303" t="s">
        <v>617</v>
      </c>
      <c r="C32" s="935"/>
      <c r="D32" s="935"/>
      <c r="E32" s="935"/>
      <c r="F32" s="935"/>
      <c r="G32" s="1305"/>
      <c r="H32" s="1305"/>
      <c r="I32" s="1305"/>
    </row>
    <row r="33" spans="1:9" ht="12.75">
      <c r="A33" s="1301"/>
      <c r="B33" s="1304"/>
      <c r="C33" s="934"/>
      <c r="D33" s="934">
        <f>+I31-D31</f>
        <v>540756</v>
      </c>
      <c r="E33" s="934"/>
      <c r="F33" s="934"/>
      <c r="G33" s="1306"/>
      <c r="H33" s="1306"/>
      <c r="I33" s="1306"/>
    </row>
    <row r="34" spans="1:9" ht="13.5" thickBot="1">
      <c r="A34" s="1302"/>
      <c r="B34" s="933" t="s">
        <v>524</v>
      </c>
      <c r="C34" s="1021">
        <f>+C31+C33</f>
        <v>0</v>
      </c>
      <c r="D34" s="1021">
        <f>+D31+D33</f>
        <v>2240755</v>
      </c>
      <c r="E34" s="1021"/>
      <c r="F34" s="1021"/>
      <c r="G34" s="1022" t="s">
        <v>525</v>
      </c>
      <c r="H34" s="1021">
        <f>H31+H33</f>
        <v>0</v>
      </c>
      <c r="I34" s="1021">
        <f>I31+I33</f>
        <v>2240755</v>
      </c>
    </row>
    <row r="35" ht="13.5" thickBot="1"/>
    <row r="36" spans="1:9" ht="12.75">
      <c r="A36" s="937" t="s">
        <v>695</v>
      </c>
      <c r="B36" s="1024" t="s">
        <v>350</v>
      </c>
      <c r="C36" s="936"/>
      <c r="D36" s="936">
        <v>149999</v>
      </c>
      <c r="E36" s="936"/>
      <c r="F36" s="936"/>
      <c r="G36" s="1025" t="s">
        <v>616</v>
      </c>
      <c r="H36" s="936"/>
      <c r="I36" s="936">
        <v>177320</v>
      </c>
    </row>
    <row r="37" spans="1:9" ht="12.75">
      <c r="A37" s="1307" t="s">
        <v>696</v>
      </c>
      <c r="B37" s="1303" t="s">
        <v>617</v>
      </c>
      <c r="C37" s="935"/>
      <c r="D37" s="935"/>
      <c r="E37" s="935"/>
      <c r="F37" s="935"/>
      <c r="G37" s="1305"/>
      <c r="H37" s="1305"/>
      <c r="I37" s="1305"/>
    </row>
    <row r="38" spans="1:9" ht="12.75">
      <c r="A38" s="1301"/>
      <c r="B38" s="1304"/>
      <c r="C38" s="934"/>
      <c r="D38" s="934">
        <f>+I36-D36</f>
        <v>27321</v>
      </c>
      <c r="E38" s="934"/>
      <c r="F38" s="934"/>
      <c r="G38" s="1306"/>
      <c r="H38" s="1306"/>
      <c r="I38" s="1306"/>
    </row>
    <row r="39" spans="1:9" ht="13.5" thickBot="1">
      <c r="A39" s="1302"/>
      <c r="B39" s="933" t="s">
        <v>524</v>
      </c>
      <c r="C39" s="1021">
        <f>+C36+C38</f>
        <v>0</v>
      </c>
      <c r="D39" s="1021">
        <f>+D36+D38</f>
        <v>177320</v>
      </c>
      <c r="E39" s="1021"/>
      <c r="F39" s="1021"/>
      <c r="G39" s="1022" t="s">
        <v>525</v>
      </c>
      <c r="H39" s="1021">
        <f>H36+H38</f>
        <v>0</v>
      </c>
      <c r="I39" s="1021">
        <f>I36+I38</f>
        <v>177320</v>
      </c>
    </row>
  </sheetData>
  <sheetProtection/>
  <mergeCells count="44">
    <mergeCell ref="G1:L1"/>
    <mergeCell ref="B2:L2"/>
    <mergeCell ref="A3:L3"/>
    <mergeCell ref="A4:L4"/>
    <mergeCell ref="B6:D6"/>
    <mergeCell ref="G6:I6"/>
    <mergeCell ref="J6:L6"/>
    <mergeCell ref="M6:O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O15:O16"/>
    <mergeCell ref="I15:I16"/>
    <mergeCell ref="J15:J16"/>
    <mergeCell ref="K15:K16"/>
    <mergeCell ref="L15:L16"/>
    <mergeCell ref="M15:M16"/>
    <mergeCell ref="N15:N16"/>
    <mergeCell ref="A22:A24"/>
    <mergeCell ref="B22:B23"/>
    <mergeCell ref="G22:G23"/>
    <mergeCell ref="H22:H23"/>
    <mergeCell ref="I22:I23"/>
    <mergeCell ref="A27:A29"/>
    <mergeCell ref="B27:B28"/>
    <mergeCell ref="G27:G28"/>
    <mergeCell ref="H27:H28"/>
    <mergeCell ref="I27:I28"/>
    <mergeCell ref="A32:A34"/>
    <mergeCell ref="B32:B33"/>
    <mergeCell ref="G32:G33"/>
    <mergeCell ref="H32:H33"/>
    <mergeCell ref="I32:I33"/>
    <mergeCell ref="A37:A39"/>
    <mergeCell ref="B37:B38"/>
    <mergeCell ref="G37:G38"/>
    <mergeCell ref="H37:H38"/>
    <mergeCell ref="I37:I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4" sqref="A3:F4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317" t="s">
        <v>699</v>
      </c>
      <c r="F1" s="1317"/>
    </row>
    <row r="2" spans="1:6" ht="24.75">
      <c r="A2" s="1318" t="s">
        <v>492</v>
      </c>
      <c r="B2" s="1318"/>
      <c r="C2" s="1318"/>
      <c r="D2" s="1318"/>
      <c r="E2" s="1318"/>
      <c r="F2" s="1318"/>
    </row>
    <row r="3" spans="1:6" ht="19.5">
      <c r="A3" s="1319" t="s">
        <v>493</v>
      </c>
      <c r="B3" s="1319"/>
      <c r="C3" s="1319"/>
      <c r="D3" s="1319"/>
      <c r="E3" s="1319"/>
      <c r="F3" s="1319"/>
    </row>
    <row r="4" spans="1:6" ht="33.75" customHeight="1">
      <c r="A4" s="698"/>
      <c r="B4" s="698"/>
      <c r="C4" s="10"/>
      <c r="D4" s="698"/>
      <c r="E4" s="698"/>
      <c r="F4" s="698"/>
    </row>
    <row r="5" spans="1:6" ht="15.75">
      <c r="A5" s="699" t="s">
        <v>494</v>
      </c>
      <c r="B5" s="700"/>
      <c r="C5" s="700"/>
      <c r="D5" s="700"/>
      <c r="E5" s="700"/>
      <c r="F5" s="700"/>
    </row>
    <row r="6" spans="1:6" ht="15.75">
      <c r="A6" s="700"/>
      <c r="B6" s="700"/>
      <c r="C6" s="700"/>
      <c r="D6" s="700"/>
      <c r="E6" s="700"/>
      <c r="F6" s="700"/>
    </row>
    <row r="7" spans="1:6" ht="15.75">
      <c r="A7" s="699" t="s">
        <v>495</v>
      </c>
      <c r="B7" s="700"/>
      <c r="C7" s="700"/>
      <c r="D7" s="700"/>
      <c r="E7" s="700"/>
      <c r="F7" s="700"/>
    </row>
    <row r="8" spans="1:6" ht="15.75">
      <c r="A8" s="699"/>
      <c r="B8" s="700"/>
      <c r="C8" s="700"/>
      <c r="D8" s="700"/>
      <c r="E8" s="700"/>
      <c r="F8" s="700"/>
    </row>
    <row r="9" spans="1:6" ht="15">
      <c r="A9" s="701" t="s">
        <v>496</v>
      </c>
      <c r="B9" s="702"/>
      <c r="C9" s="702"/>
      <c r="D9" s="702"/>
      <c r="E9" s="702"/>
      <c r="F9" s="703"/>
    </row>
    <row r="10" spans="1:6" ht="15">
      <c r="A10" s="701"/>
      <c r="B10" s="702"/>
      <c r="C10" s="702"/>
      <c r="D10" s="702"/>
      <c r="E10" s="702"/>
      <c r="F10" s="703"/>
    </row>
    <row r="11" spans="1:5" ht="15">
      <c r="A11" s="701" t="s">
        <v>497</v>
      </c>
      <c r="B11" s="702"/>
      <c r="C11" s="702"/>
      <c r="D11" s="702"/>
      <c r="E11" s="702"/>
    </row>
    <row r="13" spans="1:6" ht="39" thickBot="1">
      <c r="A13" s="704" t="s">
        <v>355</v>
      </c>
      <c r="B13" s="705" t="s">
        <v>498</v>
      </c>
      <c r="C13" s="706" t="s">
        <v>499</v>
      </c>
      <c r="D13" s="706" t="s">
        <v>500</v>
      </c>
      <c r="E13" s="706" t="s">
        <v>501</v>
      </c>
      <c r="F13" s="707" t="s">
        <v>317</v>
      </c>
    </row>
    <row r="14" spans="1:6" ht="24.75" customHeight="1">
      <c r="A14" s="708" t="s">
        <v>10</v>
      </c>
      <c r="B14" s="709" t="s">
        <v>502</v>
      </c>
      <c r="C14" s="710"/>
      <c r="D14" s="710"/>
      <c r="E14" s="710"/>
      <c r="F14" s="711">
        <v>0</v>
      </c>
    </row>
    <row r="15" spans="1:6" ht="25.5">
      <c r="A15" s="712" t="s">
        <v>163</v>
      </c>
      <c r="B15" s="713" t="s">
        <v>503</v>
      </c>
      <c r="C15" s="714"/>
      <c r="D15" s="714"/>
      <c r="E15" s="714"/>
      <c r="F15" s="715">
        <v>0</v>
      </c>
    </row>
    <row r="16" spans="1:6" ht="25.5">
      <c r="A16" s="712" t="s">
        <v>69</v>
      </c>
      <c r="B16" s="713" t="s">
        <v>504</v>
      </c>
      <c r="C16" s="714"/>
      <c r="D16" s="714"/>
      <c r="E16" s="714"/>
      <c r="F16" s="715">
        <v>0</v>
      </c>
    </row>
    <row r="17" spans="1:6" ht="21" customHeight="1">
      <c r="A17" s="712" t="s">
        <v>88</v>
      </c>
      <c r="B17" s="713" t="s">
        <v>505</v>
      </c>
      <c r="C17" s="714"/>
      <c r="D17" s="714"/>
      <c r="E17" s="714"/>
      <c r="F17" s="715">
        <v>0</v>
      </c>
    </row>
    <row r="18" spans="1:6" ht="40.5" customHeight="1">
      <c r="A18" s="712" t="s">
        <v>101</v>
      </c>
      <c r="B18" s="713" t="s">
        <v>506</v>
      </c>
      <c r="C18" s="714"/>
      <c r="D18" s="714"/>
      <c r="E18" s="714"/>
      <c r="F18" s="715">
        <v>0</v>
      </c>
    </row>
    <row r="19" spans="1:6" ht="21.75" customHeight="1" thickBot="1">
      <c r="A19" s="716" t="s">
        <v>109</v>
      </c>
      <c r="B19" s="717" t="s">
        <v>507</v>
      </c>
      <c r="C19" s="718"/>
      <c r="D19" s="718"/>
      <c r="E19" s="718"/>
      <c r="F19" s="719">
        <v>0</v>
      </c>
    </row>
    <row r="20" spans="1:6" ht="21.75" customHeight="1" thickBot="1">
      <c r="A20" s="720" t="s">
        <v>118</v>
      </c>
      <c r="B20" s="721" t="s">
        <v>317</v>
      </c>
      <c r="C20" s="722">
        <v>0</v>
      </c>
      <c r="D20" s="722">
        <v>0</v>
      </c>
      <c r="E20" s="722">
        <v>0</v>
      </c>
      <c r="F20" s="723">
        <v>0</v>
      </c>
    </row>
    <row r="21" spans="1:6" ht="12.75">
      <c r="A21" s="703"/>
      <c r="B21" s="703"/>
      <c r="C21" s="703"/>
      <c r="D21" s="703"/>
      <c r="E21" s="703"/>
      <c r="F21" s="703"/>
    </row>
    <row r="22" spans="1:6" ht="12.75">
      <c r="A22" s="703"/>
      <c r="B22" s="703"/>
      <c r="C22" s="703"/>
      <c r="D22" s="703"/>
      <c r="E22" s="703"/>
      <c r="F22" s="703"/>
    </row>
    <row r="23" spans="1:6" ht="12.75">
      <c r="A23" s="703"/>
      <c r="B23" s="703"/>
      <c r="C23" s="703"/>
      <c r="D23" s="703"/>
      <c r="E23" s="703"/>
      <c r="F23" s="703"/>
    </row>
    <row r="24" spans="1:6" ht="15.75">
      <c r="A24" s="700" t="s">
        <v>652</v>
      </c>
      <c r="B24" s="703"/>
      <c r="C24" s="703"/>
      <c r="D24" s="703"/>
      <c r="E24" s="703"/>
      <c r="F24" s="703"/>
    </row>
    <row r="25" spans="1:6" ht="12.75">
      <c r="A25" s="703"/>
      <c r="B25" s="703"/>
      <c r="C25" s="703"/>
      <c r="D25" s="703"/>
      <c r="E25" s="703"/>
      <c r="F25" s="703"/>
    </row>
    <row r="26" spans="1:6" ht="12.75">
      <c r="A26" s="703"/>
      <c r="B26" s="703"/>
      <c r="C26" s="703"/>
      <c r="D26" s="703"/>
      <c r="E26" s="703"/>
      <c r="F26" s="703"/>
    </row>
    <row r="29" spans="3:5" ht="13.5">
      <c r="C29" s="724"/>
      <c r="D29" s="725" t="s">
        <v>508</v>
      </c>
      <c r="E29" s="724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="70" zoomScaleNormal="70" workbookViewId="0" topLeftCell="A3">
      <selection activeCell="O9" sqref="O9:O39"/>
    </sheetView>
  </sheetViews>
  <sheetFormatPr defaultColWidth="9.140625" defaultRowHeight="12.75"/>
  <cols>
    <col min="1" max="1" width="5.00390625" style="63" customWidth="1"/>
    <col min="2" max="2" width="3.8515625" style="64" customWidth="1"/>
    <col min="3" max="3" width="5.28125" style="64" customWidth="1"/>
    <col min="4" max="4" width="50.57421875" style="65" customWidth="1"/>
    <col min="5" max="5" width="7.140625" style="65" customWidth="1"/>
    <col min="6" max="6" width="29.421875" style="66" customWidth="1"/>
    <col min="7" max="7" width="21.8515625" style="66" customWidth="1"/>
    <col min="8" max="9" width="21.8515625" style="66" hidden="1" customWidth="1"/>
    <col min="10" max="10" width="29.57421875" style="67" customWidth="1"/>
    <col min="11" max="11" width="20.421875" style="67" customWidth="1"/>
    <col min="12" max="13" width="20.421875" style="67" hidden="1" customWidth="1"/>
    <col min="14" max="14" width="27.7109375" style="67" customWidth="1"/>
    <col min="15" max="15" width="18.8515625" style="67" customWidth="1"/>
    <col min="16" max="17" width="18.8515625" style="67" hidden="1" customWidth="1"/>
    <col min="18" max="18" width="21.28125" style="67" customWidth="1"/>
    <col min="19" max="24" width="9.140625" style="66" hidden="1" customWidth="1"/>
    <col min="25" max="25" width="0" style="66" hidden="1" customWidth="1"/>
    <col min="26" max="16384" width="9.140625" style="66" customWidth="1"/>
  </cols>
  <sheetData>
    <row r="1" spans="1:18" ht="44.25" customHeight="1" hidden="1">
      <c r="A1" s="1130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</row>
    <row r="2" spans="1:18" ht="21.75" customHeight="1" hidden="1">
      <c r="A2" s="1131"/>
      <c r="B2" s="1131"/>
      <c r="C2" s="69"/>
      <c r="D2" s="70"/>
      <c r="E2" s="70"/>
      <c r="R2" s="71" t="s">
        <v>0</v>
      </c>
    </row>
    <row r="3" spans="1:18" ht="41.25" customHeight="1">
      <c r="A3" s="1132" t="s">
        <v>633</v>
      </c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2"/>
      <c r="O3" s="1132"/>
      <c r="P3" s="1132"/>
      <c r="Q3" s="1132"/>
      <c r="R3" s="1132"/>
    </row>
    <row r="4" spans="1:18" ht="36.75" customHeight="1">
      <c r="A4" s="68"/>
      <c r="B4" s="68"/>
      <c r="C4" s="69"/>
      <c r="D4" s="70"/>
      <c r="E4" s="770"/>
      <c r="R4" s="71"/>
    </row>
    <row r="5" spans="1:18" ht="18.75" customHeight="1" thickBot="1">
      <c r="A5" s="68"/>
      <c r="B5" s="68"/>
      <c r="C5" s="69"/>
      <c r="D5" s="70"/>
      <c r="E5" s="70"/>
      <c r="N5" s="1126" t="s">
        <v>536</v>
      </c>
      <c r="O5" s="1126"/>
      <c r="P5" s="1126"/>
      <c r="Q5" s="1126"/>
      <c r="R5" s="1127"/>
    </row>
    <row r="6" spans="1:24" s="10" customFormat="1" ht="56.25" customHeight="1" thickBot="1">
      <c r="A6" s="1133" t="s">
        <v>134</v>
      </c>
      <c r="B6" s="1133"/>
      <c r="C6" s="1133"/>
      <c r="D6" s="1133"/>
      <c r="E6" s="55" t="s">
        <v>3</v>
      </c>
      <c r="F6" s="1108" t="s">
        <v>4</v>
      </c>
      <c r="G6" s="1109"/>
      <c r="H6" s="1109"/>
      <c r="I6" s="1110"/>
      <c r="J6" s="1108" t="s">
        <v>244</v>
      </c>
      <c r="K6" s="1109"/>
      <c r="L6" s="1109"/>
      <c r="M6" s="1110"/>
      <c r="N6" s="1108" t="s">
        <v>299</v>
      </c>
      <c r="O6" s="1109"/>
      <c r="P6" s="1109"/>
      <c r="Q6" s="1110"/>
      <c r="R6" s="1134" t="s">
        <v>135</v>
      </c>
      <c r="S6" s="1135"/>
      <c r="T6" s="1135"/>
      <c r="U6" s="1135"/>
      <c r="V6" s="1135"/>
      <c r="W6" s="1135"/>
      <c r="X6" s="1135"/>
    </row>
    <row r="7" spans="1:24" s="10" customFormat="1" ht="32.25" hidden="1" thickBot="1">
      <c r="A7" s="72"/>
      <c r="B7" s="73"/>
      <c r="C7" s="73"/>
      <c r="D7" s="73"/>
      <c r="E7" s="55"/>
      <c r="F7" s="470"/>
      <c r="G7" s="898"/>
      <c r="H7" s="898"/>
      <c r="I7" s="898"/>
      <c r="J7" s="74"/>
      <c r="K7" s="75"/>
      <c r="L7" s="898"/>
      <c r="M7" s="898"/>
      <c r="N7" s="74"/>
      <c r="O7" s="898"/>
      <c r="P7" s="469"/>
      <c r="Q7" s="469"/>
      <c r="R7" s="470" t="s">
        <v>6</v>
      </c>
      <c r="S7" s="74" t="s">
        <v>136</v>
      </c>
      <c r="T7" s="74" t="s">
        <v>137</v>
      </c>
      <c r="U7" s="74" t="s">
        <v>138</v>
      </c>
      <c r="V7" s="74" t="s">
        <v>139</v>
      </c>
      <c r="W7" s="75" t="s">
        <v>140</v>
      </c>
      <c r="X7" s="75" t="s">
        <v>140</v>
      </c>
    </row>
    <row r="8" spans="1:24" s="10" customFormat="1" ht="39" customHeight="1" thickBot="1">
      <c r="A8" s="72"/>
      <c r="B8" s="73"/>
      <c r="C8" s="73"/>
      <c r="D8" s="73"/>
      <c r="E8" s="55"/>
      <c r="F8" s="899" t="s">
        <v>6</v>
      </c>
      <c r="G8" s="874" t="s">
        <v>136</v>
      </c>
      <c r="H8" s="911" t="s">
        <v>137</v>
      </c>
      <c r="I8" s="911" t="s">
        <v>138</v>
      </c>
      <c r="J8" s="899" t="s">
        <v>6</v>
      </c>
      <c r="K8" s="874" t="s">
        <v>136</v>
      </c>
      <c r="L8" s="911" t="s">
        <v>137</v>
      </c>
      <c r="M8" s="911" t="s">
        <v>138</v>
      </c>
      <c r="N8" s="899" t="s">
        <v>6</v>
      </c>
      <c r="O8" s="874" t="s">
        <v>136</v>
      </c>
      <c r="P8" s="911" t="s">
        <v>137</v>
      </c>
      <c r="Q8" s="911" t="s">
        <v>138</v>
      </c>
      <c r="R8" s="875" t="s">
        <v>474</v>
      </c>
      <c r="S8" s="470"/>
      <c r="T8" s="470"/>
      <c r="U8" s="470"/>
      <c r="V8" s="470"/>
      <c r="W8" s="469"/>
      <c r="X8" s="469"/>
    </row>
    <row r="9" spans="1:24" s="77" customFormat="1" ht="33" customHeight="1" thickBot="1">
      <c r="A9" s="43" t="s">
        <v>10</v>
      </c>
      <c r="B9" s="1137" t="s">
        <v>141</v>
      </c>
      <c r="C9" s="1137"/>
      <c r="D9" s="1137"/>
      <c r="E9" s="76"/>
      <c r="F9" s="900">
        <f>F10+F11+F12+F13+F14</f>
        <v>98170538</v>
      </c>
      <c r="G9" s="616">
        <f>G10+G11+G12+G13+G14</f>
        <v>98462203</v>
      </c>
      <c r="H9" s="616">
        <f>H10+H11+H12+H13+H14</f>
        <v>0</v>
      </c>
      <c r="I9" s="616">
        <f>I10+I11+I12+I13+I14</f>
        <v>0</v>
      </c>
      <c r="J9" s="900">
        <f aca="true" t="shared" si="0" ref="J9:K39">F9-N9</f>
        <v>79721690</v>
      </c>
      <c r="K9" s="900">
        <f t="shared" si="0"/>
        <v>80013355</v>
      </c>
      <c r="L9" s="616" t="e">
        <f aca="true" t="shared" si="1" ref="L9:M39">H9-P9</f>
        <v>#REF!</v>
      </c>
      <c r="M9" s="616">
        <f t="shared" si="1"/>
        <v>0</v>
      </c>
      <c r="N9" s="900">
        <f>N10+N11+N12+N13+N14</f>
        <v>18448848</v>
      </c>
      <c r="O9" s="900">
        <f>O10+O11+O12+O13+O14</f>
        <v>18448848</v>
      </c>
      <c r="P9" s="616" t="e">
        <f>P10+P11+P12+P13+P14</f>
        <v>#REF!</v>
      </c>
      <c r="Q9" s="616">
        <f>Q10+Q11+Q12+Q13+Q14</f>
        <v>0</v>
      </c>
      <c r="R9" s="742"/>
      <c r="S9" s="54" t="e">
        <f aca="true" t="shared" si="2" ref="S9:X9">S10+S11+S12+S13+S14</f>
        <v>#REF!</v>
      </c>
      <c r="T9" s="54" t="e">
        <f t="shared" si="2"/>
        <v>#REF!</v>
      </c>
      <c r="U9" s="54" t="e">
        <f t="shared" si="2"/>
        <v>#REF!</v>
      </c>
      <c r="V9" s="54" t="e">
        <f t="shared" si="2"/>
        <v>#REF!</v>
      </c>
      <c r="W9" s="54" t="e">
        <f t="shared" si="2"/>
        <v>#REF!</v>
      </c>
      <c r="X9" s="54" t="e">
        <f t="shared" si="2"/>
        <v>#REF!</v>
      </c>
    </row>
    <row r="10" spans="1:24" s="83" customFormat="1" ht="33" customHeight="1">
      <c r="A10" s="78"/>
      <c r="B10" s="79" t="s">
        <v>13</v>
      </c>
      <c r="C10" s="79"/>
      <c r="D10" s="80" t="s">
        <v>142</v>
      </c>
      <c r="E10" s="81" t="s">
        <v>143</v>
      </c>
      <c r="F10" s="901">
        <f>'4.sz.m.ÖNK kiadás'!F7+'5. sz. m óvoda'!J34</f>
        <v>44692718</v>
      </c>
      <c r="G10" s="617">
        <f>'4.sz.m.ÖNK kiadás'!G7+'5. sz. m óvoda'!K34</f>
        <v>44810510</v>
      </c>
      <c r="H10" s="617">
        <f>'4.sz.m.ÖNK kiadás'!H7+'5. sz. m óvoda'!L34</f>
        <v>0</v>
      </c>
      <c r="I10" s="617">
        <f>'4.sz.m.ÖNK kiadás'!I7+'5. sz. m óvoda'!M34</f>
        <v>0</v>
      </c>
      <c r="J10" s="906">
        <f t="shared" si="0"/>
        <v>43276518</v>
      </c>
      <c r="K10" s="906">
        <f t="shared" si="0"/>
        <v>43394310</v>
      </c>
      <c r="L10" s="622">
        <f t="shared" si="1"/>
        <v>0</v>
      </c>
      <c r="M10" s="622">
        <f t="shared" si="1"/>
        <v>0</v>
      </c>
      <c r="N10" s="901">
        <f>'4.sz.m.ÖNK kiadás'!N7</f>
        <v>1416200</v>
      </c>
      <c r="O10" s="901">
        <f>'4.sz.m.ÖNK kiadás'!O7</f>
        <v>1416200</v>
      </c>
      <c r="P10" s="617">
        <f>'4.sz.m.ÖNK kiadás'!P7</f>
        <v>0</v>
      </c>
      <c r="Q10" s="617">
        <f>'4.sz.m.ÖNK kiadás'!Q7</f>
        <v>0</v>
      </c>
      <c r="R10" s="743"/>
      <c r="S10" s="82" t="e">
        <f>#REF!</f>
        <v>#REF!</v>
      </c>
      <c r="T10" s="82" t="e">
        <f>#REF!</f>
        <v>#REF!</v>
      </c>
      <c r="U10" s="82" t="e">
        <f>#REF!</f>
        <v>#REF!</v>
      </c>
      <c r="V10" s="82" t="e">
        <f>#REF!</f>
        <v>#REF!</v>
      </c>
      <c r="W10" s="82" t="e">
        <f>#REF!</f>
        <v>#REF!</v>
      </c>
      <c r="X10" s="82" t="e">
        <f>#REF!</f>
        <v>#REF!</v>
      </c>
    </row>
    <row r="11" spans="1:24" s="83" customFormat="1" ht="33" customHeight="1">
      <c r="A11" s="84"/>
      <c r="B11" s="85" t="s">
        <v>23</v>
      </c>
      <c r="C11" s="85"/>
      <c r="D11" s="86" t="s">
        <v>144</v>
      </c>
      <c r="E11" s="81" t="s">
        <v>145</v>
      </c>
      <c r="F11" s="901">
        <f>'4.sz.m.ÖNK kiadás'!F8+'5. sz. m óvoda'!J35</f>
        <v>6900700</v>
      </c>
      <c r="G11" s="617">
        <f>'4.sz.m.ÖNK kiadás'!G8+'5. sz. m óvoda'!K35</f>
        <v>6911007</v>
      </c>
      <c r="H11" s="617">
        <f>'4.sz.m.ÖNK kiadás'!H8+'5. sz. m óvoda'!L35</f>
        <v>0</v>
      </c>
      <c r="I11" s="617">
        <f>'4.sz.m.ÖNK kiadás'!I8+'5. sz. m óvoda'!M35</f>
        <v>0</v>
      </c>
      <c r="J11" s="907">
        <f t="shared" si="0"/>
        <v>6632865</v>
      </c>
      <c r="K11" s="907">
        <f t="shared" si="0"/>
        <v>6643172</v>
      </c>
      <c r="L11" s="623">
        <f t="shared" si="1"/>
        <v>0</v>
      </c>
      <c r="M11" s="623">
        <f t="shared" si="1"/>
        <v>0</v>
      </c>
      <c r="N11" s="901">
        <f>'4.sz.m.ÖNK kiadás'!N8</f>
        <v>267835</v>
      </c>
      <c r="O11" s="901">
        <f>'4.sz.m.ÖNK kiadás'!O8</f>
        <v>267835</v>
      </c>
      <c r="P11" s="617">
        <f>'4.sz.m.ÖNK kiadás'!P8</f>
        <v>0</v>
      </c>
      <c r="Q11" s="617">
        <f>'4.sz.m.ÖNK kiadás'!Q8</f>
        <v>0</v>
      </c>
      <c r="R11" s="743"/>
      <c r="S11" s="82" t="e">
        <f>#REF!</f>
        <v>#REF!</v>
      </c>
      <c r="T11" s="82" t="e">
        <f>#REF!</f>
        <v>#REF!</v>
      </c>
      <c r="U11" s="82" t="e">
        <f>#REF!</f>
        <v>#REF!</v>
      </c>
      <c r="V11" s="82" t="e">
        <f>#REF!</f>
        <v>#REF!</v>
      </c>
      <c r="W11" s="82" t="e">
        <f>#REF!</f>
        <v>#REF!</v>
      </c>
      <c r="X11" s="82" t="e">
        <f>#REF!</f>
        <v>#REF!</v>
      </c>
    </row>
    <row r="12" spans="1:24" s="83" customFormat="1" ht="33" customHeight="1">
      <c r="A12" s="84"/>
      <c r="B12" s="85" t="s">
        <v>146</v>
      </c>
      <c r="C12" s="85"/>
      <c r="D12" s="86" t="s">
        <v>147</v>
      </c>
      <c r="E12" s="81" t="s">
        <v>148</v>
      </c>
      <c r="F12" s="901">
        <f>'4.sz.m.ÖNK kiadás'!F9+'5. sz. m óvoda'!J36</f>
        <v>38821079</v>
      </c>
      <c r="G12" s="617">
        <f>'4.sz.m.ÖNK kiadás'!G9+'5. sz. m óvoda'!K36</f>
        <v>38972645</v>
      </c>
      <c r="H12" s="617">
        <f>'4.sz.m.ÖNK kiadás'!H9+'5. sz. m óvoda'!L36</f>
        <v>0</v>
      </c>
      <c r="I12" s="617">
        <f>'4.sz.m.ÖNK kiadás'!I9+'5. sz. m óvoda'!M36</f>
        <v>0</v>
      </c>
      <c r="J12" s="907">
        <f t="shared" si="0"/>
        <v>26879326</v>
      </c>
      <c r="K12" s="907">
        <f t="shared" si="0"/>
        <v>27030892</v>
      </c>
      <c r="L12" s="623">
        <f t="shared" si="1"/>
        <v>0</v>
      </c>
      <c r="M12" s="623">
        <f t="shared" si="1"/>
        <v>0</v>
      </c>
      <c r="N12" s="901">
        <f>'4.sz.m.ÖNK kiadás'!N9</f>
        <v>11941753</v>
      </c>
      <c r="O12" s="901">
        <f>'4.sz.m.ÖNK kiadás'!O9</f>
        <v>11941753</v>
      </c>
      <c r="P12" s="617">
        <f>'4.sz.m.ÖNK kiadás'!P9</f>
        <v>0</v>
      </c>
      <c r="Q12" s="617">
        <f>'4.sz.m.ÖNK kiadás'!Q9</f>
        <v>0</v>
      </c>
      <c r="R12" s="743"/>
      <c r="S12" s="82" t="e">
        <f>#REF!</f>
        <v>#REF!</v>
      </c>
      <c r="T12" s="82" t="e">
        <f>#REF!</f>
        <v>#REF!</v>
      </c>
      <c r="U12" s="82" t="e">
        <f>#REF!</f>
        <v>#REF!</v>
      </c>
      <c r="V12" s="82" t="e">
        <f>#REF!</f>
        <v>#REF!</v>
      </c>
      <c r="W12" s="82" t="e">
        <f>#REF!</f>
        <v>#REF!</v>
      </c>
      <c r="X12" s="82" t="e">
        <f>#REF!</f>
        <v>#REF!</v>
      </c>
    </row>
    <row r="13" spans="1:24" s="83" customFormat="1" ht="33" customHeight="1">
      <c r="A13" s="84"/>
      <c r="B13" s="85" t="s">
        <v>32</v>
      </c>
      <c r="C13" s="85"/>
      <c r="D13" s="86" t="s">
        <v>149</v>
      </c>
      <c r="E13" s="81" t="s">
        <v>150</v>
      </c>
      <c r="F13" s="901">
        <f>'4.sz.m.ÖNK kiadás'!F10</f>
        <v>2845000</v>
      </c>
      <c r="G13" s="617">
        <f>'4.sz.m.ÖNK kiadás'!G10</f>
        <v>2845000</v>
      </c>
      <c r="H13" s="617">
        <f>'4.sz.m.ÖNK kiadás'!H10</f>
        <v>0</v>
      </c>
      <c r="I13" s="617">
        <f>'4.sz.m.ÖNK kiadás'!I10</f>
        <v>0</v>
      </c>
      <c r="J13" s="907">
        <f t="shared" si="0"/>
        <v>1990000</v>
      </c>
      <c r="K13" s="907">
        <f t="shared" si="0"/>
        <v>1990000</v>
      </c>
      <c r="L13" s="623" t="e">
        <f t="shared" si="1"/>
        <v>#REF!</v>
      </c>
      <c r="M13" s="623">
        <f t="shared" si="1"/>
        <v>0</v>
      </c>
      <c r="N13" s="901">
        <f>'4.sz.m.ÖNK kiadás'!N10</f>
        <v>855000</v>
      </c>
      <c r="O13" s="901">
        <f>'4.sz.m.ÖNK kiadás'!O10</f>
        <v>855000</v>
      </c>
      <c r="P13" s="617" t="e">
        <f>'4.sz.m.ÖNK kiadás'!P10</f>
        <v>#REF!</v>
      </c>
      <c r="Q13" s="617">
        <f>'4.sz.m.ÖNK kiadás'!Q10</f>
        <v>0</v>
      </c>
      <c r="R13" s="743"/>
      <c r="S13" s="82"/>
      <c r="T13" s="82"/>
      <c r="U13" s="82"/>
      <c r="V13" s="82"/>
      <c r="W13" s="82"/>
      <c r="X13" s="82"/>
    </row>
    <row r="14" spans="1:24" s="83" customFormat="1" ht="33" customHeight="1">
      <c r="A14" s="84"/>
      <c r="B14" s="85" t="s">
        <v>39</v>
      </c>
      <c r="C14" s="85"/>
      <c r="D14" s="87" t="s">
        <v>151</v>
      </c>
      <c r="E14" s="88" t="s">
        <v>152</v>
      </c>
      <c r="F14" s="901">
        <f>F15+F16+F17+F18</f>
        <v>4911041</v>
      </c>
      <c r="G14" s="617">
        <f>G15+G16+G17+G18</f>
        <v>4923041</v>
      </c>
      <c r="H14" s="617">
        <f>H15+H16+H17+H18</f>
        <v>0</v>
      </c>
      <c r="I14" s="617">
        <f>I15+I16+I17+I18</f>
        <v>0</v>
      </c>
      <c r="J14" s="907">
        <f t="shared" si="0"/>
        <v>942981</v>
      </c>
      <c r="K14" s="907">
        <f t="shared" si="0"/>
        <v>954981</v>
      </c>
      <c r="L14" s="623">
        <f t="shared" si="1"/>
        <v>0</v>
      </c>
      <c r="M14" s="623">
        <f t="shared" si="1"/>
        <v>0</v>
      </c>
      <c r="N14" s="901">
        <f>'4.sz.m.ÖNK kiadás'!N11</f>
        <v>3968060</v>
      </c>
      <c r="O14" s="901">
        <f>'4.sz.m.ÖNK kiadás'!O11</f>
        <v>3968060</v>
      </c>
      <c r="P14" s="617">
        <f>'4.sz.m.ÖNK kiadás'!P11</f>
        <v>0</v>
      </c>
      <c r="Q14" s="617">
        <f>'4.sz.m.ÖNK kiadás'!Q11</f>
        <v>0</v>
      </c>
      <c r="R14" s="743"/>
      <c r="S14" s="82"/>
      <c r="T14" s="82"/>
      <c r="U14" s="82"/>
      <c r="V14" s="82"/>
      <c r="W14" s="82"/>
      <c r="X14" s="82"/>
    </row>
    <row r="15" spans="1:24" s="83" customFormat="1" ht="33" customHeight="1">
      <c r="A15" s="84"/>
      <c r="B15" s="89"/>
      <c r="C15" s="85" t="s">
        <v>153</v>
      </c>
      <c r="D15" s="90" t="s">
        <v>154</v>
      </c>
      <c r="E15" s="91"/>
      <c r="F15" s="901">
        <f>'4.sz.m.ÖNK kiadás'!F12</f>
        <v>0</v>
      </c>
      <c r="G15" s="617">
        <f>'4.sz.m.ÖNK kiadás'!G12</f>
        <v>12000</v>
      </c>
      <c r="H15" s="617">
        <f>'4.sz.m.ÖNK kiadás'!H12</f>
        <v>0</v>
      </c>
      <c r="I15" s="617">
        <f>'4.sz.m.ÖNK kiadás'!I12</f>
        <v>0</v>
      </c>
      <c r="J15" s="907">
        <f t="shared" si="0"/>
        <v>0</v>
      </c>
      <c r="K15" s="907">
        <f t="shared" si="0"/>
        <v>12000</v>
      </c>
      <c r="L15" s="623">
        <f t="shared" si="1"/>
        <v>0</v>
      </c>
      <c r="M15" s="623">
        <f t="shared" si="1"/>
        <v>0</v>
      </c>
      <c r="N15" s="901">
        <f>'4.sz.m.ÖNK kiadás'!N12</f>
        <v>0</v>
      </c>
      <c r="O15" s="901">
        <f>'4.sz.m.ÖNK kiadás'!O12</f>
        <v>0</v>
      </c>
      <c r="P15" s="617">
        <f>'4.sz.m.ÖNK kiadás'!P12</f>
        <v>0</v>
      </c>
      <c r="Q15" s="617">
        <f>'4.sz.m.ÖNK kiadás'!Q12</f>
        <v>0</v>
      </c>
      <c r="R15" s="743"/>
      <c r="S15" s="82"/>
      <c r="T15" s="82"/>
      <c r="U15" s="82"/>
      <c r="V15" s="82"/>
      <c r="W15" s="82"/>
      <c r="X15" s="82"/>
    </row>
    <row r="16" spans="1:24" s="83" customFormat="1" ht="57.75" customHeight="1">
      <c r="A16" s="84"/>
      <c r="B16" s="85"/>
      <c r="C16" s="85" t="s">
        <v>155</v>
      </c>
      <c r="D16" s="86" t="s">
        <v>156</v>
      </c>
      <c r="E16" s="81"/>
      <c r="F16" s="901">
        <f>'4.sz.m.ÖNK kiadás'!F13</f>
        <v>3405000</v>
      </c>
      <c r="G16" s="617">
        <f>'4.sz.m.ÖNK kiadás'!G13</f>
        <v>3405000</v>
      </c>
      <c r="H16" s="617">
        <f>'4.sz.m.ÖNK kiadás'!H13</f>
        <v>0</v>
      </c>
      <c r="I16" s="617">
        <f>'4.sz.m.ÖNK kiadás'!I13</f>
        <v>0</v>
      </c>
      <c r="J16" s="907">
        <f t="shared" si="0"/>
        <v>0</v>
      </c>
      <c r="K16" s="907">
        <f t="shared" si="0"/>
        <v>0</v>
      </c>
      <c r="L16" s="623">
        <f t="shared" si="1"/>
        <v>0</v>
      </c>
      <c r="M16" s="623">
        <f t="shared" si="1"/>
        <v>0</v>
      </c>
      <c r="N16" s="901">
        <f>'4.sz.m.ÖNK kiadás'!N13</f>
        <v>3405000</v>
      </c>
      <c r="O16" s="901">
        <f>'4.sz.m.ÖNK kiadás'!O13</f>
        <v>3405000</v>
      </c>
      <c r="P16" s="617">
        <f>'4.sz.m.ÖNK kiadás'!P13</f>
        <v>0</v>
      </c>
      <c r="Q16" s="617">
        <f>'4.sz.m.ÖNK kiadás'!Q13</f>
        <v>0</v>
      </c>
      <c r="R16" s="743"/>
      <c r="S16" s="82"/>
      <c r="T16" s="82"/>
      <c r="U16" s="82"/>
      <c r="V16" s="82"/>
      <c r="W16" s="82"/>
      <c r="X16" s="82"/>
    </row>
    <row r="17" spans="1:24" s="83" customFormat="1" ht="54.75" customHeight="1">
      <c r="A17" s="92"/>
      <c r="B17" s="93"/>
      <c r="C17" s="85" t="s">
        <v>157</v>
      </c>
      <c r="D17" s="86" t="s">
        <v>158</v>
      </c>
      <c r="E17" s="81"/>
      <c r="F17" s="901">
        <f>'4.sz.m.ÖNK kiadás'!F14</f>
        <v>1506041</v>
      </c>
      <c r="G17" s="617">
        <f>'4.sz.m.ÖNK kiadás'!G14</f>
        <v>1506041</v>
      </c>
      <c r="H17" s="617">
        <f>'4.sz.m.ÖNK kiadás'!H14</f>
        <v>0</v>
      </c>
      <c r="I17" s="617">
        <f>'4.sz.m.ÖNK kiadás'!I14</f>
        <v>0</v>
      </c>
      <c r="J17" s="895">
        <f t="shared" si="0"/>
        <v>942981</v>
      </c>
      <c r="K17" s="895">
        <f t="shared" si="0"/>
        <v>942981</v>
      </c>
      <c r="L17" s="623">
        <f t="shared" si="1"/>
        <v>0</v>
      </c>
      <c r="M17" s="623">
        <f t="shared" si="1"/>
        <v>0</v>
      </c>
      <c r="N17" s="901">
        <f>'4.sz.m.ÖNK kiadás'!N14</f>
        <v>563060</v>
      </c>
      <c r="O17" s="901">
        <f>'4.sz.m.ÖNK kiadás'!O14</f>
        <v>563060</v>
      </c>
      <c r="P17" s="617">
        <f>'4.sz.m.ÖNK kiadás'!P14</f>
        <v>0</v>
      </c>
      <c r="Q17" s="617">
        <f>'4.sz.m.ÖNK kiadás'!Q14</f>
        <v>0</v>
      </c>
      <c r="R17" s="743"/>
      <c r="S17" s="82"/>
      <c r="T17" s="82"/>
      <c r="U17" s="82"/>
      <c r="V17" s="82"/>
      <c r="W17" s="82"/>
      <c r="X17" s="82"/>
    </row>
    <row r="18" spans="1:24" s="83" customFormat="1" ht="59.25" customHeight="1" thickBot="1">
      <c r="A18" s="84"/>
      <c r="B18" s="85"/>
      <c r="C18" s="85" t="s">
        <v>159</v>
      </c>
      <c r="D18" s="86" t="s">
        <v>458</v>
      </c>
      <c r="E18" s="81"/>
      <c r="F18" s="901">
        <f>'4.sz.m.ÖNK kiadás'!F15</f>
        <v>0</v>
      </c>
      <c r="G18" s="617">
        <f>'4.sz.m.ÖNK kiadás'!G15</f>
        <v>0</v>
      </c>
      <c r="H18" s="617">
        <f>'4.sz.m.ÖNK kiadás'!H15</f>
        <v>0</v>
      </c>
      <c r="I18" s="617">
        <f>'4.sz.m.ÖNK kiadás'!I15</f>
        <v>0</v>
      </c>
      <c r="J18" s="909">
        <f t="shared" si="0"/>
        <v>0</v>
      </c>
      <c r="K18" s="909">
        <f t="shared" si="0"/>
        <v>0</v>
      </c>
      <c r="L18" s="910">
        <f t="shared" si="1"/>
        <v>0</v>
      </c>
      <c r="M18" s="910">
        <f t="shared" si="1"/>
        <v>0</v>
      </c>
      <c r="N18" s="901">
        <f>'4.sz.m.ÖNK kiadás'!N15</f>
        <v>0</v>
      </c>
      <c r="O18" s="901">
        <f>'4.sz.m.ÖNK kiadás'!O15</f>
        <v>0</v>
      </c>
      <c r="P18" s="617">
        <f>'4.sz.m.ÖNK kiadás'!P15</f>
        <v>0</v>
      </c>
      <c r="Q18" s="617">
        <f>'4.sz.m.ÖNK kiadás'!Q15</f>
        <v>0</v>
      </c>
      <c r="R18" s="743"/>
      <c r="S18" s="82"/>
      <c r="T18" s="82"/>
      <c r="U18" s="82"/>
      <c r="V18" s="82"/>
      <c r="W18" s="82"/>
      <c r="X18" s="82"/>
    </row>
    <row r="19" spans="1:24" s="83" customFormat="1" ht="33" customHeight="1" hidden="1" thickBot="1">
      <c r="A19" s="94"/>
      <c r="B19" s="95"/>
      <c r="C19" s="95" t="s">
        <v>161</v>
      </c>
      <c r="D19" s="96" t="s">
        <v>162</v>
      </c>
      <c r="E19" s="97"/>
      <c r="F19" s="901"/>
      <c r="G19" s="617"/>
      <c r="H19" s="617"/>
      <c r="I19" s="617"/>
      <c r="J19" s="900">
        <f t="shared" si="0"/>
        <v>0</v>
      </c>
      <c r="K19" s="900">
        <f t="shared" si="0"/>
        <v>0</v>
      </c>
      <c r="L19" s="616">
        <f t="shared" si="1"/>
        <v>0</v>
      </c>
      <c r="M19" s="616">
        <f t="shared" si="1"/>
        <v>0</v>
      </c>
      <c r="N19" s="901"/>
      <c r="O19" s="901"/>
      <c r="P19" s="617"/>
      <c r="Q19" s="617"/>
      <c r="R19" s="743"/>
      <c r="S19" s="82"/>
      <c r="T19" s="82"/>
      <c r="U19" s="82"/>
      <c r="V19" s="82"/>
      <c r="W19" s="82"/>
      <c r="X19" s="82"/>
    </row>
    <row r="20" spans="1:24" s="83" customFormat="1" ht="33" customHeight="1" thickBot="1">
      <c r="A20" s="43" t="s">
        <v>163</v>
      </c>
      <c r="B20" s="1137" t="s">
        <v>164</v>
      </c>
      <c r="C20" s="1137"/>
      <c r="D20" s="1137"/>
      <c r="E20" s="76"/>
      <c r="F20" s="902">
        <f>F21+F22+F23</f>
        <v>132305738</v>
      </c>
      <c r="G20" s="618">
        <f>G21+G22+G23</f>
        <v>132540076</v>
      </c>
      <c r="H20" s="618">
        <f>H21+H22+H23</f>
        <v>0</v>
      </c>
      <c r="I20" s="618">
        <f>I21+I22+I23</f>
        <v>0</v>
      </c>
      <c r="J20" s="900">
        <f t="shared" si="0"/>
        <v>131935625</v>
      </c>
      <c r="K20" s="900">
        <f t="shared" si="0"/>
        <v>132169963</v>
      </c>
      <c r="L20" s="616">
        <f t="shared" si="1"/>
        <v>0</v>
      </c>
      <c r="M20" s="616">
        <f t="shared" si="1"/>
        <v>0</v>
      </c>
      <c r="N20" s="902">
        <f>N21+N22+N23</f>
        <v>370113</v>
      </c>
      <c r="O20" s="902">
        <f>O21+O22+O23</f>
        <v>370113</v>
      </c>
      <c r="P20" s="618">
        <f>P23</f>
        <v>0</v>
      </c>
      <c r="Q20" s="618">
        <f>Q23</f>
        <v>0</v>
      </c>
      <c r="R20" s="744"/>
      <c r="S20" s="98">
        <f aca="true" t="shared" si="3" ref="S20:X20">SUM(S21:S23)</f>
        <v>0</v>
      </c>
      <c r="T20" s="98">
        <f t="shared" si="3"/>
        <v>0</v>
      </c>
      <c r="U20" s="98">
        <f t="shared" si="3"/>
        <v>0</v>
      </c>
      <c r="V20" s="98">
        <f t="shared" si="3"/>
        <v>0</v>
      </c>
      <c r="W20" s="98">
        <f t="shared" si="3"/>
        <v>0</v>
      </c>
      <c r="X20" s="98">
        <f t="shared" si="3"/>
        <v>0</v>
      </c>
    </row>
    <row r="21" spans="1:24" s="83" customFormat="1" ht="33" customHeight="1">
      <c r="A21" s="78"/>
      <c r="B21" s="79" t="s">
        <v>45</v>
      </c>
      <c r="C21" s="1138" t="s">
        <v>165</v>
      </c>
      <c r="D21" s="1138"/>
      <c r="E21" s="99" t="s">
        <v>166</v>
      </c>
      <c r="F21" s="901">
        <f>'4.sz.m.ÖNK kiadás'!F18+'5. sz. m óvoda'!J40</f>
        <v>111555981</v>
      </c>
      <c r="G21" s="617">
        <f>'4.sz.m.ÖNK kiadás'!G18+'5. sz. m óvoda'!K40</f>
        <v>111555981</v>
      </c>
      <c r="H21" s="617">
        <f>'4.sz.m.ÖNK kiadás'!H18+'5. sz. m óvoda'!L40</f>
        <v>0</v>
      </c>
      <c r="I21" s="617">
        <f>'4.sz.m.ÖNK kiadás'!I18+'5. sz. m óvoda'!M40</f>
        <v>0</v>
      </c>
      <c r="J21" s="906">
        <f t="shared" si="0"/>
        <v>111185868</v>
      </c>
      <c r="K21" s="906">
        <f t="shared" si="0"/>
        <v>111185868</v>
      </c>
      <c r="L21" s="622">
        <f t="shared" si="1"/>
        <v>0</v>
      </c>
      <c r="M21" s="622">
        <f t="shared" si="1"/>
        <v>0</v>
      </c>
      <c r="N21" s="901">
        <f>+'4.sz.m.ÖNK kiadás'!N18</f>
        <v>370113</v>
      </c>
      <c r="O21" s="901">
        <f>+'4.sz.m.ÖNK kiadás'!O18</f>
        <v>370113</v>
      </c>
      <c r="P21" s="617"/>
      <c r="Q21" s="617"/>
      <c r="R21" s="743"/>
      <c r="S21" s="82"/>
      <c r="T21" s="82"/>
      <c r="U21" s="82"/>
      <c r="V21" s="82"/>
      <c r="W21" s="82"/>
      <c r="X21" s="82"/>
    </row>
    <row r="22" spans="1:24" s="83" customFormat="1" ht="33" customHeight="1">
      <c r="A22" s="84"/>
      <c r="B22" s="85" t="s">
        <v>48</v>
      </c>
      <c r="C22" s="1139" t="s">
        <v>167</v>
      </c>
      <c r="D22" s="1139"/>
      <c r="E22" s="99" t="s">
        <v>168</v>
      </c>
      <c r="F22" s="901">
        <f>'4.sz.m.ÖNK kiadás'!F19</f>
        <v>18808426</v>
      </c>
      <c r="G22" s="617">
        <f>'4.sz.m.ÖNK kiadás'!G19</f>
        <v>19042764</v>
      </c>
      <c r="H22" s="617">
        <f>'4.sz.m.ÖNK kiadás'!H19</f>
        <v>0</v>
      </c>
      <c r="I22" s="617">
        <f>'4.sz.m.ÖNK kiadás'!I19</f>
        <v>0</v>
      </c>
      <c r="J22" s="907">
        <f t="shared" si="0"/>
        <v>18808426</v>
      </c>
      <c r="K22" s="907">
        <f t="shared" si="0"/>
        <v>19042764</v>
      </c>
      <c r="L22" s="623">
        <f t="shared" si="1"/>
        <v>0</v>
      </c>
      <c r="M22" s="623">
        <f t="shared" si="1"/>
        <v>0</v>
      </c>
      <c r="N22" s="901">
        <f>+'4.sz.m.ÖNK kiadás'!N19</f>
        <v>0</v>
      </c>
      <c r="O22" s="901">
        <f>+'4.sz.m.ÖNK kiadás'!O19</f>
        <v>0</v>
      </c>
      <c r="P22" s="617"/>
      <c r="Q22" s="617"/>
      <c r="R22" s="743"/>
      <c r="S22" s="82"/>
      <c r="T22" s="82"/>
      <c r="U22" s="82"/>
      <c r="V22" s="82"/>
      <c r="W22" s="82"/>
      <c r="X22" s="82"/>
    </row>
    <row r="23" spans="1:24" s="83" customFormat="1" ht="33" customHeight="1">
      <c r="A23" s="100"/>
      <c r="B23" s="85" t="s">
        <v>51</v>
      </c>
      <c r="C23" s="1140" t="s">
        <v>169</v>
      </c>
      <c r="D23" s="1140"/>
      <c r="E23" s="102" t="s">
        <v>170</v>
      </c>
      <c r="F23" s="901">
        <f>SUM(F24:F27)</f>
        <v>1941331</v>
      </c>
      <c r="G23" s="617">
        <f>SUM(G24:G27)</f>
        <v>1941331</v>
      </c>
      <c r="H23" s="617">
        <f>SUM(H24:H27)</f>
        <v>0</v>
      </c>
      <c r="I23" s="617">
        <f>SUM(I24:I27)</f>
        <v>0</v>
      </c>
      <c r="J23" s="907">
        <f t="shared" si="0"/>
        <v>1941331</v>
      </c>
      <c r="K23" s="907">
        <f t="shared" si="0"/>
        <v>1941331</v>
      </c>
      <c r="L23" s="623">
        <f t="shared" si="1"/>
        <v>0</v>
      </c>
      <c r="M23" s="623">
        <f t="shared" si="1"/>
        <v>0</v>
      </c>
      <c r="N23" s="901">
        <f>SUM(N24:N27)</f>
        <v>0</v>
      </c>
      <c r="O23" s="901">
        <f>SUM(O24:O27)</f>
        <v>0</v>
      </c>
      <c r="P23" s="617">
        <f>SUM(P24:P27)</f>
        <v>0</v>
      </c>
      <c r="Q23" s="617">
        <f>SUM(Q24:Q27)</f>
        <v>0</v>
      </c>
      <c r="R23" s="743"/>
      <c r="S23" s="82"/>
      <c r="T23" s="82"/>
      <c r="U23" s="82"/>
      <c r="V23" s="82"/>
      <c r="W23" s="82"/>
      <c r="X23" s="82"/>
    </row>
    <row r="24" spans="1:24" s="83" customFormat="1" ht="33" customHeight="1">
      <c r="A24" s="103"/>
      <c r="B24" s="104"/>
      <c r="C24" s="104" t="s">
        <v>54</v>
      </c>
      <c r="D24" s="101" t="s">
        <v>171</v>
      </c>
      <c r="E24" s="102"/>
      <c r="F24" s="901">
        <f>'4.sz.m.ÖNK kiadás'!F21</f>
        <v>1941331</v>
      </c>
      <c r="G24" s="617">
        <f>'4.sz.m.ÖNK kiadás'!G21</f>
        <v>1941331</v>
      </c>
      <c r="H24" s="617">
        <f>'4.sz.m.ÖNK kiadás'!H21</f>
        <v>0</v>
      </c>
      <c r="I24" s="617">
        <f>'4.sz.m.ÖNK kiadás'!I21</f>
        <v>0</v>
      </c>
      <c r="J24" s="907">
        <f t="shared" si="0"/>
        <v>1941331</v>
      </c>
      <c r="K24" s="907">
        <f t="shared" si="0"/>
        <v>1941331</v>
      </c>
      <c r="L24" s="623">
        <f t="shared" si="1"/>
        <v>0</v>
      </c>
      <c r="M24" s="623">
        <f t="shared" si="1"/>
        <v>0</v>
      </c>
      <c r="N24" s="901">
        <f>'4.sz.m.ÖNK kiadás'!N21</f>
        <v>0</v>
      </c>
      <c r="O24" s="901">
        <f>'4.sz.m.ÖNK kiadás'!O21</f>
        <v>0</v>
      </c>
      <c r="P24" s="617">
        <f>'4.sz.m.ÖNK kiadás'!P21</f>
        <v>0</v>
      </c>
      <c r="Q24" s="617">
        <f>'4.sz.m.ÖNK kiadás'!Q21</f>
        <v>0</v>
      </c>
      <c r="R24" s="743"/>
      <c r="S24" s="82"/>
      <c r="T24" s="82"/>
      <c r="U24" s="82"/>
      <c r="V24" s="82"/>
      <c r="W24" s="82"/>
      <c r="X24" s="82"/>
    </row>
    <row r="25" spans="1:24" s="83" customFormat="1" ht="33" customHeight="1">
      <c r="A25" s="103"/>
      <c r="B25" s="104"/>
      <c r="C25" s="104" t="s">
        <v>56</v>
      </c>
      <c r="D25" s="101" t="s">
        <v>172</v>
      </c>
      <c r="E25" s="102"/>
      <c r="F25" s="901"/>
      <c r="G25" s="617"/>
      <c r="H25" s="617"/>
      <c r="I25" s="617"/>
      <c r="J25" s="907">
        <f t="shared" si="0"/>
        <v>0</v>
      </c>
      <c r="K25" s="907">
        <f t="shared" si="0"/>
        <v>0</v>
      </c>
      <c r="L25" s="623">
        <f t="shared" si="1"/>
        <v>0</v>
      </c>
      <c r="M25" s="623">
        <f t="shared" si="1"/>
        <v>0</v>
      </c>
      <c r="N25" s="901"/>
      <c r="O25" s="901"/>
      <c r="P25" s="617"/>
      <c r="Q25" s="617"/>
      <c r="R25" s="743"/>
      <c r="S25" s="82"/>
      <c r="T25" s="82"/>
      <c r="U25" s="82"/>
      <c r="V25" s="82"/>
      <c r="W25" s="82"/>
      <c r="X25" s="82"/>
    </row>
    <row r="26" spans="1:24" s="83" customFormat="1" ht="33" customHeight="1">
      <c r="A26" s="100"/>
      <c r="B26" s="101"/>
      <c r="C26" s="104" t="s">
        <v>58</v>
      </c>
      <c r="D26" s="101" t="s">
        <v>160</v>
      </c>
      <c r="E26" s="102"/>
      <c r="F26" s="901"/>
      <c r="G26" s="617"/>
      <c r="H26" s="617"/>
      <c r="I26" s="617"/>
      <c r="J26" s="907">
        <f t="shared" si="0"/>
        <v>0</v>
      </c>
      <c r="K26" s="907">
        <f t="shared" si="0"/>
        <v>0</v>
      </c>
      <c r="L26" s="623">
        <f t="shared" si="1"/>
        <v>0</v>
      </c>
      <c r="M26" s="623">
        <f t="shared" si="1"/>
        <v>0</v>
      </c>
      <c r="N26" s="901"/>
      <c r="O26" s="901"/>
      <c r="P26" s="617"/>
      <c r="Q26" s="617"/>
      <c r="R26" s="743"/>
      <c r="S26" s="82"/>
      <c r="T26" s="82"/>
      <c r="U26" s="82"/>
      <c r="V26" s="82"/>
      <c r="W26" s="82"/>
      <c r="X26" s="82"/>
    </row>
    <row r="27" spans="1:24" s="83" customFormat="1" ht="33" customHeight="1" thickBot="1">
      <c r="A27" s="105"/>
      <c r="B27" s="106"/>
      <c r="C27" s="107" t="s">
        <v>173</v>
      </c>
      <c r="D27" s="106" t="s">
        <v>174</v>
      </c>
      <c r="E27" s="108"/>
      <c r="F27" s="901"/>
      <c r="G27" s="617"/>
      <c r="H27" s="617"/>
      <c r="I27" s="617"/>
      <c r="J27" s="908">
        <f t="shared" si="0"/>
        <v>0</v>
      </c>
      <c r="K27" s="908">
        <f t="shared" si="0"/>
        <v>0</v>
      </c>
      <c r="L27" s="624">
        <f t="shared" si="1"/>
        <v>0</v>
      </c>
      <c r="M27" s="624">
        <f t="shared" si="1"/>
        <v>0</v>
      </c>
      <c r="N27" s="901"/>
      <c r="O27" s="901"/>
      <c r="P27" s="617"/>
      <c r="Q27" s="617"/>
      <c r="R27" s="743"/>
      <c r="S27" s="82"/>
      <c r="T27" s="82"/>
      <c r="U27" s="82"/>
      <c r="V27" s="82"/>
      <c r="W27" s="82"/>
      <c r="X27" s="82"/>
    </row>
    <row r="28" spans="1:24" s="83" customFormat="1" ht="33" customHeight="1" thickBot="1">
      <c r="A28" s="43" t="s">
        <v>69</v>
      </c>
      <c r="B28" s="1137" t="s">
        <v>175</v>
      </c>
      <c r="C28" s="1137"/>
      <c r="D28" s="1137"/>
      <c r="E28" s="76" t="s">
        <v>176</v>
      </c>
      <c r="F28" s="902">
        <f>F29+F31</f>
        <v>566844</v>
      </c>
      <c r="G28" s="618">
        <f>G29+G31</f>
        <v>1769198</v>
      </c>
      <c r="H28" s="618">
        <f>H29+H31</f>
        <v>0</v>
      </c>
      <c r="I28" s="618">
        <f>I29+I31</f>
        <v>0</v>
      </c>
      <c r="J28" s="900">
        <f t="shared" si="0"/>
        <v>566844</v>
      </c>
      <c r="K28" s="900">
        <f t="shared" si="0"/>
        <v>1769198</v>
      </c>
      <c r="L28" s="616">
        <f t="shared" si="1"/>
        <v>0</v>
      </c>
      <c r="M28" s="616">
        <f t="shared" si="1"/>
        <v>0</v>
      </c>
      <c r="N28" s="902"/>
      <c r="O28" s="902"/>
      <c r="P28" s="618"/>
      <c r="Q28" s="618"/>
      <c r="R28" s="744"/>
      <c r="S28" s="98">
        <f aca="true" t="shared" si="4" ref="S28:X28">SUM(S29:S31)</f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4"/>
        <v>0</v>
      </c>
      <c r="X28" s="98">
        <f t="shared" si="4"/>
        <v>0</v>
      </c>
    </row>
    <row r="29" spans="1:24" s="83" customFormat="1" ht="33" customHeight="1">
      <c r="A29" s="78"/>
      <c r="B29" s="79" t="s">
        <v>72</v>
      </c>
      <c r="C29" s="1138" t="s">
        <v>177</v>
      </c>
      <c r="D29" s="1138"/>
      <c r="E29" s="99"/>
      <c r="F29" s="901">
        <f>'4.sz.m.ÖNK kiadás'!F26</f>
        <v>566844</v>
      </c>
      <c r="G29" s="617">
        <f>'4.sz.m.ÖNK kiadás'!G26</f>
        <v>1769198</v>
      </c>
      <c r="H29" s="617">
        <f>'4.sz.m.ÖNK kiadás'!H26</f>
        <v>0</v>
      </c>
      <c r="I29" s="617">
        <f>'4.sz.m.ÖNK kiadás'!I26</f>
        <v>0</v>
      </c>
      <c r="J29" s="906">
        <f t="shared" si="0"/>
        <v>566844</v>
      </c>
      <c r="K29" s="906">
        <f t="shared" si="0"/>
        <v>1769198</v>
      </c>
      <c r="L29" s="622">
        <f t="shared" si="1"/>
        <v>0</v>
      </c>
      <c r="M29" s="622">
        <f t="shared" si="1"/>
        <v>0</v>
      </c>
      <c r="N29" s="901"/>
      <c r="O29" s="901"/>
      <c r="P29" s="617"/>
      <c r="Q29" s="617"/>
      <c r="R29" s="743"/>
      <c r="S29" s="82"/>
      <c r="T29" s="82"/>
      <c r="U29" s="82"/>
      <c r="V29" s="82"/>
      <c r="W29" s="82"/>
      <c r="X29" s="82"/>
    </row>
    <row r="30" spans="1:24" s="77" customFormat="1" ht="33" customHeight="1">
      <c r="A30" s="109"/>
      <c r="B30" s="85" t="s">
        <v>75</v>
      </c>
      <c r="C30" s="1141" t="s">
        <v>178</v>
      </c>
      <c r="D30" s="1141"/>
      <c r="E30" s="110"/>
      <c r="F30" s="901">
        <f>'4.sz.m.ÖNK kiadás'!F27</f>
        <v>0</v>
      </c>
      <c r="G30" s="617">
        <f>'4.sz.m.ÖNK kiadás'!G27</f>
        <v>0</v>
      </c>
      <c r="H30" s="617">
        <f>'4.sz.m.ÖNK kiadás'!H27</f>
        <v>0</v>
      </c>
      <c r="I30" s="617">
        <f>'4.sz.m.ÖNK kiadás'!I27</f>
        <v>0</v>
      </c>
      <c r="J30" s="907">
        <f t="shared" si="0"/>
        <v>0</v>
      </c>
      <c r="K30" s="907">
        <f t="shared" si="0"/>
        <v>0</v>
      </c>
      <c r="L30" s="623">
        <f t="shared" si="1"/>
        <v>0</v>
      </c>
      <c r="M30" s="623">
        <f t="shared" si="1"/>
        <v>0</v>
      </c>
      <c r="N30" s="901"/>
      <c r="O30" s="901"/>
      <c r="P30" s="617"/>
      <c r="Q30" s="617"/>
      <c r="R30" s="743"/>
      <c r="S30" s="82"/>
      <c r="T30" s="82"/>
      <c r="U30" s="82"/>
      <c r="V30" s="82"/>
      <c r="W30" s="82"/>
      <c r="X30" s="82"/>
    </row>
    <row r="31" spans="1:24" s="77" customFormat="1" ht="33" customHeight="1" thickBot="1">
      <c r="A31" s="111"/>
      <c r="B31" s="95" t="s">
        <v>77</v>
      </c>
      <c r="C31" s="112" t="s">
        <v>179</v>
      </c>
      <c r="D31" s="112"/>
      <c r="E31" s="113"/>
      <c r="F31" s="901">
        <f>'4.sz.m.ÖNK kiadás'!F28</f>
        <v>0</v>
      </c>
      <c r="G31" s="617">
        <f>'4.sz.m.ÖNK kiadás'!G28</f>
        <v>0</v>
      </c>
      <c r="H31" s="617">
        <f>'4.sz.m.ÖNK kiadás'!H28</f>
        <v>0</v>
      </c>
      <c r="I31" s="617">
        <f>'4.sz.m.ÖNK kiadás'!I28</f>
        <v>0</v>
      </c>
      <c r="J31" s="908">
        <f t="shared" si="0"/>
        <v>0</v>
      </c>
      <c r="K31" s="908">
        <f t="shared" si="0"/>
        <v>0</v>
      </c>
      <c r="L31" s="624">
        <f t="shared" si="1"/>
        <v>0</v>
      </c>
      <c r="M31" s="624">
        <f t="shared" si="1"/>
        <v>0</v>
      </c>
      <c r="N31" s="901"/>
      <c r="O31" s="901"/>
      <c r="P31" s="617"/>
      <c r="Q31" s="617"/>
      <c r="R31" s="743"/>
      <c r="S31" s="82"/>
      <c r="T31" s="82"/>
      <c r="U31" s="82"/>
      <c r="V31" s="82"/>
      <c r="W31" s="82"/>
      <c r="X31" s="82"/>
    </row>
    <row r="32" spans="1:24" s="77" customFormat="1" ht="33" customHeight="1" thickBot="1">
      <c r="A32" s="114" t="s">
        <v>88</v>
      </c>
      <c r="B32" s="115" t="s">
        <v>180</v>
      </c>
      <c r="C32" s="115"/>
      <c r="D32" s="115"/>
      <c r="E32" s="116"/>
      <c r="F32" s="900"/>
      <c r="G32" s="616"/>
      <c r="H32" s="616"/>
      <c r="I32" s="616"/>
      <c r="J32" s="900">
        <f t="shared" si="0"/>
        <v>0</v>
      </c>
      <c r="K32" s="900">
        <f t="shared" si="0"/>
        <v>0</v>
      </c>
      <c r="L32" s="616">
        <f t="shared" si="1"/>
        <v>0</v>
      </c>
      <c r="M32" s="616">
        <f t="shared" si="1"/>
        <v>0</v>
      </c>
      <c r="N32" s="900"/>
      <c r="O32" s="900"/>
      <c r="P32" s="616"/>
      <c r="Q32" s="616"/>
      <c r="R32" s="742"/>
      <c r="S32" s="117"/>
      <c r="T32" s="117"/>
      <c r="U32" s="117"/>
      <c r="V32" s="117"/>
      <c r="W32" s="117"/>
      <c r="X32" s="117"/>
    </row>
    <row r="33" spans="1:24" s="77" customFormat="1" ht="33" customHeight="1" thickBot="1">
      <c r="A33" s="43" t="s">
        <v>101</v>
      </c>
      <c r="B33" s="1142" t="s">
        <v>181</v>
      </c>
      <c r="C33" s="1142"/>
      <c r="D33" s="1142"/>
      <c r="E33" s="57"/>
      <c r="F33" s="900">
        <f>F9+F20+F28</f>
        <v>231043120</v>
      </c>
      <c r="G33" s="616">
        <f>G9+G20+G28</f>
        <v>232771477</v>
      </c>
      <c r="H33" s="616">
        <f>H9+H20+H28</f>
        <v>0</v>
      </c>
      <c r="I33" s="616">
        <f>I9+I20+I28</f>
        <v>0</v>
      </c>
      <c r="J33" s="900">
        <f t="shared" si="0"/>
        <v>212224159</v>
      </c>
      <c r="K33" s="900">
        <f t="shared" si="0"/>
        <v>213952516</v>
      </c>
      <c r="L33" s="616" t="e">
        <f t="shared" si="1"/>
        <v>#REF!</v>
      </c>
      <c r="M33" s="616">
        <f t="shared" si="1"/>
        <v>0</v>
      </c>
      <c r="N33" s="900">
        <f>N9+N20</f>
        <v>18818961</v>
      </c>
      <c r="O33" s="900">
        <f>O9+O20</f>
        <v>18818961</v>
      </c>
      <c r="P33" s="616" t="e">
        <f>P9+P20</f>
        <v>#REF!</v>
      </c>
      <c r="Q33" s="616">
        <f>Q9+Q20</f>
        <v>0</v>
      </c>
      <c r="R33" s="742"/>
      <c r="S33" s="118" t="e">
        <f aca="true" t="shared" si="5" ref="S33:X33">S9+S20+S28+S32</f>
        <v>#REF!</v>
      </c>
      <c r="T33" s="118" t="e">
        <f t="shared" si="5"/>
        <v>#REF!</v>
      </c>
      <c r="U33" s="118" t="e">
        <f t="shared" si="5"/>
        <v>#REF!</v>
      </c>
      <c r="V33" s="118" t="e">
        <f t="shared" si="5"/>
        <v>#REF!</v>
      </c>
      <c r="W33" s="118" t="e">
        <f t="shared" si="5"/>
        <v>#REF!</v>
      </c>
      <c r="X33" s="118" t="e">
        <f t="shared" si="5"/>
        <v>#REF!</v>
      </c>
    </row>
    <row r="34" spans="1:24" s="77" customFormat="1" ht="33" customHeight="1" thickBot="1">
      <c r="A34" s="119" t="s">
        <v>109</v>
      </c>
      <c r="B34" s="1143" t="s">
        <v>182</v>
      </c>
      <c r="C34" s="1143"/>
      <c r="D34" s="1143"/>
      <c r="E34" s="120" t="s">
        <v>183</v>
      </c>
      <c r="F34" s="903">
        <f>SUM(F35:F36)</f>
        <v>1280859</v>
      </c>
      <c r="G34" s="619">
        <f>SUM(G35:G36)</f>
        <v>1280859</v>
      </c>
      <c r="H34" s="619">
        <f>SUM(H35:H36)</f>
        <v>0</v>
      </c>
      <c r="I34" s="619">
        <f>SUM(I35:I36)</f>
        <v>0</v>
      </c>
      <c r="J34" s="900">
        <f t="shared" si="0"/>
        <v>1280859</v>
      </c>
      <c r="K34" s="900">
        <f t="shared" si="0"/>
        <v>1280859</v>
      </c>
      <c r="L34" s="616">
        <f t="shared" si="1"/>
        <v>0</v>
      </c>
      <c r="M34" s="616">
        <f t="shared" si="1"/>
        <v>0</v>
      </c>
      <c r="N34" s="903"/>
      <c r="O34" s="903"/>
      <c r="P34" s="619"/>
      <c r="Q34" s="619"/>
      <c r="R34" s="745"/>
      <c r="S34" s="45"/>
      <c r="T34" s="45"/>
      <c r="U34" s="45"/>
      <c r="V34" s="45"/>
      <c r="W34" s="45"/>
      <c r="X34" s="45"/>
    </row>
    <row r="35" spans="1:24" s="83" customFormat="1" ht="33" customHeight="1">
      <c r="A35" s="121"/>
      <c r="B35" s="79" t="s">
        <v>112</v>
      </c>
      <c r="C35" s="1114" t="s">
        <v>184</v>
      </c>
      <c r="D35" s="1114"/>
      <c r="E35" s="39"/>
      <c r="F35" s="901"/>
      <c r="G35" s="617"/>
      <c r="H35" s="617"/>
      <c r="I35" s="617"/>
      <c r="J35" s="906">
        <f t="shared" si="0"/>
        <v>0</v>
      </c>
      <c r="K35" s="906">
        <f t="shared" si="0"/>
        <v>0</v>
      </c>
      <c r="L35" s="622">
        <f t="shared" si="1"/>
        <v>0</v>
      </c>
      <c r="M35" s="622">
        <f t="shared" si="1"/>
        <v>0</v>
      </c>
      <c r="N35" s="901"/>
      <c r="O35" s="901"/>
      <c r="P35" s="617"/>
      <c r="Q35" s="617"/>
      <c r="R35" s="743"/>
      <c r="S35" s="82"/>
      <c r="T35" s="82"/>
      <c r="U35" s="82"/>
      <c r="V35" s="82"/>
      <c r="W35" s="82"/>
      <c r="X35" s="82"/>
    </row>
    <row r="36" spans="1:24" s="83" customFormat="1" ht="33" customHeight="1" thickBot="1">
      <c r="A36" s="94"/>
      <c r="B36" s="95" t="s">
        <v>115</v>
      </c>
      <c r="C36" s="1136" t="s">
        <v>417</v>
      </c>
      <c r="D36" s="1136"/>
      <c r="E36" s="122"/>
      <c r="F36" s="904">
        <f>'4.sz.m.ÖNK kiadás'!F34</f>
        <v>1280859</v>
      </c>
      <c r="G36" s="620">
        <f>'4.sz.m.ÖNK kiadás'!G34</f>
        <v>1280859</v>
      </c>
      <c r="H36" s="620">
        <f>'4.sz.m.ÖNK kiadás'!H34</f>
        <v>0</v>
      </c>
      <c r="I36" s="620">
        <f>'4.sz.m.ÖNK kiadás'!I34</f>
        <v>0</v>
      </c>
      <c r="J36" s="908">
        <f t="shared" si="0"/>
        <v>1280859</v>
      </c>
      <c r="K36" s="908">
        <f t="shared" si="0"/>
        <v>1280859</v>
      </c>
      <c r="L36" s="624">
        <f t="shared" si="1"/>
        <v>0</v>
      </c>
      <c r="M36" s="624">
        <f t="shared" si="1"/>
        <v>0</v>
      </c>
      <c r="N36" s="904"/>
      <c r="O36" s="904"/>
      <c r="P36" s="620"/>
      <c r="Q36" s="620"/>
      <c r="R36" s="746"/>
      <c r="S36" s="123"/>
      <c r="T36" s="123"/>
      <c r="U36" s="123"/>
      <c r="V36" s="123"/>
      <c r="W36" s="123"/>
      <c r="X36" s="123"/>
    </row>
    <row r="37" spans="1:24" s="83" customFormat="1" ht="33" customHeight="1" hidden="1" thickBot="1">
      <c r="A37" s="124" t="s">
        <v>118</v>
      </c>
      <c r="B37" s="1145"/>
      <c r="C37" s="1145"/>
      <c r="D37" s="1145"/>
      <c r="E37" s="126"/>
      <c r="F37" s="905"/>
      <c r="G37" s="621"/>
      <c r="H37" s="621"/>
      <c r="I37" s="621"/>
      <c r="J37" s="900">
        <f t="shared" si="0"/>
        <v>0</v>
      </c>
      <c r="K37" s="900">
        <f t="shared" si="0"/>
        <v>0</v>
      </c>
      <c r="L37" s="616">
        <f t="shared" si="1"/>
        <v>0</v>
      </c>
      <c r="M37" s="616">
        <f t="shared" si="1"/>
        <v>0</v>
      </c>
      <c r="N37" s="905"/>
      <c r="O37" s="905"/>
      <c r="P37" s="621"/>
      <c r="Q37" s="621"/>
      <c r="R37" s="747"/>
      <c r="S37" s="127" t="e">
        <f aca="true" t="shared" si="6" ref="S37:X37">S33+S34</f>
        <v>#REF!</v>
      </c>
      <c r="T37" s="127" t="e">
        <f t="shared" si="6"/>
        <v>#REF!</v>
      </c>
      <c r="U37" s="127" t="e">
        <f t="shared" si="6"/>
        <v>#REF!</v>
      </c>
      <c r="V37" s="127" t="e">
        <f t="shared" si="6"/>
        <v>#REF!</v>
      </c>
      <c r="W37" s="127" t="e">
        <f t="shared" si="6"/>
        <v>#REF!</v>
      </c>
      <c r="X37" s="127" t="e">
        <f t="shared" si="6"/>
        <v>#REF!</v>
      </c>
    </row>
    <row r="38" spans="1:24" s="83" customFormat="1" ht="33" customHeight="1" hidden="1" thickBot="1">
      <c r="A38" s="1146" t="s">
        <v>185</v>
      </c>
      <c r="B38" s="1146"/>
      <c r="C38" s="1146"/>
      <c r="D38" s="1146"/>
      <c r="E38" s="128"/>
      <c r="F38" s="904"/>
      <c r="G38" s="620"/>
      <c r="H38" s="620"/>
      <c r="I38" s="620"/>
      <c r="J38" s="900">
        <f t="shared" si="0"/>
        <v>0</v>
      </c>
      <c r="K38" s="900">
        <f t="shared" si="0"/>
        <v>0</v>
      </c>
      <c r="L38" s="616">
        <f t="shared" si="1"/>
        <v>0</v>
      </c>
      <c r="M38" s="616">
        <f t="shared" si="1"/>
        <v>0</v>
      </c>
      <c r="N38" s="904"/>
      <c r="O38" s="904"/>
      <c r="P38" s="620"/>
      <c r="Q38" s="620"/>
      <c r="R38" s="748"/>
      <c r="S38" s="129"/>
      <c r="T38" s="129"/>
      <c r="U38" s="129"/>
      <c r="V38" s="123"/>
      <c r="W38" s="123"/>
      <c r="X38" s="123"/>
    </row>
    <row r="39" spans="1:24" s="83" customFormat="1" ht="43.5" customHeight="1" thickBot="1">
      <c r="A39" s="1120" t="s">
        <v>186</v>
      </c>
      <c r="B39" s="1120"/>
      <c r="C39" s="1120"/>
      <c r="D39" s="1120"/>
      <c r="E39" s="57"/>
      <c r="F39" s="900">
        <f>F33+F34</f>
        <v>232323979</v>
      </c>
      <c r="G39" s="616">
        <f>G33+G34</f>
        <v>234052336</v>
      </c>
      <c r="H39" s="616">
        <f>H33+H34</f>
        <v>0</v>
      </c>
      <c r="I39" s="616">
        <f>I33+I34</f>
        <v>0</v>
      </c>
      <c r="J39" s="900">
        <f t="shared" si="0"/>
        <v>213505018</v>
      </c>
      <c r="K39" s="900">
        <f t="shared" si="0"/>
        <v>215233375</v>
      </c>
      <c r="L39" s="616" t="e">
        <f t="shared" si="1"/>
        <v>#REF!</v>
      </c>
      <c r="M39" s="616">
        <f t="shared" si="1"/>
        <v>0</v>
      </c>
      <c r="N39" s="902">
        <f>N33+N34</f>
        <v>18818961</v>
      </c>
      <c r="O39" s="902">
        <f>O33+O34</f>
        <v>18818961</v>
      </c>
      <c r="P39" s="618" t="e">
        <f>P33+P34</f>
        <v>#REF!</v>
      </c>
      <c r="Q39" s="618">
        <f>Q33+Q34</f>
        <v>0</v>
      </c>
      <c r="R39" s="744"/>
      <c r="S39" s="98" t="e">
        <f aca="true" t="shared" si="7" ref="S39:X39">S37+S38</f>
        <v>#REF!</v>
      </c>
      <c r="T39" s="98" t="e">
        <f t="shared" si="7"/>
        <v>#REF!</v>
      </c>
      <c r="U39" s="98" t="e">
        <f t="shared" si="7"/>
        <v>#REF!</v>
      </c>
      <c r="V39" s="98" t="e">
        <f t="shared" si="7"/>
        <v>#REF!</v>
      </c>
      <c r="W39" s="98" t="e">
        <f t="shared" si="7"/>
        <v>#REF!</v>
      </c>
      <c r="X39" s="98" t="e">
        <f t="shared" si="7"/>
        <v>#REF!</v>
      </c>
    </row>
    <row r="40" spans="1:23" s="83" customFormat="1" ht="19.5" customHeight="1">
      <c r="A40" s="130"/>
      <c r="B40" s="69"/>
      <c r="C40" s="130"/>
      <c r="D40" s="130"/>
      <c r="E40" s="130"/>
      <c r="F40" s="131"/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3"/>
      <c r="S40" s="133"/>
      <c r="T40" s="133"/>
      <c r="U40" s="133"/>
      <c r="V40" s="133"/>
      <c r="W40" s="133"/>
    </row>
    <row r="41" spans="1:23" s="83" customFormat="1" ht="19.5" customHeight="1">
      <c r="A41" s="130"/>
      <c r="B41" s="69"/>
      <c r="C41" s="130"/>
      <c r="D41" s="130"/>
      <c r="E41" s="130"/>
      <c r="F41" s="131"/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4"/>
      <c r="S41" s="134"/>
      <c r="T41" s="134"/>
      <c r="U41" s="134"/>
      <c r="V41" s="134"/>
      <c r="W41" s="134"/>
    </row>
    <row r="42" spans="1:23" s="83" customFormat="1" ht="19.5" customHeight="1">
      <c r="A42" s="130"/>
      <c r="B42" s="69"/>
      <c r="C42" s="1147" t="s">
        <v>187</v>
      </c>
      <c r="D42" s="1147"/>
      <c r="E42" s="1147"/>
      <c r="F42" s="1147"/>
      <c r="G42" s="1147"/>
      <c r="H42" s="1147"/>
      <c r="I42" s="1147"/>
      <c r="J42" s="1147"/>
      <c r="K42" s="789"/>
      <c r="L42" s="789"/>
      <c r="M42" s="789"/>
      <c r="N42" s="135"/>
      <c r="O42" s="135"/>
      <c r="P42" s="135"/>
      <c r="Q42" s="135"/>
      <c r="R42" s="136"/>
      <c r="S42" s="136"/>
      <c r="T42" s="136"/>
      <c r="U42" s="136"/>
      <c r="V42" s="136"/>
      <c r="W42" s="137"/>
    </row>
    <row r="43" spans="1:23" s="83" customFormat="1" ht="19.5" customHeight="1" thickBot="1">
      <c r="A43" s="138" t="s">
        <v>188</v>
      </c>
      <c r="B43" s="138"/>
      <c r="F43" s="139"/>
      <c r="G43" s="139"/>
      <c r="H43" s="139"/>
      <c r="I43" s="139"/>
      <c r="J43" s="140"/>
      <c r="K43" s="140"/>
      <c r="L43" s="140"/>
      <c r="M43" s="140"/>
      <c r="N43" s="141"/>
      <c r="O43" s="141"/>
      <c r="P43" s="141"/>
      <c r="Q43" s="141"/>
      <c r="R43" s="142"/>
      <c r="S43" s="142"/>
      <c r="T43" s="142"/>
      <c r="U43" s="142"/>
      <c r="V43" s="142"/>
      <c r="W43" s="143"/>
    </row>
    <row r="44" spans="1:24" ht="52.5" customHeight="1" thickBot="1">
      <c r="A44" s="144">
        <v>1</v>
      </c>
      <c r="B44" s="1148" t="s">
        <v>189</v>
      </c>
      <c r="C44" s="1148"/>
      <c r="D44" s="1148"/>
      <c r="E44" s="503"/>
      <c r="F44" s="504">
        <f>'1.sz.m-önk.össze.bev'!F60-'1 .sz.m.önk.össz.kiad.'!F33</f>
        <v>-51373535</v>
      </c>
      <c r="G44" s="504">
        <f>'1.sz.m-önk.össze.bev'!G60-'1 .sz.m.önk.össz.kiad.'!G33</f>
        <v>-51373535</v>
      </c>
      <c r="H44" s="504">
        <f>'1.sz.m-önk.össze.bev'!H60-'1 .sz.m.önk.össz.kiad.'!H33</f>
        <v>0</v>
      </c>
      <c r="I44" s="504">
        <f>'1.sz.m-önk.össze.bev'!I60-'1 .sz.m.önk.össz.kiad.'!I33</f>
        <v>0</v>
      </c>
      <c r="J44" s="504">
        <f>'1.sz.m-önk.össze.bev'!J60-'1 .sz.m.önk.össz.kiad.'!J33</f>
        <v>-39373173</v>
      </c>
      <c r="K44" s="504">
        <f>'1.sz.m-önk.össze.bev'!K60-'1 .sz.m.önk.össz.kiad.'!K33</f>
        <v>-39373173</v>
      </c>
      <c r="L44" s="504" t="e">
        <f>'1.sz.m-önk.össze.bev'!L60-'1 .sz.m.önk.össz.kiad.'!L33</f>
        <v>#REF!</v>
      </c>
      <c r="M44" s="504">
        <f>'1.sz.m-önk.össze.bev'!M60-'1 .sz.m.önk.össz.kiad.'!M33</f>
        <v>0</v>
      </c>
      <c r="N44" s="504">
        <f>'1.sz.m-önk.össze.bev'!N60-'1 .sz.m.önk.össz.kiad.'!N33</f>
        <v>-12000362</v>
      </c>
      <c r="O44" s="504">
        <f>'1.sz.m-önk.össze.bev'!O60-'1 .sz.m.önk.össz.kiad.'!O33</f>
        <v>-12000362</v>
      </c>
      <c r="P44" s="504" t="e">
        <f>'1.sz.m-önk.össze.bev'!P60-'1 .sz.m.önk.össz.kiad.'!P33</f>
        <v>#REF!</v>
      </c>
      <c r="Q44" s="504">
        <f>'1.sz.m-önk.össze.bev'!Q60-'1 .sz.m.önk.össz.kiad.'!Q33</f>
        <v>0</v>
      </c>
      <c r="R44" s="504">
        <f>'1.sz.m-önk.össze.bev'!R60-'1 .sz.m.önk.össz.kiad.'!R33</f>
        <v>0</v>
      </c>
      <c r="S44" s="145" t="e">
        <f>#REF!-'1 .sz.m.önk.össz.kiad.'!S33</f>
        <v>#REF!</v>
      </c>
      <c r="T44" s="145" t="e">
        <f>#REF!-'1 .sz.m.önk.össz.kiad.'!T33</f>
        <v>#REF!</v>
      </c>
      <c r="U44" s="145" t="e">
        <f>#REF!-'1 .sz.m.önk.össz.kiad.'!U33</f>
        <v>#REF!</v>
      </c>
      <c r="V44" s="145" t="e">
        <f>#REF!-'1 .sz.m.önk.össz.kiad.'!V33</f>
        <v>#REF!</v>
      </c>
      <c r="W44" s="145" t="e">
        <f>#REF!-'1 .sz.m.önk.össz.kiad.'!W33</f>
        <v>#REF!</v>
      </c>
      <c r="X44" s="145" t="e">
        <f>#REF!-'1 .sz.m.önk.össz.kiad.'!X33</f>
        <v>#REF!</v>
      </c>
    </row>
    <row r="45" spans="1:17" ht="18.75" customHeight="1">
      <c r="A45" s="146"/>
      <c r="B45" s="147"/>
      <c r="C45" s="505"/>
      <c r="D45" s="505"/>
      <c r="E45" s="505"/>
      <c r="F45" s="148"/>
      <c r="G45" s="148"/>
      <c r="H45" s="148"/>
      <c r="I45" s="148"/>
      <c r="J45" s="506"/>
      <c r="K45" s="506"/>
      <c r="L45" s="506"/>
      <c r="M45" s="506"/>
      <c r="N45" s="507"/>
      <c r="O45" s="507"/>
      <c r="P45" s="507"/>
      <c r="Q45" s="507"/>
    </row>
    <row r="46" spans="1:17" ht="15.75" customHeight="1">
      <c r="A46" s="146"/>
      <c r="B46" s="147"/>
      <c r="C46" s="1149"/>
      <c r="D46" s="1149"/>
      <c r="E46" s="1149"/>
      <c r="F46" s="1149"/>
      <c r="G46" s="1149"/>
      <c r="H46" s="1149"/>
      <c r="I46" s="1149"/>
      <c r="J46" s="1149"/>
      <c r="K46" s="149"/>
      <c r="L46" s="149"/>
      <c r="M46" s="149"/>
      <c r="N46" s="149"/>
      <c r="O46" s="149"/>
      <c r="P46" s="149"/>
      <c r="Q46" s="149"/>
    </row>
    <row r="47" spans="1:17" ht="16.5" customHeight="1" thickBot="1">
      <c r="A47" s="138" t="s">
        <v>190</v>
      </c>
      <c r="B47" s="147"/>
      <c r="C47" s="1150"/>
      <c r="D47" s="1150"/>
      <c r="E47" s="508"/>
      <c r="F47" s="505"/>
      <c r="G47" s="505"/>
      <c r="H47" s="505"/>
      <c r="I47" s="505"/>
      <c r="J47" s="506"/>
      <c r="K47" s="506"/>
      <c r="L47" s="506"/>
      <c r="M47" s="506"/>
      <c r="N47" s="507"/>
      <c r="O47" s="507"/>
      <c r="P47" s="507"/>
      <c r="Q47" s="507"/>
    </row>
    <row r="48" spans="1:24" ht="27.75" customHeight="1">
      <c r="A48" s="546" t="s">
        <v>10</v>
      </c>
      <c r="B48" s="1152" t="s">
        <v>634</v>
      </c>
      <c r="C48" s="1153"/>
      <c r="D48" s="1154"/>
      <c r="E48" s="509"/>
      <c r="F48" s="557">
        <f>'2.sz.m.összehasonlító'!B15</f>
        <v>9449282</v>
      </c>
      <c r="G48" s="557">
        <f>'2.sz.m.összehasonlító'!C15</f>
        <v>9449281</v>
      </c>
      <c r="H48" s="557">
        <f>'2.sz.m.összehasonlító'!D15</f>
        <v>-43205114</v>
      </c>
      <c r="I48" s="557"/>
      <c r="J48" s="557">
        <f>'2.sz.m.összehasonlító'!B15</f>
        <v>9449282</v>
      </c>
      <c r="K48" s="557">
        <f>'2.sz.m.összehasonlító'!C15</f>
        <v>9449281</v>
      </c>
      <c r="L48" s="557">
        <f>'2.sz.m.összehasonlító'!D15</f>
        <v>-43205114</v>
      </c>
      <c r="M48" s="557">
        <f>'2.sz.m.összehasonlító'!E15</f>
        <v>-43205115</v>
      </c>
      <c r="N48" s="557"/>
      <c r="O48" s="510"/>
      <c r="P48" s="510"/>
      <c r="Q48" s="510"/>
      <c r="R48" s="510"/>
      <c r="S48" s="150" t="e">
        <f>#REF!</f>
        <v>#REF!</v>
      </c>
      <c r="T48" s="150" t="e">
        <f>#REF!</f>
        <v>#REF!</v>
      </c>
      <c r="U48" s="150" t="e">
        <f>#REF!</f>
        <v>#REF!</v>
      </c>
      <c r="V48" s="150" t="e">
        <f>#REF!</f>
        <v>#REF!</v>
      </c>
      <c r="W48" s="150" t="e">
        <f>#REF!</f>
        <v>#REF!</v>
      </c>
      <c r="X48" s="150" t="e">
        <f>#REF!</f>
        <v>#REF!</v>
      </c>
    </row>
    <row r="49" spans="1:24" ht="27.75" customHeight="1">
      <c r="A49" s="547" t="s">
        <v>163</v>
      </c>
      <c r="B49" s="1155" t="s">
        <v>635</v>
      </c>
      <c r="C49" s="1156"/>
      <c r="D49" s="1157"/>
      <c r="E49" s="511"/>
      <c r="F49" s="558">
        <f>'2.sz.m.összehasonlító'!B28</f>
        <v>43205112</v>
      </c>
      <c r="G49" s="558">
        <f>'2.sz.m.összehasonlító'!C28</f>
        <v>43205113</v>
      </c>
      <c r="H49" s="558">
        <f>'2.sz.m.összehasonlító'!D28</f>
        <v>43205114</v>
      </c>
      <c r="I49" s="558"/>
      <c r="J49" s="558">
        <f>'2.sz.m.összehasonlító'!B28</f>
        <v>43205112</v>
      </c>
      <c r="K49" s="558">
        <f>'2.sz.m.összehasonlító'!C28</f>
        <v>43205113</v>
      </c>
      <c r="L49" s="558">
        <f>'2.sz.m.összehasonlító'!D28</f>
        <v>43205114</v>
      </c>
      <c r="M49" s="558"/>
      <c r="N49" s="512"/>
      <c r="O49" s="512"/>
      <c r="P49" s="512"/>
      <c r="Q49" s="512"/>
      <c r="R49" s="512"/>
      <c r="S49" s="151"/>
      <c r="T49" s="151"/>
      <c r="U49" s="151"/>
      <c r="V49" s="151"/>
      <c r="W49" s="151"/>
      <c r="X49" s="151"/>
    </row>
    <row r="50" spans="1:24" ht="27.75" customHeight="1" thickBot="1">
      <c r="A50" s="548" t="s">
        <v>69</v>
      </c>
      <c r="B50" s="1158" t="s">
        <v>636</v>
      </c>
      <c r="C50" s="1159"/>
      <c r="D50" s="1160"/>
      <c r="E50" s="513"/>
      <c r="F50" s="556">
        <f aca="true" t="shared" si="8" ref="F50:L50">F48+F49</f>
        <v>52654394</v>
      </c>
      <c r="G50" s="556">
        <f t="shared" si="8"/>
        <v>52654394</v>
      </c>
      <c r="H50" s="556">
        <f t="shared" si="8"/>
        <v>0</v>
      </c>
      <c r="I50" s="556"/>
      <c r="J50" s="556">
        <f t="shared" si="8"/>
        <v>52654394</v>
      </c>
      <c r="K50" s="556">
        <f t="shared" si="8"/>
        <v>52654394</v>
      </c>
      <c r="L50" s="556">
        <f t="shared" si="8"/>
        <v>0</v>
      </c>
      <c r="M50" s="514"/>
      <c r="N50" s="514"/>
      <c r="O50" s="514"/>
      <c r="P50" s="514"/>
      <c r="Q50" s="514"/>
      <c r="R50" s="514"/>
      <c r="S50" s="152" t="e">
        <f aca="true" t="shared" si="9" ref="S50:X50">S48+S49</f>
        <v>#REF!</v>
      </c>
      <c r="T50" s="152" t="e">
        <f t="shared" si="9"/>
        <v>#REF!</v>
      </c>
      <c r="U50" s="152" t="e">
        <f t="shared" si="9"/>
        <v>#REF!</v>
      </c>
      <c r="V50" s="152" t="e">
        <f t="shared" si="9"/>
        <v>#REF!</v>
      </c>
      <c r="W50" s="152" t="e">
        <f t="shared" si="9"/>
        <v>#REF!</v>
      </c>
      <c r="X50" s="152" t="e">
        <f t="shared" si="9"/>
        <v>#REF!</v>
      </c>
    </row>
    <row r="51" spans="1:18" ht="15.75">
      <c r="A51" s="146"/>
      <c r="B51" s="147"/>
      <c r="C51" s="515"/>
      <c r="D51" s="516"/>
      <c r="E51" s="516"/>
      <c r="F51" s="517"/>
      <c r="G51" s="517"/>
      <c r="H51" s="517"/>
      <c r="I51" s="517"/>
      <c r="J51" s="506"/>
      <c r="K51" s="506"/>
      <c r="L51" s="506"/>
      <c r="M51" s="506"/>
      <c r="N51" s="507"/>
      <c r="O51" s="507"/>
      <c r="P51" s="507"/>
      <c r="Q51" s="507"/>
      <c r="R51" s="518"/>
    </row>
    <row r="52" spans="1:17" ht="15.75" customHeight="1">
      <c r="A52" s="146"/>
      <c r="B52" s="147"/>
      <c r="C52" s="1149"/>
      <c r="D52" s="1149"/>
      <c r="E52" s="1149"/>
      <c r="F52" s="1149"/>
      <c r="G52" s="1149"/>
      <c r="H52" s="1149"/>
      <c r="I52" s="1149"/>
      <c r="J52" s="1149"/>
      <c r="K52" s="149"/>
      <c r="L52" s="149"/>
      <c r="M52" s="149"/>
      <c r="N52" s="149"/>
      <c r="O52" s="149"/>
      <c r="P52" s="149"/>
      <c r="Q52" s="149"/>
    </row>
    <row r="53" spans="1:17" ht="16.5" customHeight="1" thickBot="1">
      <c r="A53" s="138" t="s">
        <v>191</v>
      </c>
      <c r="B53" s="519"/>
      <c r="C53" s="1144"/>
      <c r="D53" s="1144"/>
      <c r="E53" s="508"/>
      <c r="F53" s="505"/>
      <c r="G53" s="505"/>
      <c r="H53" s="505"/>
      <c r="I53" s="505"/>
      <c r="J53" s="506"/>
      <c r="K53" s="506"/>
      <c r="L53" s="506"/>
      <c r="M53" s="506"/>
      <c r="N53" s="507"/>
      <c r="O53" s="507"/>
      <c r="P53" s="507"/>
      <c r="Q53" s="507"/>
    </row>
    <row r="54" spans="1:24" ht="27.75" customHeight="1">
      <c r="A54" s="546" t="s">
        <v>10</v>
      </c>
      <c r="B54" s="1152" t="s">
        <v>637</v>
      </c>
      <c r="C54" s="1153"/>
      <c r="D54" s="1154"/>
      <c r="E54" s="509"/>
      <c r="F54" s="520">
        <f>'1.sz.m-önk.össze.bev'!F63</f>
        <v>0</v>
      </c>
      <c r="G54" s="520">
        <f>'1.sz.m-önk.össze.bev'!G63</f>
        <v>0</v>
      </c>
      <c r="H54" s="520">
        <f>'1.sz.m-önk.össze.bev'!J63</f>
        <v>0</v>
      </c>
      <c r="I54" s="520"/>
      <c r="J54" s="520"/>
      <c r="K54" s="520"/>
      <c r="L54" s="520"/>
      <c r="M54" s="520"/>
      <c r="N54" s="520"/>
      <c r="O54" s="520"/>
      <c r="P54" s="520"/>
      <c r="Q54" s="520"/>
      <c r="R54" s="520"/>
      <c r="S54" s="520">
        <f>'1.sz.m-önk.össze.bev'!S63</f>
        <v>0</v>
      </c>
      <c r="T54" s="520">
        <f>'1.sz.m-önk.össze.bev'!T63</f>
        <v>0</v>
      </c>
      <c r="U54" s="520">
        <f>'1.sz.m-önk.össze.bev'!U63</f>
        <v>0</v>
      </c>
      <c r="V54" s="520">
        <f>'1.sz.m-önk.össze.bev'!V63</f>
        <v>0</v>
      </c>
      <c r="W54" s="520">
        <f>'1.sz.m-önk.össze.bev'!W63</f>
        <v>0</v>
      </c>
      <c r="X54" s="520">
        <f>'1.sz.m-önk.össze.bev'!X63</f>
        <v>0</v>
      </c>
    </row>
    <row r="55" spans="1:24" ht="27.75" customHeight="1">
      <c r="A55" s="547" t="s">
        <v>163</v>
      </c>
      <c r="B55" s="1155" t="s">
        <v>638</v>
      </c>
      <c r="C55" s="1156"/>
      <c r="D55" s="1157"/>
      <c r="E55" s="511"/>
      <c r="F55" s="521">
        <f>'1.sz.m-önk.össze.bev'!F62</f>
        <v>0</v>
      </c>
      <c r="G55" s="521">
        <f>'1.sz.m-önk.össze.bev'!G62</f>
        <v>0</v>
      </c>
      <c r="H55" s="521">
        <f>'1.sz.m-önk.össze.bev'!J62</f>
        <v>0</v>
      </c>
      <c r="I55" s="521"/>
      <c r="J55" s="521">
        <f>'1.sz.m-önk.össze.bev'!J62</f>
        <v>0</v>
      </c>
      <c r="K55" s="521">
        <f>'1.sz.m-önk.össze.bev'!K62</f>
        <v>0</v>
      </c>
      <c r="L55" s="521">
        <f>'1.sz.m-önk.össze.bev'!L62</f>
        <v>0</v>
      </c>
      <c r="M55" s="521"/>
      <c r="N55" s="521"/>
      <c r="O55" s="521"/>
      <c r="P55" s="521"/>
      <c r="Q55" s="521"/>
      <c r="R55" s="521"/>
      <c r="S55" s="153" t="e">
        <f>#REF!</f>
        <v>#REF!</v>
      </c>
      <c r="T55" s="153" t="e">
        <f>#REF!</f>
        <v>#REF!</v>
      </c>
      <c r="U55" s="153" t="e">
        <f>#REF!</f>
        <v>#REF!</v>
      </c>
      <c r="V55" s="153" t="e">
        <f>#REF!</f>
        <v>#REF!</v>
      </c>
      <c r="W55" s="153" t="e">
        <f>#REF!</f>
        <v>#REF!</v>
      </c>
      <c r="X55" s="153" t="e">
        <f>#REF!</f>
        <v>#REF!</v>
      </c>
    </row>
    <row r="56" spans="1:24" ht="27.75" customHeight="1" thickBot="1">
      <c r="A56" s="548" t="s">
        <v>69</v>
      </c>
      <c r="B56" s="1163" t="s">
        <v>639</v>
      </c>
      <c r="C56" s="1164"/>
      <c r="D56" s="1165"/>
      <c r="E56" s="522"/>
      <c r="F56" s="523">
        <f aca="true" t="shared" si="10" ref="F56:L56">F54+F55</f>
        <v>0</v>
      </c>
      <c r="G56" s="523">
        <f t="shared" si="10"/>
        <v>0</v>
      </c>
      <c r="H56" s="523">
        <f t="shared" si="10"/>
        <v>0</v>
      </c>
      <c r="I56" s="523"/>
      <c r="J56" s="523">
        <f t="shared" si="10"/>
        <v>0</v>
      </c>
      <c r="K56" s="523">
        <f t="shared" si="10"/>
        <v>0</v>
      </c>
      <c r="L56" s="523">
        <f t="shared" si="10"/>
        <v>0</v>
      </c>
      <c r="M56" s="523"/>
      <c r="N56" s="523"/>
      <c r="O56" s="523"/>
      <c r="P56" s="523"/>
      <c r="Q56" s="523"/>
      <c r="R56" s="523"/>
      <c r="S56" s="154" t="e">
        <f aca="true" t="shared" si="11" ref="S56:X56">S54+S55</f>
        <v>#REF!</v>
      </c>
      <c r="T56" s="154" t="e">
        <f t="shared" si="11"/>
        <v>#REF!</v>
      </c>
      <c r="U56" s="154" t="e">
        <f t="shared" si="11"/>
        <v>#REF!</v>
      </c>
      <c r="V56" s="154" t="e">
        <f t="shared" si="11"/>
        <v>#REF!</v>
      </c>
      <c r="W56" s="154" t="e">
        <f t="shared" si="11"/>
        <v>#REF!</v>
      </c>
      <c r="X56" s="154" t="e">
        <f t="shared" si="11"/>
        <v>#REF!</v>
      </c>
    </row>
    <row r="57" spans="1:22" ht="15.75">
      <c r="A57" s="146"/>
      <c r="B57" s="147"/>
      <c r="C57" s="515"/>
      <c r="D57" s="516"/>
      <c r="E57" s="516"/>
      <c r="F57" s="517"/>
      <c r="G57" s="517"/>
      <c r="H57" s="517"/>
      <c r="I57" s="517"/>
      <c r="J57" s="506"/>
      <c r="K57" s="506"/>
      <c r="L57" s="506"/>
      <c r="M57" s="506"/>
      <c r="N57" s="507"/>
      <c r="O57" s="507"/>
      <c r="P57" s="507"/>
      <c r="Q57" s="507"/>
      <c r="V57" s="67"/>
    </row>
    <row r="58" spans="1:18" ht="15.75" customHeight="1">
      <c r="A58" s="146"/>
      <c r="B58" s="147"/>
      <c r="C58" s="1149"/>
      <c r="D58" s="1149"/>
      <c r="E58" s="1149"/>
      <c r="F58" s="1149"/>
      <c r="G58" s="1149"/>
      <c r="H58" s="1149"/>
      <c r="I58" s="1149"/>
      <c r="J58" s="1149"/>
      <c r="K58" s="149"/>
      <c r="L58" s="149"/>
      <c r="M58" s="149"/>
      <c r="N58" s="149"/>
      <c r="O58" s="149"/>
      <c r="P58" s="149"/>
      <c r="Q58" s="149"/>
      <c r="R58" s="155"/>
    </row>
    <row r="59" spans="1:17" ht="15.75">
      <c r="A59" s="146"/>
      <c r="B59" s="147"/>
      <c r="C59" s="156"/>
      <c r="D59" s="156"/>
      <c r="E59" s="156"/>
      <c r="F59" s="156"/>
      <c r="G59" s="156"/>
      <c r="H59" s="156"/>
      <c r="I59" s="156"/>
      <c r="J59" s="524"/>
      <c r="K59" s="524"/>
      <c r="L59" s="524"/>
      <c r="M59" s="524"/>
      <c r="N59" s="505"/>
      <c r="O59" s="505"/>
      <c r="P59" s="505"/>
      <c r="Q59" s="505"/>
    </row>
    <row r="60" spans="1:17" ht="16.5" thickBot="1">
      <c r="A60" s="138" t="s">
        <v>192</v>
      </c>
      <c r="C60" s="1166"/>
      <c r="D60" s="1166"/>
      <c r="E60" s="525"/>
      <c r="F60" s="156"/>
      <c r="G60" s="156"/>
      <c r="H60" s="156"/>
      <c r="I60" s="156"/>
      <c r="J60" s="524"/>
      <c r="K60" s="524"/>
      <c r="L60" s="524"/>
      <c r="M60" s="524"/>
      <c r="N60" s="505"/>
      <c r="O60" s="505"/>
      <c r="P60" s="505"/>
      <c r="Q60" s="505"/>
    </row>
    <row r="61" spans="1:24" ht="58.5" customHeight="1">
      <c r="A61" s="157" t="s">
        <v>10</v>
      </c>
      <c r="B61" s="1167" t="s">
        <v>193</v>
      </c>
      <c r="C61" s="1167"/>
      <c r="D61" s="1167"/>
      <c r="E61" s="526"/>
      <c r="F61" s="527">
        <f aca="true" t="shared" si="12" ref="F61:L61">F62-F65</f>
        <v>51373535</v>
      </c>
      <c r="G61" s="527">
        <f t="shared" si="12"/>
        <v>51373535</v>
      </c>
      <c r="H61" s="527">
        <f t="shared" si="12"/>
        <v>0</v>
      </c>
      <c r="I61" s="527"/>
      <c r="J61" s="527">
        <f t="shared" si="12"/>
        <v>51373535</v>
      </c>
      <c r="K61" s="527">
        <f t="shared" si="12"/>
        <v>51373535</v>
      </c>
      <c r="L61" s="527">
        <f t="shared" si="12"/>
        <v>0</v>
      </c>
      <c r="M61" s="527"/>
      <c r="N61" s="527"/>
      <c r="O61" s="527"/>
      <c r="P61" s="527"/>
      <c r="Q61" s="527"/>
      <c r="R61" s="527"/>
      <c r="S61" s="158" t="e">
        <f aca="true" t="shared" si="13" ref="S61:X61">S62-S65</f>
        <v>#REF!</v>
      </c>
      <c r="T61" s="158" t="e">
        <f t="shared" si="13"/>
        <v>#REF!</v>
      </c>
      <c r="U61" s="158" t="e">
        <f t="shared" si="13"/>
        <v>#REF!</v>
      </c>
      <c r="V61" s="158" t="e">
        <f t="shared" si="13"/>
        <v>#REF!</v>
      </c>
      <c r="W61" s="158" t="e">
        <f t="shared" si="13"/>
        <v>#REF!</v>
      </c>
      <c r="X61" s="158" t="e">
        <f t="shared" si="13"/>
        <v>#REF!</v>
      </c>
    </row>
    <row r="62" spans="1:24" ht="27" customHeight="1">
      <c r="A62" s="549" t="s">
        <v>443</v>
      </c>
      <c r="B62" s="1161" t="s">
        <v>444</v>
      </c>
      <c r="C62" s="1161"/>
      <c r="D62" s="1161"/>
      <c r="E62" s="550"/>
      <c r="F62" s="550">
        <f aca="true" t="shared" si="14" ref="F62:L62">F63+F64</f>
        <v>52654394</v>
      </c>
      <c r="G62" s="550">
        <f t="shared" si="14"/>
        <v>52654394</v>
      </c>
      <c r="H62" s="550">
        <f t="shared" si="14"/>
        <v>0</v>
      </c>
      <c r="I62" s="550"/>
      <c r="J62" s="550">
        <f t="shared" si="14"/>
        <v>52654394</v>
      </c>
      <c r="K62" s="550">
        <f t="shared" si="14"/>
        <v>52654394</v>
      </c>
      <c r="L62" s="550">
        <f t="shared" si="14"/>
        <v>0</v>
      </c>
      <c r="M62" s="550"/>
      <c r="N62" s="550"/>
      <c r="O62" s="550"/>
      <c r="P62" s="550"/>
      <c r="Q62" s="550"/>
      <c r="R62" s="550"/>
      <c r="S62" s="550" t="e">
        <f aca="true" t="shared" si="15" ref="S62:X62">S63+S64</f>
        <v>#REF!</v>
      </c>
      <c r="T62" s="550" t="e">
        <f t="shared" si="15"/>
        <v>#REF!</v>
      </c>
      <c r="U62" s="550" t="e">
        <f t="shared" si="15"/>
        <v>#REF!</v>
      </c>
      <c r="V62" s="550" t="e">
        <f t="shared" si="15"/>
        <v>#REF!</v>
      </c>
      <c r="W62" s="550" t="e">
        <f t="shared" si="15"/>
        <v>#REF!</v>
      </c>
      <c r="X62" s="550" t="e">
        <f t="shared" si="15"/>
        <v>#REF!</v>
      </c>
    </row>
    <row r="63" spans="1:24" ht="27" customHeight="1">
      <c r="A63" s="549" t="s">
        <v>445</v>
      </c>
      <c r="B63" s="1151" t="s">
        <v>446</v>
      </c>
      <c r="C63" s="1151"/>
      <c r="D63" s="1151"/>
      <c r="E63" s="550"/>
      <c r="F63" s="550">
        <f>'2.sz.m.összehasonlító'!B17</f>
        <v>9449282</v>
      </c>
      <c r="G63" s="550">
        <f>'2.sz.m.összehasonlító'!C17</f>
        <v>9449281</v>
      </c>
      <c r="H63" s="550">
        <f>'2.sz.m.összehasonlító'!D17</f>
        <v>-43205114</v>
      </c>
      <c r="I63" s="550"/>
      <c r="J63" s="550">
        <f>'2.sz.m.összehasonlító'!B17</f>
        <v>9449282</v>
      </c>
      <c r="K63" s="550">
        <f>'2.sz.m.összehasonlító'!C17</f>
        <v>9449281</v>
      </c>
      <c r="L63" s="550">
        <f>'2.sz.m.összehasonlító'!D17</f>
        <v>-43205114</v>
      </c>
      <c r="M63" s="550"/>
      <c r="N63" s="550"/>
      <c r="O63" s="550"/>
      <c r="P63" s="550"/>
      <c r="Q63" s="550"/>
      <c r="R63" s="550"/>
      <c r="S63" s="159" t="e">
        <f>#REF!</f>
        <v>#REF!</v>
      </c>
      <c r="T63" s="160" t="e">
        <f>#REF!</f>
        <v>#REF!</v>
      </c>
      <c r="U63" s="160" t="e">
        <f>#REF!</f>
        <v>#REF!</v>
      </c>
      <c r="V63" s="160" t="e">
        <f>#REF!</f>
        <v>#REF!</v>
      </c>
      <c r="W63" s="160" t="e">
        <f>#REF!</f>
        <v>#REF!</v>
      </c>
      <c r="X63" s="160" t="e">
        <f>#REF!</f>
        <v>#REF!</v>
      </c>
    </row>
    <row r="64" spans="1:24" ht="27" customHeight="1">
      <c r="A64" s="551" t="s">
        <v>447</v>
      </c>
      <c r="B64" s="1151" t="s">
        <v>448</v>
      </c>
      <c r="C64" s="1151"/>
      <c r="D64" s="1151"/>
      <c r="E64" s="550"/>
      <c r="F64" s="550">
        <f>'2.sz.m.összehasonlító'!B30</f>
        <v>43205112</v>
      </c>
      <c r="G64" s="550">
        <f>'2.sz.m.összehasonlító'!C30</f>
        <v>43205113</v>
      </c>
      <c r="H64" s="550">
        <f>'2.sz.m.összehasonlító'!D30</f>
        <v>43205114</v>
      </c>
      <c r="I64" s="550"/>
      <c r="J64" s="550">
        <f>'2.sz.m.összehasonlító'!B30</f>
        <v>43205112</v>
      </c>
      <c r="K64" s="550">
        <f>'2.sz.m.összehasonlító'!C30</f>
        <v>43205113</v>
      </c>
      <c r="L64" s="550">
        <f>'2.sz.m.összehasonlító'!D30</f>
        <v>43205114</v>
      </c>
      <c r="M64" s="550"/>
      <c r="N64" s="550"/>
      <c r="O64" s="550"/>
      <c r="P64" s="550"/>
      <c r="Q64" s="550"/>
      <c r="R64" s="550"/>
      <c r="S64" s="159" t="e">
        <f>#REF!</f>
        <v>#REF!</v>
      </c>
      <c r="T64" s="160" t="e">
        <f>#REF!</f>
        <v>#REF!</v>
      </c>
      <c r="U64" s="160" t="e">
        <f>#REF!</f>
        <v>#REF!</v>
      </c>
      <c r="V64" s="160" t="e">
        <f>#REF!</f>
        <v>#REF!</v>
      </c>
      <c r="W64" s="160" t="e">
        <f>#REF!</f>
        <v>#REF!</v>
      </c>
      <c r="X64" s="160" t="e">
        <f>#REF!</f>
        <v>#REF!</v>
      </c>
    </row>
    <row r="65" spans="1:24" ht="27" customHeight="1">
      <c r="A65" s="552" t="s">
        <v>449</v>
      </c>
      <c r="B65" s="1161" t="s">
        <v>450</v>
      </c>
      <c r="C65" s="1161"/>
      <c r="D65" s="1161"/>
      <c r="E65" s="553"/>
      <c r="F65" s="553">
        <f aca="true" t="shared" si="16" ref="F65:L65">F34</f>
        <v>1280859</v>
      </c>
      <c r="G65" s="553">
        <f t="shared" si="16"/>
        <v>1280859</v>
      </c>
      <c r="H65" s="553">
        <f t="shared" si="16"/>
        <v>0</v>
      </c>
      <c r="I65" s="553"/>
      <c r="J65" s="553">
        <f t="shared" si="16"/>
        <v>1280859</v>
      </c>
      <c r="K65" s="553">
        <f t="shared" si="16"/>
        <v>1280859</v>
      </c>
      <c r="L65" s="553">
        <f t="shared" si="16"/>
        <v>0</v>
      </c>
      <c r="M65" s="553"/>
      <c r="N65" s="553"/>
      <c r="O65" s="553"/>
      <c r="P65" s="553"/>
      <c r="Q65" s="553"/>
      <c r="R65" s="553"/>
      <c r="S65" s="161">
        <f aca="true" t="shared" si="17" ref="S65:X65">S34</f>
        <v>0</v>
      </c>
      <c r="T65" s="162">
        <f t="shared" si="17"/>
        <v>0</v>
      </c>
      <c r="U65" s="162">
        <f t="shared" si="17"/>
        <v>0</v>
      </c>
      <c r="V65" s="162">
        <f t="shared" si="17"/>
        <v>0</v>
      </c>
      <c r="W65" s="162">
        <f t="shared" si="17"/>
        <v>0</v>
      </c>
      <c r="X65" s="162">
        <f t="shared" si="17"/>
        <v>0</v>
      </c>
    </row>
    <row r="66" spans="1:24" ht="27" customHeight="1">
      <c r="A66" s="549" t="s">
        <v>451</v>
      </c>
      <c r="B66" s="1151" t="s">
        <v>452</v>
      </c>
      <c r="C66" s="1151"/>
      <c r="D66" s="1151"/>
      <c r="E66" s="550"/>
      <c r="F66" s="550">
        <f aca="true" t="shared" si="18" ref="F66:L66">F34</f>
        <v>1280859</v>
      </c>
      <c r="G66" s="550">
        <f t="shared" si="18"/>
        <v>1280859</v>
      </c>
      <c r="H66" s="550">
        <f t="shared" si="18"/>
        <v>0</v>
      </c>
      <c r="I66" s="550"/>
      <c r="J66" s="550">
        <f t="shared" si="18"/>
        <v>1280859</v>
      </c>
      <c r="K66" s="550">
        <f t="shared" si="18"/>
        <v>1280859</v>
      </c>
      <c r="L66" s="550">
        <f t="shared" si="18"/>
        <v>0</v>
      </c>
      <c r="M66" s="550"/>
      <c r="N66" s="550"/>
      <c r="O66" s="550"/>
      <c r="P66" s="550"/>
      <c r="Q66" s="550"/>
      <c r="R66" s="550"/>
      <c r="S66" s="159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</row>
    <row r="67" spans="1:24" ht="27" customHeight="1" thickBot="1">
      <c r="A67" s="554" t="s">
        <v>453</v>
      </c>
      <c r="B67" s="1162" t="s">
        <v>454</v>
      </c>
      <c r="C67" s="1162"/>
      <c r="D67" s="1162"/>
      <c r="E67" s="555"/>
      <c r="F67" s="555">
        <v>0</v>
      </c>
      <c r="G67" s="555">
        <v>0</v>
      </c>
      <c r="H67" s="555">
        <v>0</v>
      </c>
      <c r="I67" s="555"/>
      <c r="J67" s="555">
        <v>0</v>
      </c>
      <c r="K67" s="555">
        <v>0</v>
      </c>
      <c r="L67" s="555">
        <v>0</v>
      </c>
      <c r="M67" s="555"/>
      <c r="N67" s="555"/>
      <c r="O67" s="555"/>
      <c r="P67" s="555"/>
      <c r="Q67" s="555"/>
      <c r="R67" s="555"/>
      <c r="S67" s="163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</row>
  </sheetData>
  <sheetProtection selectLockedCells="1" selectUnlockedCells="1"/>
  <mergeCells count="45">
    <mergeCell ref="B65:D65"/>
    <mergeCell ref="B66:D66"/>
    <mergeCell ref="B67:D67"/>
    <mergeCell ref="B54:D54"/>
    <mergeCell ref="B55:D55"/>
    <mergeCell ref="B56:D56"/>
    <mergeCell ref="C58:J58"/>
    <mergeCell ref="C60:D60"/>
    <mergeCell ref="B61:D61"/>
    <mergeCell ref="B62:D62"/>
    <mergeCell ref="B63:D63"/>
    <mergeCell ref="B64:D64"/>
    <mergeCell ref="B48:D48"/>
    <mergeCell ref="B49:D49"/>
    <mergeCell ref="B50:D50"/>
    <mergeCell ref="C52:J52"/>
    <mergeCell ref="B34:D34"/>
    <mergeCell ref="C35:D35"/>
    <mergeCell ref="C53:D53"/>
    <mergeCell ref="B37:D37"/>
    <mergeCell ref="A38:D38"/>
    <mergeCell ref="A39:D39"/>
    <mergeCell ref="C42:J42"/>
    <mergeCell ref="B44:D44"/>
    <mergeCell ref="C46:J46"/>
    <mergeCell ref="C47:D47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J6:M6"/>
    <mergeCell ref="N6:Q6"/>
    <mergeCell ref="A1:R1"/>
    <mergeCell ref="A2:B2"/>
    <mergeCell ref="A3:R3"/>
    <mergeCell ref="A6:D6"/>
    <mergeCell ref="R6:X6"/>
    <mergeCell ref="N5:R5"/>
    <mergeCell ref="F6:I6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18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0">
      <selection activeCell="C25" sqref="C25"/>
    </sheetView>
  </sheetViews>
  <sheetFormatPr defaultColWidth="9.140625" defaultRowHeight="12.75"/>
  <cols>
    <col min="1" max="1" width="39.00390625" style="806" customWidth="1"/>
    <col min="2" max="3" width="12.57421875" style="806" customWidth="1"/>
    <col min="4" max="5" width="12.57421875" style="806" hidden="1" customWidth="1"/>
    <col min="6" max="6" width="36.7109375" style="806" customWidth="1"/>
    <col min="7" max="7" width="12.7109375" style="806" customWidth="1"/>
    <col min="8" max="8" width="12.140625" style="806" customWidth="1"/>
    <col min="9" max="9" width="13.28125" style="806" hidden="1" customWidth="1"/>
    <col min="10" max="10" width="13.00390625" style="806" hidden="1" customWidth="1"/>
    <col min="11" max="11" width="9.140625" style="806" customWidth="1"/>
    <col min="12" max="12" width="15.28125" style="806" customWidth="1"/>
    <col min="13" max="16384" width="9.140625" style="806" customWidth="1"/>
  </cols>
  <sheetData>
    <row r="1" spans="6:10" ht="12.75">
      <c r="F1" s="1171" t="s">
        <v>194</v>
      </c>
      <c r="G1" s="1171"/>
      <c r="H1" s="1171"/>
      <c r="I1" s="1171"/>
      <c r="J1" s="1171"/>
    </row>
    <row r="2" spans="1:10" ht="14.25" customHeight="1">
      <c r="A2" s="1170" t="s">
        <v>456</v>
      </c>
      <c r="B2" s="1170"/>
      <c r="C2" s="1170"/>
      <c r="D2" s="1170"/>
      <c r="E2" s="1170"/>
      <c r="F2" s="1170"/>
      <c r="G2" s="1170"/>
      <c r="H2" s="1170"/>
      <c r="I2" s="1170"/>
      <c r="J2" s="1170"/>
    </row>
    <row r="3" spans="1:6" ht="11.25" customHeight="1">
      <c r="A3" s="807"/>
      <c r="B3" s="807"/>
      <c r="C3" s="807"/>
      <c r="D3" s="807"/>
      <c r="E3" s="807"/>
      <c r="F3" s="808"/>
    </row>
    <row r="4" spans="1:10" ht="17.25" customHeight="1" thickBot="1">
      <c r="A4" s="1168" t="s">
        <v>195</v>
      </c>
      <c r="B4" s="1169"/>
      <c r="C4" s="1169"/>
      <c r="D4" s="1169"/>
      <c r="E4" s="1169"/>
      <c r="F4" s="1168"/>
      <c r="G4" s="1126" t="s">
        <v>536</v>
      </c>
      <c r="H4" s="1126"/>
      <c r="I4" s="1126"/>
      <c r="J4" s="1126"/>
    </row>
    <row r="5" spans="1:10" ht="22.5" customHeight="1" thickBot="1">
      <c r="A5" s="809" t="s">
        <v>133</v>
      </c>
      <c r="B5" s="810" t="s">
        <v>6</v>
      </c>
      <c r="C5" s="863" t="s">
        <v>136</v>
      </c>
      <c r="D5" s="863" t="s">
        <v>137</v>
      </c>
      <c r="E5" s="863" t="s">
        <v>138</v>
      </c>
      <c r="F5" s="811" t="s">
        <v>196</v>
      </c>
      <c r="G5" s="810" t="s">
        <v>6</v>
      </c>
      <c r="H5" s="863" t="s">
        <v>136</v>
      </c>
      <c r="I5" s="863" t="s">
        <v>137</v>
      </c>
      <c r="J5" s="863" t="s">
        <v>138</v>
      </c>
    </row>
    <row r="6" spans="1:10" ht="12.75">
      <c r="A6" s="812" t="s">
        <v>197</v>
      </c>
      <c r="B6" s="813">
        <f>'3.sz.m Önk  bev.'!F7</f>
        <v>19177972</v>
      </c>
      <c r="C6" s="813">
        <f>'3.sz.m Önk  bev.'!G7</f>
        <v>19177972</v>
      </c>
      <c r="D6" s="813">
        <f>'3.sz.m Önk  bev.'!H7</f>
        <v>0</v>
      </c>
      <c r="E6" s="813">
        <f>'3.sz.m Önk  bev.'!I7</f>
        <v>0</v>
      </c>
      <c r="F6" s="474" t="s">
        <v>198</v>
      </c>
      <c r="G6" s="814">
        <f>'1 .sz.m.önk.össz.kiad.'!F10</f>
        <v>44692718</v>
      </c>
      <c r="H6" s="814">
        <f>'1 .sz.m.önk.össz.kiad.'!G10</f>
        <v>44810510</v>
      </c>
      <c r="I6" s="814">
        <f>'1 .sz.m.önk.össz.kiad.'!H10</f>
        <v>0</v>
      </c>
      <c r="J6" s="814">
        <f>'1 .sz.m.önk.össz.kiad.'!I10</f>
        <v>0</v>
      </c>
    </row>
    <row r="7" spans="1:10" ht="12.75">
      <c r="A7" s="815" t="s">
        <v>199</v>
      </c>
      <c r="B7" s="816">
        <f>'3.sz.m Önk  bev.'!F21+'5. sz. m óvoda'!J9</f>
        <v>9817347</v>
      </c>
      <c r="C7" s="816">
        <f>'3.sz.m Önk  bev.'!G21+'5. sz. m óvoda'!K9</f>
        <v>9960710</v>
      </c>
      <c r="D7" s="816">
        <f>'3.sz.m Önk  bev.'!H21+'5. sz. m óvoda'!L9</f>
        <v>0</v>
      </c>
      <c r="E7" s="816">
        <f>'3.sz.m Önk  bev.'!I21+'5. sz. m óvoda'!M9</f>
        <v>0</v>
      </c>
      <c r="F7" s="473" t="s">
        <v>200</v>
      </c>
      <c r="G7" s="817">
        <f>'1 .sz.m.önk.össz.kiad.'!F11</f>
        <v>6900700</v>
      </c>
      <c r="H7" s="817">
        <f>'1 .sz.m.önk.össz.kiad.'!G11</f>
        <v>6911007</v>
      </c>
      <c r="I7" s="817">
        <f>'1 .sz.m.önk.össz.kiad.'!H11</f>
        <v>0</v>
      </c>
      <c r="J7" s="817">
        <f>'1 .sz.m.önk.össz.kiad.'!I11</f>
        <v>0</v>
      </c>
    </row>
    <row r="8" spans="1:10" ht="17.25" customHeight="1">
      <c r="A8" s="815" t="s">
        <v>201</v>
      </c>
      <c r="B8" s="816">
        <f>'3.sz.m Önk  bev.'!F35+'5. sz. m óvoda'!J15</f>
        <v>64891763</v>
      </c>
      <c r="C8" s="816">
        <f>'3.sz.m Önk  bev.'!G35+'5. sz. m óvoda'!K15</f>
        <v>66426757</v>
      </c>
      <c r="D8" s="816">
        <f>'3.sz.m Önk  bev.'!H35+'5. sz. m óvoda'!L15</f>
        <v>0</v>
      </c>
      <c r="E8" s="816">
        <f>'3.sz.m Önk  bev.'!I35+'5. sz. m óvoda'!M15</f>
        <v>0</v>
      </c>
      <c r="F8" s="473" t="s">
        <v>202</v>
      </c>
      <c r="G8" s="817">
        <f>'4.sz.m.ÖNK kiadás'!F9+'5. sz. m óvoda'!J36</f>
        <v>38821079</v>
      </c>
      <c r="H8" s="817">
        <f>'4.sz.m.ÖNK kiadás'!G9+'5. sz. m óvoda'!K36</f>
        <v>38972645</v>
      </c>
      <c r="I8" s="817">
        <f>'4.sz.m.ÖNK kiadás'!H9+'5. sz. m óvoda'!L36</f>
        <v>0</v>
      </c>
      <c r="J8" s="817">
        <f>'4.sz.m.ÖNK kiadás'!I9+'5. sz. m óvoda'!M36</f>
        <v>0</v>
      </c>
    </row>
    <row r="9" spans="1:10" ht="12.75">
      <c r="A9" s="815" t="s">
        <v>203</v>
      </c>
      <c r="B9" s="816">
        <f>'3.sz.m Önk  bev.'!F52+'3.sz.m Önk  bev.'!F53</f>
        <v>31008</v>
      </c>
      <c r="C9" s="816">
        <f>'3.sz.m Önk  bev.'!G52+'3.sz.m Önk  bev.'!G53</f>
        <v>31008</v>
      </c>
      <c r="D9" s="816">
        <f>'3.sz.m Önk  bev.'!H52+'3.sz.m Önk  bev.'!H53</f>
        <v>0</v>
      </c>
      <c r="E9" s="816">
        <f>'3.sz.m Önk  bev.'!I52+'3.sz.m Önk  bev.'!I53</f>
        <v>0</v>
      </c>
      <c r="F9" s="473" t="s">
        <v>204</v>
      </c>
      <c r="G9" s="817">
        <f>'4.sz.m.ÖNK kiadás'!F10</f>
        <v>2845000</v>
      </c>
      <c r="H9" s="817">
        <f>'4.sz.m.ÖNK kiadás'!G10</f>
        <v>2845000</v>
      </c>
      <c r="I9" s="817">
        <f>'4.sz.m.ÖNK kiadás'!H10</f>
        <v>0</v>
      </c>
      <c r="J9" s="817">
        <f>'4.sz.m.ÖNK kiadás'!I10</f>
        <v>0</v>
      </c>
    </row>
    <row r="10" spans="1:10" ht="11.25" customHeight="1">
      <c r="A10" s="815"/>
      <c r="B10" s="816"/>
      <c r="C10" s="816"/>
      <c r="D10" s="816"/>
      <c r="E10" s="816"/>
      <c r="F10" s="473" t="s">
        <v>205</v>
      </c>
      <c r="G10" s="817">
        <f>'4.sz.m.ÖNK kiadás'!F11</f>
        <v>4911041</v>
      </c>
      <c r="H10" s="817">
        <f>'4.sz.m.ÖNK kiadás'!G11</f>
        <v>4923041</v>
      </c>
      <c r="I10" s="817">
        <f>'4.sz.m.ÖNK kiadás'!H11</f>
        <v>0</v>
      </c>
      <c r="J10" s="817">
        <f>'4.sz.m.ÖNK kiadás'!I11</f>
        <v>0</v>
      </c>
    </row>
    <row r="11" spans="1:10" ht="12.75">
      <c r="A11" s="815"/>
      <c r="B11" s="816"/>
      <c r="C11" s="816"/>
      <c r="D11" s="816"/>
      <c r="E11" s="816"/>
      <c r="F11" s="473" t="s">
        <v>206</v>
      </c>
      <c r="G11" s="817">
        <f>'4.sz.m.ÖNK kiadás'!F26</f>
        <v>566844</v>
      </c>
      <c r="H11" s="817">
        <f>'4.sz.m.ÖNK kiadás'!G26</f>
        <v>1769198</v>
      </c>
      <c r="I11" s="817">
        <f>'4.sz.m.ÖNK kiadás'!H26</f>
        <v>0</v>
      </c>
      <c r="J11" s="817">
        <f>'4.sz.m.ÖNK kiadás'!I26</f>
        <v>0</v>
      </c>
    </row>
    <row r="12" spans="1:10" ht="12.75" hidden="1">
      <c r="A12" s="818"/>
      <c r="B12" s="816"/>
      <c r="C12" s="816"/>
      <c r="D12" s="816"/>
      <c r="E12" s="816"/>
      <c r="F12" s="819"/>
      <c r="G12" s="817"/>
      <c r="H12" s="817"/>
      <c r="I12" s="817"/>
      <c r="J12" s="817"/>
    </row>
    <row r="13" spans="1:10" ht="16.5" customHeight="1" hidden="1" thickBot="1">
      <c r="A13" s="820"/>
      <c r="B13" s="816"/>
      <c r="C13" s="816"/>
      <c r="D13" s="816"/>
      <c r="E13" s="816"/>
      <c r="F13" s="821"/>
      <c r="G13" s="817"/>
      <c r="H13" s="817"/>
      <c r="I13" s="817"/>
      <c r="J13" s="817"/>
    </row>
    <row r="14" spans="1:10" ht="18" customHeight="1" thickBot="1">
      <c r="A14" s="822" t="s">
        <v>207</v>
      </c>
      <c r="B14" s="823">
        <f>B6+B7+B8+B9</f>
        <v>93918090</v>
      </c>
      <c r="C14" s="823">
        <f>C6+C7+C8+C9</f>
        <v>95596447</v>
      </c>
      <c r="D14" s="823">
        <f>D6+D7+D8+D9</f>
        <v>0</v>
      </c>
      <c r="E14" s="823">
        <f>E6+E7+E8+E9</f>
        <v>0</v>
      </c>
      <c r="F14" s="824" t="s">
        <v>208</v>
      </c>
      <c r="G14" s="825">
        <f>G6+G7+G8+G9+G10+G11</f>
        <v>98737382</v>
      </c>
      <c r="H14" s="825">
        <f>H6+H7+H8+H9+H10+H11</f>
        <v>100231401</v>
      </c>
      <c r="I14" s="825">
        <f>I6+I7+I8+I9+I10+I11</f>
        <v>0</v>
      </c>
      <c r="J14" s="825">
        <f>J6+J7+J8+J9+J10+J11</f>
        <v>0</v>
      </c>
    </row>
    <row r="15" spans="1:10" ht="15.75" customHeight="1">
      <c r="A15" s="826" t="s">
        <v>433</v>
      </c>
      <c r="B15" s="528">
        <f>'3.sz.m Önk  bev.'!F62+'5. sz. m óvoda'!J25-B28</f>
        <v>9449282</v>
      </c>
      <c r="C15" s="528">
        <f>'3.sz.m Önk  bev.'!G62+'5. sz. m óvoda'!K25-C28</f>
        <v>9449281</v>
      </c>
      <c r="D15" s="528">
        <f>'3.sz.m Önk  bev.'!H62+'5. sz. m óvoda'!L25-D28</f>
        <v>-43205114</v>
      </c>
      <c r="E15" s="528">
        <f>'3.sz.m Önk  bev.'!I62+'5. sz. m óvoda'!M25-E28</f>
        <v>-43205115</v>
      </c>
      <c r="F15" s="474" t="s">
        <v>209</v>
      </c>
      <c r="G15" s="814"/>
      <c r="H15" s="814"/>
      <c r="I15" s="814"/>
      <c r="J15" s="814"/>
    </row>
    <row r="16" spans="1:10" ht="12.75" customHeight="1" thickBot="1">
      <c r="A16" s="826" t="s">
        <v>511</v>
      </c>
      <c r="B16" s="827">
        <f>'3.sz.m Önk  bev.'!F61</f>
        <v>0</v>
      </c>
      <c r="C16" s="827">
        <f>'3.sz.m Önk  bev.'!G61</f>
        <v>0</v>
      </c>
      <c r="D16" s="827">
        <f>'3.sz.m Önk  bev.'!H61</f>
        <v>0</v>
      </c>
      <c r="E16" s="827">
        <f>'3.sz.m Önk  bev.'!I61</f>
        <v>0</v>
      </c>
      <c r="F16" s="819" t="s">
        <v>417</v>
      </c>
      <c r="G16" s="828">
        <f>'4.sz.m.ÖNK kiadás'!F34</f>
        <v>1280859</v>
      </c>
      <c r="H16" s="828">
        <f>'4.sz.m.ÖNK kiadás'!G34</f>
        <v>1280859</v>
      </c>
      <c r="I16" s="828">
        <f>'4.sz.m.ÖNK kiadás'!H34</f>
        <v>0</v>
      </c>
      <c r="J16" s="828">
        <f>'4.sz.m.ÖNK kiadás'!I34</f>
        <v>0</v>
      </c>
    </row>
    <row r="17" spans="1:10" ht="18.75" customHeight="1" thickBot="1">
      <c r="A17" s="472" t="s">
        <v>211</v>
      </c>
      <c r="B17" s="829">
        <f>SUM(B15:B16)</f>
        <v>9449282</v>
      </c>
      <c r="C17" s="829">
        <f>SUM(C15:C16)</f>
        <v>9449281</v>
      </c>
      <c r="D17" s="829">
        <f>SUM(D15:D16)</f>
        <v>-43205114</v>
      </c>
      <c r="E17" s="829">
        <f>SUM(E15:E16)</f>
        <v>-43205115</v>
      </c>
      <c r="F17" s="830" t="s">
        <v>212</v>
      </c>
      <c r="G17" s="829">
        <f>SUM(G15:G16)</f>
        <v>1280859</v>
      </c>
      <c r="H17" s="829">
        <f>SUM(H15:H16)</f>
        <v>1280859</v>
      </c>
      <c r="I17" s="829">
        <f>SUM(I15:I16)</f>
        <v>0</v>
      </c>
      <c r="J17" s="829">
        <f>SUM(J15:J16)</f>
        <v>0</v>
      </c>
    </row>
    <row r="18" spans="1:10" ht="17.25" customHeight="1" thickBot="1">
      <c r="A18" s="831" t="s">
        <v>213</v>
      </c>
      <c r="B18" s="832">
        <f>B14+B17</f>
        <v>103367372</v>
      </c>
      <c r="C18" s="832">
        <f>C14+C17</f>
        <v>105045728</v>
      </c>
      <c r="D18" s="832">
        <f>D14+D17</f>
        <v>-43205114</v>
      </c>
      <c r="E18" s="832">
        <f>E14+E17</f>
        <v>-43205115</v>
      </c>
      <c r="F18" s="833" t="s">
        <v>214</v>
      </c>
      <c r="G18" s="834">
        <f>G14+G17</f>
        <v>100018241</v>
      </c>
      <c r="H18" s="834">
        <f>H14+H17</f>
        <v>101512260</v>
      </c>
      <c r="I18" s="834">
        <f>I14+I17</f>
        <v>0</v>
      </c>
      <c r="J18" s="834">
        <f>J14+J17</f>
        <v>0</v>
      </c>
    </row>
    <row r="19" spans="1:10" ht="17.25" customHeight="1" thickBot="1">
      <c r="A19" s="835" t="s">
        <v>215</v>
      </c>
      <c r="B19" s="836">
        <f>B14-G14</f>
        <v>-4819292</v>
      </c>
      <c r="C19" s="836">
        <f>C14-H14</f>
        <v>-4634954</v>
      </c>
      <c r="D19" s="836">
        <f>D14-I14</f>
        <v>0</v>
      </c>
      <c r="E19" s="836">
        <f>E14-J14</f>
        <v>0</v>
      </c>
      <c r="F19" s="837" t="s">
        <v>216</v>
      </c>
      <c r="G19" s="838"/>
      <c r="H19" s="838"/>
      <c r="I19" s="838"/>
      <c r="J19" s="838"/>
    </row>
    <row r="20" spans="1:10" ht="17.25" customHeight="1" thickBot="1">
      <c r="A20" s="835" t="s">
        <v>217</v>
      </c>
      <c r="B20" s="832">
        <f>B19-G17</f>
        <v>-6100151</v>
      </c>
      <c r="C20" s="832">
        <f>C19-H17</f>
        <v>-5915813</v>
      </c>
      <c r="D20" s="832">
        <f>D19-I17</f>
        <v>0</v>
      </c>
      <c r="E20" s="832">
        <f>E19-J17</f>
        <v>0</v>
      </c>
      <c r="F20" s="837" t="s">
        <v>218</v>
      </c>
      <c r="G20" s="840"/>
      <c r="H20" s="840"/>
      <c r="I20" s="840"/>
      <c r="J20" s="840"/>
    </row>
    <row r="21" spans="1:6" ht="22.5" customHeight="1" thickBot="1">
      <c r="A21" s="1168" t="s">
        <v>219</v>
      </c>
      <c r="B21" s="1169"/>
      <c r="C21" s="1169"/>
      <c r="D21" s="1169"/>
      <c r="E21" s="1169"/>
      <c r="F21" s="1168"/>
    </row>
    <row r="22" spans="1:10" ht="22.5">
      <c r="A22" s="812" t="s">
        <v>220</v>
      </c>
      <c r="B22" s="528">
        <f>'3.sz.m Önk  bev.'!F45+'3.sz.m Önk  bev.'!F44</f>
        <v>85647503</v>
      </c>
      <c r="C22" s="528">
        <f>'3.sz.m Önk  bev.'!G45+'3.sz.m Önk  bev.'!G44</f>
        <v>85647503</v>
      </c>
      <c r="D22" s="528">
        <f>'3.sz.m Önk  bev.'!H45+'3.sz.m Önk  bev.'!H44</f>
        <v>0</v>
      </c>
      <c r="E22" s="528">
        <f>'3.sz.m Önk  bev.'!I45+'3.sz.m Önk  bev.'!I44</f>
        <v>0</v>
      </c>
      <c r="F22" s="841" t="s">
        <v>221</v>
      </c>
      <c r="G22" s="528">
        <f>'4.sz.m.ÖNK kiadás'!F18+'5. sz. m óvoda'!J40</f>
        <v>111555981</v>
      </c>
      <c r="H22" s="528">
        <f>'4.sz.m.ÖNK kiadás'!G18+'5. sz. m óvoda'!K40</f>
        <v>111555981</v>
      </c>
      <c r="I22" s="528">
        <f>'4.sz.m.ÖNK kiadás'!H18+'5. sz. m óvoda'!L40</f>
        <v>0</v>
      </c>
      <c r="J22" s="528">
        <f>'4.sz.m.ÖNK kiadás'!I18+'5. sz. m óvoda'!M40</f>
        <v>0</v>
      </c>
    </row>
    <row r="23" spans="1:10" ht="12.75">
      <c r="A23" s="815" t="s">
        <v>222</v>
      </c>
      <c r="B23" s="816">
        <f>'3.sz.m Önk  bev.'!F54</f>
        <v>103992</v>
      </c>
      <c r="C23" s="816">
        <f>'3.sz.m Önk  bev.'!G54</f>
        <v>103992</v>
      </c>
      <c r="D23" s="816">
        <f>'3.sz.m Önk  bev.'!H54</f>
        <v>0</v>
      </c>
      <c r="E23" s="816">
        <f>'3.sz.m Önk  bev.'!I54</f>
        <v>0</v>
      </c>
      <c r="F23" s="473" t="s">
        <v>223</v>
      </c>
      <c r="G23" s="816">
        <f>'4.sz.m.ÖNK kiadás'!F19+'5. sz. m óvoda'!J41</f>
        <v>18808426</v>
      </c>
      <c r="H23" s="816">
        <f>'4.sz.m.ÖNK kiadás'!G19+'5. sz. m óvoda'!K41</f>
        <v>19042764</v>
      </c>
      <c r="I23" s="816">
        <f>'4.sz.m.ÖNK kiadás'!H19+'5. sz. m óvoda'!L41</f>
        <v>0</v>
      </c>
      <c r="J23" s="816">
        <f>'4.sz.m.ÖNK kiadás'!I19+'5. sz. m óvoda'!M41</f>
        <v>0</v>
      </c>
    </row>
    <row r="24" spans="1:10" ht="12.75">
      <c r="A24" s="815" t="s">
        <v>224</v>
      </c>
      <c r="B24" s="816"/>
      <c r="C24" s="816">
        <f>+'3.sz.m Önk  bev.'!G56</f>
        <v>50000</v>
      </c>
      <c r="D24" s="816"/>
      <c r="E24" s="816"/>
      <c r="F24" s="473" t="s">
        <v>225</v>
      </c>
      <c r="G24" s="816">
        <f>'4.sz.m.ÖNK kiadás'!F20</f>
        <v>1941331</v>
      </c>
      <c r="H24" s="816">
        <f>'4.sz.m.ÖNK kiadás'!G20</f>
        <v>1941331</v>
      </c>
      <c r="I24" s="816">
        <f>'4.sz.m.ÖNK kiadás'!H20</f>
        <v>0</v>
      </c>
      <c r="J24" s="816">
        <f>'4.sz.m.ÖNK kiadás'!I20</f>
        <v>0</v>
      </c>
    </row>
    <row r="25" spans="1:10" ht="13.5" thickBot="1">
      <c r="A25" s="815"/>
      <c r="B25" s="816"/>
      <c r="C25" s="816"/>
      <c r="D25" s="816"/>
      <c r="E25" s="816"/>
      <c r="F25" s="473" t="s">
        <v>226</v>
      </c>
      <c r="G25" s="816">
        <f>'4.sz.m.ÖNK kiadás'!F28</f>
        <v>0</v>
      </c>
      <c r="H25" s="816">
        <f>'4.sz.m.ÖNK kiadás'!G28</f>
        <v>0</v>
      </c>
      <c r="I25" s="816">
        <f>'4.sz.m.ÖNK kiadás'!H28</f>
        <v>0</v>
      </c>
      <c r="J25" s="816">
        <f>'4.sz.m.ÖNK kiadás'!I28</f>
        <v>0</v>
      </c>
    </row>
    <row r="26" spans="1:10" ht="13.5" hidden="1" thickBot="1">
      <c r="A26" s="471"/>
      <c r="B26" s="823"/>
      <c r="C26" s="823"/>
      <c r="D26" s="823"/>
      <c r="E26" s="823"/>
      <c r="F26" s="819"/>
      <c r="G26" s="823"/>
      <c r="H26" s="823"/>
      <c r="I26" s="823"/>
      <c r="J26" s="823"/>
    </row>
    <row r="27" spans="1:12" ht="23.25" thickBot="1">
      <c r="A27" s="842" t="s">
        <v>227</v>
      </c>
      <c r="B27" s="832">
        <f>B22+B24+B23</f>
        <v>85751495</v>
      </c>
      <c r="C27" s="832">
        <f>C22+C24+C23</f>
        <v>85801495</v>
      </c>
      <c r="D27" s="832">
        <f>D22+D24+D23</f>
        <v>0</v>
      </c>
      <c r="E27" s="832">
        <f>E22+E24+E23</f>
        <v>0</v>
      </c>
      <c r="F27" s="843" t="s">
        <v>228</v>
      </c>
      <c r="G27" s="844">
        <f>G22+G23+G24+G25</f>
        <v>132305738</v>
      </c>
      <c r="H27" s="844">
        <f>H22+H23+H24+H25</f>
        <v>132540076</v>
      </c>
      <c r="I27" s="844">
        <f>I22+I23+I24+I25</f>
        <v>0</v>
      </c>
      <c r="J27" s="844">
        <f>J22+J23+J24+J25</f>
        <v>0</v>
      </c>
      <c r="L27" s="839"/>
    </row>
    <row r="28" spans="1:12" ht="15" customHeight="1">
      <c r="A28" s="826" t="s">
        <v>433</v>
      </c>
      <c r="B28" s="813">
        <v>43205112</v>
      </c>
      <c r="C28" s="813">
        <v>43205113</v>
      </c>
      <c r="D28" s="813">
        <v>43205114</v>
      </c>
      <c r="E28" s="813">
        <v>43205115</v>
      </c>
      <c r="F28" s="474" t="s">
        <v>229</v>
      </c>
      <c r="G28" s="813"/>
      <c r="H28" s="813"/>
      <c r="I28" s="813"/>
      <c r="J28" s="813"/>
      <c r="L28" s="839"/>
    </row>
    <row r="29" spans="1:10" ht="13.5" thickBot="1">
      <c r="A29" s="845" t="s">
        <v>210</v>
      </c>
      <c r="B29" s="846">
        <f>'3.sz.m Önk  bev.'!F60</f>
        <v>0</v>
      </c>
      <c r="C29" s="846">
        <f>'3.sz.m Önk  bev.'!G60</f>
        <v>0</v>
      </c>
      <c r="D29" s="846">
        <f>'3.sz.m Önk  bev.'!H60</f>
        <v>0</v>
      </c>
      <c r="E29" s="846">
        <f>'3.sz.m Önk  bev.'!I60</f>
        <v>0</v>
      </c>
      <c r="F29" s="847"/>
      <c r="G29" s="823"/>
      <c r="H29" s="823"/>
      <c r="I29" s="823"/>
      <c r="J29" s="823"/>
    </row>
    <row r="30" spans="1:10" ht="18.75" customHeight="1" thickBot="1">
      <c r="A30" s="472" t="s">
        <v>230</v>
      </c>
      <c r="B30" s="844">
        <f>SUM(B28:B29)</f>
        <v>43205112</v>
      </c>
      <c r="C30" s="844">
        <f>SUM(C28:C29)</f>
        <v>43205113</v>
      </c>
      <c r="D30" s="844">
        <f>SUM(D28:D29)</f>
        <v>43205114</v>
      </c>
      <c r="E30" s="844">
        <f>SUM(E28:E29)</f>
        <v>43205115</v>
      </c>
      <c r="F30" s="843" t="s">
        <v>231</v>
      </c>
      <c r="G30" s="848"/>
      <c r="H30" s="848"/>
      <c r="I30" s="848"/>
      <c r="J30" s="848"/>
    </row>
    <row r="31" spans="1:10" ht="25.5" customHeight="1" thickBot="1">
      <c r="A31" s="849" t="s">
        <v>232</v>
      </c>
      <c r="B31" s="832">
        <f>B27+B30</f>
        <v>128956607</v>
      </c>
      <c r="C31" s="832">
        <f>C27+C30</f>
        <v>129006608</v>
      </c>
      <c r="D31" s="832">
        <f>D27+D30</f>
        <v>43205114</v>
      </c>
      <c r="E31" s="832">
        <f>E27+E30</f>
        <v>43205115</v>
      </c>
      <c r="F31" s="850" t="s">
        <v>233</v>
      </c>
      <c r="G31" s="844">
        <f>G27</f>
        <v>132305738</v>
      </c>
      <c r="H31" s="844">
        <f>H27</f>
        <v>132540076</v>
      </c>
      <c r="I31" s="844">
        <f>I27</f>
        <v>0</v>
      </c>
      <c r="J31" s="844">
        <f>J27</f>
        <v>0</v>
      </c>
    </row>
    <row r="32" spans="1:10" ht="26.25" customHeight="1" thickBot="1">
      <c r="A32" s="849" t="s">
        <v>524</v>
      </c>
      <c r="B32" s="832">
        <f>B18+B31</f>
        <v>232323979</v>
      </c>
      <c r="C32" s="832">
        <f>C18+C31</f>
        <v>234052336</v>
      </c>
      <c r="D32" s="832">
        <f>D18+D31</f>
        <v>0</v>
      </c>
      <c r="E32" s="832">
        <f>E18+E31</f>
        <v>0</v>
      </c>
      <c r="F32" s="850" t="s">
        <v>525</v>
      </c>
      <c r="G32" s="832">
        <f>G18+G31</f>
        <v>232323979</v>
      </c>
      <c r="H32" s="832">
        <f>H18+H31</f>
        <v>234052336</v>
      </c>
      <c r="I32" s="832">
        <f>I18+I31</f>
        <v>0</v>
      </c>
      <c r="J32" s="832">
        <f>J18+J31</f>
        <v>0</v>
      </c>
    </row>
    <row r="33" spans="1:10" ht="16.5" customHeight="1" thickBot="1">
      <c r="A33" s="851" t="s">
        <v>215</v>
      </c>
      <c r="B33" s="852">
        <f>B27-G27</f>
        <v>-46554243</v>
      </c>
      <c r="C33" s="852">
        <f>C27-H27</f>
        <v>-46738581</v>
      </c>
      <c r="D33" s="852">
        <f>D27-I27</f>
        <v>0</v>
      </c>
      <c r="E33" s="852">
        <f>E27-J27</f>
        <v>0</v>
      </c>
      <c r="F33" s="853" t="s">
        <v>216</v>
      </c>
      <c r="G33" s="848"/>
      <c r="H33" s="848"/>
      <c r="I33" s="848"/>
      <c r="J33" s="848"/>
    </row>
    <row r="34" spans="1:10" ht="19.5" customHeight="1" thickBot="1">
      <c r="A34" s="851" t="s">
        <v>217</v>
      </c>
      <c r="B34" s="852">
        <f>B33-G30</f>
        <v>-46554243</v>
      </c>
      <c r="C34" s="852">
        <f>C33-H30</f>
        <v>-46738581</v>
      </c>
      <c r="D34" s="852">
        <f>D33-I30</f>
        <v>0</v>
      </c>
      <c r="E34" s="852">
        <f>E33-J30</f>
        <v>0</v>
      </c>
      <c r="F34" s="853" t="s">
        <v>218</v>
      </c>
      <c r="G34" s="854"/>
      <c r="H34" s="854"/>
      <c r="I34" s="854"/>
      <c r="J34" s="854"/>
    </row>
    <row r="35" spans="1:7" ht="19.5" customHeight="1">
      <c r="A35" s="855"/>
      <c r="B35" s="856"/>
      <c r="C35" s="856"/>
      <c r="D35" s="856"/>
      <c r="E35" s="856"/>
      <c r="F35" s="855"/>
      <c r="G35" s="857"/>
    </row>
    <row r="36" spans="2:8" ht="12.75">
      <c r="B36" s="839"/>
      <c r="C36" s="839"/>
      <c r="D36" s="839"/>
      <c r="E36" s="839"/>
      <c r="G36" s="839"/>
      <c r="H36" s="839"/>
    </row>
    <row r="37" spans="2:5" ht="12.75">
      <c r="B37" s="839"/>
      <c r="C37" s="839"/>
      <c r="D37" s="839"/>
      <c r="E37" s="839"/>
    </row>
    <row r="39" spans="2:7" ht="12.75">
      <c r="B39" s="858"/>
      <c r="C39" s="858"/>
      <c r="D39" s="858"/>
      <c r="E39" s="858"/>
      <c r="G39" s="858"/>
    </row>
    <row r="40" spans="2:7" ht="12.75">
      <c r="B40" s="839"/>
      <c r="C40" s="839"/>
      <c r="D40" s="839"/>
      <c r="E40" s="839"/>
      <c r="G40" s="839"/>
    </row>
    <row r="41" spans="2:5" ht="12.75">
      <c r="B41" s="839"/>
      <c r="C41" s="839"/>
      <c r="D41" s="839"/>
      <c r="E41" s="839"/>
    </row>
    <row r="43" spans="2:5" ht="12.75">
      <c r="B43" s="839"/>
      <c r="C43" s="839"/>
      <c r="D43" s="839"/>
      <c r="E43" s="839"/>
    </row>
  </sheetData>
  <sheetProtection selectLockedCells="1" selectUnlockedCells="1"/>
  <mergeCells count="5">
    <mergeCell ref="A4:F4"/>
    <mergeCell ref="A21:F21"/>
    <mergeCell ref="G4:J4"/>
    <mergeCell ref="A2:J2"/>
    <mergeCell ref="F1:J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85" zoomScaleNormal="85" zoomScalePageLayoutView="0" workbookViewId="0" topLeftCell="A47">
      <selection activeCell="G35" sqref="G35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23.57421875" style="3" customWidth="1"/>
    <col min="7" max="7" width="17.8515625" style="3" customWidth="1"/>
    <col min="8" max="9" width="17.8515625" style="3" hidden="1" customWidth="1"/>
    <col min="10" max="10" width="23.00390625" style="4" customWidth="1"/>
    <col min="11" max="11" width="17.421875" style="4" customWidth="1"/>
    <col min="12" max="13" width="17.421875" style="4" hidden="1" customWidth="1"/>
    <col min="14" max="14" width="20.8515625" style="5" customWidth="1"/>
    <col min="15" max="15" width="13.57421875" style="5" customWidth="1"/>
    <col min="16" max="16" width="12.7109375" style="5" hidden="1" customWidth="1"/>
    <col min="17" max="17" width="14.8515625" style="5" hidden="1" customWidth="1"/>
    <col min="18" max="16384" width="9.140625" style="5" customWidth="1"/>
  </cols>
  <sheetData>
    <row r="1" spans="1:5" ht="12.75">
      <c r="A1" s="6"/>
      <c r="B1" s="6"/>
      <c r="C1" s="6"/>
      <c r="D1" s="7"/>
      <c r="E1" s="7"/>
    </row>
    <row r="2" spans="1:15" s="8" customFormat="1" ht="34.5" customHeight="1">
      <c r="A2" s="1119" t="s">
        <v>632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</row>
    <row r="3" spans="1:14" ht="13.5" thickBot="1">
      <c r="A3" s="9"/>
      <c r="B3" s="9"/>
      <c r="C3" s="9"/>
      <c r="D3" s="10"/>
      <c r="E3" s="11"/>
      <c r="J3" s="1126" t="s">
        <v>536</v>
      </c>
      <c r="K3" s="1126"/>
      <c r="L3" s="1126"/>
      <c r="M3" s="1126"/>
      <c r="N3" s="1127"/>
    </row>
    <row r="4" spans="1:17" ht="45.75" customHeight="1" thickBot="1">
      <c r="A4" s="1117" t="s">
        <v>1</v>
      </c>
      <c r="B4" s="1117"/>
      <c r="C4" s="1117"/>
      <c r="D4" s="14" t="s">
        <v>2</v>
      </c>
      <c r="E4" s="15" t="s">
        <v>3</v>
      </c>
      <c r="F4" s="1108" t="s">
        <v>4</v>
      </c>
      <c r="G4" s="1109"/>
      <c r="H4" s="1109"/>
      <c r="I4" s="1110"/>
      <c r="J4" s="1108" t="s">
        <v>244</v>
      </c>
      <c r="K4" s="1109"/>
      <c r="L4" s="1109"/>
      <c r="M4" s="1110"/>
      <c r="N4" s="1108" t="s">
        <v>299</v>
      </c>
      <c r="O4" s="1109"/>
      <c r="P4" s="1109"/>
      <c r="Q4" s="1110"/>
    </row>
    <row r="5" spans="1:17" s="21" customFormat="1" ht="27" customHeight="1" thickBot="1">
      <c r="A5" s="871"/>
      <c r="B5" s="872"/>
      <c r="C5" s="872"/>
      <c r="D5" s="73"/>
      <c r="E5" s="55"/>
      <c r="F5" s="873" t="s">
        <v>6</v>
      </c>
      <c r="G5" s="873" t="s">
        <v>136</v>
      </c>
      <c r="H5" s="873" t="s">
        <v>137</v>
      </c>
      <c r="I5" s="873" t="s">
        <v>138</v>
      </c>
      <c r="J5" s="873" t="s">
        <v>6</v>
      </c>
      <c r="K5" s="873" t="s">
        <v>136</v>
      </c>
      <c r="L5" s="873" t="s">
        <v>137</v>
      </c>
      <c r="M5" s="873" t="s">
        <v>138</v>
      </c>
      <c r="N5" s="873" t="s">
        <v>6</v>
      </c>
      <c r="O5" s="873" t="s">
        <v>136</v>
      </c>
      <c r="P5" s="873" t="s">
        <v>137</v>
      </c>
      <c r="Q5" s="873" t="s">
        <v>138</v>
      </c>
    </row>
    <row r="6" spans="1:18" s="21" customFormat="1" ht="21.75" customHeight="1" thickBot="1">
      <c r="A6" s="18"/>
      <c r="B6" s="1116"/>
      <c r="C6" s="1116"/>
      <c r="D6" s="1116"/>
      <c r="E6" s="19"/>
      <c r="F6" s="727"/>
      <c r="G6" s="727"/>
      <c r="H6" s="727"/>
      <c r="I6" s="727"/>
      <c r="J6" s="601"/>
      <c r="K6" s="859"/>
      <c r="L6" s="859"/>
      <c r="M6" s="859"/>
      <c r="N6" s="615"/>
      <c r="O6" s="615"/>
      <c r="P6" s="615"/>
      <c r="Q6" s="615"/>
      <c r="R6" s="529"/>
    </row>
    <row r="7" spans="1:18" s="21" customFormat="1" ht="21.75" customHeight="1" thickBot="1">
      <c r="A7" s="18" t="s">
        <v>10</v>
      </c>
      <c r="B7" s="1116" t="s">
        <v>11</v>
      </c>
      <c r="C7" s="1116"/>
      <c r="D7" s="1116"/>
      <c r="E7" s="22" t="s">
        <v>12</v>
      </c>
      <c r="F7" s="601">
        <f>F8+F13+F16+F17+F20</f>
        <v>19177972</v>
      </c>
      <c r="G7" s="601">
        <f>G8+G13+G16+G17+G20</f>
        <v>19177972</v>
      </c>
      <c r="H7" s="601">
        <f>H8+H13+H16+H17+H20</f>
        <v>0</v>
      </c>
      <c r="I7" s="601">
        <f>I8+I13+I16+I17+I20</f>
        <v>0</v>
      </c>
      <c r="J7" s="601">
        <f aca="true" t="shared" si="0" ref="J7:M12">F7-N7</f>
        <v>12359373</v>
      </c>
      <c r="K7" s="601">
        <f t="shared" si="0"/>
        <v>12359373</v>
      </c>
      <c r="L7" s="601">
        <f t="shared" si="0"/>
        <v>0</v>
      </c>
      <c r="M7" s="601">
        <f t="shared" si="0"/>
        <v>0</v>
      </c>
      <c r="N7" s="601">
        <f>N8+N13+N16+N17</f>
        <v>6818599</v>
      </c>
      <c r="O7" s="601">
        <f>O8+O13+O16+O17</f>
        <v>6818599</v>
      </c>
      <c r="P7" s="601">
        <f>P8+P13+P16+P17</f>
        <v>0</v>
      </c>
      <c r="Q7" s="601">
        <f>Q8+Q13+Q16+Q17</f>
        <v>0</v>
      </c>
      <c r="R7" s="530"/>
    </row>
    <row r="8" spans="1:18" ht="21.75" customHeight="1">
      <c r="A8" s="23"/>
      <c r="B8" s="24" t="s">
        <v>13</v>
      </c>
      <c r="C8" s="1118" t="s">
        <v>14</v>
      </c>
      <c r="D8" s="1118"/>
      <c r="E8" s="25" t="s">
        <v>15</v>
      </c>
      <c r="F8" s="602">
        <f>F10+F9</f>
        <v>2496040</v>
      </c>
      <c r="G8" s="602">
        <f>G10+G9</f>
        <v>2496040</v>
      </c>
      <c r="H8" s="602">
        <f>H10+H9</f>
        <v>0</v>
      </c>
      <c r="I8" s="602">
        <f>I10+I9</f>
        <v>0</v>
      </c>
      <c r="J8" s="604">
        <f t="shared" si="0"/>
        <v>2496040</v>
      </c>
      <c r="K8" s="604">
        <f t="shared" si="0"/>
        <v>2496040</v>
      </c>
      <c r="L8" s="604">
        <f t="shared" si="0"/>
        <v>0</v>
      </c>
      <c r="M8" s="604">
        <f t="shared" si="0"/>
        <v>0</v>
      </c>
      <c r="N8" s="604"/>
      <c r="O8" s="604"/>
      <c r="P8" s="604"/>
      <c r="Q8" s="604"/>
      <c r="R8" s="530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603"/>
      <c r="G9" s="603"/>
      <c r="H9" s="603"/>
      <c r="I9" s="603"/>
      <c r="J9" s="603">
        <f t="shared" si="0"/>
        <v>0</v>
      </c>
      <c r="K9" s="603">
        <f t="shared" si="0"/>
        <v>0</v>
      </c>
      <c r="L9" s="603">
        <f t="shared" si="0"/>
        <v>0</v>
      </c>
      <c r="M9" s="603">
        <f t="shared" si="0"/>
        <v>0</v>
      </c>
      <c r="N9" s="603"/>
      <c r="O9" s="603"/>
      <c r="P9" s="603"/>
      <c r="Q9" s="603"/>
      <c r="R9" s="530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603">
        <v>2496040</v>
      </c>
      <c r="G10" s="603">
        <v>2496040</v>
      </c>
      <c r="H10" s="603"/>
      <c r="I10" s="603"/>
      <c r="J10" s="603">
        <f t="shared" si="0"/>
        <v>2496040</v>
      </c>
      <c r="K10" s="603">
        <f t="shared" si="0"/>
        <v>2496040</v>
      </c>
      <c r="L10" s="603">
        <f t="shared" si="0"/>
        <v>0</v>
      </c>
      <c r="M10" s="603">
        <f t="shared" si="0"/>
        <v>0</v>
      </c>
      <c r="N10" s="603"/>
      <c r="O10" s="603"/>
      <c r="P10" s="603"/>
      <c r="Q10" s="603"/>
      <c r="R10" s="530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603"/>
      <c r="G11" s="603"/>
      <c r="H11" s="603"/>
      <c r="I11" s="603"/>
      <c r="J11" s="603">
        <f t="shared" si="0"/>
        <v>0</v>
      </c>
      <c r="K11" s="603">
        <f t="shared" si="0"/>
        <v>0</v>
      </c>
      <c r="L11" s="603">
        <f t="shared" si="0"/>
        <v>0</v>
      </c>
      <c r="M11" s="603">
        <f t="shared" si="0"/>
        <v>0</v>
      </c>
      <c r="N11" s="603"/>
      <c r="O11" s="603"/>
      <c r="P11" s="603"/>
      <c r="Q11" s="603"/>
      <c r="R11" s="530"/>
    </row>
    <row r="12" spans="1:21" ht="21.75" customHeight="1" hidden="1">
      <c r="A12" s="26"/>
      <c r="B12" s="27"/>
      <c r="C12" s="27"/>
      <c r="D12" s="28"/>
      <c r="E12" s="29"/>
      <c r="F12" s="603"/>
      <c r="G12" s="603"/>
      <c r="H12" s="603"/>
      <c r="I12" s="603"/>
      <c r="J12" s="603">
        <f t="shared" si="0"/>
        <v>0</v>
      </c>
      <c r="K12" s="603">
        <f t="shared" si="0"/>
        <v>0</v>
      </c>
      <c r="L12" s="603">
        <f t="shared" si="0"/>
        <v>0</v>
      </c>
      <c r="M12" s="603">
        <f t="shared" si="0"/>
        <v>0</v>
      </c>
      <c r="N12" s="603"/>
      <c r="O12" s="603"/>
      <c r="P12" s="603"/>
      <c r="Q12" s="603"/>
      <c r="R12" s="530"/>
      <c r="U12" s="5" t="s">
        <v>22</v>
      </c>
    </row>
    <row r="13" spans="1:18" ht="21.75" customHeight="1">
      <c r="A13" s="26"/>
      <c r="B13" s="27" t="s">
        <v>23</v>
      </c>
      <c r="C13" s="1112" t="s">
        <v>24</v>
      </c>
      <c r="D13" s="1112"/>
      <c r="E13" s="31" t="s">
        <v>25</v>
      </c>
      <c r="F13" s="603">
        <f aca="true" t="shared" si="1" ref="F13:M13">F14+F15</f>
        <v>13500000</v>
      </c>
      <c r="G13" s="603">
        <f>G14+G15</f>
        <v>13500000</v>
      </c>
      <c r="H13" s="603">
        <f t="shared" si="1"/>
        <v>0</v>
      </c>
      <c r="I13" s="603">
        <f t="shared" si="1"/>
        <v>0</v>
      </c>
      <c r="J13" s="603">
        <f t="shared" si="1"/>
        <v>6681401</v>
      </c>
      <c r="K13" s="603">
        <f>K14+K15</f>
        <v>6681401</v>
      </c>
      <c r="L13" s="603">
        <f t="shared" si="1"/>
        <v>0</v>
      </c>
      <c r="M13" s="603">
        <f t="shared" si="1"/>
        <v>0</v>
      </c>
      <c r="N13" s="603">
        <f>SUM(N14:N15)</f>
        <v>6818599</v>
      </c>
      <c r="O13" s="603">
        <f>SUM(O14:O15)</f>
        <v>6818599</v>
      </c>
      <c r="P13" s="603">
        <f>SUM(P14:P15)</f>
        <v>0</v>
      </c>
      <c r="Q13" s="603">
        <f>SUM(Q14:Q15)</f>
        <v>0</v>
      </c>
      <c r="R13" s="530"/>
    </row>
    <row r="14" spans="1:19" ht="21.75" customHeight="1">
      <c r="A14" s="26"/>
      <c r="B14" s="27"/>
      <c r="C14" s="27" t="s">
        <v>26</v>
      </c>
      <c r="D14" s="30" t="s">
        <v>473</v>
      </c>
      <c r="E14" s="31"/>
      <c r="F14" s="603">
        <v>13500000</v>
      </c>
      <c r="G14" s="603">
        <v>13500000</v>
      </c>
      <c r="H14" s="603"/>
      <c r="I14" s="603"/>
      <c r="J14" s="603">
        <f aca="true" t="shared" si="2" ref="J14:K28">F14-N14</f>
        <v>6681401</v>
      </c>
      <c r="K14" s="603">
        <f t="shared" si="2"/>
        <v>6681401</v>
      </c>
      <c r="L14" s="603">
        <f aca="true" t="shared" si="3" ref="L14:M28">H14-P14</f>
        <v>0</v>
      </c>
      <c r="M14" s="603">
        <f t="shared" si="3"/>
        <v>0</v>
      </c>
      <c r="N14" s="603">
        <v>6818599</v>
      </c>
      <c r="O14" s="603">
        <v>6818599</v>
      </c>
      <c r="P14" s="603">
        <v>0</v>
      </c>
      <c r="Q14" s="603">
        <v>0</v>
      </c>
      <c r="R14" s="530"/>
      <c r="S14" s="4">
        <f>+'4.sz.m.ÖNK kiadás'!N36-'3.sz.m Önk  bev.'!N63</f>
        <v>0</v>
      </c>
    </row>
    <row r="15" spans="1:18" ht="21.75" customHeight="1">
      <c r="A15" s="26"/>
      <c r="B15" s="27"/>
      <c r="C15" s="27" t="s">
        <v>27</v>
      </c>
      <c r="D15" s="30" t="s">
        <v>28</v>
      </c>
      <c r="E15" s="31"/>
      <c r="F15" s="603"/>
      <c r="G15" s="603"/>
      <c r="H15" s="603"/>
      <c r="I15" s="603"/>
      <c r="J15" s="603">
        <f t="shared" si="2"/>
        <v>0</v>
      </c>
      <c r="K15" s="603">
        <f t="shared" si="2"/>
        <v>0</v>
      </c>
      <c r="L15" s="603">
        <f t="shared" si="3"/>
        <v>0</v>
      </c>
      <c r="M15" s="603">
        <f t="shared" si="3"/>
        <v>0</v>
      </c>
      <c r="N15" s="603"/>
      <c r="O15" s="603"/>
      <c r="P15" s="603"/>
      <c r="Q15" s="603"/>
      <c r="R15" s="531"/>
    </row>
    <row r="16" spans="1:18" ht="33" customHeight="1">
      <c r="A16" s="26"/>
      <c r="B16" s="27" t="s">
        <v>29</v>
      </c>
      <c r="C16" s="1112" t="s">
        <v>30</v>
      </c>
      <c r="D16" s="1112"/>
      <c r="E16" s="31" t="s">
        <v>31</v>
      </c>
      <c r="F16" s="603">
        <v>1915702</v>
      </c>
      <c r="G16" s="603">
        <v>1915702</v>
      </c>
      <c r="H16" s="603"/>
      <c r="I16" s="603"/>
      <c r="J16" s="603">
        <f t="shared" si="2"/>
        <v>1915702</v>
      </c>
      <c r="K16" s="603">
        <f t="shared" si="2"/>
        <v>1915702</v>
      </c>
      <c r="L16" s="603">
        <f t="shared" si="3"/>
        <v>0</v>
      </c>
      <c r="M16" s="603">
        <f t="shared" si="3"/>
        <v>0</v>
      </c>
      <c r="N16" s="603"/>
      <c r="O16" s="603"/>
      <c r="P16" s="603"/>
      <c r="Q16" s="603"/>
      <c r="R16" s="531"/>
    </row>
    <row r="17" spans="1:18" ht="21.75" customHeight="1">
      <c r="A17" s="26"/>
      <c r="B17" s="27" t="s">
        <v>32</v>
      </c>
      <c r="C17" s="1172" t="s">
        <v>33</v>
      </c>
      <c r="D17" s="1172"/>
      <c r="E17" s="32" t="s">
        <v>34</v>
      </c>
      <c r="F17" s="603">
        <v>0</v>
      </c>
      <c r="G17" s="603">
        <v>0</v>
      </c>
      <c r="H17" s="603">
        <v>0</v>
      </c>
      <c r="I17" s="603">
        <v>0</v>
      </c>
      <c r="J17" s="603">
        <f t="shared" si="2"/>
        <v>0</v>
      </c>
      <c r="K17" s="603">
        <f t="shared" si="2"/>
        <v>0</v>
      </c>
      <c r="L17" s="603">
        <f t="shared" si="3"/>
        <v>0</v>
      </c>
      <c r="M17" s="603">
        <f t="shared" si="3"/>
        <v>0</v>
      </c>
      <c r="N17" s="603"/>
      <c r="O17" s="603"/>
      <c r="P17" s="603"/>
      <c r="Q17" s="603"/>
      <c r="R17" s="531"/>
    </row>
    <row r="18" spans="1:18" ht="31.5" hidden="1">
      <c r="A18" s="26"/>
      <c r="B18" s="27"/>
      <c r="C18" s="27" t="s">
        <v>35</v>
      </c>
      <c r="D18" s="30" t="s">
        <v>36</v>
      </c>
      <c r="E18" s="31"/>
      <c r="F18" s="603"/>
      <c r="G18" s="603"/>
      <c r="H18" s="603"/>
      <c r="I18" s="603"/>
      <c r="J18" s="603">
        <f t="shared" si="2"/>
        <v>0</v>
      </c>
      <c r="K18" s="603">
        <f t="shared" si="2"/>
        <v>0</v>
      </c>
      <c r="L18" s="603">
        <f t="shared" si="3"/>
        <v>0</v>
      </c>
      <c r="M18" s="603">
        <f t="shared" si="3"/>
        <v>0</v>
      </c>
      <c r="N18" s="603"/>
      <c r="O18" s="603"/>
      <c r="P18" s="603"/>
      <c r="Q18" s="603"/>
      <c r="R18" s="531"/>
    </row>
    <row r="19" spans="1:18" ht="21.75" customHeight="1" hidden="1">
      <c r="A19" s="26"/>
      <c r="B19" s="27"/>
      <c r="C19" s="27" t="s">
        <v>37</v>
      </c>
      <c r="D19" s="30" t="s">
        <v>38</v>
      </c>
      <c r="E19" s="31"/>
      <c r="F19" s="603">
        <v>0</v>
      </c>
      <c r="G19" s="603">
        <v>0</v>
      </c>
      <c r="H19" s="603">
        <v>0</v>
      </c>
      <c r="I19" s="603">
        <v>0</v>
      </c>
      <c r="J19" s="603">
        <f t="shared" si="2"/>
        <v>0</v>
      </c>
      <c r="K19" s="603">
        <f t="shared" si="2"/>
        <v>0</v>
      </c>
      <c r="L19" s="603">
        <f t="shared" si="3"/>
        <v>0</v>
      </c>
      <c r="M19" s="603">
        <f t="shared" si="3"/>
        <v>0</v>
      </c>
      <c r="N19" s="603"/>
      <c r="O19" s="603"/>
      <c r="P19" s="603"/>
      <c r="Q19" s="603"/>
      <c r="R19" s="531"/>
    </row>
    <row r="20" spans="1:18" ht="21.75" customHeight="1" thickBot="1">
      <c r="A20" s="33"/>
      <c r="B20" s="34" t="s">
        <v>39</v>
      </c>
      <c r="C20" s="1175" t="s">
        <v>40</v>
      </c>
      <c r="D20" s="1175"/>
      <c r="E20" s="35" t="s">
        <v>41</v>
      </c>
      <c r="F20" s="603">
        <v>1266230</v>
      </c>
      <c r="G20" s="603">
        <v>1266230</v>
      </c>
      <c r="H20" s="603"/>
      <c r="I20" s="603"/>
      <c r="J20" s="614">
        <f t="shared" si="2"/>
        <v>1266230</v>
      </c>
      <c r="K20" s="614">
        <f t="shared" si="2"/>
        <v>1266230</v>
      </c>
      <c r="L20" s="614">
        <f t="shared" si="3"/>
        <v>0</v>
      </c>
      <c r="M20" s="614">
        <f t="shared" si="3"/>
        <v>0</v>
      </c>
      <c r="N20" s="614"/>
      <c r="O20" s="614"/>
      <c r="P20" s="614"/>
      <c r="Q20" s="614"/>
      <c r="R20" s="529"/>
    </row>
    <row r="21" spans="1:18" ht="21.75" customHeight="1" thickBot="1">
      <c r="A21" s="18" t="s">
        <v>42</v>
      </c>
      <c r="B21" s="1116" t="s">
        <v>43</v>
      </c>
      <c r="C21" s="1116"/>
      <c r="D21" s="1116"/>
      <c r="E21" s="19" t="s">
        <v>44</v>
      </c>
      <c r="F21" s="601">
        <f>F22+F23+F24+F25+F32+F33+F34</f>
        <v>5028626</v>
      </c>
      <c r="G21" s="601">
        <f>G22+G23+G24+G25+G32+G33+G34</f>
        <v>5171989</v>
      </c>
      <c r="H21" s="601">
        <f>H22+H23+H24+H25+H32+H33+H34</f>
        <v>0</v>
      </c>
      <c r="I21" s="601">
        <f>I22+I23+I24+I25+I32+I33+I34</f>
        <v>0</v>
      </c>
      <c r="J21" s="601">
        <f t="shared" si="2"/>
        <v>5028626</v>
      </c>
      <c r="K21" s="601">
        <f t="shared" si="2"/>
        <v>5171989</v>
      </c>
      <c r="L21" s="601">
        <f t="shared" si="3"/>
        <v>0</v>
      </c>
      <c r="M21" s="601">
        <f t="shared" si="3"/>
        <v>0</v>
      </c>
      <c r="N21" s="601">
        <f>N22+N23+N24+N25+N32+N33+N34</f>
        <v>0</v>
      </c>
      <c r="O21" s="601">
        <f>O22+O23+O24+O25+O32+O33+O34</f>
        <v>0</v>
      </c>
      <c r="P21" s="601">
        <f>P22+P23+P24+P25+P32+P33+P34</f>
        <v>0</v>
      </c>
      <c r="Q21" s="601">
        <f>Q22+Q23+Q24+Q25+Q32+Q33+Q34</f>
        <v>0</v>
      </c>
      <c r="R21" s="530"/>
    </row>
    <row r="22" spans="1:18" ht="21.75" customHeight="1">
      <c r="A22" s="536"/>
      <c r="B22" s="500" t="s">
        <v>653</v>
      </c>
      <c r="C22" s="1118" t="s">
        <v>427</v>
      </c>
      <c r="D22" s="1174"/>
      <c r="E22" s="25" t="s">
        <v>430</v>
      </c>
      <c r="F22" s="604"/>
      <c r="G22" s="604"/>
      <c r="H22" s="604"/>
      <c r="I22" s="604"/>
      <c r="J22" s="604">
        <f t="shared" si="2"/>
        <v>0</v>
      </c>
      <c r="K22" s="604">
        <f t="shared" si="2"/>
        <v>0</v>
      </c>
      <c r="L22" s="604">
        <f t="shared" si="3"/>
        <v>0</v>
      </c>
      <c r="M22" s="604">
        <f t="shared" si="3"/>
        <v>0</v>
      </c>
      <c r="N22" s="604"/>
      <c r="O22" s="604"/>
      <c r="P22" s="604"/>
      <c r="Q22" s="604"/>
      <c r="R22" s="530"/>
    </row>
    <row r="23" spans="1:18" ht="21.75" customHeight="1">
      <c r="A23" s="36"/>
      <c r="B23" s="37" t="s">
        <v>45</v>
      </c>
      <c r="C23" s="1114" t="s">
        <v>46</v>
      </c>
      <c r="D23" s="1114"/>
      <c r="E23" s="39" t="s">
        <v>47</v>
      </c>
      <c r="F23" s="803">
        <v>2897840</v>
      </c>
      <c r="G23" s="803">
        <v>2897840</v>
      </c>
      <c r="H23" s="803"/>
      <c r="I23" s="803"/>
      <c r="J23" s="603">
        <f t="shared" si="2"/>
        <v>2897840</v>
      </c>
      <c r="K23" s="603">
        <f t="shared" si="2"/>
        <v>2897840</v>
      </c>
      <c r="L23" s="603">
        <f t="shared" si="3"/>
        <v>0</v>
      </c>
      <c r="M23" s="924">
        <f t="shared" si="3"/>
        <v>0</v>
      </c>
      <c r="N23" s="603"/>
      <c r="O23" s="603"/>
      <c r="P23" s="603">
        <v>0</v>
      </c>
      <c r="Q23" s="924">
        <v>0</v>
      </c>
      <c r="R23" s="531"/>
    </row>
    <row r="24" spans="1:18" ht="21.75" customHeight="1">
      <c r="A24" s="26"/>
      <c r="B24" s="27" t="s">
        <v>48</v>
      </c>
      <c r="C24" s="1105" t="s">
        <v>234</v>
      </c>
      <c r="D24" s="1105"/>
      <c r="E24" s="29" t="s">
        <v>50</v>
      </c>
      <c r="F24" s="49"/>
      <c r="G24" s="49"/>
      <c r="H24" s="49"/>
      <c r="I24" s="49"/>
      <c r="J24" s="603">
        <f t="shared" si="2"/>
        <v>0</v>
      </c>
      <c r="K24" s="603">
        <f t="shared" si="2"/>
        <v>0</v>
      </c>
      <c r="L24" s="603">
        <f t="shared" si="3"/>
        <v>0</v>
      </c>
      <c r="M24" s="603">
        <f t="shared" si="3"/>
        <v>0</v>
      </c>
      <c r="N24" s="475"/>
      <c r="O24" s="475"/>
      <c r="P24" s="475"/>
      <c r="Q24" s="475"/>
      <c r="R24" s="499"/>
    </row>
    <row r="25" spans="1:18" ht="21.75" customHeight="1">
      <c r="A25" s="26"/>
      <c r="B25" s="27" t="s">
        <v>51</v>
      </c>
      <c r="C25" s="1105" t="s">
        <v>52</v>
      </c>
      <c r="D25" s="1105"/>
      <c r="E25" s="29" t="s">
        <v>53</v>
      </c>
      <c r="F25" s="49">
        <f>F26+F27+F28+F29</f>
        <v>1190649</v>
      </c>
      <c r="G25" s="49">
        <f>G26+G27+G28+G29</f>
        <v>1190649</v>
      </c>
      <c r="H25" s="49">
        <f>H26+H27+H28+H29</f>
        <v>0</v>
      </c>
      <c r="I25" s="49">
        <f>I26+I27+I28+I29</f>
        <v>0</v>
      </c>
      <c r="J25" s="603">
        <f t="shared" si="2"/>
        <v>1190649</v>
      </c>
      <c r="K25" s="603">
        <f t="shared" si="2"/>
        <v>1190649</v>
      </c>
      <c r="L25" s="603">
        <f t="shared" si="3"/>
        <v>0</v>
      </c>
      <c r="M25" s="603">
        <f t="shared" si="3"/>
        <v>0</v>
      </c>
      <c r="N25" s="475"/>
      <c r="O25" s="475"/>
      <c r="P25" s="475"/>
      <c r="Q25" s="475"/>
      <c r="R25" s="499"/>
    </row>
    <row r="26" spans="1:18" ht="33.75" customHeight="1">
      <c r="A26" s="26"/>
      <c r="B26" s="27"/>
      <c r="C26" s="27" t="s">
        <v>54</v>
      </c>
      <c r="D26" s="28" t="s">
        <v>540</v>
      </c>
      <c r="E26" s="29"/>
      <c r="F26" s="49">
        <v>1190649</v>
      </c>
      <c r="G26" s="49">
        <v>1190649</v>
      </c>
      <c r="H26" s="49"/>
      <c r="I26" s="49"/>
      <c r="J26" s="603">
        <f t="shared" si="2"/>
        <v>1190649</v>
      </c>
      <c r="K26" s="603">
        <f t="shared" si="2"/>
        <v>1190649</v>
      </c>
      <c r="L26" s="603">
        <f t="shared" si="3"/>
        <v>0</v>
      </c>
      <c r="M26" s="603">
        <f t="shared" si="3"/>
        <v>0</v>
      </c>
      <c r="N26" s="475"/>
      <c r="O26" s="475"/>
      <c r="P26" s="475"/>
      <c r="Q26" s="475"/>
      <c r="R26" s="499"/>
    </row>
    <row r="27" spans="1:18" ht="41.25" customHeight="1">
      <c r="A27" s="26"/>
      <c r="B27" s="27"/>
      <c r="C27" s="27" t="s">
        <v>56</v>
      </c>
      <c r="D27" s="28" t="s">
        <v>57</v>
      </c>
      <c r="E27" s="29"/>
      <c r="F27" s="49"/>
      <c r="G27" s="49"/>
      <c r="H27" s="49"/>
      <c r="I27" s="49"/>
      <c r="J27" s="603">
        <f t="shared" si="2"/>
        <v>0</v>
      </c>
      <c r="K27" s="603">
        <f t="shared" si="2"/>
        <v>0</v>
      </c>
      <c r="L27" s="603">
        <f t="shared" si="3"/>
        <v>0</v>
      </c>
      <c r="M27" s="603">
        <f t="shared" si="3"/>
        <v>0</v>
      </c>
      <c r="N27" s="475"/>
      <c r="O27" s="475"/>
      <c r="P27" s="475"/>
      <c r="Q27" s="475"/>
      <c r="R27" s="499"/>
    </row>
    <row r="28" spans="1:18" ht="21.75" customHeight="1">
      <c r="A28" s="26"/>
      <c r="B28" s="27"/>
      <c r="C28" s="27" t="s">
        <v>58</v>
      </c>
      <c r="D28" s="28" t="s">
        <v>59</v>
      </c>
      <c r="E28" s="29"/>
      <c r="F28" s="49"/>
      <c r="G28" s="49"/>
      <c r="H28" s="49"/>
      <c r="I28" s="49"/>
      <c r="J28" s="603">
        <f t="shared" si="2"/>
        <v>0</v>
      </c>
      <c r="K28" s="603">
        <f t="shared" si="2"/>
        <v>0</v>
      </c>
      <c r="L28" s="603">
        <f t="shared" si="3"/>
        <v>0</v>
      </c>
      <c r="M28" s="603">
        <f t="shared" si="3"/>
        <v>0</v>
      </c>
      <c r="N28" s="475"/>
      <c r="O28" s="475"/>
      <c r="P28" s="475"/>
      <c r="Q28" s="475"/>
      <c r="R28" s="499"/>
    </row>
    <row r="29" spans="1:18" ht="39" customHeight="1">
      <c r="A29" s="26"/>
      <c r="B29" s="27"/>
      <c r="C29" s="27" t="s">
        <v>173</v>
      </c>
      <c r="D29" s="28" t="s">
        <v>509</v>
      </c>
      <c r="E29" s="29"/>
      <c r="F29" s="49"/>
      <c r="G29" s="49"/>
      <c r="H29" s="49"/>
      <c r="I29" s="49"/>
      <c r="J29" s="603"/>
      <c r="K29" s="603"/>
      <c r="L29" s="603"/>
      <c r="M29" s="603"/>
      <c r="N29" s="475"/>
      <c r="O29" s="475"/>
      <c r="P29" s="475"/>
      <c r="Q29" s="475"/>
      <c r="R29" s="499"/>
    </row>
    <row r="30" spans="1:18" ht="21.75" customHeight="1">
      <c r="A30" s="26"/>
      <c r="B30" s="27" t="s">
        <v>60</v>
      </c>
      <c r="C30" s="1105" t="s">
        <v>61</v>
      </c>
      <c r="D30" s="1105"/>
      <c r="E30" s="29"/>
      <c r="F30" s="49"/>
      <c r="G30" s="49"/>
      <c r="H30" s="49"/>
      <c r="I30" s="49"/>
      <c r="J30" s="603">
        <f aca="true" t="shared" si="4" ref="J30:M34">F30-N30</f>
        <v>0</v>
      </c>
      <c r="K30" s="603">
        <f t="shared" si="4"/>
        <v>0</v>
      </c>
      <c r="L30" s="603">
        <f t="shared" si="4"/>
        <v>0</v>
      </c>
      <c r="M30" s="603">
        <f t="shared" si="4"/>
        <v>0</v>
      </c>
      <c r="N30" s="475"/>
      <c r="O30" s="475"/>
      <c r="P30" s="475"/>
      <c r="Q30" s="475"/>
      <c r="R30" s="499"/>
    </row>
    <row r="31" spans="1:18" ht="21.75" customHeight="1">
      <c r="A31" s="40"/>
      <c r="B31" s="41" t="s">
        <v>62</v>
      </c>
      <c r="C31" s="1173" t="s">
        <v>63</v>
      </c>
      <c r="D31" s="1173"/>
      <c r="E31" s="29"/>
      <c r="F31" s="49"/>
      <c r="G31" s="49"/>
      <c r="H31" s="49"/>
      <c r="I31" s="49"/>
      <c r="J31" s="603">
        <f t="shared" si="4"/>
        <v>0</v>
      </c>
      <c r="K31" s="603">
        <f t="shared" si="4"/>
        <v>0</v>
      </c>
      <c r="L31" s="603">
        <f t="shared" si="4"/>
        <v>0</v>
      </c>
      <c r="M31" s="603">
        <f t="shared" si="4"/>
        <v>0</v>
      </c>
      <c r="N31" s="475"/>
      <c r="O31" s="475"/>
      <c r="P31" s="475"/>
      <c r="Q31" s="475"/>
      <c r="R31" s="499"/>
    </row>
    <row r="32" spans="1:18" ht="21.75" customHeight="1">
      <c r="A32" s="40"/>
      <c r="B32" s="41" t="s">
        <v>64</v>
      </c>
      <c r="C32" s="1173" t="s">
        <v>65</v>
      </c>
      <c r="D32" s="1173"/>
      <c r="E32" s="29" t="s">
        <v>66</v>
      </c>
      <c r="F32" s="49">
        <v>36792</v>
      </c>
      <c r="G32" s="49">
        <v>36792</v>
      </c>
      <c r="H32" s="49"/>
      <c r="I32" s="49"/>
      <c r="J32" s="603">
        <f t="shared" si="4"/>
        <v>36792</v>
      </c>
      <c r="K32" s="603">
        <f t="shared" si="4"/>
        <v>36792</v>
      </c>
      <c r="L32" s="603">
        <f t="shared" si="4"/>
        <v>0</v>
      </c>
      <c r="M32" s="603">
        <f t="shared" si="4"/>
        <v>0</v>
      </c>
      <c r="N32" s="475"/>
      <c r="O32" s="475"/>
      <c r="P32" s="475"/>
      <c r="Q32" s="475"/>
      <c r="R32" s="499"/>
    </row>
    <row r="33" spans="1:18" ht="31.5" customHeight="1">
      <c r="A33" s="40"/>
      <c r="B33" s="41" t="s">
        <v>67</v>
      </c>
      <c r="C33" s="1111" t="s">
        <v>68</v>
      </c>
      <c r="D33" s="1111"/>
      <c r="E33" s="42" t="s">
        <v>426</v>
      </c>
      <c r="F33" s="804">
        <v>903345</v>
      </c>
      <c r="G33" s="804">
        <f>903345-65975</f>
        <v>837370</v>
      </c>
      <c r="H33" s="804"/>
      <c r="I33" s="804"/>
      <c r="J33" s="603">
        <f t="shared" si="4"/>
        <v>903345</v>
      </c>
      <c r="K33" s="603">
        <f t="shared" si="4"/>
        <v>837370</v>
      </c>
      <c r="L33" s="603">
        <f t="shared" si="4"/>
        <v>0</v>
      </c>
      <c r="M33" s="603">
        <f t="shared" si="4"/>
        <v>0</v>
      </c>
      <c r="N33" s="476"/>
      <c r="O33" s="476"/>
      <c r="P33" s="476"/>
      <c r="Q33" s="476"/>
      <c r="R33" s="499"/>
    </row>
    <row r="34" spans="1:18" ht="21.75" customHeight="1" thickBot="1">
      <c r="A34" s="33"/>
      <c r="B34" s="34" t="s">
        <v>425</v>
      </c>
      <c r="C34" s="1123" t="s">
        <v>550</v>
      </c>
      <c r="D34" s="1124"/>
      <c r="E34" s="51" t="s">
        <v>551</v>
      </c>
      <c r="F34" s="52"/>
      <c r="G34" s="52">
        <v>209338</v>
      </c>
      <c r="H34" s="52"/>
      <c r="I34" s="52"/>
      <c r="J34" s="614">
        <f t="shared" si="4"/>
        <v>0</v>
      </c>
      <c r="K34" s="614">
        <f t="shared" si="4"/>
        <v>209338</v>
      </c>
      <c r="L34" s="614">
        <f t="shared" si="4"/>
        <v>0</v>
      </c>
      <c r="M34" s="614">
        <f t="shared" si="4"/>
        <v>0</v>
      </c>
      <c r="N34" s="537"/>
      <c r="O34" s="537"/>
      <c r="P34" s="537"/>
      <c r="Q34" s="537"/>
      <c r="R34" s="499"/>
    </row>
    <row r="35" spans="1:18" ht="42" customHeight="1" thickBot="1">
      <c r="A35" s="43" t="s">
        <v>69</v>
      </c>
      <c r="B35" s="1116" t="s">
        <v>70</v>
      </c>
      <c r="C35" s="1116"/>
      <c r="D35" s="1116"/>
      <c r="E35" s="19" t="s">
        <v>71</v>
      </c>
      <c r="F35" s="605">
        <f aca="true" t="shared" si="5" ref="F35:L35">F36+F39+F37</f>
        <v>63827797</v>
      </c>
      <c r="G35" s="605">
        <f>G36+G39+G37</f>
        <v>65362791</v>
      </c>
      <c r="H35" s="605">
        <f t="shared" si="5"/>
        <v>0</v>
      </c>
      <c r="I35" s="605">
        <f t="shared" si="5"/>
        <v>0</v>
      </c>
      <c r="J35" s="605">
        <f t="shared" si="5"/>
        <v>51827435</v>
      </c>
      <c r="K35" s="605">
        <f>K36+K39+K37</f>
        <v>53362429</v>
      </c>
      <c r="L35" s="605">
        <f t="shared" si="5"/>
        <v>0</v>
      </c>
      <c r="M35" s="605">
        <f>M36+M39+M37</f>
        <v>0</v>
      </c>
      <c r="N35" s="538">
        <f>SUM(N36:N39)</f>
        <v>12000362</v>
      </c>
      <c r="O35" s="538">
        <f>SUM(O36:O39)</f>
        <v>12000362</v>
      </c>
      <c r="P35" s="538">
        <f>SUM(P36:P39)</f>
        <v>0</v>
      </c>
      <c r="Q35" s="538">
        <f>SUM(Q36:Q39)</f>
        <v>0</v>
      </c>
      <c r="R35" s="499"/>
    </row>
    <row r="36" spans="1:18" ht="21.75" customHeight="1">
      <c r="A36" s="36"/>
      <c r="B36" s="41" t="s">
        <v>72</v>
      </c>
      <c r="C36" s="1176" t="s">
        <v>73</v>
      </c>
      <c r="D36" s="1176"/>
      <c r="E36" s="44" t="s">
        <v>74</v>
      </c>
      <c r="F36" s="805">
        <v>32021473</v>
      </c>
      <c r="G36" s="805">
        <f>32021473+65975+72618</f>
        <v>32160066</v>
      </c>
      <c r="H36" s="805"/>
      <c r="I36" s="805"/>
      <c r="J36" s="604">
        <f aca="true" t="shared" si="6" ref="J36:K52">F36-N36</f>
        <v>32021473</v>
      </c>
      <c r="K36" s="604">
        <f t="shared" si="6"/>
        <v>32160066</v>
      </c>
      <c r="L36" s="604">
        <f aca="true" t="shared" si="7" ref="L36:M52">H36-P36</f>
        <v>0</v>
      </c>
      <c r="M36" s="604">
        <f t="shared" si="7"/>
        <v>0</v>
      </c>
      <c r="N36" s="477">
        <v>0</v>
      </c>
      <c r="O36" s="477">
        <v>0</v>
      </c>
      <c r="P36" s="477">
        <v>0</v>
      </c>
      <c r="Q36" s="477">
        <v>0</v>
      </c>
      <c r="R36" s="532"/>
    </row>
    <row r="37" spans="1:18" ht="21.75" customHeight="1">
      <c r="A37" s="26"/>
      <c r="B37" s="41" t="s">
        <v>75</v>
      </c>
      <c r="C37" s="1173" t="s">
        <v>76</v>
      </c>
      <c r="D37" s="1173"/>
      <c r="E37" s="29"/>
      <c r="F37" s="49"/>
      <c r="G37" s="49"/>
      <c r="H37" s="49"/>
      <c r="I37" s="49"/>
      <c r="J37" s="603">
        <f t="shared" si="6"/>
        <v>0</v>
      </c>
      <c r="K37" s="603">
        <f t="shared" si="6"/>
        <v>0</v>
      </c>
      <c r="L37" s="603">
        <f t="shared" si="7"/>
        <v>0</v>
      </c>
      <c r="M37" s="603">
        <f t="shared" si="7"/>
        <v>0</v>
      </c>
      <c r="N37" s="475"/>
      <c r="O37" s="475"/>
      <c r="P37" s="475"/>
      <c r="Q37" s="475"/>
      <c r="R37" s="532"/>
    </row>
    <row r="38" spans="1:18" ht="21.75" customHeight="1">
      <c r="A38" s="26"/>
      <c r="B38" s="41" t="s">
        <v>77</v>
      </c>
      <c r="C38" s="1173" t="s">
        <v>78</v>
      </c>
      <c r="D38" s="1173"/>
      <c r="E38" s="29"/>
      <c r="F38" s="606"/>
      <c r="G38" s="606"/>
      <c r="H38" s="606"/>
      <c r="I38" s="606"/>
      <c r="J38" s="603">
        <f t="shared" si="6"/>
        <v>0</v>
      </c>
      <c r="K38" s="603">
        <f t="shared" si="6"/>
        <v>0</v>
      </c>
      <c r="L38" s="603">
        <f t="shared" si="7"/>
        <v>0</v>
      </c>
      <c r="M38" s="603">
        <f t="shared" si="7"/>
        <v>0</v>
      </c>
      <c r="N38" s="475"/>
      <c r="O38" s="475"/>
      <c r="P38" s="475"/>
      <c r="Q38" s="475"/>
      <c r="R38" s="532"/>
    </row>
    <row r="39" spans="1:18" ht="37.5" customHeight="1">
      <c r="A39" s="26"/>
      <c r="B39" s="41" t="s">
        <v>79</v>
      </c>
      <c r="C39" s="1173" t="s">
        <v>80</v>
      </c>
      <c r="D39" s="1173"/>
      <c r="E39" s="29" t="s">
        <v>81</v>
      </c>
      <c r="F39" s="49">
        <f>F40+F42+F41</f>
        <v>31806324</v>
      </c>
      <c r="G39" s="49">
        <f>G40+G42+G41</f>
        <v>33202725</v>
      </c>
      <c r="H39" s="49">
        <f aca="true" t="shared" si="8" ref="H39:N39">H40+H42+H41</f>
        <v>0</v>
      </c>
      <c r="I39" s="49">
        <f t="shared" si="8"/>
        <v>0</v>
      </c>
      <c r="J39" s="49">
        <f t="shared" si="8"/>
        <v>19805962</v>
      </c>
      <c r="K39" s="49">
        <f>K40+K42+K41</f>
        <v>21202363</v>
      </c>
      <c r="L39" s="49">
        <f t="shared" si="8"/>
        <v>0</v>
      </c>
      <c r="M39" s="49">
        <f t="shared" si="8"/>
        <v>0</v>
      </c>
      <c r="N39" s="49">
        <f t="shared" si="8"/>
        <v>12000362</v>
      </c>
      <c r="O39" s="49">
        <f>O40+O42+O41</f>
        <v>12000362</v>
      </c>
      <c r="P39" s="475"/>
      <c r="Q39" s="475"/>
      <c r="R39" s="532"/>
    </row>
    <row r="40" spans="1:18" ht="30" customHeight="1">
      <c r="A40" s="26"/>
      <c r="B40" s="41"/>
      <c r="C40" s="37" t="s">
        <v>82</v>
      </c>
      <c r="D40" s="38" t="s">
        <v>83</v>
      </c>
      <c r="E40" s="39"/>
      <c r="F40" s="49">
        <v>14919600</v>
      </c>
      <c r="G40" s="49">
        <v>14919600</v>
      </c>
      <c r="H40" s="49"/>
      <c r="I40" s="49"/>
      <c r="J40" s="603">
        <f t="shared" si="6"/>
        <v>14919600</v>
      </c>
      <c r="K40" s="603">
        <f t="shared" si="6"/>
        <v>14919600</v>
      </c>
      <c r="L40" s="603">
        <f t="shared" si="7"/>
        <v>0</v>
      </c>
      <c r="M40" s="603">
        <f t="shared" si="7"/>
        <v>0</v>
      </c>
      <c r="N40" s="475"/>
      <c r="O40" s="475"/>
      <c r="P40" s="475"/>
      <c r="Q40" s="475"/>
      <c r="R40" s="499"/>
    </row>
    <row r="41" spans="1:18" ht="21.75" customHeight="1">
      <c r="A41" s="26"/>
      <c r="B41" s="41"/>
      <c r="C41" s="27" t="s">
        <v>84</v>
      </c>
      <c r="D41" s="28" t="s">
        <v>85</v>
      </c>
      <c r="E41" s="29"/>
      <c r="F41" s="49">
        <f>3070362+8930000+1230000+149999</f>
        <v>13380361</v>
      </c>
      <c r="G41" s="49">
        <f>3070362+8930000+1230000+149999+1554004</f>
        <v>14934365</v>
      </c>
      <c r="H41" s="49"/>
      <c r="I41" s="49"/>
      <c r="J41" s="603">
        <f t="shared" si="6"/>
        <v>1379999</v>
      </c>
      <c r="K41" s="603">
        <f t="shared" si="6"/>
        <v>2934003</v>
      </c>
      <c r="L41" s="603">
        <f t="shared" si="7"/>
        <v>0</v>
      </c>
      <c r="M41" s="603">
        <f t="shared" si="7"/>
        <v>0</v>
      </c>
      <c r="N41" s="475">
        <f>8930000+3070362</f>
        <v>12000362</v>
      </c>
      <c r="O41" s="475">
        <f>8930000+3070362</f>
        <v>12000362</v>
      </c>
      <c r="P41" s="475"/>
      <c r="Q41" s="475"/>
      <c r="R41" s="499"/>
    </row>
    <row r="42" spans="1:18" ht="35.25" customHeight="1" thickBot="1">
      <c r="A42" s="26"/>
      <c r="B42" s="41"/>
      <c r="C42" s="27" t="s">
        <v>86</v>
      </c>
      <c r="D42" s="28" t="s">
        <v>87</v>
      </c>
      <c r="E42" s="29"/>
      <c r="F42" s="49">
        <v>3506363</v>
      </c>
      <c r="G42" s="49">
        <f>3506363+286403-444006</f>
        <v>3348760</v>
      </c>
      <c r="H42" s="49"/>
      <c r="I42" s="49"/>
      <c r="J42" s="614">
        <f t="shared" si="6"/>
        <v>3506363</v>
      </c>
      <c r="K42" s="614">
        <f t="shared" si="6"/>
        <v>3348760</v>
      </c>
      <c r="L42" s="614">
        <f t="shared" si="7"/>
        <v>0</v>
      </c>
      <c r="M42" s="614">
        <f t="shared" si="7"/>
        <v>0</v>
      </c>
      <c r="N42" s="614"/>
      <c r="O42" s="614"/>
      <c r="P42" s="476"/>
      <c r="Q42" s="476"/>
      <c r="R42" s="499"/>
    </row>
    <row r="43" spans="1:18" ht="36" customHeight="1" thickBot="1">
      <c r="A43" s="43" t="s">
        <v>88</v>
      </c>
      <c r="B43" s="1129" t="s">
        <v>89</v>
      </c>
      <c r="C43" s="1129"/>
      <c r="D43" s="1129"/>
      <c r="E43" s="46" t="s">
        <v>90</v>
      </c>
      <c r="F43" s="605">
        <f>F45+F44</f>
        <v>85647503</v>
      </c>
      <c r="G43" s="605">
        <f>G45+G44</f>
        <v>85647503</v>
      </c>
      <c r="H43" s="605">
        <f>H45</f>
        <v>0</v>
      </c>
      <c r="I43" s="605">
        <f>I45</f>
        <v>0</v>
      </c>
      <c r="J43" s="601">
        <f t="shared" si="6"/>
        <v>85647503</v>
      </c>
      <c r="K43" s="601">
        <f t="shared" si="6"/>
        <v>85647503</v>
      </c>
      <c r="L43" s="601">
        <f t="shared" si="7"/>
        <v>0</v>
      </c>
      <c r="M43" s="601">
        <f t="shared" si="7"/>
        <v>0</v>
      </c>
      <c r="N43" s="601"/>
      <c r="O43" s="601"/>
      <c r="P43" s="601"/>
      <c r="Q43" s="601"/>
      <c r="R43" s="499"/>
    </row>
    <row r="44" spans="1:18" ht="21.75" customHeight="1">
      <c r="A44" s="36"/>
      <c r="B44" s="47" t="s">
        <v>91</v>
      </c>
      <c r="C44" s="1114" t="s">
        <v>92</v>
      </c>
      <c r="D44" s="1114"/>
      <c r="E44" s="39" t="s">
        <v>93</v>
      </c>
      <c r="F44" s="607">
        <v>0</v>
      </c>
      <c r="G44" s="607">
        <v>0</v>
      </c>
      <c r="H44" s="607"/>
      <c r="I44" s="607"/>
      <c r="J44" s="604">
        <f t="shared" si="6"/>
        <v>0</v>
      </c>
      <c r="K44" s="604">
        <f t="shared" si="6"/>
        <v>0</v>
      </c>
      <c r="L44" s="604">
        <f t="shared" si="7"/>
        <v>0</v>
      </c>
      <c r="M44" s="604">
        <f t="shared" si="7"/>
        <v>0</v>
      </c>
      <c r="N44" s="604"/>
      <c r="O44" s="604"/>
      <c r="P44" s="604"/>
      <c r="Q44" s="604"/>
      <c r="R44" s="532"/>
    </row>
    <row r="45" spans="1:18" ht="31.5" customHeight="1">
      <c r="A45" s="26"/>
      <c r="B45" s="48" t="s">
        <v>94</v>
      </c>
      <c r="C45" s="1105" t="s">
        <v>95</v>
      </c>
      <c r="D45" s="1105"/>
      <c r="E45" s="29" t="s">
        <v>96</v>
      </c>
      <c r="F45" s="49">
        <f>F48+F47+F46</f>
        <v>85647503</v>
      </c>
      <c r="G45" s="49">
        <f>G48+G47+G46</f>
        <v>85647503</v>
      </c>
      <c r="H45" s="49">
        <f>H48+H47+H46</f>
        <v>0</v>
      </c>
      <c r="I45" s="49">
        <f>I48+I47+I46</f>
        <v>0</v>
      </c>
      <c r="J45" s="603">
        <f t="shared" si="6"/>
        <v>85567503</v>
      </c>
      <c r="K45" s="603">
        <f t="shared" si="6"/>
        <v>85567503</v>
      </c>
      <c r="L45" s="603">
        <f t="shared" si="7"/>
        <v>0</v>
      </c>
      <c r="M45" s="603">
        <f t="shared" si="7"/>
        <v>0</v>
      </c>
      <c r="N45" s="49">
        <f>N48+N47+N46</f>
        <v>80000</v>
      </c>
      <c r="O45" s="49">
        <f>O48+O47+O46</f>
        <v>80000</v>
      </c>
      <c r="P45" s="603"/>
      <c r="Q45" s="603"/>
      <c r="R45" s="499"/>
    </row>
    <row r="46" spans="1:18" ht="33" customHeight="1">
      <c r="A46" s="26"/>
      <c r="B46" s="47"/>
      <c r="C46" s="37" t="s">
        <v>97</v>
      </c>
      <c r="D46" s="38" t="s">
        <v>83</v>
      </c>
      <c r="E46" s="39"/>
      <c r="F46" s="49"/>
      <c r="G46" s="49"/>
      <c r="H46" s="49"/>
      <c r="I46" s="49"/>
      <c r="J46" s="603">
        <f t="shared" si="6"/>
        <v>0</v>
      </c>
      <c r="K46" s="603">
        <f t="shared" si="6"/>
        <v>0</v>
      </c>
      <c r="L46" s="603">
        <f t="shared" si="7"/>
        <v>0</v>
      </c>
      <c r="M46" s="603">
        <f t="shared" si="7"/>
        <v>0</v>
      </c>
      <c r="N46" s="603"/>
      <c r="O46" s="603"/>
      <c r="P46" s="603"/>
      <c r="Q46" s="603"/>
      <c r="R46" s="499"/>
    </row>
    <row r="47" spans="1:18" ht="21.75" customHeight="1">
      <c r="A47" s="26"/>
      <c r="B47" s="48"/>
      <c r="C47" s="27" t="s">
        <v>98</v>
      </c>
      <c r="D47" s="38" t="s">
        <v>85</v>
      </c>
      <c r="E47" s="39"/>
      <c r="F47" s="49">
        <f>80000+78720000+1699999+5147504</f>
        <v>85647503</v>
      </c>
      <c r="G47" s="49">
        <f>80000+78720000+1699999+5147504</f>
        <v>85647503</v>
      </c>
      <c r="H47" s="49"/>
      <c r="I47" s="49"/>
      <c r="J47" s="603">
        <f t="shared" si="6"/>
        <v>85567503</v>
      </c>
      <c r="K47" s="603">
        <f t="shared" si="6"/>
        <v>85567503</v>
      </c>
      <c r="L47" s="603">
        <f t="shared" si="7"/>
        <v>0</v>
      </c>
      <c r="M47" s="603">
        <f t="shared" si="7"/>
        <v>0</v>
      </c>
      <c r="N47" s="603">
        <v>80000</v>
      </c>
      <c r="O47" s="603">
        <v>80000</v>
      </c>
      <c r="P47" s="603"/>
      <c r="Q47" s="603"/>
      <c r="R47" s="499"/>
    </row>
    <row r="48" spans="1:18" ht="30.75" customHeight="1" thickBot="1">
      <c r="A48" s="40"/>
      <c r="B48" s="47"/>
      <c r="C48" s="37" t="s">
        <v>99</v>
      </c>
      <c r="D48" s="38" t="s">
        <v>100</v>
      </c>
      <c r="E48" s="39"/>
      <c r="F48" s="49"/>
      <c r="G48" s="49"/>
      <c r="H48" s="49"/>
      <c r="I48" s="49"/>
      <c r="J48" s="614">
        <f t="shared" si="6"/>
        <v>0</v>
      </c>
      <c r="K48" s="614">
        <f t="shared" si="6"/>
        <v>0</v>
      </c>
      <c r="L48" s="614">
        <f t="shared" si="7"/>
        <v>0</v>
      </c>
      <c r="M48" s="614">
        <f t="shared" si="7"/>
        <v>0</v>
      </c>
      <c r="N48" s="614"/>
      <c r="O48" s="614"/>
      <c r="P48" s="614"/>
      <c r="Q48" s="614"/>
      <c r="R48" s="499"/>
    </row>
    <row r="49" spans="1:18" ht="21.75" customHeight="1" hidden="1">
      <c r="A49" s="50"/>
      <c r="B49" s="48"/>
      <c r="C49" s="1173"/>
      <c r="D49" s="1173"/>
      <c r="E49" s="29"/>
      <c r="F49" s="49"/>
      <c r="G49" s="49"/>
      <c r="H49" s="49"/>
      <c r="I49" s="49"/>
      <c r="J49" s="601">
        <f t="shared" si="6"/>
        <v>0</v>
      </c>
      <c r="K49" s="601">
        <f t="shared" si="6"/>
        <v>0</v>
      </c>
      <c r="L49" s="601">
        <f t="shared" si="7"/>
        <v>0</v>
      </c>
      <c r="M49" s="601">
        <f t="shared" si="7"/>
        <v>0</v>
      </c>
      <c r="N49" s="601"/>
      <c r="O49" s="601"/>
      <c r="P49" s="601"/>
      <c r="Q49" s="601"/>
      <c r="R49" s="499"/>
    </row>
    <row r="50" spans="1:18" ht="21.75" customHeight="1" hidden="1">
      <c r="A50" s="50"/>
      <c r="B50" s="47"/>
      <c r="C50" s="1124"/>
      <c r="D50" s="1124"/>
      <c r="E50" s="51"/>
      <c r="F50" s="52"/>
      <c r="G50" s="52"/>
      <c r="H50" s="52"/>
      <c r="I50" s="52"/>
      <c r="J50" s="601">
        <f t="shared" si="6"/>
        <v>0</v>
      </c>
      <c r="K50" s="601">
        <f t="shared" si="6"/>
        <v>0</v>
      </c>
      <c r="L50" s="601">
        <f t="shared" si="7"/>
        <v>0</v>
      </c>
      <c r="M50" s="601">
        <f t="shared" si="7"/>
        <v>0</v>
      </c>
      <c r="N50" s="601"/>
      <c r="O50" s="601"/>
      <c r="P50" s="601"/>
      <c r="Q50" s="601"/>
      <c r="R50" s="499"/>
    </row>
    <row r="51" spans="1:18" ht="21.75" customHeight="1" thickBot="1">
      <c r="A51" s="43" t="s">
        <v>101</v>
      </c>
      <c r="B51" s="1116" t="s">
        <v>102</v>
      </c>
      <c r="C51" s="1116"/>
      <c r="D51" s="1116"/>
      <c r="E51" s="19"/>
      <c r="F51" s="605">
        <f>F52+F54+F53</f>
        <v>135000</v>
      </c>
      <c r="G51" s="605">
        <f>G52+G54+G53</f>
        <v>135000</v>
      </c>
      <c r="H51" s="605">
        <f>H52+H54+H53</f>
        <v>0</v>
      </c>
      <c r="I51" s="605">
        <f>I52+I54+I53</f>
        <v>0</v>
      </c>
      <c r="J51" s="601">
        <f t="shared" si="6"/>
        <v>135000</v>
      </c>
      <c r="K51" s="601">
        <f t="shared" si="6"/>
        <v>135000</v>
      </c>
      <c r="L51" s="601">
        <f t="shared" si="7"/>
        <v>0</v>
      </c>
      <c r="M51" s="601">
        <f t="shared" si="7"/>
        <v>0</v>
      </c>
      <c r="N51" s="601">
        <f>N52+N54</f>
        <v>0</v>
      </c>
      <c r="O51" s="601">
        <f>O52+O54</f>
        <v>0</v>
      </c>
      <c r="P51" s="601">
        <f>P52+P54</f>
        <v>0</v>
      </c>
      <c r="Q51" s="601">
        <f>Q52+Q54</f>
        <v>0</v>
      </c>
      <c r="R51" s="499"/>
    </row>
    <row r="52" spans="1:18" s="21" customFormat="1" ht="21.75" customHeight="1">
      <c r="A52" s="53"/>
      <c r="B52" s="47" t="s">
        <v>103</v>
      </c>
      <c r="C52" s="1114" t="s">
        <v>235</v>
      </c>
      <c r="D52" s="1114"/>
      <c r="E52" s="39" t="s">
        <v>105</v>
      </c>
      <c r="F52" s="607">
        <v>31008</v>
      </c>
      <c r="G52" s="607">
        <v>31008</v>
      </c>
      <c r="H52" s="607"/>
      <c r="I52" s="607"/>
      <c r="J52" s="604">
        <f t="shared" si="6"/>
        <v>31008</v>
      </c>
      <c r="K52" s="604">
        <f t="shared" si="6"/>
        <v>31008</v>
      </c>
      <c r="L52" s="604">
        <f t="shared" si="7"/>
        <v>0</v>
      </c>
      <c r="M52" s="604">
        <f t="shared" si="7"/>
        <v>0</v>
      </c>
      <c r="N52" s="604"/>
      <c r="O52" s="604"/>
      <c r="P52" s="604"/>
      <c r="Q52" s="604"/>
      <c r="R52" s="532"/>
    </row>
    <row r="53" spans="1:18" s="21" customFormat="1" ht="37.5" customHeight="1">
      <c r="A53" s="53"/>
      <c r="B53" s="47" t="s">
        <v>106</v>
      </c>
      <c r="C53" s="1114" t="s">
        <v>523</v>
      </c>
      <c r="D53" s="1114"/>
      <c r="E53" s="39" t="s">
        <v>105</v>
      </c>
      <c r="F53" s="607"/>
      <c r="G53" s="607"/>
      <c r="H53" s="607"/>
      <c r="I53" s="607"/>
      <c r="J53" s="776"/>
      <c r="K53" s="776"/>
      <c r="L53" s="776"/>
      <c r="M53" s="776"/>
      <c r="N53" s="776"/>
      <c r="O53" s="776"/>
      <c r="P53" s="776"/>
      <c r="Q53" s="776"/>
      <c r="R53" s="532"/>
    </row>
    <row r="54" spans="1:18" ht="21.75" customHeight="1" thickBot="1">
      <c r="A54" s="26"/>
      <c r="B54" s="27" t="s">
        <v>263</v>
      </c>
      <c r="C54" s="1105" t="s">
        <v>236</v>
      </c>
      <c r="D54" s="1105"/>
      <c r="E54" s="29" t="s">
        <v>108</v>
      </c>
      <c r="F54" s="608">
        <v>103992</v>
      </c>
      <c r="G54" s="608">
        <v>103992</v>
      </c>
      <c r="H54" s="608"/>
      <c r="I54" s="608"/>
      <c r="J54" s="614">
        <f aca="true" t="shared" si="9" ref="J54:K63">F54-N54</f>
        <v>103992</v>
      </c>
      <c r="K54" s="614">
        <f t="shared" si="9"/>
        <v>103992</v>
      </c>
      <c r="L54" s="614">
        <f aca="true" t="shared" si="10" ref="L54:M63">H54-P54</f>
        <v>0</v>
      </c>
      <c r="M54" s="614">
        <f t="shared" si="10"/>
        <v>0</v>
      </c>
      <c r="N54" s="614"/>
      <c r="O54" s="614"/>
      <c r="P54" s="614"/>
      <c r="Q54" s="614"/>
      <c r="R54" s="499"/>
    </row>
    <row r="55" spans="1:18" ht="21.75" customHeight="1" thickBot="1">
      <c r="A55" s="43" t="s">
        <v>109</v>
      </c>
      <c r="B55" s="1116" t="s">
        <v>110</v>
      </c>
      <c r="C55" s="1116"/>
      <c r="D55" s="1116"/>
      <c r="E55" s="19" t="s">
        <v>111</v>
      </c>
      <c r="F55" s="609">
        <f>SUM(F56:F57)</f>
        <v>0</v>
      </c>
      <c r="G55" s="609">
        <f>SUM(G56:G57)</f>
        <v>50000</v>
      </c>
      <c r="H55" s="609">
        <f>SUM(H56:H57)</f>
        <v>0</v>
      </c>
      <c r="I55" s="609">
        <f>SUM(I56:I57)</f>
        <v>0</v>
      </c>
      <c r="J55" s="601">
        <f t="shared" si="9"/>
        <v>0</v>
      </c>
      <c r="K55" s="601">
        <f t="shared" si="9"/>
        <v>50000</v>
      </c>
      <c r="L55" s="601">
        <f t="shared" si="10"/>
        <v>0</v>
      </c>
      <c r="M55" s="601">
        <f t="shared" si="10"/>
        <v>0</v>
      </c>
      <c r="N55" s="601"/>
      <c r="O55" s="601"/>
      <c r="P55" s="601"/>
      <c r="Q55" s="601"/>
      <c r="R55" s="533"/>
    </row>
    <row r="56" spans="1:18" s="21" customFormat="1" ht="21.75" customHeight="1">
      <c r="A56" s="53"/>
      <c r="B56" s="37" t="s">
        <v>112</v>
      </c>
      <c r="C56" s="1114" t="s">
        <v>113</v>
      </c>
      <c r="D56" s="1114"/>
      <c r="E56" s="39" t="s">
        <v>114</v>
      </c>
      <c r="F56" s="610"/>
      <c r="G56" s="610">
        <v>50000</v>
      </c>
      <c r="H56" s="610"/>
      <c r="I56" s="610"/>
      <c r="J56" s="604">
        <f t="shared" si="9"/>
        <v>0</v>
      </c>
      <c r="K56" s="604">
        <f t="shared" si="9"/>
        <v>50000</v>
      </c>
      <c r="L56" s="604">
        <f t="shared" si="10"/>
        <v>0</v>
      </c>
      <c r="M56" s="604">
        <f t="shared" si="10"/>
        <v>0</v>
      </c>
      <c r="N56" s="604"/>
      <c r="O56" s="604"/>
      <c r="P56" s="604"/>
      <c r="Q56" s="604"/>
      <c r="R56" s="534"/>
    </row>
    <row r="57" spans="1:18" ht="21.75" customHeight="1" thickBot="1">
      <c r="A57" s="40"/>
      <c r="B57" s="41" t="s">
        <v>115</v>
      </c>
      <c r="C57" s="1111" t="s">
        <v>116</v>
      </c>
      <c r="D57" s="1111"/>
      <c r="E57" s="42" t="s">
        <v>117</v>
      </c>
      <c r="F57" s="611"/>
      <c r="G57" s="611"/>
      <c r="H57" s="611"/>
      <c r="I57" s="611"/>
      <c r="J57" s="614">
        <f t="shared" si="9"/>
        <v>0</v>
      </c>
      <c r="K57" s="614">
        <f t="shared" si="9"/>
        <v>0</v>
      </c>
      <c r="L57" s="614">
        <f t="shared" si="10"/>
        <v>0</v>
      </c>
      <c r="M57" s="614">
        <f t="shared" si="10"/>
        <v>0</v>
      </c>
      <c r="N57" s="614"/>
      <c r="O57" s="614"/>
      <c r="P57" s="614"/>
      <c r="Q57" s="614"/>
      <c r="R57" s="533"/>
    </row>
    <row r="58" spans="1:18" ht="21.75" customHeight="1" thickBot="1">
      <c r="A58" s="43" t="s">
        <v>118</v>
      </c>
      <c r="B58" s="1177" t="s">
        <v>119</v>
      </c>
      <c r="C58" s="1177"/>
      <c r="D58" s="1177"/>
      <c r="E58" s="55"/>
      <c r="F58" s="609">
        <f>F7+F21+F35+F51+F55+F43</f>
        <v>173816898</v>
      </c>
      <c r="G58" s="609">
        <f>G7+G21+G35+G51+G55+G43</f>
        <v>175545255</v>
      </c>
      <c r="H58" s="609">
        <f>H7+H21+H35+H51+H55+H43</f>
        <v>0</v>
      </c>
      <c r="I58" s="609">
        <f>I7+I21+I35+I51+I55+I43</f>
        <v>0</v>
      </c>
      <c r="J58" s="601">
        <f t="shared" si="9"/>
        <v>154997937</v>
      </c>
      <c r="K58" s="601">
        <f t="shared" si="9"/>
        <v>156726294</v>
      </c>
      <c r="L58" s="601">
        <f t="shared" si="10"/>
        <v>0</v>
      </c>
      <c r="M58" s="601">
        <f t="shared" si="10"/>
        <v>0</v>
      </c>
      <c r="N58" s="601">
        <f>N7+N21+N35</f>
        <v>18818961</v>
      </c>
      <c r="O58" s="601">
        <f>O7+O21+O35</f>
        <v>18818961</v>
      </c>
      <c r="P58" s="601">
        <f>P7+P21+P35</f>
        <v>0</v>
      </c>
      <c r="Q58" s="601">
        <f>Q7+Q21+Q35</f>
        <v>0</v>
      </c>
      <c r="R58" s="533"/>
    </row>
    <row r="59" spans="1:18" ht="24" customHeight="1" thickBot="1">
      <c r="A59" s="18" t="s">
        <v>120</v>
      </c>
      <c r="B59" s="1116" t="s">
        <v>121</v>
      </c>
      <c r="C59" s="1116"/>
      <c r="D59" s="1116"/>
      <c r="E59" s="19"/>
      <c r="F59" s="609">
        <f>F62+F61+F60</f>
        <v>52262803</v>
      </c>
      <c r="G59" s="609">
        <f>G62+G61+G60</f>
        <v>52262803</v>
      </c>
      <c r="H59" s="609">
        <f aca="true" t="shared" si="11" ref="H59:N59">H62+H61+H60</f>
        <v>0</v>
      </c>
      <c r="I59" s="609">
        <f t="shared" si="11"/>
        <v>0</v>
      </c>
      <c r="J59" s="609">
        <f t="shared" si="11"/>
        <v>52262803</v>
      </c>
      <c r="K59" s="609">
        <f>K62+K61+K60</f>
        <v>52262803</v>
      </c>
      <c r="L59" s="609">
        <f t="shared" si="11"/>
        <v>0</v>
      </c>
      <c r="M59" s="609">
        <f t="shared" si="11"/>
        <v>0</v>
      </c>
      <c r="N59" s="609">
        <f t="shared" si="11"/>
        <v>0</v>
      </c>
      <c r="O59" s="609">
        <f>O62+O61+O60</f>
        <v>0</v>
      </c>
      <c r="P59" s="601">
        <v>0</v>
      </c>
      <c r="Q59" s="601">
        <v>0</v>
      </c>
      <c r="R59" s="534"/>
    </row>
    <row r="60" spans="1:18" ht="21.75" customHeight="1">
      <c r="A60" s="36"/>
      <c r="B60" s="37" t="s">
        <v>122</v>
      </c>
      <c r="C60" s="1114" t="s">
        <v>123</v>
      </c>
      <c r="D60" s="1114"/>
      <c r="E60" s="39" t="s">
        <v>124</v>
      </c>
      <c r="F60" s="612"/>
      <c r="G60" s="612"/>
      <c r="H60" s="612"/>
      <c r="I60" s="612"/>
      <c r="J60" s="604">
        <f t="shared" si="9"/>
        <v>0</v>
      </c>
      <c r="K60" s="604">
        <f t="shared" si="9"/>
        <v>0</v>
      </c>
      <c r="L60" s="604">
        <f t="shared" si="10"/>
        <v>0</v>
      </c>
      <c r="M60" s="604">
        <f t="shared" si="10"/>
        <v>0</v>
      </c>
      <c r="N60" s="604"/>
      <c r="O60" s="604"/>
      <c r="P60" s="604"/>
      <c r="Q60" s="604"/>
      <c r="R60" s="534"/>
    </row>
    <row r="61" spans="1:18" ht="21.75" customHeight="1">
      <c r="A61" s="26"/>
      <c r="B61" s="48" t="s">
        <v>125</v>
      </c>
      <c r="C61" s="1114" t="s">
        <v>511</v>
      </c>
      <c r="D61" s="1114"/>
      <c r="E61" s="39" t="s">
        <v>126</v>
      </c>
      <c r="F61" s="608"/>
      <c r="G61" s="608"/>
      <c r="H61" s="608"/>
      <c r="I61" s="608"/>
      <c r="J61" s="603">
        <f t="shared" si="9"/>
        <v>0</v>
      </c>
      <c r="K61" s="603">
        <f t="shared" si="9"/>
        <v>0</v>
      </c>
      <c r="L61" s="603">
        <f t="shared" si="10"/>
        <v>0</v>
      </c>
      <c r="M61" s="603">
        <f t="shared" si="10"/>
        <v>0</v>
      </c>
      <c r="N61" s="603"/>
      <c r="O61" s="603"/>
      <c r="P61" s="603"/>
      <c r="Q61" s="603"/>
      <c r="R61" s="534"/>
    </row>
    <row r="62" spans="1:18" ht="33" customHeight="1" thickBot="1">
      <c r="A62" s="26"/>
      <c r="B62" s="48" t="s">
        <v>127</v>
      </c>
      <c r="C62" s="1114" t="s">
        <v>128</v>
      </c>
      <c r="D62" s="1114"/>
      <c r="E62" s="39" t="s">
        <v>129</v>
      </c>
      <c r="F62" s="608">
        <v>52262803</v>
      </c>
      <c r="G62" s="608">
        <v>52262803</v>
      </c>
      <c r="H62" s="608"/>
      <c r="I62" s="608"/>
      <c r="J62" s="614">
        <f t="shared" si="9"/>
        <v>52262803</v>
      </c>
      <c r="K62" s="614">
        <f t="shared" si="9"/>
        <v>52262803</v>
      </c>
      <c r="L62" s="614">
        <f t="shared" si="10"/>
        <v>0</v>
      </c>
      <c r="M62" s="614">
        <f t="shared" si="10"/>
        <v>0</v>
      </c>
      <c r="N62" s="614"/>
      <c r="O62" s="614"/>
      <c r="P62" s="614"/>
      <c r="Q62" s="614"/>
      <c r="R62" s="533"/>
    </row>
    <row r="63" spans="1:18" ht="35.25" customHeight="1" thickBot="1">
      <c r="A63" s="43" t="s">
        <v>130</v>
      </c>
      <c r="B63" s="1142" t="s">
        <v>131</v>
      </c>
      <c r="C63" s="1142"/>
      <c r="D63" s="1142"/>
      <c r="E63" s="57"/>
      <c r="F63" s="613">
        <f>F58+F59</f>
        <v>226079701</v>
      </c>
      <c r="G63" s="613">
        <f>G58+G59</f>
        <v>227808058</v>
      </c>
      <c r="H63" s="613">
        <f>H58+H59</f>
        <v>0</v>
      </c>
      <c r="I63" s="613">
        <f>I58+I59</f>
        <v>0</v>
      </c>
      <c r="J63" s="601">
        <f t="shared" si="9"/>
        <v>207260740</v>
      </c>
      <c r="K63" s="601">
        <f t="shared" si="9"/>
        <v>208989097</v>
      </c>
      <c r="L63" s="601">
        <f t="shared" si="10"/>
        <v>0</v>
      </c>
      <c r="M63" s="601">
        <f t="shared" si="10"/>
        <v>0</v>
      </c>
      <c r="N63" s="601">
        <f>N58</f>
        <v>18818961</v>
      </c>
      <c r="O63" s="601">
        <f>O58</f>
        <v>18818961</v>
      </c>
      <c r="P63" s="601">
        <f>P58</f>
        <v>0</v>
      </c>
      <c r="Q63" s="601">
        <f>Q58</f>
        <v>0</v>
      </c>
      <c r="R63" s="533"/>
    </row>
    <row r="64" spans="1:18" ht="21.75" customHeight="1" hidden="1">
      <c r="A64" s="1128" t="s">
        <v>132</v>
      </c>
      <c r="B64" s="1128"/>
      <c r="C64" s="1128"/>
      <c r="D64" s="1128"/>
      <c r="E64" s="58"/>
      <c r="F64" s="464"/>
      <c r="G64" s="464"/>
      <c r="H64" s="464"/>
      <c r="I64" s="464"/>
      <c r="J64" s="20"/>
      <c r="K64" s="860"/>
      <c r="L64" s="860"/>
      <c r="M64" s="860"/>
      <c r="R64" s="535"/>
    </row>
    <row r="65" spans="1:18" ht="21.75" customHeight="1" hidden="1">
      <c r="A65" s="1120" t="s">
        <v>133</v>
      </c>
      <c r="B65" s="1120"/>
      <c r="C65" s="1120"/>
      <c r="D65" s="1120"/>
      <c r="E65" s="59"/>
      <c r="F65" s="465"/>
      <c r="G65" s="465"/>
      <c r="H65" s="465"/>
      <c r="I65" s="465"/>
      <c r="J65" s="20"/>
      <c r="K65" s="860"/>
      <c r="L65" s="860"/>
      <c r="M65" s="860"/>
      <c r="R65" s="468"/>
    </row>
    <row r="66" spans="1:18" ht="21.75" customHeight="1">
      <c r="A66" s="60"/>
      <c r="B66" s="61"/>
      <c r="C66" s="61"/>
      <c r="D66" s="61"/>
      <c r="E66" s="61"/>
      <c r="F66" s="964">
        <f>226079701-F63</f>
        <v>0</v>
      </c>
      <c r="G66" s="62"/>
      <c r="H66" s="62"/>
      <c r="I66" s="62"/>
      <c r="J66" s="62"/>
      <c r="K66" s="468"/>
      <c r="L66" s="468"/>
      <c r="M66" s="468"/>
      <c r="R66" s="468"/>
    </row>
    <row r="67" spans="14:17" ht="12.75">
      <c r="N67" s="4"/>
      <c r="Q67" s="4">
        <f>+'4.sz.m.ÖNK kiadás'!Q36</f>
        <v>0</v>
      </c>
    </row>
    <row r="68" spans="14:17" ht="35.25" customHeight="1">
      <c r="N68" s="4"/>
      <c r="O68" s="4"/>
      <c r="Q68" s="4">
        <f>+Q63-Q67</f>
        <v>0</v>
      </c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8">
    <mergeCell ref="A64:D64"/>
    <mergeCell ref="C37:D37"/>
    <mergeCell ref="C34:D34"/>
    <mergeCell ref="C57:D57"/>
    <mergeCell ref="C39:D39"/>
    <mergeCell ref="C62:D62"/>
    <mergeCell ref="B63:D63"/>
    <mergeCell ref="A2:O2"/>
    <mergeCell ref="C52:D52"/>
    <mergeCell ref="C54:D54"/>
    <mergeCell ref="B55:D55"/>
    <mergeCell ref="C56:D56"/>
    <mergeCell ref="C44:D44"/>
    <mergeCell ref="C45:D45"/>
    <mergeCell ref="C49:D49"/>
    <mergeCell ref="C50:D50"/>
    <mergeCell ref="B51:D51"/>
    <mergeCell ref="A65:D65"/>
    <mergeCell ref="B58:D58"/>
    <mergeCell ref="B59:D59"/>
    <mergeCell ref="C60:D60"/>
    <mergeCell ref="C61:D61"/>
    <mergeCell ref="C31:D31"/>
    <mergeCell ref="C32:D32"/>
    <mergeCell ref="C33:D33"/>
    <mergeCell ref="B35:D35"/>
    <mergeCell ref="C36:D36"/>
    <mergeCell ref="B43:D43"/>
    <mergeCell ref="J3:N3"/>
    <mergeCell ref="C53:D53"/>
    <mergeCell ref="C38:D38"/>
    <mergeCell ref="B21:D21"/>
    <mergeCell ref="C23:D23"/>
    <mergeCell ref="C24:D24"/>
    <mergeCell ref="C25:D25"/>
    <mergeCell ref="C30:D30"/>
    <mergeCell ref="C22:D22"/>
    <mergeCell ref="C20:D20"/>
    <mergeCell ref="N4:Q4"/>
    <mergeCell ref="F4:I4"/>
    <mergeCell ref="J4:M4"/>
    <mergeCell ref="C16:D16"/>
    <mergeCell ref="C17:D17"/>
    <mergeCell ref="A4:C4"/>
    <mergeCell ref="B6:D6"/>
    <mergeCell ref="B7:D7"/>
    <mergeCell ref="C8:D8"/>
    <mergeCell ref="C13:D13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5" zoomScaleNormal="85" workbookViewId="0" topLeftCell="A23">
      <selection activeCell="O36" activeCellId="1" sqref="K36 O36"/>
    </sheetView>
  </sheetViews>
  <sheetFormatPr defaultColWidth="9.140625" defaultRowHeight="12.75"/>
  <cols>
    <col min="1" max="1" width="5.8515625" style="63" customWidth="1"/>
    <col min="2" max="2" width="8.140625" style="64" customWidth="1"/>
    <col min="3" max="3" width="6.8515625" style="64" customWidth="1"/>
    <col min="4" max="4" width="50.140625" style="65" customWidth="1"/>
    <col min="5" max="5" width="8.8515625" style="65" customWidth="1"/>
    <col min="6" max="6" width="20.421875" style="66" customWidth="1"/>
    <col min="7" max="7" width="18.7109375" style="66" customWidth="1"/>
    <col min="8" max="9" width="18.7109375" style="66" hidden="1" customWidth="1"/>
    <col min="10" max="10" width="23.421875" style="67" customWidth="1"/>
    <col min="11" max="11" width="18.57421875" style="67" customWidth="1"/>
    <col min="12" max="13" width="18.57421875" style="67" hidden="1" customWidth="1"/>
    <col min="14" max="14" width="23.00390625" style="66" customWidth="1"/>
    <col min="15" max="15" width="15.8515625" style="66" customWidth="1"/>
    <col min="16" max="16" width="14.57421875" style="66" hidden="1" customWidth="1"/>
    <col min="17" max="17" width="13.140625" style="66" hidden="1" customWidth="1"/>
    <col min="18" max="16384" width="9.140625" style="66" customWidth="1"/>
  </cols>
  <sheetData>
    <row r="1" spans="6:13" ht="15.75">
      <c r="F1" s="1178"/>
      <c r="G1" s="1178"/>
      <c r="H1" s="1178"/>
      <c r="I1" s="1178"/>
      <c r="J1" s="1178"/>
      <c r="K1" s="71"/>
      <c r="L1" s="71"/>
      <c r="M1" s="71"/>
    </row>
    <row r="2" spans="1:15" ht="37.5" customHeight="1">
      <c r="A2" s="1183" t="s">
        <v>640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</row>
    <row r="3" spans="1:14" ht="14.25" customHeight="1" thickBot="1">
      <c r="A3" s="167"/>
      <c r="B3" s="69"/>
      <c r="C3" s="69"/>
      <c r="D3" s="10"/>
      <c r="E3" s="70"/>
      <c r="J3" s="1179" t="s">
        <v>536</v>
      </c>
      <c r="K3" s="1179"/>
      <c r="L3" s="1179"/>
      <c r="M3" s="1179"/>
      <c r="N3" s="1179"/>
    </row>
    <row r="4" spans="1:17" s="10" customFormat="1" ht="48.75" customHeight="1" thickBot="1">
      <c r="A4" s="1133" t="s">
        <v>134</v>
      </c>
      <c r="B4" s="1133"/>
      <c r="C4" s="1133"/>
      <c r="D4" s="1133"/>
      <c r="E4" s="72" t="s">
        <v>3</v>
      </c>
      <c r="F4" s="1180" t="s">
        <v>4</v>
      </c>
      <c r="G4" s="1181"/>
      <c r="H4" s="1181"/>
      <c r="I4" s="1182"/>
      <c r="J4" s="1180" t="s">
        <v>244</v>
      </c>
      <c r="K4" s="1181"/>
      <c r="L4" s="1181"/>
      <c r="M4" s="1182"/>
      <c r="N4" s="1180" t="s">
        <v>299</v>
      </c>
      <c r="O4" s="1181"/>
      <c r="P4" s="1181"/>
      <c r="Q4" s="1182"/>
    </row>
    <row r="5" spans="1:17" s="10" customFormat="1" ht="16.5" customHeight="1" thickBot="1">
      <c r="A5" s="72"/>
      <c r="B5" s="73"/>
      <c r="C5" s="73"/>
      <c r="D5" s="73"/>
      <c r="E5" s="72"/>
      <c r="F5" s="726" t="s">
        <v>6</v>
      </c>
      <c r="G5" s="726" t="s">
        <v>136</v>
      </c>
      <c r="H5" s="726" t="s">
        <v>137</v>
      </c>
      <c r="I5" s="726" t="s">
        <v>138</v>
      </c>
      <c r="J5" s="726" t="s">
        <v>6</v>
      </c>
      <c r="K5" s="726" t="s">
        <v>136</v>
      </c>
      <c r="L5" s="726" t="s">
        <v>137</v>
      </c>
      <c r="M5" s="726" t="s">
        <v>138</v>
      </c>
      <c r="N5" s="726" t="s">
        <v>6</v>
      </c>
      <c r="O5" s="726" t="s">
        <v>136</v>
      </c>
      <c r="P5" s="726" t="s">
        <v>137</v>
      </c>
      <c r="Q5" s="726" t="s">
        <v>138</v>
      </c>
    </row>
    <row r="6" spans="1:17" s="77" customFormat="1" ht="22.5" customHeight="1" thickBot="1">
      <c r="A6" s="43" t="s">
        <v>10</v>
      </c>
      <c r="B6" s="1137" t="s">
        <v>141</v>
      </c>
      <c r="C6" s="1137"/>
      <c r="D6" s="1137"/>
      <c r="E6" s="43"/>
      <c r="F6" s="651">
        <f>F7+F8+F9+F10+F11</f>
        <v>71942904</v>
      </c>
      <c r="G6" s="651">
        <f>G7+G8+G9+G10+G11</f>
        <v>72224704</v>
      </c>
      <c r="H6" s="651">
        <f>H7+H8+H9+H10+H11</f>
        <v>0</v>
      </c>
      <c r="I6" s="651">
        <f>I7+I8+I9+I10+I11</f>
        <v>0</v>
      </c>
      <c r="J6" s="651">
        <f aca="true" t="shared" si="0" ref="J6:M9">F6-N6</f>
        <v>53494056</v>
      </c>
      <c r="K6" s="651">
        <f t="shared" si="0"/>
        <v>53775856</v>
      </c>
      <c r="L6" s="651" t="e">
        <f t="shared" si="0"/>
        <v>#REF!</v>
      </c>
      <c r="M6" s="651">
        <f t="shared" si="0"/>
        <v>0</v>
      </c>
      <c r="N6" s="668">
        <f>N7+N8+N9+N10+N11</f>
        <v>18448848</v>
      </c>
      <c r="O6" s="668">
        <f>O7+O8+O9+O10+O11</f>
        <v>18448848</v>
      </c>
      <c r="P6" s="668" t="e">
        <f>P7+P8+P9+P10+P11</f>
        <v>#REF!</v>
      </c>
      <c r="Q6" s="668">
        <f>Q7+Q8+Q9+Q10+Q11</f>
        <v>0</v>
      </c>
    </row>
    <row r="7" spans="1:17" s="83" customFormat="1" ht="22.5" customHeight="1">
      <c r="A7" s="78"/>
      <c r="B7" s="79" t="s">
        <v>13</v>
      </c>
      <c r="C7" s="79"/>
      <c r="D7" s="80" t="s">
        <v>142</v>
      </c>
      <c r="E7" s="642" t="s">
        <v>143</v>
      </c>
      <c r="F7" s="652">
        <v>28394254</v>
      </c>
      <c r="G7" s="652">
        <v>28512046</v>
      </c>
      <c r="H7" s="652"/>
      <c r="I7" s="652"/>
      <c r="J7" s="665">
        <f t="shared" si="0"/>
        <v>26978054</v>
      </c>
      <c r="K7" s="665">
        <f t="shared" si="0"/>
        <v>27095846</v>
      </c>
      <c r="L7" s="665">
        <f t="shared" si="0"/>
        <v>0</v>
      </c>
      <c r="M7" s="665">
        <f t="shared" si="0"/>
        <v>0</v>
      </c>
      <c r="N7" s="1027">
        <f>616200+800000</f>
        <v>1416200</v>
      </c>
      <c r="O7" s="1027">
        <f>616200+800000</f>
        <v>1416200</v>
      </c>
      <c r="P7" s="669"/>
      <c r="Q7" s="925"/>
    </row>
    <row r="8" spans="1:17" s="83" customFormat="1" ht="22.5" customHeight="1">
      <c r="A8" s="84"/>
      <c r="B8" s="85" t="s">
        <v>23</v>
      </c>
      <c r="C8" s="85"/>
      <c r="D8" s="86" t="s">
        <v>144</v>
      </c>
      <c r="E8" s="642" t="s">
        <v>145</v>
      </c>
      <c r="F8" s="653">
        <v>4139570</v>
      </c>
      <c r="G8" s="653">
        <v>4149877</v>
      </c>
      <c r="H8" s="653"/>
      <c r="I8" s="653"/>
      <c r="J8" s="657">
        <f t="shared" si="0"/>
        <v>3871735</v>
      </c>
      <c r="K8" s="657">
        <f t="shared" si="0"/>
        <v>3882042</v>
      </c>
      <c r="L8" s="657">
        <f t="shared" si="0"/>
        <v>0</v>
      </c>
      <c r="M8" s="657">
        <f t="shared" si="0"/>
        <v>0</v>
      </c>
      <c r="N8" s="1028">
        <f>107835+160000</f>
        <v>267835</v>
      </c>
      <c r="O8" s="1028">
        <f>107835+160000</f>
        <v>267835</v>
      </c>
      <c r="P8" s="670"/>
      <c r="Q8" s="926"/>
    </row>
    <row r="9" spans="1:17" s="83" customFormat="1" ht="22.5" customHeight="1">
      <c r="A9" s="84"/>
      <c r="B9" s="85" t="s">
        <v>146</v>
      </c>
      <c r="C9" s="85"/>
      <c r="D9" s="86" t="s">
        <v>147</v>
      </c>
      <c r="E9" s="642" t="s">
        <v>148</v>
      </c>
      <c r="F9" s="653">
        <v>31653039</v>
      </c>
      <c r="G9" s="653">
        <v>31794740</v>
      </c>
      <c r="H9" s="653"/>
      <c r="I9" s="653"/>
      <c r="J9" s="657">
        <f t="shared" si="0"/>
        <v>19711286</v>
      </c>
      <c r="K9" s="657">
        <f t="shared" si="0"/>
        <v>19852987</v>
      </c>
      <c r="L9" s="657">
        <f t="shared" si="0"/>
        <v>0</v>
      </c>
      <c r="M9" s="657">
        <f t="shared" si="0"/>
        <v>0</v>
      </c>
      <c r="N9" s="654">
        <f>'8.sz.m.Dologi kiadás (2)'!L28</f>
        <v>11941753</v>
      </c>
      <c r="O9" s="654">
        <f>'8.sz.m.Dologi kiadás (2)'!M28</f>
        <v>11941753</v>
      </c>
      <c r="P9" s="654">
        <f>'8.sz.m.Dologi kiadás (2)'!N28</f>
        <v>0</v>
      </c>
      <c r="Q9" s="927">
        <f>'8.sz.m.Dologi kiadás (2)'!O28</f>
        <v>0</v>
      </c>
    </row>
    <row r="10" spans="1:17" s="83" customFormat="1" ht="22.5" customHeight="1">
      <c r="A10" s="84"/>
      <c r="B10" s="85" t="s">
        <v>32</v>
      </c>
      <c r="C10" s="85"/>
      <c r="D10" s="86" t="s">
        <v>149</v>
      </c>
      <c r="E10" s="642" t="s">
        <v>150</v>
      </c>
      <c r="F10" s="652">
        <v>2845000</v>
      </c>
      <c r="G10" s="652">
        <v>2845000</v>
      </c>
      <c r="H10" s="652"/>
      <c r="I10" s="652"/>
      <c r="J10" s="657">
        <f>+'9.sz.m.szociális kiadások'!C11+'9.sz.m.szociális kiadások'!C12+'9.sz.m.szociális kiadások'!C13+'9.sz.m.szociális kiadások'!C15</f>
        <v>1940000</v>
      </c>
      <c r="K10" s="657">
        <f>+'9.sz.m.szociális kiadások'!D11+'9.sz.m.szociális kiadások'!D12+'9.sz.m.szociális kiadások'!D13+'9.sz.m.szociális kiadások'!D15</f>
        <v>1940000</v>
      </c>
      <c r="L10" s="657" t="e">
        <f>'9.sz.m.szociális kiadások'!E43+'9.sz.m.szociális kiadások'!#REF!</f>
        <v>#REF!</v>
      </c>
      <c r="M10" s="657" t="e">
        <f>'9.sz.m.szociális kiadások'!F43+'9.sz.m.szociális kiadások'!#REF!+'9.sz.m.szociális kiadások'!F18</f>
        <v>#REF!</v>
      </c>
      <c r="N10" s="657">
        <f>+'9.sz.m.szociális kiadások'!C16+'9.sz.m.szociális kiadások'!C17</f>
        <v>855000</v>
      </c>
      <c r="O10" s="657">
        <f>+'9.sz.m.szociális kiadások'!D16+'9.sz.m.szociális kiadások'!D17</f>
        <v>855000</v>
      </c>
      <c r="P10" s="657" t="e">
        <f>'9.sz.m.szociális kiadások'!E11+'9.sz.m.szociális kiadások'!E15+'9.sz.m.szociális kiadások'!#REF!+'9.sz.m.szociális kiadások'!E17</f>
        <v>#REF!</v>
      </c>
      <c r="Q10" s="657"/>
    </row>
    <row r="11" spans="1:17" s="83" customFormat="1" ht="22.5" customHeight="1">
      <c r="A11" s="84"/>
      <c r="B11" s="85" t="s">
        <v>39</v>
      </c>
      <c r="C11" s="85"/>
      <c r="D11" s="87" t="s">
        <v>151</v>
      </c>
      <c r="E11" s="643" t="s">
        <v>152</v>
      </c>
      <c r="F11" s="653">
        <f>SUM(F12:F15)</f>
        <v>4911041</v>
      </c>
      <c r="G11" s="653">
        <f>SUM(G12:G15)</f>
        <v>4923041</v>
      </c>
      <c r="H11" s="653"/>
      <c r="I11" s="653"/>
      <c r="J11" s="657">
        <f aca="true" t="shared" si="1" ref="J11:Q11">SUM(J12:J15)</f>
        <v>942981</v>
      </c>
      <c r="K11" s="657">
        <f>SUM(K12:K15)</f>
        <v>954981</v>
      </c>
      <c r="L11" s="657">
        <f t="shared" si="1"/>
        <v>0</v>
      </c>
      <c r="M11" s="657">
        <f t="shared" si="1"/>
        <v>0</v>
      </c>
      <c r="N11" s="654">
        <f t="shared" si="1"/>
        <v>3968060</v>
      </c>
      <c r="O11" s="654">
        <f>SUM(O12:O15)</f>
        <v>3968060</v>
      </c>
      <c r="P11" s="654">
        <f t="shared" si="1"/>
        <v>0</v>
      </c>
      <c r="Q11" s="654">
        <f t="shared" si="1"/>
        <v>0</v>
      </c>
    </row>
    <row r="12" spans="1:17" s="83" customFormat="1" ht="28.5" customHeight="1">
      <c r="A12" s="84"/>
      <c r="B12" s="89"/>
      <c r="C12" s="85" t="s">
        <v>153</v>
      </c>
      <c r="D12" s="90" t="s">
        <v>154</v>
      </c>
      <c r="E12" s="644" t="s">
        <v>237</v>
      </c>
      <c r="F12" s="652"/>
      <c r="G12" s="652">
        <v>12000</v>
      </c>
      <c r="H12" s="652"/>
      <c r="I12" s="652"/>
      <c r="J12" s="657">
        <f aca="true" t="shared" si="2" ref="J12:M13">F12-N12</f>
        <v>0</v>
      </c>
      <c r="K12" s="657">
        <f t="shared" si="2"/>
        <v>12000</v>
      </c>
      <c r="L12" s="657">
        <f t="shared" si="2"/>
        <v>0</v>
      </c>
      <c r="M12" s="657">
        <f t="shared" si="2"/>
        <v>0</v>
      </c>
      <c r="N12" s="671"/>
      <c r="O12" s="671"/>
      <c r="P12" s="671"/>
      <c r="Q12" s="671"/>
    </row>
    <row r="13" spans="1:17" s="83" customFormat="1" ht="31.5" customHeight="1">
      <c r="A13" s="84"/>
      <c r="B13" s="85"/>
      <c r="C13" s="85" t="s">
        <v>155</v>
      </c>
      <c r="D13" s="86" t="s">
        <v>156</v>
      </c>
      <c r="E13" s="642" t="s">
        <v>537</v>
      </c>
      <c r="F13" s="652">
        <v>3405000</v>
      </c>
      <c r="G13" s="652">
        <v>3405000</v>
      </c>
      <c r="H13" s="652"/>
      <c r="I13" s="652"/>
      <c r="J13" s="657">
        <f t="shared" si="2"/>
        <v>0</v>
      </c>
      <c r="K13" s="657">
        <f t="shared" si="2"/>
        <v>0</v>
      </c>
      <c r="L13" s="657">
        <f t="shared" si="2"/>
        <v>0</v>
      </c>
      <c r="M13" s="657">
        <f t="shared" si="2"/>
        <v>0</v>
      </c>
      <c r="N13" s="670">
        <f>'10.sz.m.átadott pe (2)'!F36</f>
        <v>3405000</v>
      </c>
      <c r="O13" s="670">
        <f>'10.sz.m.átadott pe (2)'!G36</f>
        <v>3405000</v>
      </c>
      <c r="P13" s="670">
        <f>'10.sz.m.átadott pe (2)'!H36</f>
        <v>0</v>
      </c>
      <c r="Q13" s="670">
        <f>'10.sz.m.átadott pe (2)'!I36</f>
        <v>0</v>
      </c>
    </row>
    <row r="14" spans="1:17" s="83" customFormat="1" ht="36.75" customHeight="1">
      <c r="A14" s="92"/>
      <c r="B14" s="93"/>
      <c r="C14" s="85" t="s">
        <v>157</v>
      </c>
      <c r="D14" s="86" t="s">
        <v>158</v>
      </c>
      <c r="E14" s="642" t="s">
        <v>238</v>
      </c>
      <c r="F14" s="652">
        <v>1506041</v>
      </c>
      <c r="G14" s="652">
        <v>1506041</v>
      </c>
      <c r="H14" s="652"/>
      <c r="I14" s="652"/>
      <c r="J14" s="678">
        <f>'10.sz.m.átadott pe (2)'!B64</f>
        <v>942981</v>
      </c>
      <c r="K14" s="678">
        <f>'10.sz.m.átadott pe (2)'!C64</f>
        <v>942981</v>
      </c>
      <c r="L14" s="678">
        <f>'10.sz.m.átadott pe (2)'!D64</f>
        <v>0</v>
      </c>
      <c r="M14" s="678">
        <f>'10.sz.m.átadott pe (2)'!E64</f>
        <v>0</v>
      </c>
      <c r="N14" s="670">
        <f>'10.sz.m.átadott pe (2)'!F64</f>
        <v>563060</v>
      </c>
      <c r="O14" s="670">
        <f>'10.sz.m.átadott pe (2)'!G64</f>
        <v>563060</v>
      </c>
      <c r="P14" s="670">
        <f>'10.sz.m.átadott pe (2)'!H64</f>
        <v>0</v>
      </c>
      <c r="Q14" s="670">
        <f>'10.sz.m.átadott pe (2)'!I64</f>
        <v>0</v>
      </c>
    </row>
    <row r="15" spans="1:17" s="83" customFormat="1" ht="42.75" customHeight="1" thickBot="1">
      <c r="A15" s="84"/>
      <c r="B15" s="85"/>
      <c r="C15" s="85" t="s">
        <v>159</v>
      </c>
      <c r="D15" s="86" t="s">
        <v>458</v>
      </c>
      <c r="E15" s="642" t="s">
        <v>457</v>
      </c>
      <c r="F15" s="657">
        <v>0</v>
      </c>
      <c r="G15" s="657">
        <v>0</v>
      </c>
      <c r="H15" s="657">
        <v>0</v>
      </c>
      <c r="I15" s="657">
        <v>0</v>
      </c>
      <c r="J15" s="741">
        <f aca="true" t="shared" si="3" ref="J15:K36">F15-N15</f>
        <v>0</v>
      </c>
      <c r="K15" s="741">
        <f t="shared" si="3"/>
        <v>0</v>
      </c>
      <c r="L15" s="741">
        <f aca="true" t="shared" si="4" ref="L15:M36">H15-P15</f>
        <v>0</v>
      </c>
      <c r="M15" s="741">
        <f t="shared" si="4"/>
        <v>0</v>
      </c>
      <c r="N15" s="670">
        <f>'10.sz.m.átadott pe (2)'!F91</f>
        <v>0</v>
      </c>
      <c r="O15" s="670">
        <f>'10.sz.m.átadott pe (2)'!G91</f>
        <v>0</v>
      </c>
      <c r="P15" s="670">
        <f>'10.sz.m.átadott pe (2)'!H91</f>
        <v>0</v>
      </c>
      <c r="Q15" s="670">
        <f>'10.sz.m.átadott pe (2)'!I91</f>
        <v>0</v>
      </c>
    </row>
    <row r="16" spans="1:17" s="83" customFormat="1" ht="22.5" customHeight="1" hidden="1" thickBot="1">
      <c r="A16" s="94"/>
      <c r="B16" s="95"/>
      <c r="C16" s="95" t="s">
        <v>161</v>
      </c>
      <c r="D16" s="96" t="s">
        <v>162</v>
      </c>
      <c r="E16" s="645"/>
      <c r="F16" s="655"/>
      <c r="G16" s="655"/>
      <c r="H16" s="655"/>
      <c r="I16" s="655"/>
      <c r="J16" s="651">
        <f t="shared" si="3"/>
        <v>0</v>
      </c>
      <c r="K16" s="651">
        <f t="shared" si="3"/>
        <v>0</v>
      </c>
      <c r="L16" s="651">
        <f t="shared" si="4"/>
        <v>0</v>
      </c>
      <c r="M16" s="651">
        <f t="shared" si="4"/>
        <v>0</v>
      </c>
      <c r="N16" s="672"/>
      <c r="O16" s="672"/>
      <c r="P16" s="672"/>
      <c r="Q16" s="672"/>
    </row>
    <row r="17" spans="1:17" s="83" customFormat="1" ht="22.5" customHeight="1" thickBot="1">
      <c r="A17" s="43" t="s">
        <v>163</v>
      </c>
      <c r="B17" s="1137" t="s">
        <v>164</v>
      </c>
      <c r="C17" s="1137"/>
      <c r="D17" s="1137"/>
      <c r="E17" s="43"/>
      <c r="F17" s="656">
        <f>F18+F19+F20</f>
        <v>132305738</v>
      </c>
      <c r="G17" s="656">
        <f>G18+G19+G20</f>
        <v>132540076</v>
      </c>
      <c r="H17" s="656">
        <f>H18+H19+H20</f>
        <v>0</v>
      </c>
      <c r="I17" s="656">
        <f>I18+I19+I20</f>
        <v>0</v>
      </c>
      <c r="J17" s="651">
        <f t="shared" si="3"/>
        <v>131935625</v>
      </c>
      <c r="K17" s="651">
        <f t="shared" si="3"/>
        <v>132169963</v>
      </c>
      <c r="L17" s="651">
        <f t="shared" si="4"/>
        <v>0</v>
      </c>
      <c r="M17" s="651">
        <f t="shared" si="4"/>
        <v>0</v>
      </c>
      <c r="N17" s="656">
        <f>N18+N19+N20</f>
        <v>370113</v>
      </c>
      <c r="O17" s="656">
        <f>O18+O19+O20</f>
        <v>370113</v>
      </c>
      <c r="P17" s="656">
        <f>P18+P19+P20</f>
        <v>0</v>
      </c>
      <c r="Q17" s="656">
        <f>Q18+Q19+Q20</f>
        <v>0</v>
      </c>
    </row>
    <row r="18" spans="1:17" s="83" customFormat="1" ht="22.5" customHeight="1">
      <c r="A18" s="78"/>
      <c r="B18" s="79" t="s">
        <v>45</v>
      </c>
      <c r="C18" s="1138" t="s">
        <v>165</v>
      </c>
      <c r="D18" s="1138"/>
      <c r="E18" s="78" t="s">
        <v>166</v>
      </c>
      <c r="F18" s="652">
        <v>111555981</v>
      </c>
      <c r="G18" s="652">
        <v>111555981</v>
      </c>
      <c r="H18" s="652"/>
      <c r="I18" s="652"/>
      <c r="J18" s="665">
        <f t="shared" si="3"/>
        <v>111185868</v>
      </c>
      <c r="K18" s="665">
        <f t="shared" si="3"/>
        <v>111185868</v>
      </c>
      <c r="L18" s="665">
        <f t="shared" si="4"/>
        <v>0</v>
      </c>
      <c r="M18" s="665">
        <f t="shared" si="4"/>
        <v>0</v>
      </c>
      <c r="N18" s="669">
        <f>+'7.sz.m.fejlesztés (2)'!E9</f>
        <v>370113</v>
      </c>
      <c r="O18" s="669">
        <f>+'7.sz.m.fejlesztés (2)'!F9</f>
        <v>370113</v>
      </c>
      <c r="P18" s="669"/>
      <c r="Q18" s="669"/>
    </row>
    <row r="19" spans="1:17" s="83" customFormat="1" ht="22.5" customHeight="1">
      <c r="A19" s="84"/>
      <c r="B19" s="85" t="s">
        <v>48</v>
      </c>
      <c r="C19" s="1139" t="s">
        <v>167</v>
      </c>
      <c r="D19" s="1139"/>
      <c r="E19" s="78" t="s">
        <v>168</v>
      </c>
      <c r="F19" s="657">
        <v>18808426</v>
      </c>
      <c r="G19" s="657">
        <v>19042764</v>
      </c>
      <c r="H19" s="657"/>
      <c r="I19" s="657"/>
      <c r="J19" s="657">
        <f t="shared" si="3"/>
        <v>18808426</v>
      </c>
      <c r="K19" s="657">
        <f t="shared" si="3"/>
        <v>19042764</v>
      </c>
      <c r="L19" s="657">
        <f t="shared" si="4"/>
        <v>0</v>
      </c>
      <c r="M19" s="657">
        <f t="shared" si="4"/>
        <v>0</v>
      </c>
      <c r="N19" s="670"/>
      <c r="O19" s="670"/>
      <c r="P19" s="670"/>
      <c r="Q19" s="670"/>
    </row>
    <row r="20" spans="1:17" s="83" customFormat="1" ht="22.5" customHeight="1">
      <c r="A20" s="100"/>
      <c r="B20" s="85" t="s">
        <v>51</v>
      </c>
      <c r="C20" s="1140" t="s">
        <v>169</v>
      </c>
      <c r="D20" s="1140"/>
      <c r="E20" s="646" t="s">
        <v>170</v>
      </c>
      <c r="F20" s="654">
        <f>SUM(F21:F24)</f>
        <v>1941331</v>
      </c>
      <c r="G20" s="654">
        <f>SUM(G21:G24)</f>
        <v>1941331</v>
      </c>
      <c r="H20" s="654">
        <f>SUM(H21:H24)</f>
        <v>0</v>
      </c>
      <c r="I20" s="654">
        <f>SUM(I21:I24)</f>
        <v>0</v>
      </c>
      <c r="J20" s="657">
        <f t="shared" si="3"/>
        <v>1941331</v>
      </c>
      <c r="K20" s="657">
        <f t="shared" si="3"/>
        <v>1941331</v>
      </c>
      <c r="L20" s="657">
        <f t="shared" si="4"/>
        <v>0</v>
      </c>
      <c r="M20" s="657">
        <f t="shared" si="4"/>
        <v>0</v>
      </c>
      <c r="N20" s="670">
        <f>SUM(N21:N24)</f>
        <v>0</v>
      </c>
      <c r="O20" s="670">
        <f>SUM(O21:O24)</f>
        <v>0</v>
      </c>
      <c r="P20" s="670">
        <f>SUM(P21:P24)</f>
        <v>0</v>
      </c>
      <c r="Q20" s="670">
        <f>SUM(Q21:Q24)</f>
        <v>0</v>
      </c>
    </row>
    <row r="21" spans="1:17" s="83" customFormat="1" ht="22.5" customHeight="1">
      <c r="A21" s="103"/>
      <c r="B21" s="104"/>
      <c r="C21" s="104" t="s">
        <v>54</v>
      </c>
      <c r="D21" s="101" t="s">
        <v>171</v>
      </c>
      <c r="E21" s="646"/>
      <c r="F21" s="657">
        <v>1941331</v>
      </c>
      <c r="G21" s="657">
        <v>1941331</v>
      </c>
      <c r="H21" s="657"/>
      <c r="I21" s="657"/>
      <c r="J21" s="657">
        <f t="shared" si="3"/>
        <v>1941331</v>
      </c>
      <c r="K21" s="657">
        <f t="shared" si="3"/>
        <v>1941331</v>
      </c>
      <c r="L21" s="657">
        <f t="shared" si="4"/>
        <v>0</v>
      </c>
      <c r="M21" s="657">
        <f t="shared" si="4"/>
        <v>0</v>
      </c>
      <c r="N21" s="670">
        <f>'10.sz.m.átadott pe (2)'!P36</f>
        <v>0</v>
      </c>
      <c r="O21" s="670">
        <f>'10.sz.m.átadott pe (2)'!Q36</f>
        <v>0</v>
      </c>
      <c r="P21" s="670">
        <f>'10.sz.m.átadott pe (2)'!R36</f>
        <v>0</v>
      </c>
      <c r="Q21" s="670">
        <f>'10.sz.m.átadott pe (2)'!S36</f>
        <v>0</v>
      </c>
    </row>
    <row r="22" spans="1:17" s="83" customFormat="1" ht="22.5" customHeight="1">
      <c r="A22" s="103"/>
      <c r="B22" s="104"/>
      <c r="C22" s="104" t="s">
        <v>56</v>
      </c>
      <c r="D22" s="101" t="s">
        <v>172</v>
      </c>
      <c r="E22" s="646"/>
      <c r="F22" s="657"/>
      <c r="G22" s="657"/>
      <c r="H22" s="657"/>
      <c r="I22" s="657"/>
      <c r="J22" s="657">
        <f t="shared" si="3"/>
        <v>0</v>
      </c>
      <c r="K22" s="657">
        <f t="shared" si="3"/>
        <v>0</v>
      </c>
      <c r="L22" s="657">
        <f t="shared" si="4"/>
        <v>0</v>
      </c>
      <c r="M22" s="657">
        <f t="shared" si="4"/>
        <v>0</v>
      </c>
      <c r="N22" s="670"/>
      <c r="O22" s="670"/>
      <c r="P22" s="670"/>
      <c r="Q22" s="670"/>
    </row>
    <row r="23" spans="1:17" s="83" customFormat="1" ht="22.5" customHeight="1">
      <c r="A23" s="100"/>
      <c r="B23" s="101"/>
      <c r="C23" s="104" t="s">
        <v>58</v>
      </c>
      <c r="D23" s="101" t="s">
        <v>160</v>
      </c>
      <c r="E23" s="646"/>
      <c r="F23" s="654"/>
      <c r="G23" s="654"/>
      <c r="H23" s="654"/>
      <c r="I23" s="654"/>
      <c r="J23" s="657">
        <f t="shared" si="3"/>
        <v>0</v>
      </c>
      <c r="K23" s="657">
        <f t="shared" si="3"/>
        <v>0</v>
      </c>
      <c r="L23" s="657">
        <f t="shared" si="4"/>
        <v>0</v>
      </c>
      <c r="M23" s="657">
        <f t="shared" si="4"/>
        <v>0</v>
      </c>
      <c r="N23" s="670"/>
      <c r="O23" s="670"/>
      <c r="P23" s="670"/>
      <c r="Q23" s="670"/>
    </row>
    <row r="24" spans="1:17" s="83" customFormat="1" ht="22.5" customHeight="1" thickBot="1">
      <c r="A24" s="105"/>
      <c r="B24" s="106"/>
      <c r="C24" s="107" t="s">
        <v>173</v>
      </c>
      <c r="D24" s="106" t="s">
        <v>174</v>
      </c>
      <c r="E24" s="105"/>
      <c r="F24" s="658"/>
      <c r="G24" s="658"/>
      <c r="H24" s="658"/>
      <c r="I24" s="658"/>
      <c r="J24" s="666">
        <f t="shared" si="3"/>
        <v>0</v>
      </c>
      <c r="K24" s="666">
        <f t="shared" si="3"/>
        <v>0</v>
      </c>
      <c r="L24" s="666">
        <f t="shared" si="4"/>
        <v>0</v>
      </c>
      <c r="M24" s="666">
        <f t="shared" si="4"/>
        <v>0</v>
      </c>
      <c r="N24" s="672"/>
      <c r="O24" s="672"/>
      <c r="P24" s="672"/>
      <c r="Q24" s="672"/>
    </row>
    <row r="25" spans="1:17" s="83" customFormat="1" ht="22.5" customHeight="1" thickBot="1">
      <c r="A25" s="43" t="s">
        <v>69</v>
      </c>
      <c r="B25" s="1137" t="s">
        <v>175</v>
      </c>
      <c r="C25" s="1137"/>
      <c r="D25" s="1137"/>
      <c r="E25" s="43" t="s">
        <v>176</v>
      </c>
      <c r="F25" s="656">
        <f>F26+F28</f>
        <v>566844</v>
      </c>
      <c r="G25" s="656">
        <f>G26+G28</f>
        <v>1769198</v>
      </c>
      <c r="H25" s="656">
        <f>H26+H28</f>
        <v>0</v>
      </c>
      <c r="I25" s="656">
        <f>I26+I28</f>
        <v>0</v>
      </c>
      <c r="J25" s="651">
        <f t="shared" si="3"/>
        <v>566844</v>
      </c>
      <c r="K25" s="651">
        <f t="shared" si="3"/>
        <v>1769198</v>
      </c>
      <c r="L25" s="651">
        <f t="shared" si="4"/>
        <v>0</v>
      </c>
      <c r="M25" s="651">
        <f t="shared" si="4"/>
        <v>0</v>
      </c>
      <c r="N25" s="674"/>
      <c r="O25" s="674"/>
      <c r="P25" s="674"/>
      <c r="Q25" s="674"/>
    </row>
    <row r="26" spans="1:17" s="83" customFormat="1" ht="22.5" customHeight="1">
      <c r="A26" s="78"/>
      <c r="B26" s="79" t="s">
        <v>72</v>
      </c>
      <c r="C26" s="1138" t="s">
        <v>177</v>
      </c>
      <c r="D26" s="1138"/>
      <c r="E26" s="78"/>
      <c r="F26" s="652">
        <v>566844</v>
      </c>
      <c r="G26" s="652">
        <v>1769198</v>
      </c>
      <c r="H26" s="652"/>
      <c r="I26" s="652">
        <v>0</v>
      </c>
      <c r="J26" s="665">
        <f t="shared" si="3"/>
        <v>566844</v>
      </c>
      <c r="K26" s="665">
        <f t="shared" si="3"/>
        <v>1769198</v>
      </c>
      <c r="L26" s="665">
        <f t="shared" si="4"/>
        <v>0</v>
      </c>
      <c r="M26" s="665">
        <f t="shared" si="4"/>
        <v>0</v>
      </c>
      <c r="N26" s="669"/>
      <c r="O26" s="669"/>
      <c r="P26" s="669"/>
      <c r="Q26" s="669"/>
    </row>
    <row r="27" spans="1:17" s="77" customFormat="1" ht="22.5" customHeight="1">
      <c r="A27" s="109"/>
      <c r="B27" s="85" t="s">
        <v>75</v>
      </c>
      <c r="C27" s="1141" t="s">
        <v>178</v>
      </c>
      <c r="D27" s="1141"/>
      <c r="E27" s="647"/>
      <c r="F27" s="652"/>
      <c r="G27" s="652"/>
      <c r="H27" s="652"/>
      <c r="I27" s="652"/>
      <c r="J27" s="657">
        <f t="shared" si="3"/>
        <v>0</v>
      </c>
      <c r="K27" s="657">
        <f t="shared" si="3"/>
        <v>0</v>
      </c>
      <c r="L27" s="657">
        <f t="shared" si="4"/>
        <v>0</v>
      </c>
      <c r="M27" s="657">
        <f t="shared" si="4"/>
        <v>0</v>
      </c>
      <c r="N27" s="675"/>
      <c r="O27" s="675"/>
      <c r="P27" s="675"/>
      <c r="Q27" s="675"/>
    </row>
    <row r="28" spans="1:17" s="77" customFormat="1" ht="22.5" customHeight="1" thickBot="1">
      <c r="A28" s="111"/>
      <c r="B28" s="95" t="s">
        <v>77</v>
      </c>
      <c r="C28" s="112" t="s">
        <v>179</v>
      </c>
      <c r="D28" s="112"/>
      <c r="E28" s="648"/>
      <c r="F28" s="659">
        <v>0</v>
      </c>
      <c r="G28" s="659">
        <v>0</v>
      </c>
      <c r="H28" s="659">
        <v>0</v>
      </c>
      <c r="I28" s="659">
        <v>0</v>
      </c>
      <c r="J28" s="666">
        <f t="shared" si="3"/>
        <v>0</v>
      </c>
      <c r="K28" s="666">
        <f t="shared" si="3"/>
        <v>0</v>
      </c>
      <c r="L28" s="666">
        <f t="shared" si="4"/>
        <v>0</v>
      </c>
      <c r="M28" s="666">
        <f t="shared" si="4"/>
        <v>0</v>
      </c>
      <c r="N28" s="675"/>
      <c r="O28" s="675"/>
      <c r="P28" s="675"/>
      <c r="Q28" s="675"/>
    </row>
    <row r="29" spans="1:17" s="77" customFormat="1" ht="22.5" customHeight="1" hidden="1">
      <c r="A29" s="114" t="s">
        <v>88</v>
      </c>
      <c r="B29" s="115" t="s">
        <v>180</v>
      </c>
      <c r="C29" s="115"/>
      <c r="D29" s="115"/>
      <c r="E29" s="114"/>
      <c r="F29" s="660"/>
      <c r="G29" s="660"/>
      <c r="H29" s="660"/>
      <c r="I29" s="660"/>
      <c r="J29" s="651">
        <f t="shared" si="3"/>
        <v>0</v>
      </c>
      <c r="K29" s="651">
        <f t="shared" si="3"/>
        <v>0</v>
      </c>
      <c r="L29" s="651">
        <f t="shared" si="4"/>
        <v>0</v>
      </c>
      <c r="M29" s="651">
        <f t="shared" si="4"/>
        <v>0</v>
      </c>
      <c r="N29" s="675"/>
      <c r="O29" s="675"/>
      <c r="P29" s="675"/>
      <c r="Q29" s="675"/>
    </row>
    <row r="30" spans="1:17" s="77" customFormat="1" ht="22.5" customHeight="1" hidden="1">
      <c r="A30" s="43"/>
      <c r="B30" s="1137"/>
      <c r="C30" s="1137"/>
      <c r="D30" s="1137"/>
      <c r="E30" s="575"/>
      <c r="F30" s="661"/>
      <c r="G30" s="661"/>
      <c r="H30" s="661"/>
      <c r="I30" s="661"/>
      <c r="J30" s="651">
        <f t="shared" si="3"/>
        <v>0</v>
      </c>
      <c r="K30" s="651">
        <f t="shared" si="3"/>
        <v>0</v>
      </c>
      <c r="L30" s="651">
        <f t="shared" si="4"/>
        <v>0</v>
      </c>
      <c r="M30" s="651">
        <f t="shared" si="4"/>
        <v>0</v>
      </c>
      <c r="N30" s="676"/>
      <c r="O30" s="676"/>
      <c r="P30" s="676"/>
      <c r="Q30" s="676"/>
    </row>
    <row r="31" spans="1:17" s="77" customFormat="1" ht="22.5" customHeight="1" thickBot="1">
      <c r="A31" s="43" t="s">
        <v>88</v>
      </c>
      <c r="B31" s="1142" t="s">
        <v>181</v>
      </c>
      <c r="C31" s="1142"/>
      <c r="D31" s="1142"/>
      <c r="E31" s="119"/>
      <c r="F31" s="651">
        <f>F6+F17+F25</f>
        <v>204815486</v>
      </c>
      <c r="G31" s="651">
        <f>G6+G17+G25</f>
        <v>206533978</v>
      </c>
      <c r="H31" s="651">
        <f>H6+H17+H25</f>
        <v>0</v>
      </c>
      <c r="I31" s="651">
        <f>I6+I17+I25</f>
        <v>0</v>
      </c>
      <c r="J31" s="651">
        <f t="shared" si="3"/>
        <v>185996525</v>
      </c>
      <c r="K31" s="651">
        <f t="shared" si="3"/>
        <v>187715017</v>
      </c>
      <c r="L31" s="651" t="e">
        <f t="shared" si="4"/>
        <v>#REF!</v>
      </c>
      <c r="M31" s="651">
        <f t="shared" si="4"/>
        <v>0</v>
      </c>
      <c r="N31" s="673">
        <f>N6+N17</f>
        <v>18818961</v>
      </c>
      <c r="O31" s="673">
        <f>O6+O17</f>
        <v>18818961</v>
      </c>
      <c r="P31" s="673" t="e">
        <f>P6+P17</f>
        <v>#REF!</v>
      </c>
      <c r="Q31" s="673">
        <f>Q6+Q17</f>
        <v>0</v>
      </c>
    </row>
    <row r="32" spans="1:17" s="77" customFormat="1" ht="22.5" customHeight="1" thickBot="1">
      <c r="A32" s="119">
        <v>5</v>
      </c>
      <c r="B32" s="1143" t="s">
        <v>239</v>
      </c>
      <c r="C32" s="1143"/>
      <c r="D32" s="1143"/>
      <c r="E32" s="649" t="s">
        <v>183</v>
      </c>
      <c r="F32" s="662">
        <f>F33+F34+F35</f>
        <v>21264215</v>
      </c>
      <c r="G32" s="662">
        <f>G33+G34+G35</f>
        <v>21274080</v>
      </c>
      <c r="H32" s="662">
        <f>H33+H34+H35</f>
        <v>0</v>
      </c>
      <c r="I32" s="662">
        <f>I33+I34+I35</f>
        <v>0</v>
      </c>
      <c r="J32" s="651">
        <f t="shared" si="3"/>
        <v>21264215</v>
      </c>
      <c r="K32" s="651">
        <f t="shared" si="3"/>
        <v>21274080</v>
      </c>
      <c r="L32" s="651">
        <f t="shared" si="4"/>
        <v>0</v>
      </c>
      <c r="M32" s="651">
        <f t="shared" si="4"/>
        <v>0</v>
      </c>
      <c r="N32" s="673"/>
      <c r="O32" s="673"/>
      <c r="P32" s="673"/>
      <c r="Q32" s="673"/>
    </row>
    <row r="33" spans="1:17" s="83" customFormat="1" ht="22.5" customHeight="1">
      <c r="A33" s="679"/>
      <c r="B33" s="680" t="s">
        <v>103</v>
      </c>
      <c r="C33" s="1184" t="s">
        <v>184</v>
      </c>
      <c r="D33" s="1184"/>
      <c r="E33" s="681" t="s">
        <v>240</v>
      </c>
      <c r="F33" s="652"/>
      <c r="G33" s="652"/>
      <c r="H33" s="652"/>
      <c r="I33" s="652"/>
      <c r="J33" s="665">
        <f t="shared" si="3"/>
        <v>0</v>
      </c>
      <c r="K33" s="665">
        <f t="shared" si="3"/>
        <v>0</v>
      </c>
      <c r="L33" s="665">
        <f t="shared" si="4"/>
        <v>0</v>
      </c>
      <c r="M33" s="665">
        <f t="shared" si="4"/>
        <v>0</v>
      </c>
      <c r="N33" s="669"/>
      <c r="O33" s="669"/>
      <c r="P33" s="669"/>
      <c r="Q33" s="669"/>
    </row>
    <row r="34" spans="1:17" s="83" customFormat="1" ht="22.5" customHeight="1">
      <c r="A34" s="84"/>
      <c r="B34" s="85" t="s">
        <v>106</v>
      </c>
      <c r="C34" s="1139" t="s">
        <v>417</v>
      </c>
      <c r="D34" s="1139"/>
      <c r="E34" s="84" t="s">
        <v>418</v>
      </c>
      <c r="F34" s="654">
        <v>1280859</v>
      </c>
      <c r="G34" s="654">
        <v>1280859</v>
      </c>
      <c r="H34" s="654"/>
      <c r="I34" s="654"/>
      <c r="J34" s="657">
        <f t="shared" si="3"/>
        <v>1280859</v>
      </c>
      <c r="K34" s="657">
        <f t="shared" si="3"/>
        <v>1280859</v>
      </c>
      <c r="L34" s="657">
        <f t="shared" si="4"/>
        <v>0</v>
      </c>
      <c r="M34" s="657">
        <f t="shared" si="4"/>
        <v>0</v>
      </c>
      <c r="N34" s="670"/>
      <c r="O34" s="670"/>
      <c r="P34" s="670"/>
      <c r="Q34" s="670"/>
    </row>
    <row r="35" spans="1:17" s="83" customFormat="1" ht="22.5" customHeight="1" thickBot="1">
      <c r="A35" s="682"/>
      <c r="B35" s="683" t="s">
        <v>263</v>
      </c>
      <c r="C35" s="684" t="s">
        <v>241</v>
      </c>
      <c r="D35" s="684"/>
      <c r="E35" s="682" t="s">
        <v>242</v>
      </c>
      <c r="F35" s="663">
        <v>19983356</v>
      </c>
      <c r="G35" s="663">
        <v>19993221</v>
      </c>
      <c r="H35" s="663"/>
      <c r="I35" s="663"/>
      <c r="J35" s="666">
        <f t="shared" si="3"/>
        <v>19983356</v>
      </c>
      <c r="K35" s="666">
        <f t="shared" si="3"/>
        <v>19993221</v>
      </c>
      <c r="L35" s="666">
        <f t="shared" si="4"/>
        <v>0</v>
      </c>
      <c r="M35" s="666">
        <f t="shared" si="4"/>
        <v>0</v>
      </c>
      <c r="N35" s="672"/>
      <c r="O35" s="672"/>
      <c r="P35" s="672"/>
      <c r="Q35" s="672"/>
    </row>
    <row r="36" spans="1:17" s="83" customFormat="1" ht="22.5" customHeight="1" thickBot="1">
      <c r="A36" s="43" t="s">
        <v>109</v>
      </c>
      <c r="B36" s="1142" t="s">
        <v>243</v>
      </c>
      <c r="C36" s="1142"/>
      <c r="D36" s="1142"/>
      <c r="E36" s="575"/>
      <c r="F36" s="664">
        <f>F6+F17+F25+F32</f>
        <v>226079701</v>
      </c>
      <c r="G36" s="664">
        <f>G6+G17+G25+G32</f>
        <v>227808058</v>
      </c>
      <c r="H36" s="664">
        <f>H6+H17+H25+H32</f>
        <v>0</v>
      </c>
      <c r="I36" s="664">
        <f>I6+I17+I25+I32</f>
        <v>0</v>
      </c>
      <c r="J36" s="667">
        <f t="shared" si="3"/>
        <v>207260740</v>
      </c>
      <c r="K36" s="667">
        <f t="shared" si="3"/>
        <v>208989097</v>
      </c>
      <c r="L36" s="667" t="e">
        <f t="shared" si="4"/>
        <v>#REF!</v>
      </c>
      <c r="M36" s="667">
        <f t="shared" si="4"/>
        <v>0</v>
      </c>
      <c r="N36" s="677">
        <f>N31</f>
        <v>18818961</v>
      </c>
      <c r="O36" s="677">
        <f>O31</f>
        <v>18818961</v>
      </c>
      <c r="P36" s="677" t="e">
        <f>P31</f>
        <v>#REF!</v>
      </c>
      <c r="Q36" s="677">
        <f>Q31</f>
        <v>0</v>
      </c>
    </row>
    <row r="37" spans="1:13" s="83" customFormat="1" ht="19.5" customHeight="1" hidden="1">
      <c r="A37" s="1128" t="s">
        <v>185</v>
      </c>
      <c r="B37" s="1128"/>
      <c r="C37" s="1128"/>
      <c r="D37" s="1128"/>
      <c r="E37" s="58"/>
      <c r="F37" s="650"/>
      <c r="G37" s="650"/>
      <c r="H37" s="650"/>
      <c r="I37" s="650"/>
      <c r="J37" s="169"/>
      <c r="K37" s="136"/>
      <c r="L37" s="136"/>
      <c r="M37" s="136"/>
    </row>
    <row r="38" spans="1:13" s="83" customFormat="1" ht="19.5" customHeight="1" hidden="1">
      <c r="A38" s="1120" t="s">
        <v>196</v>
      </c>
      <c r="B38" s="1120"/>
      <c r="C38" s="1120"/>
      <c r="D38" s="1120"/>
      <c r="E38" s="59"/>
      <c r="F38" s="465"/>
      <c r="G38" s="465"/>
      <c r="H38" s="465"/>
      <c r="I38" s="465"/>
      <c r="J38" s="54"/>
      <c r="K38" s="136"/>
      <c r="L38" s="136"/>
      <c r="M38" s="136"/>
    </row>
    <row r="39" spans="1:13" s="83" customFormat="1" ht="19.5" customHeight="1">
      <c r="A39" s="170"/>
      <c r="B39" s="125"/>
      <c r="C39" s="170"/>
      <c r="D39" s="170"/>
      <c r="E39" s="170"/>
      <c r="F39" s="171"/>
      <c r="G39" s="171"/>
      <c r="H39" s="171"/>
      <c r="I39" s="171"/>
      <c r="J39" s="172"/>
      <c r="K39" s="861"/>
      <c r="L39" s="861"/>
      <c r="M39" s="861"/>
    </row>
    <row r="40" spans="1:16" s="83" customFormat="1" ht="19.5" customHeight="1">
      <c r="A40" s="130"/>
      <c r="B40" s="168"/>
      <c r="C40" s="168"/>
      <c r="D40" s="173"/>
      <c r="E40" s="173"/>
      <c r="F40" s="131"/>
      <c r="G40" s="131"/>
      <c r="H40" s="131"/>
      <c r="I40" s="131"/>
      <c r="J40" s="132"/>
      <c r="K40" s="132"/>
      <c r="L40" s="132"/>
      <c r="M40" s="132"/>
      <c r="N40" s="784"/>
      <c r="P40" s="784"/>
    </row>
    <row r="41" spans="6:9" ht="15.75">
      <c r="F41" s="12"/>
      <c r="G41" s="12"/>
      <c r="H41" s="12"/>
      <c r="I41" s="12"/>
    </row>
  </sheetData>
  <sheetProtection selectLockedCells="1" selectUnlockedCells="1"/>
  <mergeCells count="23"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  <mergeCell ref="B6:D6"/>
    <mergeCell ref="B25:D25"/>
    <mergeCell ref="B17:D17"/>
    <mergeCell ref="C18:D18"/>
    <mergeCell ref="C19:D19"/>
    <mergeCell ref="C20:D20"/>
    <mergeCell ref="F1:J1"/>
    <mergeCell ref="A4:D4"/>
    <mergeCell ref="J3:N3"/>
    <mergeCell ref="F4:I4"/>
    <mergeCell ref="J4:M4"/>
    <mergeCell ref="N4:Q4"/>
    <mergeCell ref="A2:O2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6">
      <selection activeCell="K27" sqref="K27"/>
    </sheetView>
  </sheetViews>
  <sheetFormatPr defaultColWidth="9.140625" defaultRowHeight="12.75"/>
  <cols>
    <col min="1" max="1" width="8.28125" style="174" customWidth="1"/>
    <col min="2" max="2" width="8.28125" style="175" customWidth="1"/>
    <col min="3" max="3" width="41.7109375" style="175" customWidth="1"/>
    <col min="4" max="4" width="8.140625" style="175" customWidth="1"/>
    <col min="5" max="9" width="0" style="175" hidden="1" customWidth="1"/>
    <col min="10" max="10" width="16.421875" style="175" customWidth="1"/>
    <col min="11" max="11" width="12.7109375" style="175" customWidth="1"/>
    <col min="12" max="13" width="12.7109375" style="175" hidden="1" customWidth="1"/>
    <col min="14" max="14" width="12.140625" style="175" customWidth="1"/>
    <col min="15" max="15" width="11.57421875" style="175" customWidth="1"/>
    <col min="16" max="17" width="11.8515625" style="175" hidden="1" customWidth="1"/>
    <col min="18" max="16384" width="9.140625" style="175" customWidth="1"/>
  </cols>
  <sheetData>
    <row r="1" spans="1:13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187"/>
      <c r="K1" s="790"/>
      <c r="L1" s="790"/>
      <c r="M1" s="790"/>
    </row>
    <row r="2" spans="1:9" s="180" customFormat="1" ht="21" customHeight="1">
      <c r="A2" s="181"/>
      <c r="B2" s="177"/>
      <c r="C2" s="10"/>
      <c r="D2" s="182"/>
      <c r="E2" s="182"/>
      <c r="F2" s="182"/>
      <c r="G2" s="182"/>
      <c r="H2" s="182"/>
      <c r="I2" s="182"/>
    </row>
    <row r="3" spans="1:15" s="183" customFormat="1" ht="25.5" customHeight="1">
      <c r="A3" s="1190" t="s">
        <v>622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</row>
    <row r="4" spans="1:14" s="186" customFormat="1" ht="15.75" customHeight="1" thickBot="1">
      <c r="A4" s="184"/>
      <c r="B4" s="184"/>
      <c r="C4" s="185" t="s">
        <v>641</v>
      </c>
      <c r="J4" s="1127" t="s">
        <v>536</v>
      </c>
      <c r="K4" s="1127"/>
      <c r="L4" s="1127"/>
      <c r="M4" s="1127"/>
      <c r="N4" s="1127"/>
    </row>
    <row r="5" spans="1:17" s="186" customFormat="1" ht="41.25" customHeight="1" thickBot="1">
      <c r="A5" s="184"/>
      <c r="B5" s="184"/>
      <c r="C5" s="184"/>
      <c r="D5" s="1188" t="s">
        <v>3</v>
      </c>
      <c r="E5" s="1188"/>
      <c r="F5" s="1188"/>
      <c r="G5" s="1188"/>
      <c r="H5" s="1188"/>
      <c r="I5" s="1188"/>
      <c r="J5" s="1133" t="s">
        <v>4</v>
      </c>
      <c r="K5" s="1177"/>
      <c r="L5" s="1177"/>
      <c r="M5" s="1185"/>
      <c r="N5" s="1133" t="s">
        <v>244</v>
      </c>
      <c r="O5" s="1177"/>
      <c r="P5" s="1177"/>
      <c r="Q5" s="1185"/>
    </row>
    <row r="6" spans="1:17" ht="19.5" customHeight="1" thickBot="1">
      <c r="A6" s="1189" t="s">
        <v>245</v>
      </c>
      <c r="B6" s="1189"/>
      <c r="C6" s="187" t="s">
        <v>246</v>
      </c>
      <c r="D6" s="188"/>
      <c r="E6" s="189" t="s">
        <v>136</v>
      </c>
      <c r="F6" s="189" t="s">
        <v>137</v>
      </c>
      <c r="G6" s="189" t="s">
        <v>138</v>
      </c>
      <c r="H6" s="189" t="s">
        <v>247</v>
      </c>
      <c r="I6" s="189" t="s">
        <v>248</v>
      </c>
      <c r="J6" s="577" t="s">
        <v>6</v>
      </c>
      <c r="K6" s="577" t="s">
        <v>136</v>
      </c>
      <c r="L6" s="577" t="s">
        <v>137</v>
      </c>
      <c r="M6" s="577" t="s">
        <v>138</v>
      </c>
      <c r="N6" s="577" t="s">
        <v>6</v>
      </c>
      <c r="O6" s="577" t="s">
        <v>136</v>
      </c>
      <c r="P6" s="577" t="s">
        <v>137</v>
      </c>
      <c r="Q6" s="577" t="s">
        <v>138</v>
      </c>
    </row>
    <row r="7" spans="1:17" s="194" customFormat="1" ht="19.5" customHeight="1" thickBot="1">
      <c r="A7" s="190">
        <v>1</v>
      </c>
      <c r="B7" s="191">
        <v>2</v>
      </c>
      <c r="C7" s="192">
        <v>3</v>
      </c>
      <c r="D7" s="190">
        <v>4</v>
      </c>
      <c r="E7" s="191"/>
      <c r="F7" s="191"/>
      <c r="G7" s="191"/>
      <c r="H7" s="191"/>
      <c r="I7" s="191"/>
      <c r="J7" s="193">
        <v>5</v>
      </c>
      <c r="K7" s="193">
        <v>6</v>
      </c>
      <c r="L7" s="193">
        <v>7</v>
      </c>
      <c r="M7" s="193">
        <v>8</v>
      </c>
      <c r="N7" s="193">
        <v>7</v>
      </c>
      <c r="O7" s="193">
        <v>8</v>
      </c>
      <c r="P7" s="193">
        <v>11</v>
      </c>
      <c r="Q7" s="193">
        <v>12</v>
      </c>
    </row>
    <row r="8" spans="1:17" s="194" customFormat="1" ht="19.5" customHeight="1" thickBot="1">
      <c r="A8" s="195"/>
      <c r="B8" s="196"/>
      <c r="C8" s="196" t="s">
        <v>249</v>
      </c>
      <c r="D8" s="197"/>
      <c r="E8" s="198"/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199"/>
      <c r="Q8" s="199"/>
    </row>
    <row r="9" spans="1:17" s="205" customFormat="1" ht="19.5" customHeight="1" thickBot="1">
      <c r="A9" s="190" t="s">
        <v>10</v>
      </c>
      <c r="B9" s="200"/>
      <c r="C9" s="201" t="s">
        <v>250</v>
      </c>
      <c r="D9" s="202" t="s">
        <v>44</v>
      </c>
      <c r="E9" s="203"/>
      <c r="F9" s="203"/>
      <c r="G9" s="203"/>
      <c r="H9" s="203"/>
      <c r="I9" s="203"/>
      <c r="J9" s="204">
        <f aca="true" t="shared" si="0" ref="J9:Q9">SUM(J10:J13)</f>
        <v>4788721</v>
      </c>
      <c r="K9" s="204">
        <f>SUM(K10:K13)</f>
        <v>4788721</v>
      </c>
      <c r="L9" s="204">
        <f t="shared" si="0"/>
        <v>0</v>
      </c>
      <c r="M9" s="204">
        <f>SUM(M10:M13)</f>
        <v>0</v>
      </c>
      <c r="N9" s="204">
        <f>SUM(N10:N13)</f>
        <v>4788721</v>
      </c>
      <c r="O9" s="204">
        <f>SUM(O10:O13)</f>
        <v>4788721</v>
      </c>
      <c r="P9" s="204">
        <f t="shared" si="0"/>
        <v>0</v>
      </c>
      <c r="Q9" s="204">
        <f t="shared" si="0"/>
        <v>0</v>
      </c>
    </row>
    <row r="10" spans="1:17" s="205" customFormat="1" ht="19.5" customHeight="1">
      <c r="A10" s="216"/>
      <c r="B10" s="207" t="s">
        <v>13</v>
      </c>
      <c r="C10" s="560" t="s">
        <v>434</v>
      </c>
      <c r="D10" s="561"/>
      <c r="E10" s="562"/>
      <c r="F10" s="562"/>
      <c r="G10" s="562"/>
      <c r="H10" s="562"/>
      <c r="I10" s="562"/>
      <c r="J10" s="949">
        <v>4268800</v>
      </c>
      <c r="K10" s="949">
        <v>4268800</v>
      </c>
      <c r="L10" s="949"/>
      <c r="M10" s="949"/>
      <c r="N10" s="949">
        <v>4268800</v>
      </c>
      <c r="O10" s="949">
        <v>4268800</v>
      </c>
      <c r="P10" s="569"/>
      <c r="Q10" s="569"/>
    </row>
    <row r="11" spans="1:17" s="205" customFormat="1" ht="19.5" customHeight="1">
      <c r="A11" s="206"/>
      <c r="B11" s="207" t="s">
        <v>23</v>
      </c>
      <c r="C11" s="563" t="s">
        <v>435</v>
      </c>
      <c r="D11" s="564"/>
      <c r="E11" s="565"/>
      <c r="F11" s="565"/>
      <c r="G11" s="565"/>
      <c r="H11" s="565"/>
      <c r="I11" s="565"/>
      <c r="J11" s="950">
        <v>519921</v>
      </c>
      <c r="K11" s="950">
        <v>519921</v>
      </c>
      <c r="L11" s="950"/>
      <c r="M11" s="950"/>
      <c r="N11" s="950">
        <v>519921</v>
      </c>
      <c r="O11" s="950">
        <v>519921</v>
      </c>
      <c r="P11" s="570"/>
      <c r="Q11" s="570"/>
    </row>
    <row r="12" spans="1:17" s="205" customFormat="1" ht="19.5" customHeight="1">
      <c r="A12" s="206"/>
      <c r="B12" s="207" t="s">
        <v>146</v>
      </c>
      <c r="C12" s="563" t="s">
        <v>65</v>
      </c>
      <c r="D12" s="564"/>
      <c r="E12" s="565"/>
      <c r="F12" s="565"/>
      <c r="G12" s="565"/>
      <c r="H12" s="565"/>
      <c r="I12" s="565"/>
      <c r="J12" s="950"/>
      <c r="K12" s="950"/>
      <c r="L12" s="950"/>
      <c r="M12" s="950"/>
      <c r="N12" s="950"/>
      <c r="O12" s="950"/>
      <c r="P12" s="570"/>
      <c r="Q12" s="570"/>
    </row>
    <row r="13" spans="1:17" s="205" customFormat="1" ht="19.5" customHeight="1" thickBot="1">
      <c r="A13" s="559"/>
      <c r="B13" s="207" t="s">
        <v>32</v>
      </c>
      <c r="C13" s="566" t="s">
        <v>455</v>
      </c>
      <c r="D13" s="567"/>
      <c r="E13" s="568"/>
      <c r="F13" s="568"/>
      <c r="G13" s="568"/>
      <c r="H13" s="568"/>
      <c r="I13" s="568"/>
      <c r="J13" s="951"/>
      <c r="K13" s="951"/>
      <c r="L13" s="951"/>
      <c r="M13" s="951"/>
      <c r="N13" s="951"/>
      <c r="O13" s="951"/>
      <c r="P13" s="571"/>
      <c r="Q13" s="571"/>
    </row>
    <row r="14" spans="1:17" s="205" customFormat="1" ht="30" customHeight="1" thickBot="1">
      <c r="A14" s="190" t="s">
        <v>163</v>
      </c>
      <c r="B14" s="200"/>
      <c r="C14" s="201" t="s">
        <v>251</v>
      </c>
      <c r="D14" s="202"/>
      <c r="E14" s="203"/>
      <c r="F14" s="203"/>
      <c r="G14" s="203"/>
      <c r="H14" s="203"/>
      <c r="I14" s="203"/>
      <c r="J14" s="204">
        <f aca="true" t="shared" si="1" ref="J14:Q14">J15+J17</f>
        <v>1063966</v>
      </c>
      <c r="K14" s="204">
        <f>K15+K17</f>
        <v>1063966</v>
      </c>
      <c r="L14" s="204">
        <f t="shared" si="1"/>
        <v>0</v>
      </c>
      <c r="M14" s="204">
        <f>M15+M17</f>
        <v>0</v>
      </c>
      <c r="N14" s="204">
        <f>N15+N17</f>
        <v>1063966</v>
      </c>
      <c r="O14" s="204">
        <f>O15+O17</f>
        <v>1063966</v>
      </c>
      <c r="P14" s="204">
        <f t="shared" si="1"/>
        <v>0</v>
      </c>
      <c r="Q14" s="204">
        <f t="shared" si="1"/>
        <v>0</v>
      </c>
    </row>
    <row r="15" spans="1:17" s="212" customFormat="1" ht="19.5" customHeight="1">
      <c r="A15" s="206"/>
      <c r="B15" s="207" t="s">
        <v>45</v>
      </c>
      <c r="C15" s="208" t="s">
        <v>104</v>
      </c>
      <c r="D15" s="209" t="s">
        <v>71</v>
      </c>
      <c r="E15" s="210"/>
      <c r="F15" s="210"/>
      <c r="G15" s="210"/>
      <c r="H15" s="210"/>
      <c r="I15" s="210"/>
      <c r="J15" s="221">
        <v>1063966</v>
      </c>
      <c r="K15" s="221">
        <v>1063966</v>
      </c>
      <c r="L15" s="211"/>
      <c r="M15" s="211"/>
      <c r="N15" s="221">
        <v>1063966</v>
      </c>
      <c r="O15" s="221">
        <v>1063966</v>
      </c>
      <c r="P15" s="211"/>
      <c r="Q15" s="211"/>
    </row>
    <row r="16" spans="1:17" s="212" customFormat="1" ht="19.5" customHeight="1">
      <c r="A16" s="206"/>
      <c r="B16" s="207" t="s">
        <v>48</v>
      </c>
      <c r="C16" s="213" t="s">
        <v>252</v>
      </c>
      <c r="D16" s="209"/>
      <c r="E16" s="210"/>
      <c r="F16" s="210"/>
      <c r="G16" s="210"/>
      <c r="H16" s="210"/>
      <c r="I16" s="210"/>
      <c r="J16" s="211"/>
      <c r="K16" s="211"/>
      <c r="L16" s="211"/>
      <c r="M16" s="211"/>
      <c r="N16" s="211"/>
      <c r="O16" s="211"/>
      <c r="P16" s="211"/>
      <c r="Q16" s="211"/>
    </row>
    <row r="17" spans="1:17" s="212" customFormat="1" ht="19.5" customHeight="1">
      <c r="A17" s="206"/>
      <c r="B17" s="207" t="s">
        <v>51</v>
      </c>
      <c r="C17" s="213" t="s">
        <v>107</v>
      </c>
      <c r="D17" s="209" t="s">
        <v>90</v>
      </c>
      <c r="E17" s="210"/>
      <c r="F17" s="210"/>
      <c r="G17" s="210"/>
      <c r="H17" s="210"/>
      <c r="I17" s="210"/>
      <c r="J17" s="211"/>
      <c r="K17" s="211"/>
      <c r="L17" s="211"/>
      <c r="M17" s="211"/>
      <c r="N17" s="211"/>
      <c r="O17" s="211"/>
      <c r="P17" s="211"/>
      <c r="Q17" s="211"/>
    </row>
    <row r="18" spans="1:17" s="212" customFormat="1" ht="19.5" customHeight="1" thickBot="1">
      <c r="A18" s="206"/>
      <c r="B18" s="207" t="s">
        <v>60</v>
      </c>
      <c r="C18" s="213" t="s">
        <v>252</v>
      </c>
      <c r="D18" s="209"/>
      <c r="E18" s="210"/>
      <c r="F18" s="210"/>
      <c r="G18" s="210"/>
      <c r="H18" s="210"/>
      <c r="I18" s="210"/>
      <c r="J18" s="211"/>
      <c r="K18" s="211"/>
      <c r="L18" s="211"/>
      <c r="M18" s="211"/>
      <c r="N18" s="211"/>
      <c r="O18" s="211"/>
      <c r="P18" s="211"/>
      <c r="Q18" s="211"/>
    </row>
    <row r="19" spans="1:17" s="212" customFormat="1" ht="26.25" customHeight="1" thickBot="1">
      <c r="A19" s="190" t="s">
        <v>69</v>
      </c>
      <c r="B19" s="214"/>
      <c r="C19" s="215" t="s">
        <v>253</v>
      </c>
      <c r="D19" s="202"/>
      <c r="E19" s="203"/>
      <c r="F19" s="203"/>
      <c r="G19" s="203"/>
      <c r="H19" s="203"/>
      <c r="I19" s="203"/>
      <c r="J19" s="204"/>
      <c r="K19" s="204"/>
      <c r="L19" s="204"/>
      <c r="M19" s="204"/>
      <c r="N19" s="204"/>
      <c r="O19" s="204"/>
      <c r="P19" s="204"/>
      <c r="Q19" s="204"/>
    </row>
    <row r="20" spans="1:17" s="205" customFormat="1" ht="19.5" customHeight="1">
      <c r="A20" s="216"/>
      <c r="B20" s="217" t="s">
        <v>72</v>
      </c>
      <c r="C20" s="218" t="s">
        <v>254</v>
      </c>
      <c r="D20" s="219" t="s">
        <v>255</v>
      </c>
      <c r="E20" s="220"/>
      <c r="F20" s="220"/>
      <c r="G20" s="220"/>
      <c r="H20" s="220"/>
      <c r="I20" s="220"/>
      <c r="J20" s="221"/>
      <c r="K20" s="221"/>
      <c r="L20" s="221"/>
      <c r="M20" s="221"/>
      <c r="N20" s="221"/>
      <c r="O20" s="221"/>
      <c r="P20" s="221"/>
      <c r="Q20" s="221"/>
    </row>
    <row r="21" spans="1:17" s="205" customFormat="1" ht="21.75" customHeight="1" thickBot="1">
      <c r="A21" s="222"/>
      <c r="B21" s="223" t="s">
        <v>75</v>
      </c>
      <c r="C21" s="224" t="s">
        <v>256</v>
      </c>
      <c r="D21" s="225" t="s">
        <v>257</v>
      </c>
      <c r="E21" s="226"/>
      <c r="F21" s="226"/>
      <c r="G21" s="226"/>
      <c r="H21" s="226"/>
      <c r="I21" s="226"/>
      <c r="J21" s="227"/>
      <c r="K21" s="227"/>
      <c r="L21" s="227"/>
      <c r="M21" s="227"/>
      <c r="N21" s="227"/>
      <c r="O21" s="227"/>
      <c r="P21" s="227"/>
      <c r="Q21" s="227"/>
    </row>
    <row r="22" spans="1:17" s="205" customFormat="1" ht="19.5" customHeight="1" thickBot="1">
      <c r="A22" s="190"/>
      <c r="B22" s="200"/>
      <c r="D22" s="228"/>
      <c r="E22" s="229"/>
      <c r="F22" s="229"/>
      <c r="G22" s="229"/>
      <c r="H22" s="229"/>
      <c r="I22" s="229"/>
      <c r="J22" s="230"/>
      <c r="K22" s="230"/>
      <c r="L22" s="230"/>
      <c r="M22" s="230"/>
      <c r="N22" s="230"/>
      <c r="O22" s="230"/>
      <c r="P22" s="230"/>
      <c r="Q22" s="230"/>
    </row>
    <row r="23" spans="1:17" s="205" customFormat="1" ht="19.5" customHeight="1" thickBot="1">
      <c r="A23" s="190" t="s">
        <v>88</v>
      </c>
      <c r="B23" s="231"/>
      <c r="C23" s="215" t="s">
        <v>258</v>
      </c>
      <c r="D23" s="202"/>
      <c r="E23" s="203"/>
      <c r="F23" s="203"/>
      <c r="G23" s="203"/>
      <c r="H23" s="203"/>
      <c r="I23" s="203"/>
      <c r="J23" s="204">
        <f aca="true" t="shared" si="2" ref="J23:Q23">J9+J14</f>
        <v>5852687</v>
      </c>
      <c r="K23" s="204">
        <f>K9+K14</f>
        <v>5852687</v>
      </c>
      <c r="L23" s="204">
        <f t="shared" si="2"/>
        <v>0</v>
      </c>
      <c r="M23" s="204">
        <f>M9+M14</f>
        <v>0</v>
      </c>
      <c r="N23" s="204">
        <f>N9+N14</f>
        <v>5852687</v>
      </c>
      <c r="O23" s="204">
        <f>O9+O14</f>
        <v>5852687</v>
      </c>
      <c r="P23" s="204">
        <f t="shared" si="2"/>
        <v>0</v>
      </c>
      <c r="Q23" s="204">
        <f t="shared" si="2"/>
        <v>0</v>
      </c>
    </row>
    <row r="24" spans="1:17" s="212" customFormat="1" ht="19.5" customHeight="1" thickBot="1">
      <c r="A24" s="232" t="s">
        <v>101</v>
      </c>
      <c r="B24" s="233"/>
      <c r="C24" s="234" t="s">
        <v>259</v>
      </c>
      <c r="D24" s="235"/>
      <c r="E24" s="236"/>
      <c r="F24" s="236"/>
      <c r="G24" s="236"/>
      <c r="H24" s="236"/>
      <c r="I24" s="236"/>
      <c r="J24" s="576">
        <f aca="true" t="shared" si="3" ref="J24:Q24">SUM(J25:J26)</f>
        <v>20374947</v>
      </c>
      <c r="K24" s="576">
        <f>SUM(K25:K26)</f>
        <v>20384812</v>
      </c>
      <c r="L24" s="576">
        <f t="shared" si="3"/>
        <v>0</v>
      </c>
      <c r="M24" s="576">
        <f>SUM(M25:M26)</f>
        <v>0</v>
      </c>
      <c r="N24" s="576">
        <f>SUM(N25:N26)</f>
        <v>20374947</v>
      </c>
      <c r="O24" s="576">
        <f>SUM(O25:O26)</f>
        <v>20374947</v>
      </c>
      <c r="P24" s="576">
        <f t="shared" si="3"/>
        <v>22322790</v>
      </c>
      <c r="Q24" s="576">
        <f t="shared" si="3"/>
        <v>20264724</v>
      </c>
    </row>
    <row r="25" spans="1:17" s="212" customFormat="1" ht="19.5" customHeight="1" thickBot="1">
      <c r="A25" s="216"/>
      <c r="B25" s="237" t="s">
        <v>103</v>
      </c>
      <c r="C25" s="218" t="s">
        <v>260</v>
      </c>
      <c r="D25" s="219" t="s">
        <v>129</v>
      </c>
      <c r="E25" s="220"/>
      <c r="F25" s="220"/>
      <c r="G25" s="220"/>
      <c r="H25" s="220"/>
      <c r="I25" s="220"/>
      <c r="J25" s="221">
        <v>391591</v>
      </c>
      <c r="K25" s="221">
        <v>391591</v>
      </c>
      <c r="L25" s="221"/>
      <c r="M25" s="221"/>
      <c r="N25" s="221">
        <v>391591</v>
      </c>
      <c r="O25" s="221">
        <v>391591</v>
      </c>
      <c r="P25" s="221">
        <v>386765</v>
      </c>
      <c r="Q25" s="221">
        <v>386765</v>
      </c>
    </row>
    <row r="26" spans="1:17" s="212" customFormat="1" ht="19.5" customHeight="1">
      <c r="A26" s="241"/>
      <c r="B26" s="242" t="s">
        <v>106</v>
      </c>
      <c r="C26" s="218" t="s">
        <v>261</v>
      </c>
      <c r="D26" s="243" t="s">
        <v>262</v>
      </c>
      <c r="E26" s="244"/>
      <c r="F26" s="244"/>
      <c r="G26" s="244"/>
      <c r="H26" s="244"/>
      <c r="I26" s="244"/>
      <c r="J26" s="245">
        <v>19983356</v>
      </c>
      <c r="K26" s="245">
        <v>19993221</v>
      </c>
      <c r="L26" s="245"/>
      <c r="M26" s="245"/>
      <c r="N26" s="245">
        <v>19983356</v>
      </c>
      <c r="O26" s="245">
        <v>19983356</v>
      </c>
      <c r="P26" s="245">
        <f>21070733+58387+17780-4467+793592</f>
        <v>21936025</v>
      </c>
      <c r="Q26" s="245">
        <v>19877959</v>
      </c>
    </row>
    <row r="27" spans="1:17" s="212" customFormat="1" ht="19.5" customHeight="1" thickBot="1">
      <c r="A27" s="246"/>
      <c r="B27" s="247" t="s">
        <v>263</v>
      </c>
      <c r="C27" s="248" t="s">
        <v>264</v>
      </c>
      <c r="D27" s="249" t="s">
        <v>265</v>
      </c>
      <c r="E27" s="250"/>
      <c r="F27" s="250"/>
      <c r="G27" s="250"/>
      <c r="H27" s="250"/>
      <c r="I27" s="250"/>
      <c r="J27" s="251"/>
      <c r="K27" s="251"/>
      <c r="L27" s="251"/>
      <c r="M27" s="251"/>
      <c r="N27" s="251"/>
      <c r="O27" s="251"/>
      <c r="P27" s="251"/>
      <c r="Q27" s="251"/>
    </row>
    <row r="28" spans="1:17" ht="19.5" customHeight="1" thickBot="1">
      <c r="A28" s="252" t="s">
        <v>109</v>
      </c>
      <c r="B28" s="253"/>
      <c r="C28" s="254" t="s">
        <v>266</v>
      </c>
      <c r="D28" s="228"/>
      <c r="E28" s="229"/>
      <c r="F28" s="229"/>
      <c r="G28" s="229"/>
      <c r="H28" s="229"/>
      <c r="I28" s="229"/>
      <c r="J28" s="230"/>
      <c r="K28" s="230"/>
      <c r="L28" s="230"/>
      <c r="M28" s="230"/>
      <c r="N28" s="230"/>
      <c r="O28" s="230"/>
      <c r="P28" s="230"/>
      <c r="Q28" s="230"/>
    </row>
    <row r="29" spans="1:17" s="194" customFormat="1" ht="19.5" customHeight="1" thickBot="1">
      <c r="A29" s="252" t="s">
        <v>109</v>
      </c>
      <c r="B29" s="255"/>
      <c r="C29" s="256" t="s">
        <v>267</v>
      </c>
      <c r="D29" s="202"/>
      <c r="E29" s="203"/>
      <c r="F29" s="203"/>
      <c r="G29" s="203"/>
      <c r="H29" s="203"/>
      <c r="I29" s="203"/>
      <c r="J29" s="204">
        <f aca="true" t="shared" si="4" ref="J29:Q29">J23+J24</f>
        <v>26227634</v>
      </c>
      <c r="K29" s="204">
        <f>K23+K24</f>
        <v>26237499</v>
      </c>
      <c r="L29" s="204">
        <f t="shared" si="4"/>
        <v>0</v>
      </c>
      <c r="M29" s="204">
        <f>M23+M24</f>
        <v>0</v>
      </c>
      <c r="N29" s="204">
        <f>N23+N24</f>
        <v>26227634</v>
      </c>
      <c r="O29" s="204">
        <f>O23+O24</f>
        <v>26227634</v>
      </c>
      <c r="P29" s="204">
        <f t="shared" si="4"/>
        <v>22322790</v>
      </c>
      <c r="Q29" s="204">
        <f t="shared" si="4"/>
        <v>20264724</v>
      </c>
    </row>
    <row r="30" spans="1:17" s="260" customFormat="1" ht="19.5" customHeight="1">
      <c r="A30" s="257"/>
      <c r="B30" s="257"/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Q30" s="259"/>
    </row>
    <row r="31" spans="1:17" ht="19.5" customHeight="1" thickBot="1">
      <c r="A31" s="261"/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Q31" s="263"/>
    </row>
    <row r="32" spans="1:17" ht="19.5" customHeight="1" thickBot="1">
      <c r="A32" s="264"/>
      <c r="B32" s="265"/>
      <c r="C32" s="266" t="s">
        <v>268</v>
      </c>
      <c r="D32" s="202"/>
      <c r="E32" s="203"/>
      <c r="F32" s="203"/>
      <c r="G32" s="203"/>
      <c r="H32" s="203"/>
      <c r="I32" s="204"/>
      <c r="J32" s="771"/>
      <c r="K32" s="771"/>
      <c r="L32" s="771"/>
      <c r="M32" s="771"/>
      <c r="N32" s="771"/>
      <c r="O32" s="771"/>
      <c r="P32" s="771"/>
      <c r="Q32" s="771"/>
    </row>
    <row r="33" spans="1:17" ht="19.5" customHeight="1" thickBot="1">
      <c r="A33" s="190" t="s">
        <v>10</v>
      </c>
      <c r="B33" s="214"/>
      <c r="C33" s="215" t="s">
        <v>269</v>
      </c>
      <c r="D33" s="202"/>
      <c r="E33" s="203"/>
      <c r="F33" s="203"/>
      <c r="G33" s="203"/>
      <c r="H33" s="203"/>
      <c r="I33" s="204"/>
      <c r="J33" s="204">
        <f aca="true" t="shared" si="5" ref="J33:Q33">J34+J35+J36</f>
        <v>26227634</v>
      </c>
      <c r="K33" s="204">
        <f>K34+K35+K36</f>
        <v>26237499</v>
      </c>
      <c r="L33" s="204">
        <f t="shared" si="5"/>
        <v>0</v>
      </c>
      <c r="M33" s="204">
        <f>M34+M35+M36</f>
        <v>0</v>
      </c>
      <c r="N33" s="204">
        <f>N34+N35+N36</f>
        <v>26227634</v>
      </c>
      <c r="O33" s="204">
        <f>O34+O35+O36</f>
        <v>26227634</v>
      </c>
      <c r="P33" s="204">
        <f t="shared" si="5"/>
        <v>0</v>
      </c>
      <c r="Q33" s="204">
        <f t="shared" si="5"/>
        <v>0</v>
      </c>
    </row>
    <row r="34" spans="1:17" ht="19.5" customHeight="1">
      <c r="A34" s="267"/>
      <c r="B34" s="268" t="s">
        <v>270</v>
      </c>
      <c r="C34" s="208" t="s">
        <v>271</v>
      </c>
      <c r="D34" s="238" t="s">
        <v>143</v>
      </c>
      <c r="E34" s="239"/>
      <c r="F34" s="239"/>
      <c r="G34" s="239"/>
      <c r="H34" s="239"/>
      <c r="I34" s="240"/>
      <c r="J34" s="240">
        <v>16298464</v>
      </c>
      <c r="K34" s="240">
        <v>16298464</v>
      </c>
      <c r="L34" s="240"/>
      <c r="M34" s="240"/>
      <c r="N34" s="240">
        <v>16298464</v>
      </c>
      <c r="O34" s="240">
        <v>16298464</v>
      </c>
      <c r="P34" s="240"/>
      <c r="Q34" s="240"/>
    </row>
    <row r="35" spans="1:17" ht="24" customHeight="1">
      <c r="A35" s="206"/>
      <c r="B35" s="269" t="s">
        <v>272</v>
      </c>
      <c r="C35" s="213" t="s">
        <v>273</v>
      </c>
      <c r="D35" s="209" t="s">
        <v>145</v>
      </c>
      <c r="E35" s="210"/>
      <c r="F35" s="210"/>
      <c r="G35" s="210"/>
      <c r="H35" s="210"/>
      <c r="I35" s="211"/>
      <c r="J35" s="211">
        <v>2761130</v>
      </c>
      <c r="K35" s="211">
        <v>2761130</v>
      </c>
      <c r="L35" s="211"/>
      <c r="M35" s="211"/>
      <c r="N35" s="211">
        <v>2761130</v>
      </c>
      <c r="O35" s="211">
        <v>2761130</v>
      </c>
      <c r="P35" s="211"/>
      <c r="Q35" s="211"/>
    </row>
    <row r="36" spans="1:17" ht="19.5" customHeight="1">
      <c r="A36" s="206"/>
      <c r="B36" s="269" t="s">
        <v>29</v>
      </c>
      <c r="C36" s="213" t="s">
        <v>274</v>
      </c>
      <c r="D36" s="209" t="s">
        <v>148</v>
      </c>
      <c r="E36" s="210"/>
      <c r="F36" s="210"/>
      <c r="G36" s="210"/>
      <c r="H36" s="210"/>
      <c r="I36" s="211"/>
      <c r="J36" s="211">
        <v>7168040</v>
      </c>
      <c r="K36" s="211">
        <v>7177905</v>
      </c>
      <c r="L36" s="211"/>
      <c r="M36" s="211"/>
      <c r="N36" s="211">
        <v>7168040</v>
      </c>
      <c r="O36" s="211">
        <v>7168040</v>
      </c>
      <c r="P36" s="211"/>
      <c r="Q36" s="211"/>
    </row>
    <row r="37" spans="1:17" s="260" customFormat="1" ht="19.5" customHeight="1">
      <c r="A37" s="206"/>
      <c r="B37" s="269" t="s">
        <v>275</v>
      </c>
      <c r="C37" s="213" t="s">
        <v>149</v>
      </c>
      <c r="D37" s="209" t="s">
        <v>150</v>
      </c>
      <c r="E37" s="210"/>
      <c r="F37" s="210"/>
      <c r="G37" s="210"/>
      <c r="H37" s="210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19.5" customHeight="1" thickBot="1">
      <c r="A38" s="206"/>
      <c r="B38" s="269" t="s">
        <v>39</v>
      </c>
      <c r="C38" s="213" t="s">
        <v>151</v>
      </c>
      <c r="D38" s="209" t="s">
        <v>152</v>
      </c>
      <c r="E38" s="210"/>
      <c r="F38" s="210"/>
      <c r="G38" s="210"/>
      <c r="H38" s="210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9.5" customHeight="1" thickBot="1">
      <c r="A39" s="190" t="s">
        <v>163</v>
      </c>
      <c r="B39" s="214"/>
      <c r="C39" s="215" t="s">
        <v>276</v>
      </c>
      <c r="D39" s="202"/>
      <c r="E39" s="203"/>
      <c r="F39" s="203"/>
      <c r="G39" s="203"/>
      <c r="H39" s="203"/>
      <c r="I39" s="204"/>
      <c r="J39" s="204">
        <f aca="true" t="shared" si="6" ref="J39:Q39">SUM(J40:J42)</f>
        <v>0</v>
      </c>
      <c r="K39" s="204">
        <f>SUM(K40:K42)</f>
        <v>0</v>
      </c>
      <c r="L39" s="204">
        <f t="shared" si="6"/>
        <v>0</v>
      </c>
      <c r="M39" s="204">
        <f>SUM(M40:M42)</f>
        <v>0</v>
      </c>
      <c r="N39" s="204">
        <f>SUM(N40:N42)</f>
        <v>0</v>
      </c>
      <c r="O39" s="204">
        <f>SUM(O40:O42)</f>
        <v>0</v>
      </c>
      <c r="P39" s="204">
        <f t="shared" si="6"/>
        <v>0</v>
      </c>
      <c r="Q39" s="204">
        <f t="shared" si="6"/>
        <v>0</v>
      </c>
    </row>
    <row r="40" spans="1:17" ht="19.5" customHeight="1">
      <c r="A40" s="267"/>
      <c r="B40" s="268" t="s">
        <v>277</v>
      </c>
      <c r="C40" s="208" t="s">
        <v>165</v>
      </c>
      <c r="D40" s="238" t="s">
        <v>166</v>
      </c>
      <c r="E40" s="239"/>
      <c r="F40" s="239"/>
      <c r="G40" s="239"/>
      <c r="H40" s="239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ht="19.5" customHeight="1">
      <c r="A41" s="206"/>
      <c r="B41" s="269" t="s">
        <v>278</v>
      </c>
      <c r="C41" s="213" t="s">
        <v>167</v>
      </c>
      <c r="D41" s="209" t="s">
        <v>168</v>
      </c>
      <c r="E41" s="210"/>
      <c r="F41" s="210"/>
      <c r="G41" s="210"/>
      <c r="H41" s="210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9.5" customHeight="1">
      <c r="A42" s="206"/>
      <c r="B42" s="269" t="s">
        <v>51</v>
      </c>
      <c r="C42" s="213" t="s">
        <v>279</v>
      </c>
      <c r="D42" s="209" t="s">
        <v>170</v>
      </c>
      <c r="E42" s="210"/>
      <c r="F42" s="210"/>
      <c r="G42" s="210"/>
      <c r="H42" s="210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2.5" customHeight="1" thickBot="1">
      <c r="A43" s="206"/>
      <c r="B43" s="269" t="s">
        <v>60</v>
      </c>
      <c r="C43" s="213" t="s">
        <v>280</v>
      </c>
      <c r="D43" s="209"/>
      <c r="E43" s="210"/>
      <c r="F43" s="210"/>
      <c r="G43" s="210"/>
      <c r="H43" s="210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9.5" customHeight="1" thickBot="1">
      <c r="A44" s="190" t="s">
        <v>69</v>
      </c>
      <c r="B44" s="214"/>
      <c r="C44" s="215" t="s">
        <v>281</v>
      </c>
      <c r="D44" s="228"/>
      <c r="E44" s="229"/>
      <c r="F44" s="229"/>
      <c r="G44" s="229"/>
      <c r="H44" s="229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9.5" customHeight="1" thickBot="1">
      <c r="A45" s="252" t="s">
        <v>88</v>
      </c>
      <c r="B45" s="253"/>
      <c r="C45" s="254" t="s">
        <v>282</v>
      </c>
      <c r="D45" s="228"/>
      <c r="E45" s="229"/>
      <c r="F45" s="229"/>
      <c r="G45" s="229"/>
      <c r="H45" s="229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ht="19.5" customHeight="1" thickBot="1">
      <c r="A46" s="190" t="s">
        <v>69</v>
      </c>
      <c r="B46" s="270"/>
      <c r="C46" s="271" t="s">
        <v>283</v>
      </c>
      <c r="D46" s="202"/>
      <c r="E46" s="203"/>
      <c r="F46" s="203"/>
      <c r="G46" s="203"/>
      <c r="H46" s="203"/>
      <c r="I46" s="204"/>
      <c r="J46" s="204">
        <f aca="true" t="shared" si="7" ref="J46:Q46">J33+J39</f>
        <v>26227634</v>
      </c>
      <c r="K46" s="204">
        <f>K33+K39</f>
        <v>26237499</v>
      </c>
      <c r="L46" s="204">
        <f t="shared" si="7"/>
        <v>0</v>
      </c>
      <c r="M46" s="204">
        <f>M33+M39</f>
        <v>0</v>
      </c>
      <c r="N46" s="204">
        <f>N33+N39</f>
        <v>26227634</v>
      </c>
      <c r="O46" s="204">
        <f>O33+O39</f>
        <v>26227634</v>
      </c>
      <c r="P46" s="204">
        <f t="shared" si="7"/>
        <v>0</v>
      </c>
      <c r="Q46" s="204">
        <f t="shared" si="7"/>
        <v>0</v>
      </c>
    </row>
    <row r="47" spans="1:17" ht="19.5" customHeight="1" thickBot="1">
      <c r="A47" s="272"/>
      <c r="B47" s="273"/>
      <c r="C47" s="273"/>
      <c r="D47" s="274"/>
      <c r="E47" s="275"/>
      <c r="F47" s="275"/>
      <c r="G47" s="275"/>
      <c r="H47" s="275"/>
      <c r="I47" s="276"/>
      <c r="J47" s="276"/>
      <c r="K47" s="276"/>
      <c r="L47" s="276"/>
      <c r="M47" s="276"/>
      <c r="N47" s="276"/>
      <c r="O47" s="276"/>
      <c r="P47" s="276"/>
      <c r="Q47" s="276"/>
    </row>
    <row r="48" spans="1:17" ht="19.5" customHeight="1" thickBot="1">
      <c r="A48" s="277" t="s">
        <v>284</v>
      </c>
      <c r="B48" s="278"/>
      <c r="C48" s="279"/>
      <c r="D48" s="280"/>
      <c r="E48" s="281"/>
      <c r="F48" s="281"/>
      <c r="G48" s="281"/>
      <c r="H48" s="281"/>
      <c r="I48" s="282"/>
      <c r="J48" s="802">
        <v>5.5</v>
      </c>
      <c r="K48" s="802">
        <v>5.5</v>
      </c>
      <c r="L48" s="802">
        <v>6.25</v>
      </c>
      <c r="M48" s="802">
        <v>4.75</v>
      </c>
      <c r="N48" s="802">
        <v>3.35</v>
      </c>
      <c r="O48" s="802">
        <v>5.5</v>
      </c>
      <c r="P48" s="802">
        <v>6.25</v>
      </c>
      <c r="Q48" s="802">
        <v>4.75</v>
      </c>
    </row>
    <row r="49" spans="1:17" ht="19.5" customHeight="1" thickBot="1">
      <c r="A49" s="277" t="s">
        <v>285</v>
      </c>
      <c r="B49" s="278"/>
      <c r="C49" s="279"/>
      <c r="D49" s="280"/>
      <c r="E49" s="281"/>
      <c r="F49" s="281"/>
      <c r="G49" s="281"/>
      <c r="H49" s="281"/>
      <c r="I49" s="282"/>
      <c r="J49" s="282">
        <v>1</v>
      </c>
      <c r="K49" s="282">
        <v>1</v>
      </c>
      <c r="L49" s="282">
        <v>1</v>
      </c>
      <c r="M49" s="282">
        <v>1</v>
      </c>
      <c r="N49" s="282">
        <v>1</v>
      </c>
      <c r="O49" s="282">
        <v>1</v>
      </c>
      <c r="P49" s="282">
        <v>1</v>
      </c>
      <c r="Q49" s="282">
        <v>1</v>
      </c>
    </row>
    <row r="50" spans="6:9" ht="12.75">
      <c r="F50" s="283"/>
      <c r="G50" s="283"/>
      <c r="H50" s="283"/>
      <c r="I50" s="283"/>
    </row>
    <row r="51" spans="1:10" ht="12.75" customHeight="1">
      <c r="A51" s="1186" t="s">
        <v>286</v>
      </c>
      <c r="B51" s="1186"/>
      <c r="C51" s="1186"/>
      <c r="D51" s="1186"/>
      <c r="E51" s="284"/>
      <c r="F51" s="284"/>
      <c r="G51" s="284"/>
      <c r="H51" s="284"/>
      <c r="I51" s="284"/>
      <c r="J51" s="283"/>
    </row>
    <row r="52" spans="1:10" ht="12.75">
      <c r="A52" s="1186"/>
      <c r="B52" s="1186"/>
      <c r="C52" s="1186"/>
      <c r="J52" s="283">
        <f>+J46-J29</f>
        <v>0</v>
      </c>
    </row>
    <row r="53" spans="4:13" ht="12.75">
      <c r="D53" s="283">
        <v>0</v>
      </c>
      <c r="E53" s="283"/>
      <c r="F53" s="283"/>
      <c r="G53" s="283"/>
      <c r="H53" s="283"/>
      <c r="I53" s="283"/>
      <c r="M53" s="175" t="s">
        <v>544</v>
      </c>
    </row>
    <row r="54" ht="25.5">
      <c r="M54" s="175" t="s">
        <v>545</v>
      </c>
    </row>
    <row r="55" ht="25.5">
      <c r="M55" s="175" t="s">
        <v>546</v>
      </c>
    </row>
    <row r="56" ht="12.75">
      <c r="M56" s="175" t="s">
        <v>547</v>
      </c>
    </row>
    <row r="57" ht="38.25">
      <c r="M57" s="175" t="s">
        <v>548</v>
      </c>
    </row>
    <row r="58" ht="12.75">
      <c r="M58" s="175" t="s">
        <v>549</v>
      </c>
    </row>
  </sheetData>
  <sheetProtection selectLockedCells="1" selectUnlockedCells="1"/>
  <mergeCells count="8">
    <mergeCell ref="N5:Q5"/>
    <mergeCell ref="A51:D51"/>
    <mergeCell ref="A52:C52"/>
    <mergeCell ref="D5:I5"/>
    <mergeCell ref="A6:B6"/>
    <mergeCell ref="J4:N4"/>
    <mergeCell ref="J5:M5"/>
    <mergeCell ref="A3:O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9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48.28125" style="1030" customWidth="1"/>
    <col min="2" max="3" width="14.8515625" style="1031" customWidth="1"/>
    <col min="4" max="4" width="20.57421875" style="1031" customWidth="1"/>
    <col min="5" max="5" width="31.00390625" style="1031" customWidth="1"/>
    <col min="6" max="7" width="15.57421875" style="1031" hidden="1" customWidth="1"/>
    <col min="8" max="8" width="19.421875" style="1031" hidden="1" customWidth="1"/>
    <col min="9" max="9" width="15.57421875" style="1031" hidden="1" customWidth="1"/>
    <col min="10" max="11" width="9.140625" style="1031" hidden="1" customWidth="1"/>
    <col min="12" max="12" width="9.140625" style="1031" customWidth="1"/>
    <col min="13" max="20" width="9.140625" style="1031" hidden="1" customWidth="1"/>
    <col min="21" max="22" width="0" style="1031" hidden="1" customWidth="1"/>
    <col min="23" max="16384" width="9.140625" style="1031" customWidth="1"/>
  </cols>
  <sheetData>
    <row r="2" spans="2:9" ht="12.75">
      <c r="B2" s="808"/>
      <c r="D2" s="1193" t="s">
        <v>287</v>
      </c>
      <c r="E2" s="1193"/>
      <c r="F2" s="1193"/>
      <c r="G2" s="1193"/>
      <c r="H2" s="1193"/>
      <c r="I2" s="1193"/>
    </row>
    <row r="4" spans="1:9" ht="19.5" customHeight="1">
      <c r="A4" s="1191" t="s">
        <v>642</v>
      </c>
      <c r="B4" s="1191"/>
      <c r="C4" s="1191"/>
      <c r="D4" s="1191"/>
      <c r="E4" s="1191"/>
      <c r="F4" s="1191"/>
      <c r="G4" s="1191"/>
      <c r="H4" s="1191"/>
      <c r="I4" s="1191"/>
    </row>
    <row r="5" spans="1:9" ht="19.5">
      <c r="A5" s="1032"/>
      <c r="B5" s="1032"/>
      <c r="C5" s="1032"/>
      <c r="D5" s="1192" t="s">
        <v>475</v>
      </c>
      <c r="E5" s="1192"/>
      <c r="F5" s="1192"/>
      <c r="G5" s="1192"/>
      <c r="H5" s="1192"/>
      <c r="I5" s="1192"/>
    </row>
    <row r="6" spans="2:11" ht="20.25" customHeight="1" thickBot="1">
      <c r="B6" s="1197" t="s">
        <v>4</v>
      </c>
      <c r="C6" s="1197"/>
      <c r="D6" s="1197"/>
      <c r="E6" s="1197"/>
      <c r="F6" s="1197"/>
      <c r="G6" s="1197"/>
      <c r="H6" s="1197"/>
      <c r="I6" s="1197"/>
      <c r="J6" s="1198" t="s">
        <v>288</v>
      </c>
      <c r="K6" s="1198"/>
    </row>
    <row r="7" spans="1:11" ht="36.75" customHeight="1">
      <c r="A7" s="1199" t="s">
        <v>134</v>
      </c>
      <c r="B7" s="1200" t="s">
        <v>643</v>
      </c>
      <c r="C7" s="1200"/>
      <c r="D7" s="1200"/>
      <c r="E7" s="1200"/>
      <c r="F7" s="1201" t="s">
        <v>644</v>
      </c>
      <c r="G7" s="1201"/>
      <c r="H7" s="1201"/>
      <c r="I7" s="1201"/>
      <c r="J7" s="1202" t="s">
        <v>289</v>
      </c>
      <c r="K7" s="1202"/>
    </row>
    <row r="8" spans="1:11" ht="41.25" customHeight="1" thickBot="1">
      <c r="A8" s="1199"/>
      <c r="B8" s="1033" t="s">
        <v>290</v>
      </c>
      <c r="C8" s="1033" t="s">
        <v>291</v>
      </c>
      <c r="D8" s="1033" t="s">
        <v>292</v>
      </c>
      <c r="E8" s="1034" t="s">
        <v>293</v>
      </c>
      <c r="F8" s="1035" t="s">
        <v>290</v>
      </c>
      <c r="G8" s="1033" t="s">
        <v>291</v>
      </c>
      <c r="H8" s="1033" t="s">
        <v>292</v>
      </c>
      <c r="I8" s="1034" t="s">
        <v>293</v>
      </c>
      <c r="J8" s="1036" t="s">
        <v>288</v>
      </c>
      <c r="K8" s="1037" t="s">
        <v>294</v>
      </c>
    </row>
    <row r="9" spans="1:22" ht="30" customHeight="1">
      <c r="A9" s="1038"/>
      <c r="B9" s="285"/>
      <c r="C9" s="285"/>
      <c r="D9" s="286"/>
      <c r="E9" s="287"/>
      <c r="F9" s="288"/>
      <c r="G9" s="285"/>
      <c r="H9" s="286"/>
      <c r="I9" s="289"/>
      <c r="J9" s="1039"/>
      <c r="K9" s="1040" t="e">
        <f>J9/E9</f>
        <v>#DIV/0!</v>
      </c>
      <c r="M9" s="1031">
        <v>8</v>
      </c>
      <c r="N9" s="1031">
        <v>4</v>
      </c>
      <c r="O9" s="1031">
        <v>8</v>
      </c>
      <c r="P9" s="1031">
        <v>4</v>
      </c>
      <c r="Q9" s="1031">
        <v>8</v>
      </c>
      <c r="R9" s="1031">
        <v>8</v>
      </c>
      <c r="S9" s="1031">
        <v>6</v>
      </c>
      <c r="T9" s="1031">
        <f>SUM(M9:S9)</f>
        <v>46</v>
      </c>
      <c r="V9" s="1029"/>
    </row>
    <row r="10" spans="1:22" ht="30" customHeight="1">
      <c r="A10" s="1038" t="s">
        <v>295</v>
      </c>
      <c r="B10" s="285">
        <v>2.17</v>
      </c>
      <c r="C10" s="285">
        <v>3.5</v>
      </c>
      <c r="D10" s="285"/>
      <c r="E10" s="801">
        <f>B10+C10</f>
        <v>5.67</v>
      </c>
      <c r="F10" s="285"/>
      <c r="G10" s="285"/>
      <c r="H10" s="285"/>
      <c r="I10" s="801">
        <f>F10+G10</f>
        <v>0</v>
      </c>
      <c r="J10" s="1041"/>
      <c r="K10" s="1042">
        <f>J10/E10</f>
        <v>0</v>
      </c>
      <c r="T10" s="1031">
        <f>T9/8</f>
        <v>5.75</v>
      </c>
      <c r="U10" s="1031">
        <v>1</v>
      </c>
      <c r="V10" s="1029">
        <v>1</v>
      </c>
    </row>
    <row r="11" spans="1:22" ht="30" customHeight="1" thickBot="1">
      <c r="A11" s="1043" t="s">
        <v>623</v>
      </c>
      <c r="B11" s="290">
        <v>3.5</v>
      </c>
      <c r="C11" s="290">
        <v>2</v>
      </c>
      <c r="D11" s="290"/>
      <c r="E11" s="788">
        <f>SUM(B11:C11)</f>
        <v>5.5</v>
      </c>
      <c r="F11" s="290"/>
      <c r="G11" s="290"/>
      <c r="H11" s="290"/>
      <c r="I11" s="788">
        <f>SUM(F11:G11)</f>
        <v>0</v>
      </c>
      <c r="J11" s="1044"/>
      <c r="K11" s="1045">
        <f>J11/E11</f>
        <v>0</v>
      </c>
      <c r="M11" s="1031">
        <f>3*8+6</f>
        <v>30</v>
      </c>
      <c r="N11" s="1031">
        <f>M11/8</f>
        <v>3.75</v>
      </c>
      <c r="U11" s="1031">
        <v>1</v>
      </c>
      <c r="V11" s="1029">
        <v>0.5</v>
      </c>
    </row>
    <row r="12" spans="1:22" ht="54.75" customHeight="1" thickBot="1">
      <c r="A12" s="1046" t="s">
        <v>296</v>
      </c>
      <c r="B12" s="1047">
        <f aca="true" t="shared" si="0" ref="B12:I12">SUM(B10:B11)</f>
        <v>5.67</v>
      </c>
      <c r="C12" s="1047">
        <f t="shared" si="0"/>
        <v>5.5</v>
      </c>
      <c r="D12" s="1047">
        <f t="shared" si="0"/>
        <v>0</v>
      </c>
      <c r="E12" s="1048">
        <f t="shared" si="0"/>
        <v>11.17</v>
      </c>
      <c r="F12" s="1047">
        <f t="shared" si="0"/>
        <v>0</v>
      </c>
      <c r="G12" s="1047">
        <f t="shared" si="0"/>
        <v>0</v>
      </c>
      <c r="H12" s="1047">
        <f t="shared" si="0"/>
        <v>0</v>
      </c>
      <c r="I12" s="1048">
        <f t="shared" si="0"/>
        <v>0</v>
      </c>
      <c r="J12" s="1049">
        <f>SUM(J9:J11)</f>
        <v>0</v>
      </c>
      <c r="K12" s="1050">
        <f>J12/E12</f>
        <v>0</v>
      </c>
      <c r="M12" s="1031">
        <v>20</v>
      </c>
      <c r="N12" s="1031">
        <f>M12/8</f>
        <v>2.5</v>
      </c>
      <c r="U12" s="1031">
        <f>2/12</f>
        <v>0.16666666666666666</v>
      </c>
      <c r="V12" s="1029">
        <v>1</v>
      </c>
    </row>
    <row r="13" spans="1:22" ht="39" customHeight="1">
      <c r="A13" s="1051"/>
      <c r="B13" s="1052"/>
      <c r="C13" s="1052"/>
      <c r="D13" s="1052"/>
      <c r="E13" s="1052"/>
      <c r="F13" s="1053"/>
      <c r="G13" s="1053"/>
      <c r="H13" s="1053"/>
      <c r="I13" s="1052"/>
      <c r="J13" s="1052"/>
      <c r="K13" s="1054"/>
      <c r="V13" s="1031">
        <v>1</v>
      </c>
    </row>
    <row r="14" ht="13.5" thickBot="1">
      <c r="K14" s="1055"/>
    </row>
    <row r="15" spans="1:11" ht="20.25" customHeight="1" thickBot="1">
      <c r="A15" s="1194" t="s">
        <v>422</v>
      </c>
      <c r="B15" s="1195"/>
      <c r="C15" s="1195"/>
      <c r="D15" s="1195"/>
      <c r="E15" s="1196"/>
      <c r="F15" s="1056"/>
      <c r="G15" s="1057"/>
      <c r="H15" s="1058"/>
      <c r="I15" s="1058"/>
      <c r="J15" s="1059"/>
      <c r="K15" s="1060" t="e">
        <f>J15/E15</f>
        <v>#DIV/0!</v>
      </c>
    </row>
    <row r="16" spans="1:14" ht="18.75" customHeight="1">
      <c r="A16" s="1061"/>
      <c r="B16" s="1062"/>
      <c r="C16" s="1062"/>
      <c r="D16" s="1062"/>
      <c r="E16" s="1063"/>
      <c r="F16" s="1062"/>
      <c r="G16" s="1062"/>
      <c r="H16" s="1062"/>
      <c r="I16" s="1063"/>
      <c r="J16" s="1064"/>
      <c r="K16" s="1054"/>
      <c r="N16" s="1065"/>
    </row>
    <row r="17" spans="1:11" ht="24" customHeight="1">
      <c r="A17" s="1066" t="s">
        <v>295</v>
      </c>
      <c r="B17" s="1067"/>
      <c r="C17" s="1067"/>
      <c r="D17" s="1067"/>
      <c r="E17" s="287">
        <v>5</v>
      </c>
      <c r="F17" s="1067"/>
      <c r="G17" s="1067"/>
      <c r="H17" s="1067"/>
      <c r="I17" s="287"/>
      <c r="J17" s="1064"/>
      <c r="K17" s="1054"/>
    </row>
    <row r="18" spans="1:11" ht="35.25" customHeight="1" thickBot="1">
      <c r="A18" s="1043" t="s">
        <v>623</v>
      </c>
      <c r="B18" s="1068"/>
      <c r="C18" s="1068"/>
      <c r="D18" s="1068"/>
      <c r="E18" s="1069">
        <v>1</v>
      </c>
      <c r="F18" s="1068"/>
      <c r="G18" s="1068"/>
      <c r="H18" s="1068"/>
      <c r="I18" s="1069"/>
      <c r="J18" s="1064"/>
      <c r="K18" s="1054"/>
    </row>
    <row r="19" spans="1:11" ht="36.75" customHeight="1" thickBot="1">
      <c r="A19" s="1070" t="s">
        <v>423</v>
      </c>
      <c r="B19" s="1071"/>
      <c r="C19" s="1071"/>
      <c r="D19" s="1071"/>
      <c r="E19" s="1072">
        <f>SUM(E17:E18)</f>
        <v>6</v>
      </c>
      <c r="F19" s="1071"/>
      <c r="G19" s="1071"/>
      <c r="H19" s="1071"/>
      <c r="I19" s="1072">
        <f>SUM(I17:I18)</f>
        <v>0</v>
      </c>
      <c r="J19" s="1064"/>
      <c r="K19" s="1054"/>
    </row>
    <row r="20" spans="1:11" ht="18.75" customHeight="1">
      <c r="A20" s="1073"/>
      <c r="B20" s="1073"/>
      <c r="C20" s="1073"/>
      <c r="D20" s="1073"/>
      <c r="E20" s="1074"/>
      <c r="F20" s="1074"/>
      <c r="G20" s="1074"/>
      <c r="H20" s="1074"/>
      <c r="I20" s="1074"/>
      <c r="J20" s="1064"/>
      <c r="K20" s="1054"/>
    </row>
    <row r="21" spans="1:11" ht="18.75" customHeight="1">
      <c r="A21" s="1030" t="s">
        <v>297</v>
      </c>
      <c r="B21" s="1073"/>
      <c r="C21" s="1073"/>
      <c r="D21" s="1073"/>
      <c r="E21" s="1074"/>
      <c r="F21" s="1074"/>
      <c r="G21" s="1074"/>
      <c r="H21" s="1074"/>
      <c r="I21" s="1074"/>
      <c r="J21" s="1064"/>
      <c r="K21" s="1054"/>
    </row>
    <row r="22" ht="12.75" hidden="1"/>
    <row r="23" ht="12.75" hidden="1">
      <c r="A23" s="1031"/>
    </row>
    <row r="24" spans="1:7" ht="12.75" hidden="1">
      <c r="A24" s="1030" t="s">
        <v>566</v>
      </c>
      <c r="B24" s="1031" t="s">
        <v>570</v>
      </c>
      <c r="C24" s="1031" t="s">
        <v>571</v>
      </c>
      <c r="D24" s="1031">
        <v>1.5</v>
      </c>
      <c r="F24" s="1031" t="s">
        <v>555</v>
      </c>
      <c r="G24" s="1031">
        <v>8</v>
      </c>
    </row>
    <row r="25" spans="1:7" ht="12.75" hidden="1">
      <c r="A25" s="1030" t="s">
        <v>567</v>
      </c>
      <c r="B25" s="1031" t="s">
        <v>572</v>
      </c>
      <c r="D25" s="1031">
        <f>1/12*5</f>
        <v>0.41666666666666663</v>
      </c>
      <c r="F25" s="1031" t="s">
        <v>556</v>
      </c>
      <c r="G25" s="1031">
        <v>8</v>
      </c>
    </row>
    <row r="26" spans="1:7" ht="12.75" hidden="1">
      <c r="A26" s="1030" t="s">
        <v>568</v>
      </c>
      <c r="B26" s="1031" t="s">
        <v>573</v>
      </c>
      <c r="D26" s="1031">
        <v>2</v>
      </c>
      <c r="F26" s="1031" t="s">
        <v>559</v>
      </c>
      <c r="G26" s="1031">
        <v>4</v>
      </c>
    </row>
    <row r="27" spans="1:7" ht="12.75" hidden="1">
      <c r="A27" s="1030" t="s">
        <v>557</v>
      </c>
      <c r="B27" s="1031" t="s">
        <v>574</v>
      </c>
      <c r="D27" s="1031">
        <v>3</v>
      </c>
      <c r="F27" s="1031" t="s">
        <v>560</v>
      </c>
      <c r="G27" s="1031">
        <v>8</v>
      </c>
    </row>
    <row r="28" spans="1:7" ht="12.75" hidden="1">
      <c r="A28" s="1030" t="s">
        <v>569</v>
      </c>
      <c r="B28" s="1031" t="s">
        <v>575</v>
      </c>
      <c r="D28" s="1031">
        <v>1.5</v>
      </c>
      <c r="F28" s="1031" t="s">
        <v>561</v>
      </c>
      <c r="G28" s="1031">
        <v>4</v>
      </c>
    </row>
    <row r="29" spans="4:7" ht="12.75" hidden="1">
      <c r="D29" s="1031">
        <f>0.5+D25+1</f>
        <v>1.9166666666666665</v>
      </c>
      <c r="F29" s="1031" t="s">
        <v>562</v>
      </c>
      <c r="G29" s="1031">
        <v>8</v>
      </c>
    </row>
    <row r="30" spans="4:7" ht="12.75" hidden="1">
      <c r="D30" s="1031">
        <f>SUM(D24:D28)</f>
        <v>8.416666666666666</v>
      </c>
      <c r="G30" s="1031">
        <f>SUM(G24:G29)</f>
        <v>40</v>
      </c>
    </row>
    <row r="31" ht="12.75" hidden="1">
      <c r="G31" s="1031">
        <f>+G30/8</f>
        <v>5</v>
      </c>
    </row>
    <row r="32" ht="12.75" hidden="1"/>
    <row r="33" spans="1:6" ht="12.75" hidden="1">
      <c r="A33" s="1030" t="s">
        <v>576</v>
      </c>
      <c r="B33" s="1031">
        <v>8</v>
      </c>
      <c r="C33" s="1031">
        <v>8</v>
      </c>
      <c r="F33" s="1031" t="s">
        <v>557</v>
      </c>
    </row>
    <row r="34" spans="1:7" ht="12.75" hidden="1">
      <c r="A34" s="1030" t="s">
        <v>577</v>
      </c>
      <c r="B34" s="1031">
        <v>6</v>
      </c>
      <c r="C34" s="1031">
        <v>6</v>
      </c>
      <c r="F34" s="1031" t="s">
        <v>558</v>
      </c>
      <c r="G34" s="1031">
        <v>8</v>
      </c>
    </row>
    <row r="35" spans="1:3" ht="12.75" hidden="1">
      <c r="A35" s="1030" t="s">
        <v>578</v>
      </c>
      <c r="B35" s="1031">
        <v>8</v>
      </c>
      <c r="C35" s="1031">
        <v>8</v>
      </c>
    </row>
    <row r="36" spans="1:3" ht="12.75" hidden="1">
      <c r="A36" s="1030" t="s">
        <v>579</v>
      </c>
      <c r="B36" s="1031">
        <f>8/12*9</f>
        <v>6</v>
      </c>
      <c r="C36" s="1031">
        <f>8/12*9</f>
        <v>6</v>
      </c>
    </row>
    <row r="37" spans="1:3" ht="12.75" hidden="1">
      <c r="A37" s="1030" t="s">
        <v>580</v>
      </c>
      <c r="B37" s="1031">
        <f>SUM(B33:B36)</f>
        <v>28</v>
      </c>
      <c r="C37" s="1031">
        <v>8</v>
      </c>
    </row>
    <row r="38" spans="2:3" ht="12.75" hidden="1">
      <c r="B38" s="1031">
        <f>+B37/8</f>
        <v>3.5</v>
      </c>
      <c r="C38" s="1031">
        <f>SUM(C33:C37)</f>
        <v>36</v>
      </c>
    </row>
    <row r="39" ht="12.75" hidden="1">
      <c r="C39" s="1031">
        <f>+C38/8</f>
        <v>4.5</v>
      </c>
    </row>
    <row r="40" ht="12.75" hidden="1"/>
  </sheetData>
  <sheetProtection selectLockedCells="1" selectUnlockedCells="1"/>
  <mergeCells count="10">
    <mergeCell ref="A4:I4"/>
    <mergeCell ref="D5:I5"/>
    <mergeCell ref="D2:I2"/>
    <mergeCell ref="A15:E15"/>
    <mergeCell ref="B6:I6"/>
    <mergeCell ref="J6:K6"/>
    <mergeCell ref="A7:A8"/>
    <mergeCell ref="B7:E7"/>
    <mergeCell ref="F7:I7"/>
    <mergeCell ref="J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B26">
      <selection activeCell="J37" sqref="J37"/>
    </sheetView>
  </sheetViews>
  <sheetFormatPr defaultColWidth="9.140625" defaultRowHeight="12.75"/>
  <cols>
    <col min="1" max="2" width="9.140625" style="342" customWidth="1"/>
    <col min="3" max="3" width="41.421875" style="342" customWidth="1"/>
    <col min="4" max="4" width="5.57421875" style="343" customWidth="1"/>
    <col min="5" max="6" width="14.8515625" style="344" customWidth="1"/>
    <col min="7" max="8" width="14.8515625" style="344" hidden="1" customWidth="1"/>
    <col min="9" max="9" width="16.8515625" style="342" bestFit="1" customWidth="1"/>
    <col min="10" max="10" width="14.28125" style="342" customWidth="1"/>
    <col min="11" max="12" width="14.28125" style="342" hidden="1" customWidth="1"/>
    <col min="13" max="13" width="13.28125" style="342" customWidth="1"/>
    <col min="14" max="14" width="12.57421875" style="342" customWidth="1"/>
    <col min="15" max="15" width="14.57421875" style="342" hidden="1" customWidth="1"/>
    <col min="16" max="16" width="11.7109375" style="342" hidden="1" customWidth="1"/>
    <col min="17" max="17" width="9.140625" style="342" customWidth="1"/>
    <col min="18" max="18" width="10.140625" style="342" bestFit="1" customWidth="1"/>
    <col min="19" max="16384" width="9.140625" style="342" customWidth="1"/>
  </cols>
  <sheetData>
    <row r="1" spans="1:12" ht="29.25" customHeight="1">
      <c r="A1" s="1206" t="s">
        <v>471</v>
      </c>
      <c r="B1" s="1206"/>
      <c r="C1" s="1206"/>
      <c r="D1" s="1206"/>
      <c r="E1" s="1206"/>
      <c r="F1" s="1206"/>
      <c r="G1" s="1206"/>
      <c r="H1" s="1206"/>
      <c r="I1" s="1206"/>
      <c r="J1" s="792"/>
      <c r="K1" s="792"/>
      <c r="L1" s="792"/>
    </row>
    <row r="2" ht="12.75">
      <c r="C2" s="10"/>
    </row>
    <row r="3" spans="1:12" ht="14.25">
      <c r="A3" s="1207" t="s">
        <v>347</v>
      </c>
      <c r="B3" s="1207"/>
      <c r="C3" s="1207"/>
      <c r="D3" s="1207"/>
      <c r="E3" s="1207"/>
      <c r="F3" s="1207"/>
      <c r="G3" s="1207"/>
      <c r="H3" s="1207"/>
      <c r="I3" s="1207"/>
      <c r="J3" s="791"/>
      <c r="K3" s="791"/>
      <c r="L3" s="791"/>
    </row>
    <row r="4" spans="1:13" ht="16.5" thickBot="1">
      <c r="A4" s="346"/>
      <c r="B4" s="347"/>
      <c r="C4" s="345"/>
      <c r="D4" s="345"/>
      <c r="E4" s="348"/>
      <c r="F4" s="348"/>
      <c r="G4" s="348"/>
      <c r="H4" s="348"/>
      <c r="I4" s="345"/>
      <c r="J4" s="345"/>
      <c r="K4" s="345"/>
      <c r="L4" s="345"/>
      <c r="M4" s="342" t="s">
        <v>536</v>
      </c>
    </row>
    <row r="5" spans="1:16" s="352" customFormat="1" ht="31.5" customHeight="1" thickBot="1">
      <c r="A5" s="349" t="s">
        <v>1</v>
      </c>
      <c r="B5" s="350" t="s">
        <v>3</v>
      </c>
      <c r="C5" s="494" t="s">
        <v>348</v>
      </c>
      <c r="D5" s="351" t="s">
        <v>349</v>
      </c>
      <c r="E5" s="1203" t="s">
        <v>4</v>
      </c>
      <c r="F5" s="1204"/>
      <c r="G5" s="1204"/>
      <c r="H5" s="1205"/>
      <c r="I5" s="1203" t="s">
        <v>350</v>
      </c>
      <c r="J5" s="1204"/>
      <c r="K5" s="1204"/>
      <c r="L5" s="1205"/>
      <c r="M5" s="1203" t="s">
        <v>314</v>
      </c>
      <c r="N5" s="1204"/>
      <c r="O5" s="1204"/>
      <c r="P5" s="1205"/>
    </row>
    <row r="6" spans="1:15" s="352" customFormat="1" ht="31.5" customHeight="1" hidden="1" thickBot="1">
      <c r="A6" s="353"/>
      <c r="B6" s="354"/>
      <c r="C6" s="355"/>
      <c r="D6" s="356"/>
      <c r="E6" s="730"/>
      <c r="F6" s="730"/>
      <c r="G6" s="730"/>
      <c r="H6" s="730"/>
      <c r="I6" s="730"/>
      <c r="J6" s="862"/>
      <c r="K6" s="862"/>
      <c r="L6" s="862"/>
      <c r="N6" s="342"/>
      <c r="O6" s="342"/>
    </row>
    <row r="7" spans="1:16" s="352" customFormat="1" ht="24" customHeight="1" thickBot="1">
      <c r="A7" s="353"/>
      <c r="B7" s="354"/>
      <c r="C7" s="355"/>
      <c r="D7" s="356"/>
      <c r="E7" s="587" t="s">
        <v>325</v>
      </c>
      <c r="F7" s="587" t="s">
        <v>7</v>
      </c>
      <c r="G7" s="587" t="s">
        <v>541</v>
      </c>
      <c r="H7" s="587" t="s">
        <v>552</v>
      </c>
      <c r="I7" s="786" t="s">
        <v>325</v>
      </c>
      <c r="J7" s="587" t="s">
        <v>7</v>
      </c>
      <c r="K7" s="587" t="s">
        <v>541</v>
      </c>
      <c r="L7" s="587" t="s">
        <v>552</v>
      </c>
      <c r="M7" s="587" t="s">
        <v>325</v>
      </c>
      <c r="N7" s="587" t="s">
        <v>7</v>
      </c>
      <c r="O7" s="587" t="s">
        <v>541</v>
      </c>
      <c r="P7" s="587" t="s">
        <v>552</v>
      </c>
    </row>
    <row r="8" spans="1:16" ht="29.25" customHeight="1">
      <c r="A8" s="357"/>
      <c r="B8" s="358"/>
      <c r="C8" s="359"/>
      <c r="D8" s="360" t="s">
        <v>318</v>
      </c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</row>
    <row r="9" spans="1:16" ht="29.25" customHeight="1">
      <c r="A9" s="357">
        <v>1</v>
      </c>
      <c r="B9" s="358" t="s">
        <v>351</v>
      </c>
      <c r="C9" s="359" t="s">
        <v>581</v>
      </c>
      <c r="D9" s="360" t="s">
        <v>315</v>
      </c>
      <c r="E9" s="364">
        <v>370113</v>
      </c>
      <c r="F9" s="364">
        <v>370113</v>
      </c>
      <c r="G9" s="364"/>
      <c r="H9" s="364"/>
      <c r="I9" s="364">
        <v>370113</v>
      </c>
      <c r="J9" s="364">
        <v>370113</v>
      </c>
      <c r="K9" s="364"/>
      <c r="L9" s="364"/>
      <c r="M9" s="366">
        <f aca="true" t="shared" si="0" ref="M9:N21">+E9-I9</f>
        <v>0</v>
      </c>
      <c r="N9" s="366">
        <f t="shared" si="0"/>
        <v>0</v>
      </c>
      <c r="O9" s="364"/>
      <c r="P9" s="364"/>
    </row>
    <row r="10" spans="1:16" ht="29.25" customHeight="1">
      <c r="A10" s="357">
        <v>2</v>
      </c>
      <c r="B10" s="358" t="s">
        <v>351</v>
      </c>
      <c r="C10" s="359" t="s">
        <v>662</v>
      </c>
      <c r="D10" s="365" t="s">
        <v>318</v>
      </c>
      <c r="E10" s="366">
        <v>2986686</v>
      </c>
      <c r="F10" s="366">
        <v>2986686</v>
      </c>
      <c r="G10" s="366"/>
      <c r="H10" s="366"/>
      <c r="I10" s="366">
        <v>2986686</v>
      </c>
      <c r="J10" s="366">
        <v>2986686</v>
      </c>
      <c r="K10" s="366"/>
      <c r="L10" s="366"/>
      <c r="M10" s="366">
        <f t="shared" si="0"/>
        <v>0</v>
      </c>
      <c r="N10" s="366">
        <f t="shared" si="0"/>
        <v>0</v>
      </c>
      <c r="O10" s="366"/>
      <c r="P10" s="366"/>
    </row>
    <row r="11" spans="1:16" ht="29.25" customHeight="1">
      <c r="A11" s="357">
        <v>3</v>
      </c>
      <c r="B11" s="358" t="s">
        <v>351</v>
      </c>
      <c r="C11" s="359" t="s">
        <v>654</v>
      </c>
      <c r="D11" s="365" t="s">
        <v>318</v>
      </c>
      <c r="E11" s="366">
        <v>270000</v>
      </c>
      <c r="F11" s="366">
        <v>270000</v>
      </c>
      <c r="G11" s="366"/>
      <c r="H11" s="366"/>
      <c r="I11" s="366">
        <v>270000</v>
      </c>
      <c r="J11" s="366">
        <v>270000</v>
      </c>
      <c r="K11" s="366"/>
      <c r="L11" s="366"/>
      <c r="M11" s="366">
        <f t="shared" si="0"/>
        <v>0</v>
      </c>
      <c r="N11" s="366">
        <f t="shared" si="0"/>
        <v>0</v>
      </c>
      <c r="O11" s="366"/>
      <c r="P11" s="366"/>
    </row>
    <row r="12" spans="1:16" ht="29.25" customHeight="1">
      <c r="A12" s="357">
        <v>4</v>
      </c>
      <c r="B12" s="358" t="s">
        <v>351</v>
      </c>
      <c r="C12" s="965" t="s">
        <v>655</v>
      </c>
      <c r="D12" s="365" t="s">
        <v>318</v>
      </c>
      <c r="E12" s="364">
        <v>2318575</v>
      </c>
      <c r="F12" s="364">
        <v>2318575</v>
      </c>
      <c r="G12" s="361"/>
      <c r="H12" s="361"/>
      <c r="I12" s="364">
        <v>2318575</v>
      </c>
      <c r="J12" s="364">
        <v>2318575</v>
      </c>
      <c r="K12" s="361"/>
      <c r="L12" s="361"/>
      <c r="M12" s="366">
        <f t="shared" si="0"/>
        <v>0</v>
      </c>
      <c r="N12" s="366">
        <f t="shared" si="0"/>
        <v>0</v>
      </c>
      <c r="O12" s="361"/>
      <c r="P12" s="361"/>
    </row>
    <row r="13" spans="1:16" ht="29.25" customHeight="1">
      <c r="A13" s="357">
        <v>5</v>
      </c>
      <c r="B13" s="358" t="s">
        <v>351</v>
      </c>
      <c r="C13" s="966" t="s">
        <v>656</v>
      </c>
      <c r="D13" s="365" t="s">
        <v>318</v>
      </c>
      <c r="E13" s="364">
        <v>2509655</v>
      </c>
      <c r="F13" s="364">
        <v>2509655</v>
      </c>
      <c r="G13" s="361"/>
      <c r="H13" s="361"/>
      <c r="I13" s="364">
        <v>2509655</v>
      </c>
      <c r="J13" s="364">
        <v>2509655</v>
      </c>
      <c r="K13" s="361"/>
      <c r="L13" s="361"/>
      <c r="M13" s="366">
        <f t="shared" si="0"/>
        <v>0</v>
      </c>
      <c r="N13" s="366">
        <f t="shared" si="0"/>
        <v>0</v>
      </c>
      <c r="O13" s="361"/>
      <c r="P13" s="361"/>
    </row>
    <row r="14" spans="1:16" ht="29.25" customHeight="1">
      <c r="A14" s="357">
        <v>6</v>
      </c>
      <c r="B14" s="358" t="s">
        <v>351</v>
      </c>
      <c r="C14" s="966" t="s">
        <v>657</v>
      </c>
      <c r="D14" s="365" t="s">
        <v>318</v>
      </c>
      <c r="E14" s="364">
        <f>11082637+2955862</f>
        <v>14038499</v>
      </c>
      <c r="F14" s="364">
        <f>11082637+2955862</f>
        <v>14038499</v>
      </c>
      <c r="G14" s="361"/>
      <c r="H14" s="361"/>
      <c r="I14" s="364">
        <f>11082637+2955862</f>
        <v>14038499</v>
      </c>
      <c r="J14" s="364">
        <f>11082637+2955862</f>
        <v>14038499</v>
      </c>
      <c r="K14" s="361"/>
      <c r="L14" s="361"/>
      <c r="M14" s="366">
        <f t="shared" si="0"/>
        <v>0</v>
      </c>
      <c r="N14" s="366">
        <f t="shared" si="0"/>
        <v>0</v>
      </c>
      <c r="O14" s="361"/>
      <c r="P14" s="361"/>
    </row>
    <row r="15" spans="1:16" ht="29.25" customHeight="1">
      <c r="A15" s="357">
        <v>5</v>
      </c>
      <c r="B15" s="358" t="s">
        <v>351</v>
      </c>
      <c r="C15" s="966" t="s">
        <v>658</v>
      </c>
      <c r="D15" s="365" t="s">
        <v>318</v>
      </c>
      <c r="E15" s="364">
        <v>4624698</v>
      </c>
      <c r="F15" s="364">
        <v>4624698</v>
      </c>
      <c r="G15" s="361"/>
      <c r="H15" s="361"/>
      <c r="I15" s="364">
        <v>4624698</v>
      </c>
      <c r="J15" s="364">
        <v>4624698</v>
      </c>
      <c r="K15" s="361"/>
      <c r="L15" s="361"/>
      <c r="M15" s="366">
        <f t="shared" si="0"/>
        <v>0</v>
      </c>
      <c r="N15" s="366">
        <f t="shared" si="0"/>
        <v>0</v>
      </c>
      <c r="O15" s="361"/>
      <c r="P15" s="361"/>
    </row>
    <row r="16" spans="1:16" ht="29.25" customHeight="1">
      <c r="A16" s="357"/>
      <c r="B16" s="358" t="s">
        <v>351</v>
      </c>
      <c r="C16" s="966" t="s">
        <v>663</v>
      </c>
      <c r="D16" s="365"/>
      <c r="E16" s="967">
        <v>2900000</v>
      </c>
      <c r="F16" s="967">
        <v>2900000</v>
      </c>
      <c r="G16" s="361"/>
      <c r="H16" s="361"/>
      <c r="I16" s="967">
        <v>0</v>
      </c>
      <c r="J16" s="967">
        <v>0</v>
      </c>
      <c r="K16" s="361"/>
      <c r="L16" s="361"/>
      <c r="M16" s="366">
        <f t="shared" si="0"/>
        <v>2900000</v>
      </c>
      <c r="N16" s="366">
        <f t="shared" si="0"/>
        <v>2900000</v>
      </c>
      <c r="O16" s="361"/>
      <c r="P16" s="361"/>
    </row>
    <row r="17" spans="1:16" ht="29.25" customHeight="1">
      <c r="A17" s="357"/>
      <c r="B17" s="358" t="s">
        <v>351</v>
      </c>
      <c r="C17" s="966" t="s">
        <v>664</v>
      </c>
      <c r="D17" s="365"/>
      <c r="E17" s="967">
        <v>1397000</v>
      </c>
      <c r="F17" s="967">
        <v>1397000</v>
      </c>
      <c r="G17" s="361"/>
      <c r="H17" s="361"/>
      <c r="I17" s="967">
        <v>0</v>
      </c>
      <c r="J17" s="967">
        <v>0</v>
      </c>
      <c r="K17" s="361"/>
      <c r="L17" s="361"/>
      <c r="M17" s="366">
        <f t="shared" si="0"/>
        <v>1397000</v>
      </c>
      <c r="N17" s="366">
        <f t="shared" si="0"/>
        <v>1397000</v>
      </c>
      <c r="O17" s="361"/>
      <c r="P17" s="361"/>
    </row>
    <row r="18" spans="1:16" ht="29.25" customHeight="1">
      <c r="A18" s="357"/>
      <c r="B18" s="358" t="s">
        <v>351</v>
      </c>
      <c r="C18" s="966" t="s">
        <v>624</v>
      </c>
      <c r="D18" s="365"/>
      <c r="E18" s="967">
        <v>300000</v>
      </c>
      <c r="F18" s="967">
        <v>300000</v>
      </c>
      <c r="G18" s="361"/>
      <c r="H18" s="361"/>
      <c r="I18" s="967">
        <v>0</v>
      </c>
      <c r="J18" s="967">
        <v>0</v>
      </c>
      <c r="K18" s="361"/>
      <c r="L18" s="361"/>
      <c r="M18" s="366">
        <f t="shared" si="0"/>
        <v>300000</v>
      </c>
      <c r="N18" s="366">
        <f t="shared" si="0"/>
        <v>300000</v>
      </c>
      <c r="O18" s="361"/>
      <c r="P18" s="361"/>
    </row>
    <row r="19" spans="1:16" ht="29.25" customHeight="1">
      <c r="A19" s="357"/>
      <c r="B19" s="358" t="s">
        <v>351</v>
      </c>
      <c r="C19" s="966" t="s">
        <v>659</v>
      </c>
      <c r="D19" s="365" t="s">
        <v>318</v>
      </c>
      <c r="E19" s="967">
        <v>77520000</v>
      </c>
      <c r="F19" s="967">
        <v>77520000</v>
      </c>
      <c r="G19" s="361"/>
      <c r="H19" s="361"/>
      <c r="I19" s="967">
        <v>77520000</v>
      </c>
      <c r="J19" s="967">
        <v>77520000</v>
      </c>
      <c r="K19" s="361"/>
      <c r="L19" s="361"/>
      <c r="M19" s="366">
        <f t="shared" si="0"/>
        <v>0</v>
      </c>
      <c r="N19" s="366">
        <f t="shared" si="0"/>
        <v>0</v>
      </c>
      <c r="O19" s="361"/>
      <c r="P19" s="361"/>
    </row>
    <row r="20" spans="1:16" ht="29.25" customHeight="1">
      <c r="A20" s="357"/>
      <c r="B20" s="358" t="s">
        <v>351</v>
      </c>
      <c r="C20" s="966" t="s">
        <v>660</v>
      </c>
      <c r="D20" s="365" t="s">
        <v>318</v>
      </c>
      <c r="E20" s="967">
        <v>80000</v>
      </c>
      <c r="F20" s="967">
        <v>80000</v>
      </c>
      <c r="G20" s="361"/>
      <c r="H20" s="361"/>
      <c r="I20" s="967">
        <v>80000</v>
      </c>
      <c r="J20" s="967">
        <v>80000</v>
      </c>
      <c r="K20" s="361"/>
      <c r="L20" s="361"/>
      <c r="M20" s="366">
        <f t="shared" si="0"/>
        <v>0</v>
      </c>
      <c r="N20" s="366">
        <f t="shared" si="0"/>
        <v>0</v>
      </c>
      <c r="O20" s="361"/>
      <c r="P20" s="361"/>
    </row>
    <row r="21" spans="1:16" ht="29.25" customHeight="1" thickBot="1">
      <c r="A21" s="357"/>
      <c r="B21" s="358" t="s">
        <v>351</v>
      </c>
      <c r="C21" s="966" t="s">
        <v>661</v>
      </c>
      <c r="D21" s="365" t="s">
        <v>318</v>
      </c>
      <c r="E21" s="967">
        <v>2240755</v>
      </c>
      <c r="F21" s="967">
        <v>2240755</v>
      </c>
      <c r="G21" s="361"/>
      <c r="H21" s="361"/>
      <c r="I21" s="968">
        <v>1699999</v>
      </c>
      <c r="J21" s="968">
        <v>1699999</v>
      </c>
      <c r="K21" s="361"/>
      <c r="L21" s="361"/>
      <c r="M21" s="366">
        <f t="shared" si="0"/>
        <v>540756</v>
      </c>
      <c r="N21" s="366">
        <f t="shared" si="0"/>
        <v>540756</v>
      </c>
      <c r="O21" s="361"/>
      <c r="P21" s="361"/>
    </row>
    <row r="22" spans="1:16" ht="31.5" customHeight="1" thickBot="1">
      <c r="A22" s="1209" t="s">
        <v>293</v>
      </c>
      <c r="B22" s="1209"/>
      <c r="C22" s="1209"/>
      <c r="D22" s="368"/>
      <c r="E22" s="369">
        <f aca="true" t="shared" si="1" ref="E22:P22">SUM(E8:E21)</f>
        <v>111555981</v>
      </c>
      <c r="F22" s="369">
        <f t="shared" si="1"/>
        <v>111555981</v>
      </c>
      <c r="G22" s="369">
        <f t="shared" si="1"/>
        <v>0</v>
      </c>
      <c r="H22" s="369">
        <f t="shared" si="1"/>
        <v>0</v>
      </c>
      <c r="I22" s="369">
        <f t="shared" si="1"/>
        <v>106418225</v>
      </c>
      <c r="J22" s="369">
        <f t="shared" si="1"/>
        <v>106418225</v>
      </c>
      <c r="K22" s="369">
        <f t="shared" si="1"/>
        <v>0</v>
      </c>
      <c r="L22" s="369">
        <f t="shared" si="1"/>
        <v>0</v>
      </c>
      <c r="M22" s="369">
        <f t="shared" si="1"/>
        <v>5137756</v>
      </c>
      <c r="N22" s="369">
        <f t="shared" si="1"/>
        <v>5137756</v>
      </c>
      <c r="O22" s="369">
        <f t="shared" si="1"/>
        <v>0</v>
      </c>
      <c r="P22" s="369">
        <f t="shared" si="1"/>
        <v>0</v>
      </c>
    </row>
    <row r="23" spans="1:16" ht="31.5" customHeight="1">
      <c r="A23" s="345"/>
      <c r="B23" s="345"/>
      <c r="C23" s="345"/>
      <c r="D23" s="370"/>
      <c r="E23" s="732"/>
      <c r="F23" s="732"/>
      <c r="G23" s="732"/>
      <c r="H23" s="732"/>
      <c r="I23" s="371"/>
      <c r="J23" s="371"/>
      <c r="K23" s="371"/>
      <c r="L23" s="371"/>
      <c r="P23" s="344"/>
    </row>
    <row r="24" spans="1:18" ht="15.75">
      <c r="A24" s="345"/>
      <c r="B24" s="345"/>
      <c r="C24" s="345"/>
      <c r="D24" s="370"/>
      <c r="E24" s="732"/>
      <c r="F24" s="732"/>
      <c r="G24" s="732"/>
      <c r="H24" s="732"/>
      <c r="I24" s="372"/>
      <c r="J24" s="372"/>
      <c r="K24" s="372"/>
      <c r="L24" s="372"/>
      <c r="R24" s="344"/>
    </row>
    <row r="25" spans="1:12" ht="14.25">
      <c r="A25" s="1207" t="s">
        <v>352</v>
      </c>
      <c r="B25" s="1207"/>
      <c r="C25" s="1207"/>
      <c r="D25" s="1207"/>
      <c r="E25" s="1207"/>
      <c r="F25" s="1207"/>
      <c r="G25" s="1207"/>
      <c r="H25" s="1207"/>
      <c r="I25" s="1207"/>
      <c r="J25" s="791"/>
      <c r="K25" s="791"/>
      <c r="L25" s="791"/>
    </row>
    <row r="26" spans="1:12" ht="13.5" thickBot="1">
      <c r="A26" s="343"/>
      <c r="B26" s="343"/>
      <c r="C26" s="343"/>
      <c r="E26" s="343"/>
      <c r="F26" s="343"/>
      <c r="G26" s="343"/>
      <c r="H26" s="343"/>
      <c r="I26" s="343"/>
      <c r="J26" s="343"/>
      <c r="K26" s="343"/>
      <c r="L26" s="343"/>
    </row>
    <row r="27" spans="1:16" ht="29.25" customHeight="1" thickBot="1">
      <c r="A27" s="349" t="s">
        <v>1</v>
      </c>
      <c r="B27" s="350"/>
      <c r="C27" s="494" t="s">
        <v>353</v>
      </c>
      <c r="D27" s="351" t="s">
        <v>349</v>
      </c>
      <c r="E27" s="1203" t="s">
        <v>4</v>
      </c>
      <c r="F27" s="1204"/>
      <c r="G27" s="1204"/>
      <c r="H27" s="1205"/>
      <c r="I27" s="1203" t="s">
        <v>350</v>
      </c>
      <c r="J27" s="1204"/>
      <c r="K27" s="1204"/>
      <c r="L27" s="1205"/>
      <c r="M27" s="1203" t="s">
        <v>314</v>
      </c>
      <c r="N27" s="1204"/>
      <c r="O27" s="1204"/>
      <c r="P27" s="1205"/>
    </row>
    <row r="28" spans="1:13" ht="28.5" customHeight="1" hidden="1">
      <c r="A28" s="373"/>
      <c r="B28" s="374"/>
      <c r="C28" s="355"/>
      <c r="D28" s="375"/>
      <c r="E28" s="730"/>
      <c r="F28" s="730"/>
      <c r="G28" s="730"/>
      <c r="H28" s="730"/>
      <c r="I28" s="730"/>
      <c r="J28" s="862"/>
      <c r="K28" s="862"/>
      <c r="L28" s="862"/>
      <c r="M28" s="352"/>
    </row>
    <row r="29" spans="1:16" ht="28.5" customHeight="1" hidden="1" thickBot="1">
      <c r="A29" s="373"/>
      <c r="B29" s="374"/>
      <c r="C29" s="355"/>
      <c r="D29" s="375"/>
      <c r="E29" s="587" t="s">
        <v>325</v>
      </c>
      <c r="F29" s="587" t="s">
        <v>7</v>
      </c>
      <c r="G29" s="587" t="s">
        <v>541</v>
      </c>
      <c r="H29" s="587" t="s">
        <v>552</v>
      </c>
      <c r="I29" s="786" t="s">
        <v>325</v>
      </c>
      <c r="J29" s="587" t="s">
        <v>7</v>
      </c>
      <c r="K29" s="587" t="s">
        <v>541</v>
      </c>
      <c r="L29" s="587" t="s">
        <v>552</v>
      </c>
      <c r="M29" s="587" t="s">
        <v>325</v>
      </c>
      <c r="N29" s="587" t="s">
        <v>7</v>
      </c>
      <c r="O29" s="587" t="s">
        <v>541</v>
      </c>
      <c r="P29" s="587" t="s">
        <v>552</v>
      </c>
    </row>
    <row r="30" spans="1:16" ht="29.25" customHeight="1">
      <c r="A30" s="376">
        <v>1</v>
      </c>
      <c r="B30" s="377" t="s">
        <v>354</v>
      </c>
      <c r="C30" s="965" t="s">
        <v>665</v>
      </c>
      <c r="D30" s="365" t="s">
        <v>318</v>
      </c>
      <c r="E30" s="968">
        <v>14999999</v>
      </c>
      <c r="F30" s="968">
        <v>14999999</v>
      </c>
      <c r="G30" s="540"/>
      <c r="H30" s="540"/>
      <c r="I30" s="968">
        <v>14999999</v>
      </c>
      <c r="J30" s="968">
        <v>14999999</v>
      </c>
      <c r="K30" s="361"/>
      <c r="L30" s="361"/>
      <c r="M30" s="366">
        <f aca="true" t="shared" si="2" ref="M30:N34">+E30-I30</f>
        <v>0</v>
      </c>
      <c r="N30" s="366">
        <f t="shared" si="2"/>
        <v>0</v>
      </c>
      <c r="O30" s="540"/>
      <c r="P30" s="540"/>
    </row>
    <row r="31" spans="1:16" ht="29.25" customHeight="1">
      <c r="A31" s="378">
        <v>2</v>
      </c>
      <c r="B31" s="379" t="s">
        <v>354</v>
      </c>
      <c r="C31" s="965" t="s">
        <v>666</v>
      </c>
      <c r="D31" s="380" t="s">
        <v>318</v>
      </c>
      <c r="E31" s="967">
        <v>2762000</v>
      </c>
      <c r="F31" s="967">
        <v>2762000</v>
      </c>
      <c r="G31" s="586"/>
      <c r="H31" s="586"/>
      <c r="I31" s="968">
        <v>1727000</v>
      </c>
      <c r="J31" s="968">
        <v>1727000</v>
      </c>
      <c r="K31" s="361"/>
      <c r="L31" s="361"/>
      <c r="M31" s="366">
        <f t="shared" si="2"/>
        <v>1035000</v>
      </c>
      <c r="N31" s="366">
        <f t="shared" si="2"/>
        <v>1035000</v>
      </c>
      <c r="O31" s="586"/>
      <c r="P31" s="586"/>
    </row>
    <row r="32" spans="1:16" ht="29.25" customHeight="1">
      <c r="A32" s="378">
        <v>3</v>
      </c>
      <c r="B32" s="379" t="s">
        <v>354</v>
      </c>
      <c r="C32" s="359" t="s">
        <v>667</v>
      </c>
      <c r="D32" s="365" t="s">
        <v>318</v>
      </c>
      <c r="E32" s="361">
        <v>1046427</v>
      </c>
      <c r="F32" s="361">
        <v>1046427</v>
      </c>
      <c r="G32" s="586"/>
      <c r="H32" s="586"/>
      <c r="I32" s="361">
        <v>0</v>
      </c>
      <c r="J32" s="361">
        <v>0</v>
      </c>
      <c r="K32" s="361"/>
      <c r="L32" s="361"/>
      <c r="M32" s="366">
        <f t="shared" si="2"/>
        <v>1046427</v>
      </c>
      <c r="N32" s="366">
        <f t="shared" si="2"/>
        <v>1046427</v>
      </c>
      <c r="O32" s="586"/>
      <c r="P32" s="586"/>
    </row>
    <row r="33" spans="1:16" ht="29.25" customHeight="1" thickBot="1">
      <c r="A33" s="378">
        <v>4</v>
      </c>
      <c r="B33" s="379" t="s">
        <v>354</v>
      </c>
      <c r="C33" s="785" t="s">
        <v>701</v>
      </c>
      <c r="D33" s="380" t="s">
        <v>318</v>
      </c>
      <c r="E33" s="364"/>
      <c r="F33" s="364">
        <v>234338</v>
      </c>
      <c r="G33" s="364"/>
      <c r="H33" s="364"/>
      <c r="I33" s="364"/>
      <c r="J33" s="364">
        <v>209338</v>
      </c>
      <c r="K33" s="366"/>
      <c r="L33" s="586"/>
      <c r="M33" s="366">
        <f t="shared" si="2"/>
        <v>0</v>
      </c>
      <c r="N33" s="366">
        <f t="shared" si="2"/>
        <v>25000</v>
      </c>
      <c r="O33" s="586"/>
      <c r="P33" s="586"/>
    </row>
    <row r="34" spans="1:16" ht="29.25" customHeight="1" hidden="1">
      <c r="A34" s="378">
        <v>5</v>
      </c>
      <c r="B34" s="379" t="s">
        <v>354</v>
      </c>
      <c r="C34" s="359"/>
      <c r="D34" s="380" t="s">
        <v>318</v>
      </c>
      <c r="E34" s="364"/>
      <c r="F34" s="364"/>
      <c r="G34" s="363"/>
      <c r="H34" s="363"/>
      <c r="I34" s="364"/>
      <c r="J34" s="364"/>
      <c r="K34" s="363"/>
      <c r="L34" s="363"/>
      <c r="M34" s="366">
        <f t="shared" si="2"/>
        <v>0</v>
      </c>
      <c r="N34" s="366">
        <f t="shared" si="2"/>
        <v>0</v>
      </c>
      <c r="O34" s="362"/>
      <c r="P34" s="363"/>
    </row>
    <row r="35" spans="1:16" ht="29.25" customHeight="1" hidden="1">
      <c r="A35" s="378"/>
      <c r="B35" s="379"/>
      <c r="C35" s="359"/>
      <c r="D35" s="381"/>
      <c r="E35" s="363"/>
      <c r="F35" s="363"/>
      <c r="G35" s="363"/>
      <c r="H35" s="363"/>
      <c r="I35" s="363"/>
      <c r="J35" s="363"/>
      <c r="K35" s="363"/>
      <c r="L35" s="363"/>
      <c r="M35" s="362"/>
      <c r="N35" s="362"/>
      <c r="O35" s="362"/>
      <c r="P35" s="363"/>
    </row>
    <row r="36" spans="1:16" ht="29.25" customHeight="1" hidden="1" thickBot="1">
      <c r="A36" s="378"/>
      <c r="B36" s="367"/>
      <c r="C36" s="382"/>
      <c r="D36" s="360"/>
      <c r="E36" s="363"/>
      <c r="F36" s="363"/>
      <c r="G36" s="363"/>
      <c r="H36" s="363"/>
      <c r="I36" s="363"/>
      <c r="J36" s="363"/>
      <c r="K36" s="363"/>
      <c r="L36" s="363"/>
      <c r="M36" s="362"/>
      <c r="N36" s="362"/>
      <c r="O36" s="362"/>
      <c r="P36" s="363"/>
    </row>
    <row r="37" spans="1:16" ht="29.25" customHeight="1" thickBot="1">
      <c r="A37" s="1208" t="s">
        <v>293</v>
      </c>
      <c r="B37" s="1208"/>
      <c r="C37" s="1208"/>
      <c r="D37" s="368"/>
      <c r="E37" s="733">
        <f aca="true" t="shared" si="3" ref="E37:P37">SUM(E30:E36)</f>
        <v>18808426</v>
      </c>
      <c r="F37" s="733">
        <f t="shared" si="3"/>
        <v>19042764</v>
      </c>
      <c r="G37" s="733">
        <f t="shared" si="3"/>
        <v>0</v>
      </c>
      <c r="H37" s="733">
        <f t="shared" si="3"/>
        <v>0</v>
      </c>
      <c r="I37" s="733">
        <f t="shared" si="3"/>
        <v>16726999</v>
      </c>
      <c r="J37" s="733">
        <f t="shared" si="3"/>
        <v>16936337</v>
      </c>
      <c r="K37" s="733">
        <f t="shared" si="3"/>
        <v>0</v>
      </c>
      <c r="L37" s="733">
        <f t="shared" si="3"/>
        <v>0</v>
      </c>
      <c r="M37" s="787">
        <f t="shared" si="3"/>
        <v>2081427</v>
      </c>
      <c r="N37" s="787">
        <f t="shared" si="3"/>
        <v>2106427</v>
      </c>
      <c r="O37" s="787">
        <f t="shared" si="3"/>
        <v>0</v>
      </c>
      <c r="P37" s="733">
        <f t="shared" si="3"/>
        <v>0</v>
      </c>
    </row>
    <row r="39" ht="12.75">
      <c r="I39" s="344"/>
    </row>
    <row r="40" spans="9:12" ht="12.75">
      <c r="I40" s="344"/>
      <c r="J40" s="344"/>
      <c r="K40" s="344"/>
      <c r="L40" s="344"/>
    </row>
  </sheetData>
  <sheetProtection selectLockedCells="1" selectUnlockedCells="1"/>
  <mergeCells count="11">
    <mergeCell ref="I27:L27"/>
    <mergeCell ref="I5:L5"/>
    <mergeCell ref="M5:P5"/>
    <mergeCell ref="M27:P27"/>
    <mergeCell ref="A1:I1"/>
    <mergeCell ref="A3:I3"/>
    <mergeCell ref="A37:C37"/>
    <mergeCell ref="A22:C22"/>
    <mergeCell ref="A25:I25"/>
    <mergeCell ref="E5:H5"/>
    <mergeCell ref="E27:H27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89" r:id="rId1"/>
  <headerFooter alignWithMargins="0">
    <oddHeader>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B28" sqref="B28:C28"/>
    </sheetView>
  </sheetViews>
  <sheetFormatPr defaultColWidth="9.140625" defaultRowHeight="12.75"/>
  <cols>
    <col min="1" max="1" width="9.140625" style="1081" customWidth="1"/>
    <col min="2" max="2" width="12.00390625" style="1081" customWidth="1"/>
    <col min="3" max="3" width="41.7109375" style="1081" customWidth="1"/>
    <col min="4" max="5" width="12.7109375" style="1085" customWidth="1"/>
    <col min="6" max="7" width="12.7109375" style="1085" hidden="1" customWidth="1"/>
    <col min="8" max="9" width="14.57421875" style="1086" customWidth="1"/>
    <col min="10" max="11" width="14.57421875" style="1086" hidden="1" customWidth="1"/>
    <col min="12" max="12" width="13.28125" style="1081" customWidth="1"/>
    <col min="13" max="13" width="13.421875" style="1081" customWidth="1"/>
    <col min="14" max="14" width="11.57421875" style="1081" hidden="1" customWidth="1"/>
    <col min="15" max="15" width="11.421875" style="1081" hidden="1" customWidth="1"/>
    <col min="16" max="16384" width="9.140625" style="1081" customWidth="1"/>
  </cols>
  <sheetData>
    <row r="1" spans="3:11" ht="12.75">
      <c r="C1" s="808"/>
      <c r="D1" s="1082"/>
      <c r="E1" s="1082"/>
      <c r="F1" s="1082"/>
      <c r="G1" s="1082"/>
      <c r="H1" s="1083"/>
      <c r="I1" s="1083"/>
      <c r="J1" s="1083"/>
      <c r="K1" s="1083"/>
    </row>
    <row r="2" spans="1:13" ht="31.5" customHeight="1">
      <c r="A2" s="1217" t="s">
        <v>476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</row>
    <row r="3" spans="1:13" ht="15" customHeight="1">
      <c r="A3" s="1218" t="s">
        <v>641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</row>
    <row r="4" spans="1:13" ht="15" customHeight="1">
      <c r="A4" s="1219" t="s">
        <v>298</v>
      </c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</row>
    <row r="5" spans="2:12" ht="13.5" thickBot="1">
      <c r="B5" s="1084"/>
      <c r="C5" s="1084"/>
      <c r="L5" s="1081" t="s">
        <v>536</v>
      </c>
    </row>
    <row r="6" spans="1:15" s="1088" customFormat="1" ht="41.25" customHeight="1" thickBot="1">
      <c r="A6" s="1087" t="s">
        <v>1</v>
      </c>
      <c r="B6" s="1227" t="s">
        <v>134</v>
      </c>
      <c r="C6" s="1227"/>
      <c r="D6" s="1214" t="s">
        <v>4</v>
      </c>
      <c r="E6" s="1215"/>
      <c r="F6" s="1215"/>
      <c r="G6" s="1216"/>
      <c r="H6" s="1214" t="s">
        <v>244</v>
      </c>
      <c r="I6" s="1215"/>
      <c r="J6" s="1215"/>
      <c r="K6" s="1216"/>
      <c r="L6" s="1214" t="s">
        <v>299</v>
      </c>
      <c r="M6" s="1215"/>
      <c r="N6" s="1215"/>
      <c r="O6" s="1216"/>
    </row>
    <row r="7" spans="1:15" s="1088" customFormat="1" ht="27" customHeight="1" thickBot="1">
      <c r="A7" s="1089"/>
      <c r="B7" s="1090"/>
      <c r="C7" s="1090"/>
      <c r="D7" s="1091" t="s">
        <v>6</v>
      </c>
      <c r="E7" s="1091" t="s">
        <v>136</v>
      </c>
      <c r="F7" s="1091" t="s">
        <v>137</v>
      </c>
      <c r="G7" s="1091" t="s">
        <v>138</v>
      </c>
      <c r="H7" s="1091" t="s">
        <v>6</v>
      </c>
      <c r="I7" s="1091" t="s">
        <v>136</v>
      </c>
      <c r="J7" s="1091" t="s">
        <v>137</v>
      </c>
      <c r="K7" s="1091" t="s">
        <v>138</v>
      </c>
      <c r="L7" s="1091" t="s">
        <v>6</v>
      </c>
      <c r="M7" s="1091" t="s">
        <v>136</v>
      </c>
      <c r="N7" s="1091" t="s">
        <v>137</v>
      </c>
      <c r="O7" s="1091" t="s">
        <v>138</v>
      </c>
    </row>
    <row r="8" spans="1:15" s="1088" customFormat="1" ht="36" customHeight="1" thickBot="1">
      <c r="A8" s="1087">
        <v>1</v>
      </c>
      <c r="B8" s="1228" t="s">
        <v>526</v>
      </c>
      <c r="C8" s="1229"/>
      <c r="D8" s="1092">
        <v>202000</v>
      </c>
      <c r="E8" s="1092">
        <v>202000</v>
      </c>
      <c r="F8" s="1092"/>
      <c r="G8" s="1092"/>
      <c r="H8" s="1092">
        <v>202000</v>
      </c>
      <c r="I8" s="1092">
        <v>202000</v>
      </c>
      <c r="J8" s="1092"/>
      <c r="K8" s="1092"/>
      <c r="L8" s="1093"/>
      <c r="M8" s="1093"/>
      <c r="N8" s="1093"/>
      <c r="O8" s="1093"/>
    </row>
    <row r="9" spans="1:15" s="1088" customFormat="1" ht="19.5" customHeight="1" thickBot="1">
      <c r="A9" s="1094">
        <v>2</v>
      </c>
      <c r="B9" s="1221" t="s">
        <v>300</v>
      </c>
      <c r="C9" s="1222"/>
      <c r="D9" s="780">
        <v>501650</v>
      </c>
      <c r="E9" s="780">
        <v>501650</v>
      </c>
      <c r="F9" s="780"/>
      <c r="G9" s="780"/>
      <c r="H9" s="780">
        <v>501650</v>
      </c>
      <c r="I9" s="780">
        <v>501650</v>
      </c>
      <c r="J9" s="780"/>
      <c r="K9" s="780"/>
      <c r="L9" s="1093"/>
      <c r="M9" s="1093"/>
      <c r="N9" s="1093"/>
      <c r="O9" s="1093"/>
    </row>
    <row r="10" spans="1:15" s="1088" customFormat="1" ht="19.5" customHeight="1" thickBot="1">
      <c r="A10" s="1087">
        <v>3</v>
      </c>
      <c r="B10" s="291" t="s">
        <v>301</v>
      </c>
      <c r="C10" s="779"/>
      <c r="D10" s="780">
        <v>578612</v>
      </c>
      <c r="E10" s="780">
        <v>578612</v>
      </c>
      <c r="F10" s="780"/>
      <c r="G10" s="780"/>
      <c r="H10" s="780">
        <v>578612</v>
      </c>
      <c r="I10" s="780">
        <v>578612</v>
      </c>
      <c r="J10" s="780"/>
      <c r="K10" s="780"/>
      <c r="L10" s="1093"/>
      <c r="M10" s="1093"/>
      <c r="N10" s="1093"/>
      <c r="O10" s="1093"/>
    </row>
    <row r="11" spans="1:15" s="1088" customFormat="1" ht="19.5" customHeight="1" thickBot="1">
      <c r="A11" s="1094">
        <v>4</v>
      </c>
      <c r="B11" s="1223" t="s">
        <v>527</v>
      </c>
      <c r="C11" s="1224"/>
      <c r="D11" s="780">
        <v>2759964</v>
      </c>
      <c r="E11" s="780">
        <v>2767465</v>
      </c>
      <c r="F11" s="780"/>
      <c r="G11" s="780"/>
      <c r="H11" s="780">
        <v>2759964</v>
      </c>
      <c r="I11" s="780">
        <v>2767465</v>
      </c>
      <c r="J11" s="780"/>
      <c r="K11" s="780"/>
      <c r="L11" s="1093"/>
      <c r="M11" s="1093"/>
      <c r="N11" s="1093"/>
      <c r="O11" s="1093"/>
    </row>
    <row r="12" spans="1:15" s="1088" customFormat="1" ht="19.5" customHeight="1" thickBot="1">
      <c r="A12" s="1087">
        <v>5</v>
      </c>
      <c r="B12" s="1223" t="s">
        <v>302</v>
      </c>
      <c r="C12" s="1224"/>
      <c r="D12" s="780">
        <v>1103000</v>
      </c>
      <c r="E12" s="780">
        <v>1103000</v>
      </c>
      <c r="F12" s="780"/>
      <c r="G12" s="780"/>
      <c r="H12" s="780"/>
      <c r="I12" s="780"/>
      <c r="J12" s="780"/>
      <c r="K12" s="780"/>
      <c r="L12" s="780">
        <v>1103000</v>
      </c>
      <c r="M12" s="780">
        <v>1103000</v>
      </c>
      <c r="N12" s="780"/>
      <c r="O12" s="780"/>
    </row>
    <row r="13" spans="1:15" s="1088" customFormat="1" ht="19.5" customHeight="1" thickBot="1">
      <c r="A13" s="1094">
        <v>6</v>
      </c>
      <c r="B13" s="1223" t="s">
        <v>303</v>
      </c>
      <c r="C13" s="1224"/>
      <c r="D13" s="780">
        <v>767174</v>
      </c>
      <c r="E13" s="780">
        <v>767174</v>
      </c>
      <c r="F13" s="780"/>
      <c r="G13" s="780"/>
      <c r="H13" s="780">
        <v>767174</v>
      </c>
      <c r="I13" s="780">
        <v>767174</v>
      </c>
      <c r="J13" s="780"/>
      <c r="K13" s="780"/>
      <c r="L13" s="1093"/>
      <c r="M13" s="1093"/>
      <c r="N13" s="1093"/>
      <c r="O13" s="1093"/>
    </row>
    <row r="14" spans="1:15" s="1088" customFormat="1" ht="19.5" customHeight="1" thickBot="1">
      <c r="A14" s="1087">
        <v>7</v>
      </c>
      <c r="B14" s="1223" t="s">
        <v>304</v>
      </c>
      <c r="C14" s="1224"/>
      <c r="D14" s="781">
        <v>1441643</v>
      </c>
      <c r="E14" s="781">
        <v>1441643</v>
      </c>
      <c r="F14" s="781"/>
      <c r="G14" s="781"/>
      <c r="H14" s="781">
        <v>1441643</v>
      </c>
      <c r="I14" s="781">
        <v>1441643</v>
      </c>
      <c r="J14" s="781"/>
      <c r="K14" s="781"/>
      <c r="L14" s="1093"/>
      <c r="M14" s="1093"/>
      <c r="N14" s="1093"/>
      <c r="O14" s="1093"/>
    </row>
    <row r="15" spans="1:15" ht="19.5" customHeight="1" thickBot="1">
      <c r="A15" s="1094">
        <v>8</v>
      </c>
      <c r="B15" s="1095" t="s">
        <v>305</v>
      </c>
      <c r="C15" s="1096"/>
      <c r="D15" s="781">
        <v>825500</v>
      </c>
      <c r="E15" s="781">
        <v>855500</v>
      </c>
      <c r="F15" s="781"/>
      <c r="G15" s="781"/>
      <c r="H15" s="781">
        <v>825500</v>
      </c>
      <c r="I15" s="781">
        <v>855500</v>
      </c>
      <c r="J15" s="781"/>
      <c r="K15" s="781"/>
      <c r="L15" s="1097"/>
      <c r="M15" s="1097"/>
      <c r="N15" s="1097"/>
      <c r="O15" s="1097"/>
    </row>
    <row r="16" spans="1:15" ht="19.5" customHeight="1" thickBot="1">
      <c r="A16" s="1087">
        <v>9</v>
      </c>
      <c r="B16" s="1223" t="s">
        <v>306</v>
      </c>
      <c r="C16" s="1224"/>
      <c r="D16" s="781">
        <v>2829520</v>
      </c>
      <c r="E16" s="781">
        <v>2908720</v>
      </c>
      <c r="F16" s="781"/>
      <c r="G16" s="781"/>
      <c r="H16" s="781">
        <v>2829520</v>
      </c>
      <c r="I16" s="781">
        <v>2908720</v>
      </c>
      <c r="J16" s="781"/>
      <c r="K16" s="781"/>
      <c r="L16" s="1097"/>
      <c r="M16" s="1097"/>
      <c r="N16" s="1097"/>
      <c r="O16" s="1097"/>
    </row>
    <row r="17" spans="1:15" ht="19.5" customHeight="1" thickBot="1">
      <c r="A17" s="1094">
        <v>10</v>
      </c>
      <c r="B17" s="1223" t="s">
        <v>307</v>
      </c>
      <c r="C17" s="1224"/>
      <c r="D17" s="781">
        <v>5782657</v>
      </c>
      <c r="E17" s="781">
        <v>5792657</v>
      </c>
      <c r="F17" s="781"/>
      <c r="G17" s="781"/>
      <c r="H17" s="781">
        <v>5782657</v>
      </c>
      <c r="I17" s="781">
        <v>5792657</v>
      </c>
      <c r="J17" s="781"/>
      <c r="K17" s="781"/>
      <c r="L17" s="1097"/>
      <c r="M17" s="1097"/>
      <c r="N17" s="1097"/>
      <c r="O17" s="1097"/>
    </row>
    <row r="18" spans="1:15" ht="19.5" customHeight="1" thickBot="1">
      <c r="A18" s="1087">
        <v>11</v>
      </c>
      <c r="B18" s="1223" t="s">
        <v>308</v>
      </c>
      <c r="C18" s="1224"/>
      <c r="D18" s="781">
        <v>6000</v>
      </c>
      <c r="E18" s="781">
        <v>6000</v>
      </c>
      <c r="F18" s="781"/>
      <c r="G18" s="781"/>
      <c r="H18" s="781">
        <v>6000</v>
      </c>
      <c r="I18" s="781">
        <v>6000</v>
      </c>
      <c r="J18" s="781"/>
      <c r="K18" s="781"/>
      <c r="L18" s="1097"/>
      <c r="M18" s="1097"/>
      <c r="N18" s="1097"/>
      <c r="O18" s="1097"/>
    </row>
    <row r="19" spans="1:15" ht="19.5" customHeight="1" thickBot="1">
      <c r="A19" s="1094">
        <v>12</v>
      </c>
      <c r="B19" s="1210" t="s">
        <v>309</v>
      </c>
      <c r="C19" s="1211"/>
      <c r="D19" s="781">
        <v>285750</v>
      </c>
      <c r="E19" s="781">
        <v>285750</v>
      </c>
      <c r="F19" s="781"/>
      <c r="G19" s="781"/>
      <c r="H19" s="781">
        <v>285750</v>
      </c>
      <c r="I19" s="781">
        <v>285750</v>
      </c>
      <c r="J19" s="781"/>
      <c r="K19" s="781"/>
      <c r="L19" s="1097"/>
      <c r="M19" s="1097"/>
      <c r="N19" s="1097"/>
      <c r="O19" s="1097"/>
    </row>
    <row r="20" spans="1:15" ht="19.5" customHeight="1" thickBot="1">
      <c r="A20" s="1087">
        <v>13</v>
      </c>
      <c r="B20" s="1210" t="s">
        <v>310</v>
      </c>
      <c r="C20" s="1211"/>
      <c r="D20" s="1097">
        <v>1086602</v>
      </c>
      <c r="E20" s="1097">
        <v>1086602</v>
      </c>
      <c r="F20" s="781"/>
      <c r="G20" s="781"/>
      <c r="H20" s="1097">
        <v>1086602</v>
      </c>
      <c r="I20" s="1097">
        <v>1086602</v>
      </c>
      <c r="J20" s="781"/>
      <c r="K20" s="781"/>
      <c r="L20" s="1097"/>
      <c r="M20" s="1097"/>
      <c r="N20" s="1097"/>
      <c r="O20" s="1097"/>
    </row>
    <row r="21" spans="1:15" ht="19.5" customHeight="1" thickBot="1">
      <c r="A21" s="1094">
        <v>14</v>
      </c>
      <c r="B21" s="1212" t="s">
        <v>431</v>
      </c>
      <c r="C21" s="1213"/>
      <c r="D21" s="1097">
        <v>180000</v>
      </c>
      <c r="E21" s="1097">
        <v>180000</v>
      </c>
      <c r="F21" s="1097"/>
      <c r="G21" s="1097"/>
      <c r="H21" s="1097">
        <v>180000</v>
      </c>
      <c r="I21" s="1097">
        <v>180000</v>
      </c>
      <c r="J21" s="1097"/>
      <c r="K21" s="1097"/>
      <c r="L21" s="1097"/>
      <c r="M21" s="1097"/>
      <c r="N21" s="1097"/>
      <c r="O21" s="1097"/>
    </row>
    <row r="22" spans="1:15" ht="19.5" customHeight="1" thickBot="1">
      <c r="A22" s="1087">
        <v>15</v>
      </c>
      <c r="B22" s="1098" t="s">
        <v>517</v>
      </c>
      <c r="C22" s="1099"/>
      <c r="D22" s="1097">
        <f>304320+7920000</f>
        <v>8224320</v>
      </c>
      <c r="E22" s="1097">
        <v>8239320</v>
      </c>
      <c r="F22" s="1097"/>
      <c r="G22" s="1097"/>
      <c r="H22" s="1097">
        <f>+D22-L22</f>
        <v>304320</v>
      </c>
      <c r="I22" s="1097">
        <f>+E22-M22</f>
        <v>319320</v>
      </c>
      <c r="J22" s="1097"/>
      <c r="K22" s="1097"/>
      <c r="L22" s="1097">
        <v>7920000</v>
      </c>
      <c r="M22" s="1097">
        <v>7920000</v>
      </c>
      <c r="N22" s="1097"/>
      <c r="O22" s="1097"/>
    </row>
    <row r="23" spans="1:15" ht="19.5" customHeight="1" thickBot="1">
      <c r="A23" s="1100">
        <v>16</v>
      </c>
      <c r="B23" s="1098" t="s">
        <v>582</v>
      </c>
      <c r="C23" s="1099"/>
      <c r="D23" s="1097">
        <v>2918753</v>
      </c>
      <c r="E23" s="1097">
        <v>2918753</v>
      </c>
      <c r="F23" s="1097"/>
      <c r="G23" s="1097"/>
      <c r="H23" s="1097"/>
      <c r="I23" s="1097"/>
      <c r="J23" s="1097"/>
      <c r="K23" s="1097"/>
      <c r="L23" s="1097">
        <v>2918753</v>
      </c>
      <c r="M23" s="1097">
        <v>2918753</v>
      </c>
      <c r="N23" s="1097"/>
      <c r="O23" s="1097"/>
    </row>
    <row r="24" spans="1:15" ht="19.5" customHeight="1" thickBot="1">
      <c r="A24" s="1094">
        <v>17</v>
      </c>
      <c r="B24" s="1212" t="s">
        <v>670</v>
      </c>
      <c r="C24" s="1213"/>
      <c r="D24" s="1097">
        <v>1230000</v>
      </c>
      <c r="E24" s="1097">
        <v>1230000</v>
      </c>
      <c r="F24" s="1097"/>
      <c r="G24" s="1097"/>
      <c r="H24" s="1097">
        <v>1230000</v>
      </c>
      <c r="I24" s="1097">
        <v>1230000</v>
      </c>
      <c r="J24" s="1097"/>
      <c r="K24" s="1097"/>
      <c r="L24" s="1097"/>
      <c r="M24" s="1097"/>
      <c r="N24" s="1097"/>
      <c r="O24" s="1097"/>
    </row>
    <row r="25" spans="1:15" ht="19.5" customHeight="1" thickBot="1">
      <c r="A25" s="1087">
        <v>18</v>
      </c>
      <c r="B25" s="1225" t="s">
        <v>669</v>
      </c>
      <c r="C25" s="1226"/>
      <c r="D25" s="1101">
        <v>113919</v>
      </c>
      <c r="E25" s="1101">
        <v>113919</v>
      </c>
      <c r="F25" s="1101"/>
      <c r="G25" s="1101"/>
      <c r="H25" s="1101">
        <v>113919</v>
      </c>
      <c r="I25" s="1101">
        <v>113919</v>
      </c>
      <c r="J25" s="1101"/>
      <c r="K25" s="1101"/>
      <c r="L25" s="1101"/>
      <c r="M25" s="1101"/>
      <c r="N25" s="1101"/>
      <c r="O25" s="1101"/>
    </row>
    <row r="26" spans="1:15" ht="19.5" customHeight="1" hidden="1" thickBot="1">
      <c r="A26" s="1094">
        <v>18</v>
      </c>
      <c r="B26" s="1225" t="s">
        <v>625</v>
      </c>
      <c r="C26" s="1226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</row>
    <row r="27" spans="1:15" ht="19.5" customHeight="1" thickBot="1">
      <c r="A27" s="1094">
        <v>19</v>
      </c>
      <c r="B27" s="1225" t="s">
        <v>668</v>
      </c>
      <c r="C27" s="1226"/>
      <c r="D27" s="1101">
        <v>815975</v>
      </c>
      <c r="E27" s="1101">
        <v>815975</v>
      </c>
      <c r="F27" s="1101"/>
      <c r="G27" s="1101"/>
      <c r="H27" s="1101">
        <v>815975</v>
      </c>
      <c r="I27" s="1101">
        <v>815975</v>
      </c>
      <c r="J27" s="1101"/>
      <c r="K27" s="1101"/>
      <c r="L27" s="1101"/>
      <c r="M27" s="1101"/>
      <c r="N27" s="1101"/>
      <c r="O27" s="1101"/>
    </row>
    <row r="28" spans="1:15" ht="27" customHeight="1" thickBot="1">
      <c r="A28" s="1102"/>
      <c r="B28" s="1220" t="s">
        <v>293</v>
      </c>
      <c r="C28" s="1220"/>
      <c r="D28" s="1103">
        <f>SUM(D8:D27)</f>
        <v>31653039</v>
      </c>
      <c r="E28" s="1103">
        <f>SUM(E8:E27)</f>
        <v>31794740</v>
      </c>
      <c r="F28" s="1103">
        <f>SUM(F8:F24)</f>
        <v>0</v>
      </c>
      <c r="G28" s="1103">
        <f>SUM(G8:G24)</f>
        <v>0</v>
      </c>
      <c r="H28" s="1103">
        <f aca="true" t="shared" si="0" ref="H28:M28">SUM(H8:H27)</f>
        <v>19711286</v>
      </c>
      <c r="I28" s="1103">
        <f t="shared" si="0"/>
        <v>19852987</v>
      </c>
      <c r="J28" s="1103">
        <f t="shared" si="0"/>
        <v>0</v>
      </c>
      <c r="K28" s="1103">
        <f t="shared" si="0"/>
        <v>0</v>
      </c>
      <c r="L28" s="1103">
        <f t="shared" si="0"/>
        <v>11941753</v>
      </c>
      <c r="M28" s="1103">
        <f t="shared" si="0"/>
        <v>11941753</v>
      </c>
      <c r="N28" s="1103">
        <f>SUM(N8:N21)</f>
        <v>0</v>
      </c>
      <c r="O28" s="1103">
        <f>SUM(O8:O21)</f>
        <v>0</v>
      </c>
    </row>
    <row r="29" spans="4:7" ht="12.75">
      <c r="D29" s="1104"/>
      <c r="E29" s="1104"/>
      <c r="G29" s="1104"/>
    </row>
    <row r="30" spans="4:7" ht="12.75">
      <c r="D30" s="1104"/>
      <c r="E30" s="1104"/>
      <c r="F30" s="1104"/>
      <c r="G30" s="1104"/>
    </row>
    <row r="31" spans="4:7" ht="12.75">
      <c r="D31" s="1104"/>
      <c r="E31" s="1104"/>
      <c r="F31" s="1104"/>
      <c r="G31" s="1104"/>
    </row>
  </sheetData>
  <sheetProtection selectLockedCells="1" selectUnlockedCells="1"/>
  <mergeCells count="24">
    <mergeCell ref="B16:C16"/>
    <mergeCell ref="B6:C6"/>
    <mergeCell ref="B8:C8"/>
    <mergeCell ref="B14:C14"/>
    <mergeCell ref="B28:C28"/>
    <mergeCell ref="B9:C9"/>
    <mergeCell ref="B11:C11"/>
    <mergeCell ref="B12:C12"/>
    <mergeCell ref="B13:C13"/>
    <mergeCell ref="B27:C27"/>
    <mergeCell ref="B25:C25"/>
    <mergeCell ref="B26:C26"/>
    <mergeCell ref="B18:C18"/>
    <mergeCell ref="B17:C17"/>
    <mergeCell ref="B20:C20"/>
    <mergeCell ref="B24:C24"/>
    <mergeCell ref="B21:C21"/>
    <mergeCell ref="B19:C19"/>
    <mergeCell ref="H6:K6"/>
    <mergeCell ref="A2:M2"/>
    <mergeCell ref="A3:M3"/>
    <mergeCell ref="A4:M4"/>
    <mergeCell ref="L6:O6"/>
    <mergeCell ref="D6:G6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94" r:id="rId1"/>
  <headerFooter alignWithMargins="0">
    <oddHeader>&amp;R8.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Reni</cp:lastModifiedBy>
  <cp:lastPrinted>2018-03-19T16:50:09Z</cp:lastPrinted>
  <dcterms:created xsi:type="dcterms:W3CDTF">2016-02-12T06:38:50Z</dcterms:created>
  <dcterms:modified xsi:type="dcterms:W3CDTF">2020-07-12T17:52:53Z</dcterms:modified>
  <cp:category/>
  <cp:version/>
  <cp:contentType/>
  <cp:contentStatus/>
</cp:coreProperties>
</file>