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9825" tabRatio="903" activeTab="5"/>
  </bookViews>
  <sheets>
    <sheet name="Címrend" sheetId="1" r:id="rId1"/>
    <sheet name="1. melléklet" sheetId="2" r:id="rId2"/>
    <sheet name="2. melléklet" sheetId="3" r:id="rId3"/>
    <sheet name="3. melléklet  " sheetId="4" r:id="rId4"/>
    <sheet name="4. melléklet " sheetId="5" r:id="rId5"/>
    <sheet name="5. melléklet  " sheetId="6" r:id="rId6"/>
  </sheets>
  <externalReferences>
    <externalReference r:id="rId9"/>
  </externalReferences>
  <definedNames>
    <definedName name="_xlnm.Print_Titles" localSheetId="2">'2. melléklet'!$2:$5</definedName>
    <definedName name="_xlnm.Print_Titles" localSheetId="3">'3. melléklet  '!$A:$A</definedName>
    <definedName name="_xlnm.Print_Area" localSheetId="3">'3. melléklet  '!$A$1:$CQ$54</definedName>
  </definedNames>
  <calcPr fullCalcOnLoad="1" refMode="R1C1"/>
</workbook>
</file>

<file path=xl/sharedStrings.xml><?xml version="1.0" encoding="utf-8"?>
<sst xmlns="http://schemas.openxmlformats.org/spreadsheetml/2006/main" count="674" uniqueCount="361">
  <si>
    <t>Jogcím</t>
  </si>
  <si>
    <t>I.</t>
  </si>
  <si>
    <t>II.</t>
  </si>
  <si>
    <t>Összesen: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</si>
  <si>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</si>
  <si>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</si>
  <si>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</si>
  <si>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</si>
  <si>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</si>
  <si>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</si>
  <si>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</si>
  <si>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</si>
  <si>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</si>
  <si>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</si>
  <si>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</si>
  <si>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</si>
  <si>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</si>
  <si>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</si>
  <si>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</si>
  <si>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</si>
  <si>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</si>
  <si>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</si>
  <si>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</si>
  <si>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</si>
  <si>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</si>
  <si>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</si>
  <si>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</si>
  <si>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</si>
  <si>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</si>
  <si>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</si>
  <si>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</si>
  <si>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</si>
  <si>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</si>
  <si>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</si>
  <si>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</si>
  <si>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</si>
  <si>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</si>
  <si>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</si>
  <si>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</si>
  <si>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 xml:space="preserve">Kőszegi Közös Önkormányzati Hivatal 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</si>
  <si>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</si>
  <si>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</si>
  <si>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</si>
  <si>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Városrehabilitációs kölcsön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</si>
  <si>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</si>
  <si>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</si>
  <si>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</si>
  <si>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</si>
  <si>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</si>
  <si>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</si>
  <si>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</si>
  <si>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</si>
  <si>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</si>
  <si>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</si>
  <si>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</si>
  <si>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</si>
  <si>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</si>
  <si>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</si>
  <si>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</si>
  <si>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</si>
  <si>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</si>
  <si>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Vasivíz Zrt-től átvett vagyon értékeltetése</t>
  </si>
  <si>
    <t>Vonal alatti tételek (nem kerültek beépítésre)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</si>
  <si>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</si>
  <si>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</si>
  <si>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</si>
  <si>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</si>
  <si>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</si>
  <si>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</si>
  <si>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</si>
  <si>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</si>
  <si>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</si>
  <si>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</si>
  <si>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</si>
  <si>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</si>
  <si>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</si>
  <si>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</si>
  <si>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</si>
  <si>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</si>
  <si>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</si>
  <si>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</si>
  <si>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</si>
  <si>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</si>
  <si>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</si>
  <si>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</si>
  <si>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</si>
  <si>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</si>
  <si>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</si>
  <si>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</si>
  <si>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</si>
  <si>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</si>
  <si>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</si>
  <si>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</si>
  <si>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</si>
  <si>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</si>
  <si>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</si>
  <si>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</si>
  <si>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</si>
  <si>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</si>
  <si>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</si>
  <si>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</si>
  <si>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</si>
  <si>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</si>
  <si>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</si>
  <si>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</si>
  <si>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</si>
  <si>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</si>
  <si>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</si>
  <si>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</si>
  <si>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</si>
  <si>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</si>
  <si>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</si>
  <si>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</si>
  <si>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</si>
  <si>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</si>
  <si>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</si>
  <si>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</si>
  <si>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</si>
  <si>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</si>
  <si>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</si>
  <si>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*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</si>
  <si>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</si>
  <si>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</si>
  <si>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</si>
  <si>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</si>
  <si>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Rendezési terv módosításának tervezése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</si>
  <si>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</si>
  <si>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</si>
  <si>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</si>
  <si>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</si>
  <si>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</si>
  <si>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</si>
  <si>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</si>
  <si>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</si>
  <si>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</si>
  <si>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</si>
  <si>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feladatjelleg szerint: - kötelező feladatok</t>
  </si>
  <si>
    <t>LÉTSZÁM (engedélyezett létszámkeret közfogalkoztatottak nélkül)</t>
  </si>
  <si>
    <t>feladatjelleg szerint: - önként vállalt feladatok</t>
  </si>
  <si>
    <t>feladatjelleg szerint: - államigazgatási feladatok</t>
  </si>
  <si>
    <t>Kőszegi Szociális Gondozási Központ</t>
  </si>
  <si>
    <t>4.  Pedagógus II. kategóriába sorolt óvodapedagógusok kiegészítő támogatása</t>
  </si>
  <si>
    <t>Eszterházy oltár restraurálására kapott támogatás maradványa</t>
  </si>
  <si>
    <t>Kőszegi tűzoltóság áthelyezése (állami támogatásból)</t>
  </si>
  <si>
    <t>Jurisics-vár Művelődési Központ és Várszínház érdekeltségnövelő pályázat saját erő</t>
  </si>
  <si>
    <t>Kőszegi Közös Önkormányzati Hivatal kisértékű tárgyi eszköz beszerzés</t>
  </si>
  <si>
    <t>Eszterházy oltár restraurálása</t>
  </si>
  <si>
    <t>Munkás u. betonjárda építés</t>
  </si>
  <si>
    <t>Strandsétány u. betonjárda építése</t>
  </si>
  <si>
    <t>Városüzemeltető Kft részére 1 db  nagyteljesítményű fűnyíró traktor</t>
  </si>
  <si>
    <t>Alpannónia pályázat támogatása (fejlesztési rész)</t>
  </si>
  <si>
    <t>Alpannónia pályázat keretén belül- Koronaőrző emlékhely fejlesztése</t>
  </si>
  <si>
    <t>Alpannónia pályázat keretén belül- Szulejmán-kilátó környékének (Királyvölgy) és az óriás gesztenyefa bemutatóhely fejlesztése</t>
  </si>
  <si>
    <t>Alpannónia pályázat keretén belül- Fejlesztés a Csónakázó-tónál: aqua-alpannonia® bemutatóhely és szabadtéri sportcentrum kialakítása</t>
  </si>
  <si>
    <t>Alpannónia pályázat keretén belül-  Trianoni-kereszt emlékhely fejlesztése és az egykori Vörös-kőfejtő bemutatása</t>
  </si>
  <si>
    <t>Alpannónia pályázat keretén belül-   Ördögárok - geológiai tanösvény kialakítása</t>
  </si>
  <si>
    <t>Új köztemető kialakításához terület vásárlás</t>
  </si>
  <si>
    <t>Bérlakás értékesítési bevétele</t>
  </si>
  <si>
    <t>Kőszeg Város Önkormányzatának központilag szabályozott bevételei 2018. évben</t>
  </si>
  <si>
    <t>Támogatás összege 2018. 01. 01.             ( Ft)</t>
  </si>
  <si>
    <t xml:space="preserve">A helyi önkormányzatok általános müködésének és ágazati feladatainak támogatása (2017. évi C. törvény 2. melléklete szerint)  </t>
  </si>
  <si>
    <t>6. Polgármesteri illetmény támogatása</t>
  </si>
  <si>
    <t>7.a.(1) Kiegészító támogatás a bölcsődében folgalkoztatott, felsőfokú végzettségű kisgyermeknevelők béréhez</t>
  </si>
  <si>
    <t xml:space="preserve">7.a.(2) Finanszírozás szempontjából elismert szakmai dolgozók bértámogatása </t>
  </si>
  <si>
    <t>7.b. Bölcsődei üzemeltetés támogatása</t>
  </si>
  <si>
    <t>Központi Óvoda és Bölcsőde Többcélú Közös Igazgatású Köznevelési Intézmény</t>
  </si>
  <si>
    <t>Újvárosi Óvoda</t>
  </si>
  <si>
    <t>Kőszegi Közös Önkormányzati Hivatal</t>
  </si>
  <si>
    <t>2018. évben</t>
  </si>
  <si>
    <t>2018. évi eredeti előirányzat</t>
  </si>
  <si>
    <t>Bevételi előirányzatok (Ft-ban)</t>
  </si>
  <si>
    <t>Kiadási előirányzatok (Ft-ban)</t>
  </si>
  <si>
    <t>Központi Óvoda-Horvátzsidányi tagóvoda</t>
  </si>
  <si>
    <t>Központi Óvoda Összesen</t>
  </si>
  <si>
    <t>Újvárosi Óvoda Összesen</t>
  </si>
  <si>
    <t>Központi Óvoda Székhely Kőszeg</t>
  </si>
  <si>
    <t>Kőszeg Város Önkormányzata és intézményei bevételei és kiadásai 2018. évben</t>
  </si>
  <si>
    <t>2018. évi felhalmozási  kiadások ( Ft)</t>
  </si>
  <si>
    <t>ÖBB vasútpálya megvásárlásával együtt (26000EUR)</t>
  </si>
  <si>
    <t>Kőszegfalvi Sportegyesület fejlesztéseihez hozzájárulás</t>
  </si>
  <si>
    <t>Várkör 53. pincebeázás megoldása</t>
  </si>
  <si>
    <t>Mély utca folyóka építés</t>
  </si>
  <si>
    <t>Balog Iskola parkoló építése, csapadékvíz evezetése</t>
  </si>
  <si>
    <t>Buszpályaudvar nyilvános WC felújítása</t>
  </si>
  <si>
    <t>Zártkerti mintaprogram pályázat sajá erő</t>
  </si>
  <si>
    <t>Egészségház klímaberendezés várótermekben</t>
  </si>
  <si>
    <t>Várkör-Rajnis-Pék utca gyalogos átkelő kiépítése közvilágítással</t>
  </si>
  <si>
    <t>Vagyonhasznosító bevétele (Napelempark )</t>
  </si>
  <si>
    <t>Vagyonhasznosító bevétele (Rákóczi utca 1. üzlethelyiség eladása )</t>
  </si>
  <si>
    <t xml:space="preserve">9 fős Mikrobusz végszámla </t>
  </si>
  <si>
    <t>Posztó utcai parkoló kialakítása (pályázati pénzből)</t>
  </si>
  <si>
    <t>Károlyi M. utca Bercsényi utcáig tartó szakaszán járda és csapadékvíz + műszaki ellenőr</t>
  </si>
  <si>
    <t>TOP-2.1.2-15 Városmajor</t>
  </si>
  <si>
    <t>TOP-2.1.3-15 Csapadékvíz</t>
  </si>
  <si>
    <t>TOP-3.1.1-15 Déli Városrész</t>
  </si>
  <si>
    <t>TOP-3.2.1-16 Önkormányzati épület energetikai</t>
  </si>
  <si>
    <t>TOP-3.1.1-15 Kőszegfalvi  Kerékpárút</t>
  </si>
  <si>
    <t xml:space="preserve">TOP-1.4.1-15 Újvárosi Óvoda </t>
  </si>
  <si>
    <t>TOP-1.4.1-15 Központi Óvoda</t>
  </si>
  <si>
    <t>TOP-1.2.1-16 Turisztika</t>
  </si>
  <si>
    <t>Alpannónia pályázat keretén belül-  Tanulmányút az alpannónia túraúton</t>
  </si>
  <si>
    <t>Alpannónia pályázat keretén belül-   Térségi nagyrendezvényeken történá részvétel</t>
  </si>
  <si>
    <t>Csapadékvíz elvezető rendszer Kraft forrás megelőlegezés (Tamás árok hordalékfogó)</t>
  </si>
  <si>
    <t>Kőszegi Szociális Gondozási Központ Hajléktalan szálló vizesblokk műszaki felmérés alapján adott árajánlat</t>
  </si>
  <si>
    <t xml:space="preserve">"Sgraffitós ház felújítása" </t>
  </si>
  <si>
    <t>Károlyi garázssor útfelújítás + műszaki ellenőr</t>
  </si>
  <si>
    <t>Szippantó felépítmény</t>
  </si>
  <si>
    <t>Bionemezgyárnál zsilip megközelítésére szolgáló terület kitisztítása</t>
  </si>
  <si>
    <t>1818/2016. (XII.22.) Korm. hat. kapott támogatás (Tűzoltóság)</t>
  </si>
  <si>
    <t>1717/2017. (X.3.) Korm. hat. kapott támogatás (Posztó utcai parkoló)</t>
  </si>
  <si>
    <t>1115/2017. (III. 7.) Korm. hat. kapott támogatás maradványa (Sgraffitós ház)</t>
  </si>
  <si>
    <t>Jurisics-vár Művelődési Központ és Várszínház fényképező gép Kőszeg és Vidéke Újsághoz</t>
  </si>
  <si>
    <t>Lakástámogatás visszatérítés</t>
  </si>
  <si>
    <t xml:space="preserve">Vagyonhasznosító bevétele </t>
  </si>
  <si>
    <t>Liszt Ferenc utca felújítás (Kőszegi tűzoltóság megközelíthetősége önerőből)</t>
  </si>
  <si>
    <t>Szent György utca és Postásrét  utca szennyvízcsatorna kiépítése</t>
  </si>
  <si>
    <t>Hulladékgazdálkodási társulási beruházásokhoz átadás (2017.évi hátralék)</t>
  </si>
  <si>
    <t>VASIVÍZ Zrt. Kompenzációs számlák</t>
  </si>
  <si>
    <t>TOP előkészítő keret 2017. évi maradványa</t>
  </si>
  <si>
    <t>TOP előkészítő keret terhére2017-ben szerződőtt</t>
  </si>
  <si>
    <t xml:space="preserve">VELOREGIO projekt forrás megelőlegezés </t>
  </si>
  <si>
    <t xml:space="preserve">TOP projektek 2018.évi előkészítési költségei </t>
  </si>
  <si>
    <t>Kőszegi Szociális Gondozási Központ kisértékű tárgyi eszköz beszerzés</t>
  </si>
  <si>
    <t>Központi Óvoda Székhely Intézmény kisértékű tárgyi eszköz beszerzés</t>
  </si>
  <si>
    <t>Központi Óvoda Bölcsőde Intézményegysége kisértékű tárgyi eszköz beszerzés</t>
  </si>
  <si>
    <t>Újvárosi Óvoda Székhely Intézmény kisértékű tárgyi eszköz beszerzés</t>
  </si>
  <si>
    <t>Újvárosi Óvoda Kőszegfalvi tagóvodája kisértékű tárgyi eszköz beszerzés</t>
  </si>
  <si>
    <t>Velem községi Önkormányzat Közös Hivatalhoz</t>
  </si>
  <si>
    <t>Bozsok községi Önkormányzat Közös Hivatalhoz</t>
  </si>
  <si>
    <t xml:space="preserve">                - ebből felhalmozási célú önkormányzati támogatás </t>
  </si>
  <si>
    <t>Jurisics Vár TOP projekthez</t>
  </si>
  <si>
    <t>Jurisics Vár TOP projekt keretében beszerzendő eszközök</t>
  </si>
  <si>
    <t>Egészségház melleti fejlesztési terület közművesítés és útépítés</t>
  </si>
  <si>
    <t>Szent Imre herceg utcában a temető falának megerősítése</t>
  </si>
  <si>
    <t>Kiskakas vendéglőnél parkoló bővítése</t>
  </si>
  <si>
    <t>I.) Települési önkrományzatok működésének támogatása</t>
  </si>
  <si>
    <t xml:space="preserve">Kőszegi futball Club telephely korszerűsítése pályázat önerő hozzájárulása 168/2017.(IX.28.) Képviselő-testületi határozat alapján </t>
  </si>
  <si>
    <t>Központi Orvosi Ügyelet ügyeleti autó cseréje</t>
  </si>
  <si>
    <t xml:space="preserve">Jurisics Vár- Kőszegfalvi klub asztallapok cseréje </t>
  </si>
  <si>
    <t>Újvárosi Óvoda Kőszegfalvi tagóvodája - konyhai ablak cseréje</t>
  </si>
  <si>
    <t>felhalmozási pénzmaradvány</t>
  </si>
  <si>
    <t>Vagyonhasznosító bevétele (Ciao Amigo eladása)</t>
  </si>
  <si>
    <t>Központi Óvoda és Újvárosi Óvoda Kraft forrás megelőlegezés</t>
  </si>
  <si>
    <t>Kőszegi Városi Múzeum - radiátor csere a Rákóczi utca 3-ban</t>
  </si>
  <si>
    <t>Eredeti előirányzat</t>
  </si>
  <si>
    <t>1135/2018. (III.22.) Korm. hat. kapott támogatás (Tűzoltóság)</t>
  </si>
  <si>
    <t>Chernel 12. tetőjavítás, homlokzat; Rákóczi 3. tetőjavítás; Cáki út javítás</t>
  </si>
  <si>
    <t>Kiss János lakótelep belső tömb parkoló építés I. ütem /19 db/</t>
  </si>
  <si>
    <t>Chernel 12. csapadékvíz elvezetés</t>
  </si>
  <si>
    <t>Missziós ház kerítés áthelyezés</t>
  </si>
  <si>
    <t>Vízmű utcai ivóvízhálózat kiépítése + műszaki ellenőr</t>
  </si>
  <si>
    <t>Hirdetőtáblák cseréje</t>
  </si>
  <si>
    <t>vágóhíd bontása</t>
  </si>
  <si>
    <t>Malom utca útfelújítás</t>
  </si>
  <si>
    <t>falépcső felújítás: Szulejmán, Csónakázó tó</t>
  </si>
  <si>
    <t>Kárpáti Sándor utca 54 m hosszú szakaszának járhatóvá tétele</t>
  </si>
  <si>
    <t>Szent Imre herceg utca, Gesztenyefa utca új aszfaltburkolat</t>
  </si>
  <si>
    <t>Változás összege</t>
  </si>
  <si>
    <t xml:space="preserve"> "1. melléklet a 2/2018. (II.16.) önkormányzati rendelethez</t>
  </si>
  <si>
    <t>Változás</t>
  </si>
  <si>
    <t xml:space="preserve">Változás összege </t>
  </si>
  <si>
    <t xml:space="preserve"> "2. melléklet a 2/2018. (II.16.) önkormányzati rendelethez</t>
  </si>
  <si>
    <t>"</t>
  </si>
  <si>
    <t>Változás  összege ( Ft)</t>
  </si>
  <si>
    <t>"5. melléklet a  2/2018. (II.16.) önkormányzati rendelethez</t>
  </si>
  <si>
    <t xml:space="preserve">Központi Óvoda - Bölcsőde </t>
  </si>
  <si>
    <t>Központi Óvoda-Felsővárosi tagóvoda</t>
  </si>
  <si>
    <t>Központi Óvoda-Peresznyei tagóvoda</t>
  </si>
  <si>
    <t>Újvárosi Óvoda székhely Kőszeg</t>
  </si>
  <si>
    <t>Újvárosi Óvoda-Kőszegfalvi tagóvoda</t>
  </si>
  <si>
    <t>Újvárosi Óvoda-Bozsoki tagóvoda</t>
  </si>
  <si>
    <t>Újvárosi Óvoda-Velemi tagóvoda</t>
  </si>
  <si>
    <t>eredeti előirányzat</t>
  </si>
  <si>
    <t>módosított ei. 2017.09.30.</t>
  </si>
  <si>
    <t>változás</t>
  </si>
  <si>
    <t>módosított ei. 2017.06.30.</t>
  </si>
  <si>
    <t>KÖZFOGLALKOZTATOTTAK létszáma</t>
  </si>
  <si>
    <t>Kulturális pótlék</t>
  </si>
  <si>
    <t xml:space="preserve"> "3. melléklet az 2/2018. (II.16) önkormányzati rendelethez</t>
  </si>
  <si>
    <t>5. 2017.évi bérkompenzáció támogatása</t>
  </si>
  <si>
    <t>I.) Működési célú  támogatások</t>
  </si>
  <si>
    <t xml:space="preserve">I.) Felhalmozási célú támogatások </t>
  </si>
  <si>
    <t xml:space="preserve">A helyi önkormányzatok kiegészítő támogatásai  (2017. évi C. törvény 3. melléklete szerint)  </t>
  </si>
  <si>
    <t>Működési célú  önkormányzati támogatások összesen (2017. évi C. törvény 2. és 3. melléklete szerint):</t>
  </si>
  <si>
    <t>2018. évi bérkompenzáció</t>
  </si>
  <si>
    <t xml:space="preserve">           ASP működési támogatása</t>
  </si>
  <si>
    <t>VIS MAIOR Támogatás</t>
  </si>
  <si>
    <t>Felhalmozási célú  önkormányzati támogatások összesen (2017. évi C. törvény 2. és 3. melléklete szerint):</t>
  </si>
  <si>
    <t>1135/2018. (III.26.) Korm. hat. kapott támogatása (tűzoltóság áthelyezésére II.ütem)</t>
  </si>
  <si>
    <t xml:space="preserve">                - ebből felhalmozási célú EU támogatás </t>
  </si>
  <si>
    <t>VIS MAIOR támogatás</t>
  </si>
  <si>
    <t>Kőszeg városkörnyéki közösségi közlekedés fejlesztése támogatás</t>
  </si>
  <si>
    <t>"4. melléklet a 2/2018. (II.16.) önkormányzati rendelethez</t>
  </si>
  <si>
    <t xml:space="preserve">Kőszegi tűzoltóság áthelyezése II.ütem </t>
  </si>
  <si>
    <t>Meskó utca Bakcsy-Zs. E. utcáig tartó szakaszának felújítása</t>
  </si>
  <si>
    <t>Könyvtár érdekeltségnövelő támogtásra elszámolható eszközbeszerzése</t>
  </si>
  <si>
    <t>VÁR 2017.évi pénzmaradványból</t>
  </si>
  <si>
    <t xml:space="preserve">Múzeum 2017.évi pénzmaradványból </t>
  </si>
  <si>
    <t xml:space="preserve">Központi Óvoda 2017.évi pénzmaradványból </t>
  </si>
  <si>
    <t xml:space="preserve">Horvátzsidányi tagóvoda 2017.évi pénzmaradványból </t>
  </si>
  <si>
    <t xml:space="preserve">Fejlesztési tartalék alapannónia </t>
  </si>
  <si>
    <t>Kőszeg Városkörnényi közlekedés támogatásából</t>
  </si>
  <si>
    <t>Közvilágítás felújítás</t>
  </si>
  <si>
    <t>VIS MAIOR helyreállítás (2017-ről önerő bíztosításával)</t>
  </si>
  <si>
    <t xml:space="preserve">Hősök tornya </t>
  </si>
  <si>
    <t>,</t>
  </si>
  <si>
    <t>1. i) Települési önkormányzatok könyvtári érdekeltségnövelő támogatása</t>
  </si>
  <si>
    <t>VÁR EFOP támogatás terhére</t>
  </si>
  <si>
    <t>Hivatal karbantartásról átcsoportosítás</t>
  </si>
  <si>
    <t>2018. 09.30. módosított előirányzat</t>
  </si>
  <si>
    <t>Támogatás összege 2018. 09. 30.             ( Ft)</t>
  </si>
  <si>
    <t>módosított ei. 2018.09.30.</t>
  </si>
  <si>
    <t>Módosított előirányzat 2018.09.30.</t>
  </si>
  <si>
    <t xml:space="preserve">            Szociális ágazati pótlék</t>
  </si>
  <si>
    <t xml:space="preserve">           Nemzetiségi óvodapedagógusok kiegészítő támogatása</t>
  </si>
  <si>
    <t xml:space="preserve">         2017.évi állami elszámolásából adódó különbözet</t>
  </si>
  <si>
    <t>Önkormányzati feladatellátást szolgáló fejlesztések támogatása</t>
  </si>
  <si>
    <t>"Sgraffitós ház felújítása" fordított ÁFA átvezetése dologi kiadásokra</t>
  </si>
  <si>
    <t>Chernel Kálmán Városi Könyvtár EFOP támogatásból</t>
  </si>
  <si>
    <t>Kőszegi Városi Múzeum Kubinyi program 2017.évi maradványából</t>
  </si>
  <si>
    <t>Szociális Gondozási Központ Horvátzsidányi IK. kisértékű tárgyi eszközök</t>
  </si>
  <si>
    <t>Szociális Gondozási Központ új szolgálat bevezetéséhez gépjármű vásárlása</t>
  </si>
  <si>
    <t>Központi Óvoda Felsővárosi tagóvoda kisértékű tárgyi eszköz beszerzés</t>
  </si>
  <si>
    <t>Központi Óvoda Peresznyei tagóvoda napelemhez árambővítés</t>
  </si>
  <si>
    <t xml:space="preserve">Múzeum (2017.évi pénzmaradványból és átcsoportosításból) Hősök tornya ablakzsaluk pótlása </t>
  </si>
  <si>
    <t>Önkormányzati feladatellátást szolgáló fejlesztlések támogatása</t>
  </si>
  <si>
    <t>Hősök tornya pályázat</t>
  </si>
  <si>
    <t>9.</t>
  </si>
  <si>
    <t>NKA-tól fejlesztési támogatás</t>
  </si>
  <si>
    <t>10.</t>
  </si>
  <si>
    <t xml:space="preserve">Horvátzsidány község Önkormányzata Idősek Klubjához támogatás </t>
  </si>
  <si>
    <t>11.</t>
  </si>
  <si>
    <t>Chernel Kálmán Városi Könyvtár EFOP támogatása</t>
  </si>
  <si>
    <t>Malom utcai felújításra  háromoédalú megállapodás alapján</t>
  </si>
  <si>
    <t>Űrhajósok útja Bercsényi - Rómer Flóris,Sigray Jakab utca közti szakaszának felújítása</t>
  </si>
  <si>
    <t>Rendezvény áramellátás</t>
  </si>
  <si>
    <t>Utcanévtáblák kihelyezése</t>
  </si>
  <si>
    <t>Módosított előirányzat 2018.12.31.</t>
  </si>
  <si>
    <t>2018. 12.31. módosított előirányzat</t>
  </si>
  <si>
    <t>Támogatás összege 2018. 12. 31.             ( Ft)</t>
  </si>
  <si>
    <t>Hajléktalan szálló rendkívüli támogatsása</t>
  </si>
  <si>
    <t>Téli rezsicsökkentés</t>
  </si>
  <si>
    <t>Múzeum Kubinyi támogatása</t>
  </si>
  <si>
    <t>módosított ei. 2018.12.31.</t>
  </si>
  <si>
    <t>módosított ei. 2018.09.30</t>
  </si>
  <si>
    <t>VELOREGIO</t>
  </si>
  <si>
    <t>Zártkerti pályázat</t>
  </si>
  <si>
    <t xml:space="preserve">TOP Központi Óvoda projekt </t>
  </si>
  <si>
    <t>12.</t>
  </si>
  <si>
    <t>13.</t>
  </si>
  <si>
    <t>14.</t>
  </si>
  <si>
    <t>15.</t>
  </si>
  <si>
    <t>Múzeum Kubinyi pályázat</t>
  </si>
  <si>
    <t>Szociális Gondozási Központ Hajléktalan szálló</t>
  </si>
  <si>
    <t>Városgondnokság játszótér kialakítása</t>
  </si>
  <si>
    <t xml:space="preserve">          2018. évi felhalmozási célú bevételek (Ft)</t>
  </si>
  <si>
    <t>5. melléklet a 9/2019. (V. 30.) önkormányzati rendelethez</t>
  </si>
  <si>
    <t xml:space="preserve"> 1. melléklet a 9/2019. (V. 30.) önkormányzati rendelethez</t>
  </si>
  <si>
    <t xml:space="preserve"> 2. melléklet a 9/2019. (V. 30.) önkormányzati rendelethez</t>
  </si>
  <si>
    <t>3. melléklet a 9/2019. (V.30.) önkormányzat</t>
  </si>
  <si>
    <t>4. melléklet a 9/2019. (V. 30.) önkormányzati rendelethez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</si>
</sst>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H-&quot;0000"/>
    <numFmt numFmtId="167" formatCode="#,##0.000"/>
    <numFmt numFmtId="168" formatCode="#,##0.0"/>
    <numFmt numFmtId="169" formatCode="0.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000"/>
    <numFmt numFmtId="174" formatCode="#,##0.00000000000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#,##0\ &quot;Ft&quot;"/>
    <numFmt numFmtId="196" formatCode="[$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2"/>
      <name val="Times New Roman CE"/>
      <family val="0"/>
    </font>
    <font>
      <sz val="10"/>
      <name val="MS Sans Serif"/>
      <family val="2"/>
    </font>
    <font>
      <i/>
      <sz val="8"/>
      <name val="Times New Roman CE"/>
      <family val="0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1" fillId="3" borderId="0" applyNumberFormat="0" applyBorder="0" applyAlignment="0" applyProtection="0"/>
    <xf numFmtId="0" fontId="19" fillId="7" borderId="1" applyNumberFormat="0" applyAlignment="0" applyProtection="0"/>
    <xf numFmtId="0" fontId="33" fillId="20" borderId="1" applyNumberFormat="0" applyAlignment="0" applyProtection="0"/>
    <xf numFmtId="0" fontId="24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9" fillId="7" borderId="1" applyNumberFormat="0" applyAlignment="0" applyProtection="0"/>
    <xf numFmtId="0" fontId="0" fillId="22" borderId="7" applyNumberFormat="0" applyFont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2" borderId="7" applyNumberFormat="0" applyFont="0" applyAlignment="0" applyProtection="0"/>
    <xf numFmtId="0" fontId="28" fillId="20" borderId="8" applyNumberFormat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7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3" fontId="14" fillId="0" borderId="1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1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3" fontId="4" fillId="0" borderId="0" xfId="99" applyNumberFormat="1" applyFont="1" applyFill="1" applyAlignment="1">
      <alignment vertical="top"/>
      <protection/>
    </xf>
    <xf numFmtId="0" fontId="4" fillId="0" borderId="0" xfId="99" applyFont="1" applyFill="1" applyAlignment="1">
      <alignment vertical="top"/>
      <protection/>
    </xf>
    <xf numFmtId="0" fontId="3" fillId="0" borderId="0" xfId="103" applyFont="1" applyFill="1" applyBorder="1">
      <alignment/>
      <protection/>
    </xf>
    <xf numFmtId="3" fontId="4" fillId="0" borderId="0" xfId="99" applyNumberFormat="1" applyFont="1" applyFill="1">
      <alignment/>
      <protection/>
    </xf>
    <xf numFmtId="0" fontId="4" fillId="0" borderId="0" xfId="99" applyFont="1" applyFill="1">
      <alignment/>
      <protection/>
    </xf>
    <xf numFmtId="0" fontId="3" fillId="0" borderId="0" xfId="99" applyFont="1" applyFill="1">
      <alignment/>
      <protection/>
    </xf>
    <xf numFmtId="3" fontId="16" fillId="0" borderId="0" xfId="99" applyNumberFormat="1" applyFont="1" applyFill="1" applyAlignment="1">
      <alignment horizontal="center" wrapText="1"/>
      <protection/>
    </xf>
    <xf numFmtId="0" fontId="11" fillId="0" borderId="0" xfId="99" applyFont="1" applyFill="1">
      <alignment/>
      <protection/>
    </xf>
    <xf numFmtId="0" fontId="5" fillId="0" borderId="0" xfId="99" applyFont="1" applyFill="1">
      <alignment/>
      <protection/>
    </xf>
    <xf numFmtId="0" fontId="6" fillId="0" borderId="0" xfId="99" applyFont="1" applyFill="1">
      <alignment/>
      <protection/>
    </xf>
    <xf numFmtId="0" fontId="7" fillId="20" borderId="0" xfId="99" applyFont="1" applyFill="1" applyBorder="1" applyAlignment="1">
      <alignment horizontal="left"/>
      <protection/>
    </xf>
    <xf numFmtId="3" fontId="4" fillId="20" borderId="0" xfId="99" applyNumberFormat="1" applyFont="1" applyFill="1" applyBorder="1">
      <alignment/>
      <protection/>
    </xf>
    <xf numFmtId="0" fontId="6" fillId="0" borderId="0" xfId="99" applyFont="1" applyFill="1" applyBorder="1" applyAlignment="1">
      <alignment horizontal="left" wrapText="1" indent="3"/>
      <protection/>
    </xf>
    <xf numFmtId="0" fontId="6" fillId="0" borderId="0" xfId="99" applyFont="1" applyFill="1" applyBorder="1" applyAlignment="1">
      <alignment horizontal="left" indent="3"/>
      <protection/>
    </xf>
    <xf numFmtId="0" fontId="4" fillId="0" borderId="0" xfId="99" applyFont="1" applyFill="1" applyBorder="1" applyAlignment="1">
      <alignment horizontal="left" wrapText="1" indent="3"/>
      <protection/>
    </xf>
    <xf numFmtId="0" fontId="4" fillId="0" borderId="0" xfId="99" applyFont="1" applyFill="1" applyBorder="1" applyAlignment="1">
      <alignment horizontal="left" indent="3"/>
      <protection/>
    </xf>
    <xf numFmtId="0" fontId="5" fillId="20" borderId="0" xfId="99" applyFont="1" applyFill="1" applyBorder="1" applyAlignment="1">
      <alignment wrapText="1"/>
      <protection/>
    </xf>
    <xf numFmtId="3" fontId="4" fillId="20" borderId="0" xfId="99" applyNumberFormat="1" applyFont="1" applyFill="1">
      <alignment/>
      <protection/>
    </xf>
    <xf numFmtId="0" fontId="6" fillId="0" borderId="0" xfId="99" applyFont="1" applyFill="1" applyBorder="1" applyAlignment="1">
      <alignment wrapText="1"/>
      <protection/>
    </xf>
    <xf numFmtId="2" fontId="6" fillId="0" borderId="0" xfId="99" applyNumberFormat="1" applyFont="1" applyFill="1" applyBorder="1" applyAlignment="1">
      <alignment horizontal="left" wrapText="1" indent="3"/>
      <protection/>
    </xf>
    <xf numFmtId="0" fontId="12" fillId="0" borderId="0" xfId="99" applyFont="1" applyFill="1" applyBorder="1" applyAlignment="1">
      <alignment wrapText="1"/>
      <protection/>
    </xf>
    <xf numFmtId="0" fontId="12" fillId="0" borderId="0" xfId="99" applyFont="1" applyFill="1">
      <alignment/>
      <protection/>
    </xf>
    <xf numFmtId="0" fontId="34" fillId="0" borderId="0" xfId="99" applyFont="1" applyFill="1">
      <alignment/>
      <protection/>
    </xf>
    <xf numFmtId="0" fontId="5" fillId="0" borderId="0" xfId="99" applyFont="1" applyFill="1" applyAlignment="1">
      <alignment/>
      <protection/>
    </xf>
    <xf numFmtId="0" fontId="12" fillId="23" borderId="0" xfId="99" applyFont="1" applyFill="1" applyBorder="1">
      <alignment/>
      <protection/>
    </xf>
    <xf numFmtId="3" fontId="12" fillId="23" borderId="0" xfId="99" applyNumberFormat="1" applyFont="1" applyFill="1">
      <alignment/>
      <protection/>
    </xf>
    <xf numFmtId="0" fontId="11" fillId="4" borderId="0" xfId="99" applyFont="1" applyFill="1">
      <alignment/>
      <protection/>
    </xf>
    <xf numFmtId="3" fontId="11" fillId="4" borderId="0" xfId="99" applyNumberFormat="1" applyFont="1" applyFill="1">
      <alignment/>
      <protection/>
    </xf>
    <xf numFmtId="0" fontId="15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wrapText="1"/>
    </xf>
    <xf numFmtId="3" fontId="14" fillId="0" borderId="19" xfId="0" applyNumberFormat="1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5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0" fontId="15" fillId="0" borderId="27" xfId="0" applyFont="1" applyFill="1" applyBorder="1" applyAlignment="1">
      <alignment/>
    </xf>
    <xf numFmtId="3" fontId="15" fillId="0" borderId="28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0" fontId="14" fillId="0" borderId="29" xfId="0" applyFont="1" applyFill="1" applyBorder="1" applyAlignment="1">
      <alignment/>
    </xf>
    <xf numFmtId="0" fontId="35" fillId="0" borderId="23" xfId="0" applyFon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3" fontId="35" fillId="0" borderId="12" xfId="0" applyNumberFormat="1" applyFont="1" applyFill="1" applyBorder="1" applyAlignment="1">
      <alignment/>
    </xf>
    <xf numFmtId="3" fontId="35" fillId="0" borderId="19" xfId="0" applyNumberFormat="1" applyFont="1" applyFill="1" applyBorder="1" applyAlignment="1">
      <alignment/>
    </xf>
    <xf numFmtId="3" fontId="35" fillId="0" borderId="30" xfId="0" applyNumberFormat="1" applyFont="1" applyFill="1" applyBorder="1" applyAlignment="1">
      <alignment/>
    </xf>
    <xf numFmtId="3" fontId="35" fillId="0" borderId="24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0" fontId="15" fillId="0" borderId="27" xfId="0" applyFont="1" applyFill="1" applyBorder="1" applyAlignment="1">
      <alignment wrapText="1"/>
    </xf>
    <xf numFmtId="0" fontId="3" fillId="0" borderId="0" xfId="103" applyFont="1" applyFill="1" applyBorder="1" applyAlignment="1">
      <alignment horizontal="left"/>
      <protection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3" fontId="6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3" fontId="35" fillId="0" borderId="32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/>
    </xf>
    <xf numFmtId="3" fontId="14" fillId="0" borderId="33" xfId="0" applyNumberFormat="1" applyFont="1" applyFill="1" applyBorder="1" applyAlignment="1">
      <alignment/>
    </xf>
    <xf numFmtId="3" fontId="14" fillId="0" borderId="34" xfId="0" applyNumberFormat="1" applyFont="1" applyFill="1" applyBorder="1" applyAlignment="1">
      <alignment/>
    </xf>
    <xf numFmtId="3" fontId="14" fillId="0" borderId="35" xfId="0" applyNumberFormat="1" applyFont="1" applyFill="1" applyBorder="1" applyAlignment="1">
      <alignment/>
    </xf>
    <xf numFmtId="3" fontId="35" fillId="0" borderId="34" xfId="0" applyNumberFormat="1" applyFont="1" applyFill="1" applyBorder="1" applyAlignment="1">
      <alignment/>
    </xf>
    <xf numFmtId="3" fontId="35" fillId="0" borderId="35" xfId="0" applyNumberFormat="1" applyFont="1" applyFill="1" applyBorder="1" applyAlignment="1">
      <alignment/>
    </xf>
    <xf numFmtId="3" fontId="35" fillId="0" borderId="33" xfId="0" applyNumberFormat="1" applyFont="1" applyFill="1" applyBorder="1" applyAlignment="1">
      <alignment/>
    </xf>
    <xf numFmtId="3" fontId="35" fillId="0" borderId="26" xfId="0" applyNumberFormat="1" applyFont="1" applyFill="1" applyBorder="1" applyAlignment="1">
      <alignment/>
    </xf>
    <xf numFmtId="3" fontId="14" fillId="0" borderId="36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35" fillId="0" borderId="36" xfId="0" applyNumberFormat="1" applyFont="1" applyFill="1" applyBorder="1" applyAlignment="1">
      <alignment/>
    </xf>
    <xf numFmtId="0" fontId="15" fillId="0" borderId="37" xfId="0" applyFont="1" applyFill="1" applyBorder="1" applyAlignment="1">
      <alignment/>
    </xf>
    <xf numFmtId="3" fontId="14" fillId="0" borderId="38" xfId="0" applyNumberFormat="1" applyFont="1" applyFill="1" applyBorder="1" applyAlignment="1">
      <alignment horizontal="center"/>
    </xf>
    <xf numFmtId="3" fontId="15" fillId="0" borderId="39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3" fontId="0" fillId="0" borderId="0" xfId="0" applyNumberFormat="1" applyAlignment="1">
      <alignment/>
    </xf>
    <xf numFmtId="0" fontId="4" fillId="9" borderId="0" xfId="0" applyFont="1" applyFill="1" applyAlignment="1">
      <alignment vertical="top" wrapText="1"/>
    </xf>
    <xf numFmtId="3" fontId="4" fillId="9" borderId="0" xfId="0" applyNumberFormat="1" applyFont="1" applyFill="1" applyAlignment="1">
      <alignment vertical="top"/>
    </xf>
    <xf numFmtId="0" fontId="4" fillId="9" borderId="0" xfId="0" applyFont="1" applyFill="1" applyAlignment="1">
      <alignment vertical="top"/>
    </xf>
    <xf numFmtId="0" fontId="4" fillId="9" borderId="0" xfId="0" applyFont="1" applyFill="1" applyBorder="1" applyAlignment="1">
      <alignment vertical="top"/>
    </xf>
    <xf numFmtId="3" fontId="4" fillId="9" borderId="0" xfId="0" applyNumberFormat="1" applyFont="1" applyFill="1" applyBorder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0" fontId="5" fillId="9" borderId="0" xfId="0" applyFont="1" applyFill="1" applyAlignment="1">
      <alignment vertical="top"/>
    </xf>
    <xf numFmtId="3" fontId="5" fillId="9" borderId="0" xfId="0" applyNumberFormat="1" applyFont="1" applyFill="1" applyAlignment="1">
      <alignment vertical="top"/>
    </xf>
    <xf numFmtId="0" fontId="15" fillId="0" borderId="0" xfId="0" applyFont="1" applyAlignment="1">
      <alignment/>
    </xf>
    <xf numFmtId="0" fontId="38" fillId="0" borderId="23" xfId="0" applyFont="1" applyFill="1" applyBorder="1" applyAlignment="1">
      <alignment/>
    </xf>
    <xf numFmtId="0" fontId="38" fillId="0" borderId="40" xfId="0" applyFont="1" applyFill="1" applyBorder="1" applyAlignment="1">
      <alignment/>
    </xf>
    <xf numFmtId="0" fontId="38" fillId="0" borderId="23" xfId="0" applyFont="1" applyFill="1" applyBorder="1" applyAlignment="1">
      <alignment horizontal="left" wrapText="1" indent="2"/>
    </xf>
    <xf numFmtId="0" fontId="38" fillId="0" borderId="23" xfId="0" applyFont="1" applyFill="1" applyBorder="1" applyAlignment="1">
      <alignment horizontal="left" indent="2"/>
    </xf>
    <xf numFmtId="4" fontId="15" fillId="0" borderId="16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5" fillId="0" borderId="40" xfId="0" applyNumberFormat="1" applyFont="1" applyFill="1" applyBorder="1" applyAlignment="1">
      <alignment/>
    </xf>
    <xf numFmtId="0" fontId="4" fillId="9" borderId="0" xfId="0" applyFont="1" applyFill="1" applyAlignment="1">
      <alignment horizontal="left" vertical="top"/>
    </xf>
    <xf numFmtId="3" fontId="4" fillId="24" borderId="0" xfId="0" applyNumberFormat="1" applyFont="1" applyFill="1" applyAlignment="1">
      <alignment vertical="top"/>
    </xf>
    <xf numFmtId="0" fontId="4" fillId="25" borderId="0" xfId="0" applyFont="1" applyFill="1" applyAlignment="1">
      <alignment vertical="top"/>
    </xf>
    <xf numFmtId="3" fontId="4" fillId="25" borderId="0" xfId="0" applyNumberFormat="1" applyFont="1" applyFill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4" fillId="9" borderId="0" xfId="0" applyFont="1" applyFill="1" applyBorder="1" applyAlignment="1">
      <alignment vertical="top" wrapText="1"/>
    </xf>
    <xf numFmtId="3" fontId="4" fillId="26" borderId="0" xfId="0" applyNumberFormat="1" applyFont="1" applyFill="1" applyAlignment="1">
      <alignment vertical="top"/>
    </xf>
    <xf numFmtId="3" fontId="4" fillId="26" borderId="0" xfId="0" applyNumberFormat="1" applyFont="1" applyFill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3" fontId="0" fillId="0" borderId="0" xfId="0" applyNumberFormat="1" applyAlignment="1">
      <alignment vertical="top"/>
    </xf>
    <xf numFmtId="0" fontId="15" fillId="0" borderId="27" xfId="0" applyFont="1" applyFill="1" applyBorder="1" applyAlignment="1">
      <alignment horizontal="center" wrapText="1"/>
    </xf>
    <xf numFmtId="0" fontId="5" fillId="0" borderId="0" xfId="99" applyFont="1" applyFill="1" applyAlignment="1">
      <alignment horizontal="center"/>
      <protection/>
    </xf>
    <xf numFmtId="3" fontId="16" fillId="0" borderId="0" xfId="99" applyNumberFormat="1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104" applyFont="1" applyFill="1" applyBorder="1" applyAlignment="1">
      <alignment horizontal="left"/>
      <protection/>
    </xf>
    <xf numFmtId="0" fontId="8" fillId="26" borderId="0" xfId="0" applyFont="1" applyFill="1" applyAlignment="1">
      <alignment/>
    </xf>
    <xf numFmtId="0" fontId="14" fillId="26" borderId="0" xfId="0" applyFont="1" applyFill="1" applyBorder="1" applyAlignment="1">
      <alignment horizontal="center" wrapText="1"/>
    </xf>
    <xf numFmtId="0" fontId="14" fillId="26" borderId="0" xfId="0" applyFont="1" applyFill="1" applyAlignment="1">
      <alignment wrapText="1"/>
    </xf>
    <xf numFmtId="0" fontId="14" fillId="0" borderId="36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14" fillId="0" borderId="36" xfId="0" applyFont="1" applyFill="1" applyBorder="1" applyAlignment="1">
      <alignment horizontal="left" wrapText="1"/>
    </xf>
    <xf numFmtId="0" fontId="14" fillId="26" borderId="30" xfId="0" applyFont="1" applyFill="1" applyBorder="1" applyAlignment="1">
      <alignment horizontal="center" wrapText="1"/>
    </xf>
    <xf numFmtId="0" fontId="14" fillId="26" borderId="12" xfId="0" applyFont="1" applyFill="1" applyBorder="1" applyAlignment="1">
      <alignment horizontal="center" wrapText="1"/>
    </xf>
    <xf numFmtId="0" fontId="14" fillId="27" borderId="36" xfId="0" applyFont="1" applyFill="1" applyBorder="1" applyAlignment="1">
      <alignment horizontal="left" wrapText="1"/>
    </xf>
    <xf numFmtId="0" fontId="14" fillId="27" borderId="30" xfId="0" applyFont="1" applyFill="1" applyBorder="1" applyAlignment="1">
      <alignment horizontal="center" wrapText="1"/>
    </xf>
    <xf numFmtId="0" fontId="14" fillId="27" borderId="12" xfId="0" applyFont="1" applyFill="1" applyBorder="1" applyAlignment="1">
      <alignment horizontal="center" wrapText="1"/>
    </xf>
    <xf numFmtId="0" fontId="14" fillId="28" borderId="36" xfId="0" applyFont="1" applyFill="1" applyBorder="1" applyAlignment="1">
      <alignment horizontal="left" wrapText="1"/>
    </xf>
    <xf numFmtId="0" fontId="14" fillId="28" borderId="30" xfId="0" applyFont="1" applyFill="1" applyBorder="1" applyAlignment="1">
      <alignment horizontal="center" wrapText="1"/>
    </xf>
    <xf numFmtId="0" fontId="14" fillId="28" borderId="12" xfId="0" applyFont="1" applyFill="1" applyBorder="1" applyAlignment="1">
      <alignment horizontal="center" wrapText="1"/>
    </xf>
    <xf numFmtId="0" fontId="14" fillId="6" borderId="36" xfId="0" applyFont="1" applyFill="1" applyBorder="1" applyAlignment="1">
      <alignment wrapText="1"/>
    </xf>
    <xf numFmtId="0" fontId="14" fillId="6" borderId="30" xfId="0" applyFont="1" applyFill="1" applyBorder="1" applyAlignment="1">
      <alignment horizontal="center" wrapText="1"/>
    </xf>
    <xf numFmtId="0" fontId="14" fillId="6" borderId="12" xfId="0" applyFont="1" applyFill="1" applyBorder="1" applyAlignment="1">
      <alignment horizontal="center" wrapText="1"/>
    </xf>
    <xf numFmtId="0" fontId="14" fillId="0" borderId="36" xfId="0" applyFont="1" applyBorder="1" applyAlignment="1">
      <alignment horizontal="left" wrapText="1"/>
    </xf>
    <xf numFmtId="0" fontId="14" fillId="6" borderId="36" xfId="0" applyFont="1" applyFill="1" applyBorder="1" applyAlignment="1">
      <alignment horizontal="left" wrapText="1"/>
    </xf>
    <xf numFmtId="0" fontId="14" fillId="26" borderId="36" xfId="0" applyFont="1" applyFill="1" applyBorder="1" applyAlignment="1">
      <alignment horizontal="center" wrapText="1"/>
    </xf>
    <xf numFmtId="0" fontId="14" fillId="26" borderId="36" xfId="0" applyFont="1" applyFill="1" applyBorder="1" applyAlignment="1">
      <alignment wrapText="1"/>
    </xf>
    <xf numFmtId="0" fontId="14" fillId="26" borderId="0" xfId="0" applyFont="1" applyFill="1" applyBorder="1" applyAlignment="1">
      <alignment horizontal="center" wrapText="1"/>
    </xf>
    <xf numFmtId="0" fontId="14" fillId="0" borderId="37" xfId="0" applyFont="1" applyFill="1" applyBorder="1" applyAlignment="1">
      <alignment/>
    </xf>
    <xf numFmtId="3" fontId="14" fillId="27" borderId="34" xfId="0" applyNumberFormat="1" applyFont="1" applyFill="1" applyBorder="1" applyAlignment="1">
      <alignment/>
    </xf>
    <xf numFmtId="3" fontId="14" fillId="27" borderId="35" xfId="0" applyNumberFormat="1" applyFont="1" applyFill="1" applyBorder="1" applyAlignment="1">
      <alignment/>
    </xf>
    <xf numFmtId="3" fontId="14" fillId="27" borderId="10" xfId="0" applyNumberFormat="1" applyFont="1" applyFill="1" applyBorder="1" applyAlignment="1">
      <alignment/>
    </xf>
    <xf numFmtId="3" fontId="14" fillId="28" borderId="34" xfId="0" applyNumberFormat="1" applyFont="1" applyFill="1" applyBorder="1" applyAlignment="1">
      <alignment/>
    </xf>
    <xf numFmtId="3" fontId="14" fillId="28" borderId="35" xfId="0" applyNumberFormat="1" applyFont="1" applyFill="1" applyBorder="1" applyAlignment="1">
      <alignment/>
    </xf>
    <xf numFmtId="3" fontId="14" fillId="28" borderId="10" xfId="0" applyNumberFormat="1" applyFont="1" applyFill="1" applyBorder="1" applyAlignment="1">
      <alignment/>
    </xf>
    <xf numFmtId="3" fontId="13" fillId="6" borderId="34" xfId="0" applyNumberFormat="1" applyFont="1" applyFill="1" applyBorder="1" applyAlignment="1">
      <alignment/>
    </xf>
    <xf numFmtId="3" fontId="13" fillId="6" borderId="41" xfId="0" applyNumberFormat="1" applyFont="1" applyFill="1" applyBorder="1" applyAlignment="1">
      <alignment/>
    </xf>
    <xf numFmtId="3" fontId="13" fillId="6" borderId="10" xfId="0" applyNumberFormat="1" applyFont="1" applyFill="1" applyBorder="1" applyAlignment="1">
      <alignment/>
    </xf>
    <xf numFmtId="3" fontId="14" fillId="0" borderId="35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5" fillId="6" borderId="34" xfId="0" applyNumberFormat="1" applyFont="1" applyFill="1" applyBorder="1" applyAlignment="1">
      <alignment/>
    </xf>
    <xf numFmtId="3" fontId="15" fillId="6" borderId="35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26" borderId="34" xfId="0" applyNumberFormat="1" applyFont="1" applyFill="1" applyBorder="1" applyAlignment="1">
      <alignment/>
    </xf>
    <xf numFmtId="3" fontId="14" fillId="26" borderId="35" xfId="0" applyNumberFormat="1" applyFont="1" applyFill="1" applyBorder="1" applyAlignment="1">
      <alignment/>
    </xf>
    <xf numFmtId="3" fontId="14" fillId="26" borderId="10" xfId="0" applyNumberFormat="1" applyFont="1" applyFill="1" applyBorder="1" applyAlignment="1">
      <alignment/>
    </xf>
    <xf numFmtId="3" fontId="14" fillId="26" borderId="41" xfId="0" applyNumberFormat="1" applyFont="1" applyFill="1" applyBorder="1" applyAlignment="1">
      <alignment/>
    </xf>
    <xf numFmtId="3" fontId="14" fillId="26" borderId="0" xfId="0" applyNumberFormat="1" applyFont="1" applyFill="1" applyBorder="1" applyAlignment="1">
      <alignment/>
    </xf>
    <xf numFmtId="3" fontId="14" fillId="26" borderId="0" xfId="0" applyNumberFormat="1" applyFont="1" applyFill="1" applyAlignment="1">
      <alignment/>
    </xf>
    <xf numFmtId="0" fontId="35" fillId="0" borderId="38" xfId="0" applyFont="1" applyFill="1" applyBorder="1" applyAlignment="1">
      <alignment horizontal="left" indent="2"/>
    </xf>
    <xf numFmtId="3" fontId="35" fillId="0" borderId="43" xfId="0" applyNumberFormat="1" applyFont="1" applyFill="1" applyBorder="1" applyAlignment="1">
      <alignment/>
    </xf>
    <xf numFmtId="3" fontId="35" fillId="27" borderId="32" xfId="0" applyNumberFormat="1" applyFont="1" applyFill="1" applyBorder="1" applyAlignment="1">
      <alignment/>
    </xf>
    <xf numFmtId="3" fontId="35" fillId="27" borderId="43" xfId="0" applyNumberFormat="1" applyFont="1" applyFill="1" applyBorder="1" applyAlignment="1">
      <alignment/>
    </xf>
    <xf numFmtId="3" fontId="35" fillId="27" borderId="11" xfId="0" applyNumberFormat="1" applyFont="1" applyFill="1" applyBorder="1" applyAlignment="1">
      <alignment/>
    </xf>
    <xf numFmtId="3" fontId="35" fillId="28" borderId="32" xfId="0" applyNumberFormat="1" applyFont="1" applyFill="1" applyBorder="1" applyAlignment="1">
      <alignment/>
    </xf>
    <xf numFmtId="3" fontId="35" fillId="28" borderId="43" xfId="0" applyNumberFormat="1" applyFont="1" applyFill="1" applyBorder="1" applyAlignment="1">
      <alignment/>
    </xf>
    <xf numFmtId="3" fontId="35" fillId="28" borderId="11" xfId="0" applyNumberFormat="1" applyFont="1" applyFill="1" applyBorder="1" applyAlignment="1">
      <alignment/>
    </xf>
    <xf numFmtId="3" fontId="13" fillId="6" borderId="32" xfId="0" applyNumberFormat="1" applyFont="1" applyFill="1" applyBorder="1" applyAlignment="1">
      <alignment/>
    </xf>
    <xf numFmtId="3" fontId="13" fillId="6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5" fillId="6" borderId="32" xfId="0" applyNumberFormat="1" applyFont="1" applyFill="1" applyBorder="1" applyAlignment="1">
      <alignment/>
    </xf>
    <xf numFmtId="3" fontId="15" fillId="6" borderId="19" xfId="0" applyNumberFormat="1" applyFont="1" applyFill="1" applyBorder="1" applyAlignment="1">
      <alignment/>
    </xf>
    <xf numFmtId="3" fontId="35" fillId="0" borderId="44" xfId="0" applyNumberFormat="1" applyFont="1" applyFill="1" applyBorder="1" applyAlignment="1">
      <alignment/>
    </xf>
    <xf numFmtId="3" fontId="35" fillId="26" borderId="32" xfId="0" applyNumberFormat="1" applyFont="1" applyFill="1" applyBorder="1" applyAlignment="1">
      <alignment/>
    </xf>
    <xf numFmtId="3" fontId="35" fillId="26" borderId="43" xfId="0" applyNumberFormat="1" applyFont="1" applyFill="1" applyBorder="1" applyAlignment="1">
      <alignment/>
    </xf>
    <xf numFmtId="3" fontId="35" fillId="26" borderId="11" xfId="0" applyNumberFormat="1" applyFont="1" applyFill="1" applyBorder="1" applyAlignment="1">
      <alignment/>
    </xf>
    <xf numFmtId="3" fontId="35" fillId="26" borderId="19" xfId="0" applyNumberFormat="1" applyFont="1" applyFill="1" applyBorder="1" applyAlignment="1">
      <alignment/>
    </xf>
    <xf numFmtId="3" fontId="35" fillId="26" borderId="0" xfId="0" applyNumberFormat="1" applyFont="1" applyFill="1" applyBorder="1" applyAlignment="1">
      <alignment/>
    </xf>
    <xf numFmtId="3" fontId="13" fillId="6" borderId="43" xfId="0" applyNumberFormat="1" applyFont="1" applyFill="1" applyBorder="1" applyAlignment="1">
      <alignment/>
    </xf>
    <xf numFmtId="0" fontId="14" fillId="0" borderId="38" xfId="0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3" fontId="14" fillId="27" borderId="32" xfId="0" applyNumberFormat="1" applyFont="1" applyFill="1" applyBorder="1" applyAlignment="1">
      <alignment/>
    </xf>
    <xf numFmtId="3" fontId="14" fillId="27" borderId="43" xfId="0" applyNumberFormat="1" applyFont="1" applyFill="1" applyBorder="1" applyAlignment="1">
      <alignment/>
    </xf>
    <xf numFmtId="3" fontId="14" fillId="27" borderId="11" xfId="0" applyNumberFormat="1" applyFont="1" applyFill="1" applyBorder="1" applyAlignment="1">
      <alignment/>
    </xf>
    <xf numFmtId="3" fontId="14" fillId="28" borderId="32" xfId="0" applyNumberFormat="1" applyFont="1" applyFill="1" applyBorder="1" applyAlignment="1">
      <alignment/>
    </xf>
    <xf numFmtId="3" fontId="14" fillId="28" borderId="43" xfId="0" applyNumberFormat="1" applyFont="1" applyFill="1" applyBorder="1" applyAlignment="1">
      <alignment/>
    </xf>
    <xf numFmtId="3" fontId="14" fillId="28" borderId="11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4" fillId="0" borderId="44" xfId="0" applyNumberFormat="1" applyFont="1" applyFill="1" applyBorder="1" applyAlignment="1">
      <alignment/>
    </xf>
    <xf numFmtId="3" fontId="14" fillId="26" borderId="32" xfId="0" applyNumberFormat="1" applyFont="1" applyFill="1" applyBorder="1" applyAlignment="1">
      <alignment/>
    </xf>
    <xf numFmtId="3" fontId="14" fillId="26" borderId="43" xfId="0" applyNumberFormat="1" applyFont="1" applyFill="1" applyBorder="1" applyAlignment="1">
      <alignment/>
    </xf>
    <xf numFmtId="3" fontId="14" fillId="26" borderId="11" xfId="0" applyNumberFormat="1" applyFont="1" applyFill="1" applyBorder="1" applyAlignment="1">
      <alignment/>
    </xf>
    <xf numFmtId="3" fontId="14" fillId="26" borderId="19" xfId="0" applyNumberFormat="1" applyFont="1" applyFill="1" applyBorder="1" applyAlignment="1">
      <alignment/>
    </xf>
    <xf numFmtId="0" fontId="14" fillId="0" borderId="45" xfId="0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3" fontId="14" fillId="27" borderId="33" xfId="0" applyNumberFormat="1" applyFont="1" applyFill="1" applyBorder="1" applyAlignment="1">
      <alignment/>
    </xf>
    <xf numFmtId="3" fontId="14" fillId="27" borderId="46" xfId="0" applyNumberFormat="1" applyFont="1" applyFill="1" applyBorder="1" applyAlignment="1">
      <alignment/>
    </xf>
    <xf numFmtId="3" fontId="14" fillId="27" borderId="24" xfId="0" applyNumberFormat="1" applyFont="1" applyFill="1" applyBorder="1" applyAlignment="1">
      <alignment/>
    </xf>
    <xf numFmtId="3" fontId="14" fillId="28" borderId="33" xfId="0" applyNumberFormat="1" applyFont="1" applyFill="1" applyBorder="1" applyAlignment="1">
      <alignment/>
    </xf>
    <xf numFmtId="3" fontId="14" fillId="28" borderId="46" xfId="0" applyNumberFormat="1" applyFont="1" applyFill="1" applyBorder="1" applyAlignment="1">
      <alignment/>
    </xf>
    <xf numFmtId="3" fontId="14" fillId="28" borderId="24" xfId="0" applyNumberFormat="1" applyFont="1" applyFill="1" applyBorder="1" applyAlignment="1">
      <alignment/>
    </xf>
    <xf numFmtId="3" fontId="13" fillId="6" borderId="46" xfId="0" applyNumberFormat="1" applyFont="1" applyFill="1" applyBorder="1" applyAlignment="1">
      <alignment/>
    </xf>
    <xf numFmtId="3" fontId="13" fillId="6" borderId="24" xfId="0" applyNumberFormat="1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3" fontId="15" fillId="6" borderId="33" xfId="0" applyNumberFormat="1" applyFont="1" applyFill="1" applyBorder="1" applyAlignment="1">
      <alignment/>
    </xf>
    <xf numFmtId="3" fontId="15" fillId="6" borderId="26" xfId="0" applyNumberFormat="1" applyFont="1" applyFill="1" applyBorder="1" applyAlignment="1">
      <alignment/>
    </xf>
    <xf numFmtId="3" fontId="14" fillId="0" borderId="47" xfId="0" applyNumberFormat="1" applyFont="1" applyFill="1" applyBorder="1" applyAlignment="1">
      <alignment/>
    </xf>
    <xf numFmtId="3" fontId="14" fillId="26" borderId="33" xfId="0" applyNumberFormat="1" applyFont="1" applyFill="1" applyBorder="1" applyAlignment="1">
      <alignment/>
    </xf>
    <xf numFmtId="3" fontId="14" fillId="26" borderId="46" xfId="0" applyNumberFormat="1" applyFont="1" applyFill="1" applyBorder="1" applyAlignment="1">
      <alignment/>
    </xf>
    <xf numFmtId="3" fontId="14" fillId="26" borderId="24" xfId="0" applyNumberFormat="1" applyFont="1" applyFill="1" applyBorder="1" applyAlignment="1">
      <alignment/>
    </xf>
    <xf numFmtId="3" fontId="14" fillId="26" borderId="26" xfId="0" applyNumberFormat="1" applyFont="1" applyFill="1" applyBorder="1" applyAlignment="1">
      <alignment/>
    </xf>
    <xf numFmtId="0" fontId="15" fillId="6" borderId="48" xfId="0" applyFont="1" applyFill="1" applyBorder="1" applyAlignment="1">
      <alignment/>
    </xf>
    <xf numFmtId="3" fontId="15" fillId="6" borderId="49" xfId="0" applyNumberFormat="1" applyFont="1" applyFill="1" applyBorder="1" applyAlignment="1">
      <alignment/>
    </xf>
    <xf numFmtId="3" fontId="15" fillId="6" borderId="13" xfId="0" applyNumberFormat="1" applyFont="1" applyFill="1" applyBorder="1" applyAlignment="1">
      <alignment/>
    </xf>
    <xf numFmtId="3" fontId="15" fillId="6" borderId="50" xfId="0" applyNumberFormat="1" applyFont="1" applyFill="1" applyBorder="1" applyAlignment="1">
      <alignment/>
    </xf>
    <xf numFmtId="3" fontId="15" fillId="6" borderId="51" xfId="0" applyNumberFormat="1" applyFont="1" applyFill="1" applyBorder="1" applyAlignment="1">
      <alignment/>
    </xf>
    <xf numFmtId="3" fontId="15" fillId="27" borderId="49" xfId="0" applyNumberFormat="1" applyFont="1" applyFill="1" applyBorder="1" applyAlignment="1">
      <alignment/>
    </xf>
    <xf numFmtId="3" fontId="15" fillId="27" borderId="50" xfId="0" applyNumberFormat="1" applyFont="1" applyFill="1" applyBorder="1" applyAlignment="1">
      <alignment/>
    </xf>
    <xf numFmtId="3" fontId="15" fillId="27" borderId="13" xfId="0" applyNumberFormat="1" applyFont="1" applyFill="1" applyBorder="1" applyAlignment="1">
      <alignment/>
    </xf>
    <xf numFmtId="3" fontId="15" fillId="28" borderId="49" xfId="0" applyNumberFormat="1" applyFont="1" applyFill="1" applyBorder="1" applyAlignment="1">
      <alignment/>
    </xf>
    <xf numFmtId="3" fontId="15" fillId="28" borderId="50" xfId="0" applyNumberFormat="1" applyFont="1" applyFill="1" applyBorder="1" applyAlignment="1">
      <alignment/>
    </xf>
    <xf numFmtId="3" fontId="15" fillId="28" borderId="13" xfId="0" applyNumberFormat="1" applyFont="1" applyFill="1" applyBorder="1" applyAlignment="1">
      <alignment/>
    </xf>
    <xf numFmtId="3" fontId="13" fillId="6" borderId="49" xfId="0" applyNumberFormat="1" applyFont="1" applyFill="1" applyBorder="1" applyAlignment="1">
      <alignment/>
    </xf>
    <xf numFmtId="3" fontId="13" fillId="6" borderId="50" xfId="0" applyNumberFormat="1" applyFont="1" applyFill="1" applyBorder="1" applyAlignment="1">
      <alignment/>
    </xf>
    <xf numFmtId="3" fontId="13" fillId="6" borderId="13" xfId="0" applyNumberFormat="1" applyFont="1" applyFill="1" applyBorder="1" applyAlignment="1">
      <alignment/>
    </xf>
    <xf numFmtId="3" fontId="15" fillId="6" borderId="51" xfId="0" applyNumberFormat="1" applyFont="1" applyFill="1" applyBorder="1" applyAlignment="1">
      <alignment/>
    </xf>
    <xf numFmtId="3" fontId="15" fillId="6" borderId="13" xfId="0" applyNumberFormat="1" applyFont="1" applyFill="1" applyBorder="1" applyAlignment="1">
      <alignment/>
    </xf>
    <xf numFmtId="3" fontId="15" fillId="6" borderId="49" xfId="0" applyNumberFormat="1" applyFont="1" applyFill="1" applyBorder="1" applyAlignment="1">
      <alignment/>
    </xf>
    <xf numFmtId="3" fontId="15" fillId="6" borderId="52" xfId="0" applyNumberFormat="1" applyFont="1" applyFill="1" applyBorder="1" applyAlignment="1">
      <alignment/>
    </xf>
    <xf numFmtId="3" fontId="15" fillId="26" borderId="49" xfId="0" applyNumberFormat="1" applyFont="1" applyFill="1" applyBorder="1" applyAlignment="1">
      <alignment/>
    </xf>
    <xf numFmtId="3" fontId="15" fillId="26" borderId="50" xfId="0" applyNumberFormat="1" applyFont="1" applyFill="1" applyBorder="1" applyAlignment="1">
      <alignment/>
    </xf>
    <xf numFmtId="3" fontId="15" fillId="26" borderId="13" xfId="0" applyNumberFormat="1" applyFont="1" applyFill="1" applyBorder="1" applyAlignment="1">
      <alignment/>
    </xf>
    <xf numFmtId="3" fontId="15" fillId="26" borderId="51" xfId="0" applyNumberFormat="1" applyFont="1" applyFill="1" applyBorder="1" applyAlignment="1">
      <alignment/>
    </xf>
    <xf numFmtId="3" fontId="15" fillId="26" borderId="0" xfId="0" applyNumberFormat="1" applyFont="1" applyFill="1" applyBorder="1" applyAlignment="1">
      <alignment/>
    </xf>
    <xf numFmtId="3" fontId="14" fillId="0" borderId="41" xfId="0" applyNumberFormat="1" applyFont="1" applyFill="1" applyBorder="1" applyAlignment="1">
      <alignment/>
    </xf>
    <xf numFmtId="3" fontId="14" fillId="27" borderId="41" xfId="0" applyNumberFormat="1" applyFont="1" applyFill="1" applyBorder="1" applyAlignment="1">
      <alignment/>
    </xf>
    <xf numFmtId="3" fontId="14" fillId="28" borderId="41" xfId="0" applyNumberFormat="1" applyFont="1" applyFill="1" applyBorder="1" applyAlignment="1">
      <alignment/>
    </xf>
    <xf numFmtId="0" fontId="35" fillId="0" borderId="38" xfId="0" applyFont="1" applyFill="1" applyBorder="1" applyAlignment="1">
      <alignment/>
    </xf>
    <xf numFmtId="3" fontId="35" fillId="0" borderId="41" xfId="0" applyNumberFormat="1" applyFont="1" applyFill="1" applyBorder="1" applyAlignment="1">
      <alignment/>
    </xf>
    <xf numFmtId="3" fontId="35" fillId="27" borderId="34" xfId="0" applyNumberFormat="1" applyFont="1" applyFill="1" applyBorder="1" applyAlignment="1">
      <alignment/>
    </xf>
    <xf numFmtId="3" fontId="35" fillId="28" borderId="34" xfId="0" applyNumberFormat="1" applyFont="1" applyFill="1" applyBorder="1" applyAlignment="1">
      <alignment/>
    </xf>
    <xf numFmtId="3" fontId="35" fillId="0" borderId="42" xfId="0" applyNumberFormat="1" applyFont="1" applyFill="1" applyBorder="1" applyAlignment="1">
      <alignment/>
    </xf>
    <xf numFmtId="3" fontId="35" fillId="26" borderId="34" xfId="0" applyNumberFormat="1" applyFont="1" applyFill="1" applyBorder="1" applyAlignment="1">
      <alignment/>
    </xf>
    <xf numFmtId="3" fontId="35" fillId="26" borderId="35" xfId="0" applyNumberFormat="1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0" fontId="35" fillId="0" borderId="38" xfId="0" applyFont="1" applyFill="1" applyBorder="1" applyAlignment="1">
      <alignment horizontal="left" wrapText="1" indent="2"/>
    </xf>
    <xf numFmtId="3" fontId="35" fillId="0" borderId="46" xfId="0" applyNumberFormat="1" applyFont="1" applyFill="1" applyBorder="1" applyAlignment="1">
      <alignment/>
    </xf>
    <xf numFmtId="3" fontId="35" fillId="27" borderId="33" xfId="0" applyNumberFormat="1" applyFont="1" applyFill="1" applyBorder="1" applyAlignment="1">
      <alignment/>
    </xf>
    <xf numFmtId="3" fontId="35" fillId="27" borderId="46" xfId="0" applyNumberFormat="1" applyFont="1" applyFill="1" applyBorder="1" applyAlignment="1">
      <alignment/>
    </xf>
    <xf numFmtId="3" fontId="35" fillId="27" borderId="24" xfId="0" applyNumberFormat="1" applyFont="1" applyFill="1" applyBorder="1" applyAlignment="1">
      <alignment/>
    </xf>
    <xf numFmtId="3" fontId="35" fillId="28" borderId="33" xfId="0" applyNumberFormat="1" applyFont="1" applyFill="1" applyBorder="1" applyAlignment="1">
      <alignment/>
    </xf>
    <xf numFmtId="3" fontId="35" fillId="28" borderId="46" xfId="0" applyNumberFormat="1" applyFont="1" applyFill="1" applyBorder="1" applyAlignment="1">
      <alignment/>
    </xf>
    <xf numFmtId="3" fontId="35" fillId="28" borderId="24" xfId="0" applyNumberFormat="1" applyFont="1" applyFill="1" applyBorder="1" applyAlignment="1">
      <alignment/>
    </xf>
    <xf numFmtId="3" fontId="35" fillId="0" borderId="47" xfId="0" applyNumberFormat="1" applyFont="1" applyFill="1" applyBorder="1" applyAlignment="1">
      <alignment/>
    </xf>
    <xf numFmtId="3" fontId="35" fillId="26" borderId="33" xfId="0" applyNumberFormat="1" applyFont="1" applyFill="1" applyBorder="1" applyAlignment="1">
      <alignment/>
    </xf>
    <xf numFmtId="3" fontId="35" fillId="26" borderId="46" xfId="0" applyNumberFormat="1" applyFont="1" applyFill="1" applyBorder="1" applyAlignment="1">
      <alignment/>
    </xf>
    <xf numFmtId="3" fontId="35" fillId="26" borderId="24" xfId="0" applyNumberFormat="1" applyFont="1" applyFill="1" applyBorder="1" applyAlignment="1">
      <alignment/>
    </xf>
    <xf numFmtId="3" fontId="35" fillId="26" borderId="26" xfId="0" applyNumberFormat="1" applyFont="1" applyFill="1" applyBorder="1" applyAlignment="1">
      <alignment/>
    </xf>
    <xf numFmtId="0" fontId="15" fillId="6" borderId="53" xfId="0" applyFont="1" applyFill="1" applyBorder="1" applyAlignment="1">
      <alignment/>
    </xf>
    <xf numFmtId="3" fontId="15" fillId="6" borderId="54" xfId="0" applyNumberFormat="1" applyFont="1" applyFill="1" applyBorder="1" applyAlignment="1">
      <alignment/>
    </xf>
    <xf numFmtId="3" fontId="15" fillId="6" borderId="55" xfId="0" applyNumberFormat="1" applyFont="1" applyFill="1" applyBorder="1" applyAlignment="1">
      <alignment/>
    </xf>
    <xf numFmtId="3" fontId="15" fillId="6" borderId="56" xfId="0" applyNumberFormat="1" applyFont="1" applyFill="1" applyBorder="1" applyAlignment="1">
      <alignment/>
    </xf>
    <xf numFmtId="3" fontId="15" fillId="27" borderId="56" xfId="0" applyNumberFormat="1" applyFont="1" applyFill="1" applyBorder="1" applyAlignment="1">
      <alignment/>
    </xf>
    <xf numFmtId="3" fontId="15" fillId="28" borderId="56" xfId="0" applyNumberFormat="1" applyFont="1" applyFill="1" applyBorder="1" applyAlignment="1">
      <alignment/>
    </xf>
    <xf numFmtId="3" fontId="13" fillId="6" borderId="56" xfId="0" applyNumberFormat="1" applyFont="1" applyFill="1" applyBorder="1" applyAlignment="1">
      <alignment/>
    </xf>
    <xf numFmtId="3" fontId="15" fillId="6" borderId="56" xfId="0" applyNumberFormat="1" applyFont="1" applyFill="1" applyBorder="1" applyAlignment="1">
      <alignment/>
    </xf>
    <xf numFmtId="3" fontId="15" fillId="6" borderId="57" xfId="0" applyNumberFormat="1" applyFont="1" applyFill="1" applyBorder="1" applyAlignment="1">
      <alignment/>
    </xf>
    <xf numFmtId="3" fontId="15" fillId="26" borderId="56" xfId="0" applyNumberFormat="1" applyFont="1" applyFill="1" applyBorder="1" applyAlignment="1">
      <alignment/>
    </xf>
    <xf numFmtId="3" fontId="15" fillId="26" borderId="55" xfId="0" applyNumberFormat="1" applyFont="1" applyFill="1" applyBorder="1" applyAlignment="1">
      <alignment/>
    </xf>
    <xf numFmtId="0" fontId="14" fillId="0" borderId="37" xfId="0" applyFont="1" applyFill="1" applyBorder="1" applyAlignment="1">
      <alignment wrapText="1"/>
    </xf>
    <xf numFmtId="3" fontId="14" fillId="0" borderId="58" xfId="0" applyNumberFormat="1" applyFont="1" applyFill="1" applyBorder="1" applyAlignment="1">
      <alignment/>
    </xf>
    <xf numFmtId="3" fontId="14" fillId="27" borderId="31" xfId="0" applyNumberFormat="1" applyFont="1" applyFill="1" applyBorder="1" applyAlignment="1">
      <alignment/>
    </xf>
    <xf numFmtId="3" fontId="14" fillId="27" borderId="58" xfId="0" applyNumberFormat="1" applyFont="1" applyFill="1" applyBorder="1" applyAlignment="1">
      <alignment/>
    </xf>
    <xf numFmtId="3" fontId="14" fillId="27" borderId="21" xfId="0" applyNumberFormat="1" applyFont="1" applyFill="1" applyBorder="1" applyAlignment="1">
      <alignment/>
    </xf>
    <xf numFmtId="3" fontId="14" fillId="28" borderId="31" xfId="0" applyNumberFormat="1" applyFont="1" applyFill="1" applyBorder="1" applyAlignment="1">
      <alignment/>
    </xf>
    <xf numFmtId="3" fontId="14" fillId="28" borderId="58" xfId="0" applyNumberFormat="1" applyFont="1" applyFill="1" applyBorder="1" applyAlignment="1">
      <alignment/>
    </xf>
    <xf numFmtId="3" fontId="14" fillId="28" borderId="21" xfId="0" applyNumberFormat="1" applyFont="1" applyFill="1" applyBorder="1" applyAlignment="1">
      <alignment/>
    </xf>
    <xf numFmtId="3" fontId="13" fillId="6" borderId="31" xfId="0" applyNumberFormat="1" applyFont="1" applyFill="1" applyBorder="1" applyAlignment="1">
      <alignment/>
    </xf>
    <xf numFmtId="3" fontId="13" fillId="6" borderId="58" xfId="0" applyNumberFormat="1" applyFont="1" applyFill="1" applyBorder="1" applyAlignment="1">
      <alignment/>
    </xf>
    <xf numFmtId="3" fontId="13" fillId="6" borderId="21" xfId="0" applyNumberFormat="1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5" fillId="6" borderId="31" xfId="0" applyNumberFormat="1" applyFont="1" applyFill="1" applyBorder="1" applyAlignment="1">
      <alignment/>
    </xf>
    <xf numFmtId="3" fontId="15" fillId="6" borderId="20" xfId="0" applyNumberFormat="1" applyFont="1" applyFill="1" applyBorder="1" applyAlignment="1">
      <alignment/>
    </xf>
    <xf numFmtId="3" fontId="14" fillId="0" borderId="59" xfId="0" applyNumberFormat="1" applyFont="1" applyFill="1" applyBorder="1" applyAlignment="1">
      <alignment/>
    </xf>
    <xf numFmtId="3" fontId="14" fillId="26" borderId="31" xfId="0" applyNumberFormat="1" applyFont="1" applyFill="1" applyBorder="1" applyAlignment="1">
      <alignment/>
    </xf>
    <xf numFmtId="3" fontId="14" fillId="26" borderId="58" xfId="0" applyNumberFormat="1" applyFont="1" applyFill="1" applyBorder="1" applyAlignment="1">
      <alignment/>
    </xf>
    <xf numFmtId="3" fontId="14" fillId="26" borderId="21" xfId="0" applyNumberFormat="1" applyFont="1" applyFill="1" applyBorder="1" applyAlignment="1">
      <alignment/>
    </xf>
    <xf numFmtId="3" fontId="14" fillId="26" borderId="20" xfId="0" applyNumberFormat="1" applyFont="1" applyFill="1" applyBorder="1" applyAlignment="1">
      <alignment/>
    </xf>
    <xf numFmtId="0" fontId="35" fillId="0" borderId="45" xfId="0" applyFont="1" applyFill="1" applyBorder="1" applyAlignment="1">
      <alignment/>
    </xf>
    <xf numFmtId="3" fontId="13" fillId="6" borderId="33" xfId="0" applyNumberFormat="1" applyFont="1" applyFill="1" applyBorder="1" applyAlignment="1">
      <alignment/>
    </xf>
    <xf numFmtId="0" fontId="14" fillId="0" borderId="39" xfId="0" applyFont="1" applyFill="1" applyBorder="1" applyAlignment="1">
      <alignment/>
    </xf>
    <xf numFmtId="3" fontId="14" fillId="0" borderId="60" xfId="0" applyNumberFormat="1" applyFont="1" applyFill="1" applyBorder="1" applyAlignment="1">
      <alignment/>
    </xf>
    <xf numFmtId="3" fontId="14" fillId="27" borderId="36" xfId="0" applyNumberFormat="1" applyFont="1" applyFill="1" applyBorder="1" applyAlignment="1">
      <alignment/>
    </xf>
    <xf numFmtId="3" fontId="14" fillId="27" borderId="60" xfId="0" applyNumberFormat="1" applyFont="1" applyFill="1" applyBorder="1" applyAlignment="1">
      <alignment/>
    </xf>
    <xf numFmtId="3" fontId="14" fillId="27" borderId="12" xfId="0" applyNumberFormat="1" applyFont="1" applyFill="1" applyBorder="1" applyAlignment="1">
      <alignment/>
    </xf>
    <xf numFmtId="3" fontId="14" fillId="28" borderId="36" xfId="0" applyNumberFormat="1" applyFont="1" applyFill="1" applyBorder="1" applyAlignment="1">
      <alignment/>
    </xf>
    <xf numFmtId="3" fontId="14" fillId="28" borderId="60" xfId="0" applyNumberFormat="1" applyFont="1" applyFill="1" applyBorder="1" applyAlignment="1">
      <alignment/>
    </xf>
    <xf numFmtId="3" fontId="14" fillId="28" borderId="12" xfId="0" applyNumberFormat="1" applyFont="1" applyFill="1" applyBorder="1" applyAlignment="1">
      <alignment/>
    </xf>
    <xf numFmtId="3" fontId="13" fillId="6" borderId="36" xfId="0" applyNumberFormat="1" applyFont="1" applyFill="1" applyBorder="1" applyAlignment="1">
      <alignment/>
    </xf>
    <xf numFmtId="3" fontId="13" fillId="6" borderId="60" xfId="0" applyNumberFormat="1" applyFont="1" applyFill="1" applyBorder="1" applyAlignment="1">
      <alignment/>
    </xf>
    <xf numFmtId="3" fontId="13" fillId="6" borderId="12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5" fillId="6" borderId="36" xfId="0" applyNumberFormat="1" applyFont="1" applyFill="1" applyBorder="1" applyAlignment="1">
      <alignment/>
    </xf>
    <xf numFmtId="3" fontId="15" fillId="6" borderId="30" xfId="0" applyNumberFormat="1" applyFont="1" applyFill="1" applyBorder="1" applyAlignment="1">
      <alignment/>
    </xf>
    <xf numFmtId="3" fontId="14" fillId="0" borderId="61" xfId="0" applyNumberFormat="1" applyFont="1" applyFill="1" applyBorder="1" applyAlignment="1">
      <alignment/>
    </xf>
    <xf numFmtId="3" fontId="14" fillId="26" borderId="36" xfId="0" applyNumberFormat="1" applyFont="1" applyFill="1" applyBorder="1" applyAlignment="1">
      <alignment/>
    </xf>
    <xf numFmtId="3" fontId="14" fillId="26" borderId="60" xfId="0" applyNumberFormat="1" applyFont="1" applyFill="1" applyBorder="1" applyAlignment="1">
      <alignment/>
    </xf>
    <xf numFmtId="3" fontId="14" fillId="26" borderId="12" xfId="0" applyNumberFormat="1" applyFont="1" applyFill="1" applyBorder="1" applyAlignment="1">
      <alignment/>
    </xf>
    <xf numFmtId="3" fontId="14" fillId="26" borderId="30" xfId="0" applyNumberFormat="1" applyFont="1" applyFill="1" applyBorder="1" applyAlignment="1">
      <alignment/>
    </xf>
    <xf numFmtId="0" fontId="15" fillId="6" borderId="62" xfId="0" applyFont="1" applyFill="1" applyBorder="1" applyAlignment="1">
      <alignment/>
    </xf>
    <xf numFmtId="3" fontId="15" fillId="6" borderId="63" xfId="0" applyNumberFormat="1" applyFont="1" applyFill="1" applyBorder="1" applyAlignment="1">
      <alignment/>
    </xf>
    <xf numFmtId="3" fontId="15" fillId="6" borderId="64" xfId="0" applyNumberFormat="1" applyFont="1" applyFill="1" applyBorder="1" applyAlignment="1">
      <alignment/>
    </xf>
    <xf numFmtId="3" fontId="15" fillId="6" borderId="65" xfId="0" applyNumberFormat="1" applyFont="1" applyFill="1" applyBorder="1" applyAlignment="1">
      <alignment/>
    </xf>
    <xf numFmtId="3" fontId="15" fillId="27" borderId="65" xfId="0" applyNumberFormat="1" applyFont="1" applyFill="1" applyBorder="1" applyAlignment="1">
      <alignment/>
    </xf>
    <xf numFmtId="3" fontId="15" fillId="28" borderId="65" xfId="0" applyNumberFormat="1" applyFont="1" applyFill="1" applyBorder="1" applyAlignment="1">
      <alignment/>
    </xf>
    <xf numFmtId="3" fontId="13" fillId="6" borderId="65" xfId="0" applyNumberFormat="1" applyFont="1" applyFill="1" applyBorder="1" applyAlignment="1">
      <alignment/>
    </xf>
    <xf numFmtId="3" fontId="15" fillId="6" borderId="65" xfId="0" applyNumberFormat="1" applyFont="1" applyFill="1" applyBorder="1" applyAlignment="1">
      <alignment/>
    </xf>
    <xf numFmtId="3" fontId="15" fillId="6" borderId="66" xfId="0" applyNumberFormat="1" applyFont="1" applyFill="1" applyBorder="1" applyAlignment="1">
      <alignment/>
    </xf>
    <xf numFmtId="3" fontId="15" fillId="26" borderId="65" xfId="0" applyNumberFormat="1" applyFont="1" applyFill="1" applyBorder="1" applyAlignment="1">
      <alignment/>
    </xf>
    <xf numFmtId="3" fontId="15" fillId="26" borderId="64" xfId="0" applyNumberFormat="1" applyFont="1" applyFill="1" applyBorder="1" applyAlignment="1">
      <alignment/>
    </xf>
    <xf numFmtId="0" fontId="14" fillId="0" borderId="67" xfId="0" applyFont="1" applyFill="1" applyBorder="1" applyAlignment="1">
      <alignment/>
    </xf>
    <xf numFmtId="0" fontId="14" fillId="0" borderId="68" xfId="0" applyFont="1" applyFill="1" applyBorder="1" applyAlignment="1">
      <alignment/>
    </xf>
    <xf numFmtId="0" fontId="14" fillId="0" borderId="69" xfId="0" applyFont="1" applyFill="1" applyBorder="1" applyAlignment="1">
      <alignment/>
    </xf>
    <xf numFmtId="0" fontId="14" fillId="26" borderId="0" xfId="0" applyFont="1" applyFill="1" applyAlignment="1">
      <alignment/>
    </xf>
    <xf numFmtId="0" fontId="4" fillId="0" borderId="36" xfId="0" applyFont="1" applyBorder="1" applyAlignment="1">
      <alignment wrapText="1"/>
    </xf>
    <xf numFmtId="3" fontId="14" fillId="6" borderId="10" xfId="0" applyNumberFormat="1" applyFont="1" applyFill="1" applyBorder="1" applyAlignment="1">
      <alignment/>
    </xf>
    <xf numFmtId="3" fontId="14" fillId="6" borderId="11" xfId="0" applyNumberFormat="1" applyFont="1" applyFill="1" applyBorder="1" applyAlignment="1">
      <alignment/>
    </xf>
    <xf numFmtId="3" fontId="35" fillId="6" borderId="11" xfId="0" applyNumberFormat="1" applyFont="1" applyFill="1" applyBorder="1" applyAlignment="1">
      <alignment/>
    </xf>
    <xf numFmtId="3" fontId="15" fillId="6" borderId="38" xfId="0" applyNumberFormat="1" applyFont="1" applyFill="1" applyBorder="1" applyAlignment="1">
      <alignment/>
    </xf>
    <xf numFmtId="3" fontId="35" fillId="6" borderId="44" xfId="0" applyNumberFormat="1" applyFont="1" applyFill="1" applyBorder="1" applyAlignment="1">
      <alignment/>
    </xf>
    <xf numFmtId="3" fontId="14" fillId="6" borderId="12" xfId="0" applyNumberFormat="1" applyFont="1" applyFill="1" applyBorder="1" applyAlignment="1">
      <alignment/>
    </xf>
    <xf numFmtId="0" fontId="15" fillId="6" borderId="27" xfId="0" applyFont="1" applyFill="1" applyBorder="1" applyAlignment="1">
      <alignment/>
    </xf>
    <xf numFmtId="3" fontId="35" fillId="0" borderId="61" xfId="0" applyNumberFormat="1" applyFont="1" applyFill="1" applyBorder="1" applyAlignment="1">
      <alignment/>
    </xf>
    <xf numFmtId="3" fontId="35" fillId="0" borderId="60" xfId="0" applyNumberFormat="1" applyFont="1" applyFill="1" applyBorder="1" applyAlignment="1">
      <alignment/>
    </xf>
    <xf numFmtId="3" fontId="35" fillId="27" borderId="36" xfId="0" applyNumberFormat="1" applyFont="1" applyFill="1" applyBorder="1" applyAlignment="1">
      <alignment/>
    </xf>
    <xf numFmtId="3" fontId="35" fillId="27" borderId="60" xfId="0" applyNumberFormat="1" applyFont="1" applyFill="1" applyBorder="1" applyAlignment="1">
      <alignment/>
    </xf>
    <xf numFmtId="3" fontId="35" fillId="27" borderId="12" xfId="0" applyNumberFormat="1" applyFont="1" applyFill="1" applyBorder="1" applyAlignment="1">
      <alignment/>
    </xf>
    <xf numFmtId="3" fontId="35" fillId="28" borderId="36" xfId="0" applyNumberFormat="1" applyFont="1" applyFill="1" applyBorder="1" applyAlignment="1">
      <alignment/>
    </xf>
    <xf numFmtId="3" fontId="35" fillId="28" borderId="60" xfId="0" applyNumberFormat="1" applyFont="1" applyFill="1" applyBorder="1" applyAlignment="1">
      <alignment/>
    </xf>
    <xf numFmtId="3" fontId="35" fillId="28" borderId="12" xfId="0" applyNumberFormat="1" applyFont="1" applyFill="1" applyBorder="1" applyAlignment="1">
      <alignment/>
    </xf>
    <xf numFmtId="3" fontId="35" fillId="6" borderId="12" xfId="0" applyNumberFormat="1" applyFont="1" applyFill="1" applyBorder="1" applyAlignment="1">
      <alignment/>
    </xf>
    <xf numFmtId="3" fontId="35" fillId="26" borderId="36" xfId="0" applyNumberFormat="1" applyFont="1" applyFill="1" applyBorder="1" applyAlignment="1">
      <alignment/>
    </xf>
    <xf numFmtId="3" fontId="35" fillId="26" borderId="60" xfId="0" applyNumberFormat="1" applyFont="1" applyFill="1" applyBorder="1" applyAlignment="1">
      <alignment/>
    </xf>
    <xf numFmtId="3" fontId="35" fillId="26" borderId="12" xfId="0" applyNumberFormat="1" applyFont="1" applyFill="1" applyBorder="1" applyAlignment="1">
      <alignment/>
    </xf>
    <xf numFmtId="3" fontId="35" fillId="26" borderId="30" xfId="0" applyNumberFormat="1" applyFont="1" applyFill="1" applyBorder="1" applyAlignment="1">
      <alignment/>
    </xf>
    <xf numFmtId="0" fontId="15" fillId="6" borderId="22" xfId="0" applyFont="1" applyFill="1" applyBorder="1" applyAlignment="1">
      <alignment/>
    </xf>
    <xf numFmtId="3" fontId="15" fillId="6" borderId="28" xfId="0" applyNumberFormat="1" applyFont="1" applyFill="1" applyBorder="1" applyAlignment="1">
      <alignment/>
    </xf>
    <xf numFmtId="3" fontId="15" fillId="27" borderId="54" xfId="0" applyNumberFormat="1" applyFont="1" applyFill="1" applyBorder="1" applyAlignment="1">
      <alignment/>
    </xf>
    <xf numFmtId="3" fontId="15" fillId="27" borderId="28" xfId="0" applyNumberFormat="1" applyFont="1" applyFill="1" applyBorder="1" applyAlignment="1">
      <alignment/>
    </xf>
    <xf numFmtId="3" fontId="15" fillId="28" borderId="54" xfId="0" applyNumberFormat="1" applyFont="1" applyFill="1" applyBorder="1" applyAlignment="1">
      <alignment/>
    </xf>
    <xf numFmtId="3" fontId="15" fillId="28" borderId="28" xfId="0" applyNumberFormat="1" applyFont="1" applyFill="1" applyBorder="1" applyAlignment="1">
      <alignment/>
    </xf>
    <xf numFmtId="3" fontId="13" fillId="6" borderId="54" xfId="0" applyNumberFormat="1" applyFont="1" applyFill="1" applyBorder="1" applyAlignment="1">
      <alignment/>
    </xf>
    <xf numFmtId="3" fontId="15" fillId="6" borderId="55" xfId="0" applyNumberFormat="1" applyFont="1" applyFill="1" applyBorder="1" applyAlignment="1">
      <alignment/>
    </xf>
    <xf numFmtId="3" fontId="15" fillId="6" borderId="28" xfId="0" applyNumberFormat="1" applyFont="1" applyFill="1" applyBorder="1" applyAlignment="1">
      <alignment/>
    </xf>
    <xf numFmtId="3" fontId="15" fillId="26" borderId="54" xfId="0" applyNumberFormat="1" applyFont="1" applyFill="1" applyBorder="1" applyAlignment="1">
      <alignment/>
    </xf>
    <xf numFmtId="3" fontId="15" fillId="26" borderId="28" xfId="0" applyNumberFormat="1" applyFont="1" applyFill="1" applyBorder="1" applyAlignment="1">
      <alignment/>
    </xf>
    <xf numFmtId="0" fontId="15" fillId="6" borderId="27" xfId="0" applyFont="1" applyFill="1" applyBorder="1" applyAlignment="1">
      <alignment wrapText="1"/>
    </xf>
    <xf numFmtId="3" fontId="15" fillId="6" borderId="52" xfId="0" applyNumberFormat="1" applyFont="1" applyFill="1" applyBorder="1" applyAlignment="1">
      <alignment/>
    </xf>
    <xf numFmtId="3" fontId="15" fillId="6" borderId="50" xfId="0" applyNumberFormat="1" applyFont="1" applyFill="1" applyBorder="1" applyAlignment="1">
      <alignment/>
    </xf>
    <xf numFmtId="3" fontId="15" fillId="27" borderId="49" xfId="0" applyNumberFormat="1" applyFont="1" applyFill="1" applyBorder="1" applyAlignment="1">
      <alignment/>
    </xf>
    <xf numFmtId="3" fontId="15" fillId="27" borderId="50" xfId="0" applyNumberFormat="1" applyFont="1" applyFill="1" applyBorder="1" applyAlignment="1">
      <alignment/>
    </xf>
    <xf numFmtId="3" fontId="15" fillId="27" borderId="13" xfId="0" applyNumberFormat="1" applyFont="1" applyFill="1" applyBorder="1" applyAlignment="1">
      <alignment/>
    </xf>
    <xf numFmtId="3" fontId="15" fillId="28" borderId="49" xfId="0" applyNumberFormat="1" applyFont="1" applyFill="1" applyBorder="1" applyAlignment="1">
      <alignment/>
    </xf>
    <xf numFmtId="3" fontId="15" fillId="28" borderId="50" xfId="0" applyNumberFormat="1" applyFont="1" applyFill="1" applyBorder="1" applyAlignment="1">
      <alignment/>
    </xf>
    <xf numFmtId="3" fontId="15" fillId="28" borderId="13" xfId="0" applyNumberFormat="1" applyFont="1" applyFill="1" applyBorder="1" applyAlignment="1">
      <alignment/>
    </xf>
    <xf numFmtId="3" fontId="15" fillId="26" borderId="49" xfId="0" applyNumberFormat="1" applyFont="1" applyFill="1" applyBorder="1" applyAlignment="1">
      <alignment/>
    </xf>
    <xf numFmtId="3" fontId="15" fillId="26" borderId="50" xfId="0" applyNumberFormat="1" applyFont="1" applyFill="1" applyBorder="1" applyAlignment="1">
      <alignment/>
    </xf>
    <xf numFmtId="3" fontId="15" fillId="26" borderId="13" xfId="0" applyNumberFormat="1" applyFont="1" applyFill="1" applyBorder="1" applyAlignment="1">
      <alignment/>
    </xf>
    <xf numFmtId="3" fontId="15" fillId="26" borderId="51" xfId="0" applyNumberFormat="1" applyFont="1" applyFill="1" applyBorder="1" applyAlignment="1">
      <alignment/>
    </xf>
    <xf numFmtId="3" fontId="15" fillId="26" borderId="0" xfId="0" applyNumberFormat="1" applyFont="1" applyFill="1" applyBorder="1" applyAlignment="1">
      <alignment/>
    </xf>
    <xf numFmtId="0" fontId="15" fillId="6" borderId="15" xfId="0" applyFont="1" applyFill="1" applyBorder="1" applyAlignment="1">
      <alignment/>
    </xf>
    <xf numFmtId="3" fontId="15" fillId="6" borderId="14" xfId="0" applyNumberFormat="1" applyFont="1" applyFill="1" applyBorder="1" applyAlignment="1">
      <alignment/>
    </xf>
    <xf numFmtId="3" fontId="15" fillId="27" borderId="63" xfId="0" applyNumberFormat="1" applyFont="1" applyFill="1" applyBorder="1" applyAlignment="1">
      <alignment/>
    </xf>
    <xf numFmtId="3" fontId="15" fillId="27" borderId="14" xfId="0" applyNumberFormat="1" applyFont="1" applyFill="1" applyBorder="1" applyAlignment="1">
      <alignment/>
    </xf>
    <xf numFmtId="3" fontId="15" fillId="28" borderId="63" xfId="0" applyNumberFormat="1" applyFont="1" applyFill="1" applyBorder="1" applyAlignment="1">
      <alignment/>
    </xf>
    <xf numFmtId="3" fontId="15" fillId="28" borderId="14" xfId="0" applyNumberFormat="1" applyFont="1" applyFill="1" applyBorder="1" applyAlignment="1">
      <alignment/>
    </xf>
    <xf numFmtId="3" fontId="13" fillId="6" borderId="63" xfId="0" applyNumberFormat="1" applyFont="1" applyFill="1" applyBorder="1" applyAlignment="1">
      <alignment/>
    </xf>
    <xf numFmtId="3" fontId="15" fillId="6" borderId="64" xfId="0" applyNumberFormat="1" applyFont="1" applyFill="1" applyBorder="1" applyAlignment="1">
      <alignment/>
    </xf>
    <xf numFmtId="3" fontId="15" fillId="6" borderId="14" xfId="0" applyNumberFormat="1" applyFont="1" applyFill="1" applyBorder="1" applyAlignment="1">
      <alignment/>
    </xf>
    <xf numFmtId="0" fontId="8" fillId="26" borderId="0" xfId="0" applyFont="1" applyFill="1" applyBorder="1" applyAlignment="1">
      <alignment/>
    </xf>
    <xf numFmtId="4" fontId="15" fillId="0" borderId="31" xfId="0" applyNumberFormat="1" applyFont="1" applyFill="1" applyBorder="1" applyAlignment="1">
      <alignment/>
    </xf>
    <xf numFmtId="4" fontId="15" fillId="0" borderId="20" xfId="0" applyNumberFormat="1" applyFont="1" applyFill="1" applyBorder="1" applyAlignment="1">
      <alignment/>
    </xf>
    <xf numFmtId="4" fontId="15" fillId="0" borderId="21" xfId="0" applyNumberFormat="1" applyFont="1" applyFill="1" applyBorder="1" applyAlignment="1">
      <alignment/>
    </xf>
    <xf numFmtId="4" fontId="15" fillId="27" borderId="31" xfId="0" applyNumberFormat="1" applyFont="1" applyFill="1" applyBorder="1" applyAlignment="1">
      <alignment/>
    </xf>
    <xf numFmtId="4" fontId="15" fillId="27" borderId="20" xfId="0" applyNumberFormat="1" applyFont="1" applyFill="1" applyBorder="1" applyAlignment="1">
      <alignment/>
    </xf>
    <xf numFmtId="4" fontId="15" fillId="28" borderId="31" xfId="0" applyNumberFormat="1" applyFont="1" applyFill="1" applyBorder="1" applyAlignment="1">
      <alignment/>
    </xf>
    <xf numFmtId="4" fontId="15" fillId="28" borderId="20" xfId="0" applyNumberFormat="1" applyFont="1" applyFill="1" applyBorder="1" applyAlignment="1">
      <alignment/>
    </xf>
    <xf numFmtId="4" fontId="15" fillId="0" borderId="58" xfId="0" applyNumberFormat="1" applyFont="1" applyFill="1" applyBorder="1" applyAlignment="1">
      <alignment/>
    </xf>
    <xf numFmtId="4" fontId="15" fillId="20" borderId="21" xfId="0" applyNumberFormat="1" applyFont="1" applyFill="1" applyBorder="1" applyAlignment="1">
      <alignment/>
    </xf>
    <xf numFmtId="4" fontId="15" fillId="26" borderId="0" xfId="0" applyNumberFormat="1" applyFont="1" applyFill="1" applyBorder="1" applyAlignment="1">
      <alignment/>
    </xf>
    <xf numFmtId="0" fontId="15" fillId="26" borderId="0" xfId="0" applyFont="1" applyFill="1" applyBorder="1" applyAlignment="1">
      <alignment/>
    </xf>
    <xf numFmtId="0" fontId="15" fillId="26" borderId="0" xfId="0" applyFont="1" applyFill="1" applyAlignment="1">
      <alignment/>
    </xf>
    <xf numFmtId="4" fontId="14" fillId="0" borderId="32" xfId="0" applyNumberFormat="1" applyFont="1" applyFill="1" applyBorder="1" applyAlignment="1">
      <alignment/>
    </xf>
    <xf numFmtId="4" fontId="14" fillId="0" borderId="19" xfId="0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4" fontId="14" fillId="0" borderId="70" xfId="0" applyNumberFormat="1" applyFont="1" applyFill="1" applyBorder="1" applyAlignment="1">
      <alignment/>
    </xf>
    <xf numFmtId="4" fontId="14" fillId="27" borderId="70" xfId="0" applyNumberFormat="1" applyFont="1" applyFill="1" applyBorder="1" applyAlignment="1">
      <alignment/>
    </xf>
    <xf numFmtId="4" fontId="14" fillId="27" borderId="19" xfId="0" applyNumberFormat="1" applyFont="1" applyFill="1" applyBorder="1" applyAlignment="1">
      <alignment/>
    </xf>
    <xf numFmtId="4" fontId="14" fillId="28" borderId="70" xfId="0" applyNumberFormat="1" applyFont="1" applyFill="1" applyBorder="1" applyAlignment="1">
      <alignment/>
    </xf>
    <xf numFmtId="4" fontId="14" fillId="28" borderId="19" xfId="0" applyNumberFormat="1" applyFont="1" applyFill="1" applyBorder="1" applyAlignment="1">
      <alignment/>
    </xf>
    <xf numFmtId="4" fontId="14" fillId="0" borderId="43" xfId="0" applyNumberFormat="1" applyFont="1" applyFill="1" applyBorder="1" applyAlignment="1">
      <alignment/>
    </xf>
    <xf numFmtId="4" fontId="14" fillId="20" borderId="11" xfId="0" applyNumberFormat="1" applyFont="1" applyFill="1" applyBorder="1" applyAlignment="1">
      <alignment/>
    </xf>
    <xf numFmtId="3" fontId="14" fillId="26" borderId="0" xfId="0" applyNumberFormat="1" applyFont="1" applyFill="1" applyBorder="1" applyAlignment="1">
      <alignment/>
    </xf>
    <xf numFmtId="4" fontId="14" fillId="26" borderId="0" xfId="0" applyNumberFormat="1" applyFont="1" applyFill="1" applyBorder="1" applyAlignment="1">
      <alignment/>
    </xf>
    <xf numFmtId="0" fontId="14" fillId="26" borderId="0" xfId="0" applyFont="1" applyFill="1" applyBorder="1" applyAlignment="1">
      <alignment/>
    </xf>
    <xf numFmtId="0" fontId="14" fillId="26" borderId="0" xfId="0" applyFont="1" applyFill="1" applyAlignment="1">
      <alignment/>
    </xf>
    <xf numFmtId="4" fontId="15" fillId="0" borderId="36" xfId="0" applyNumberFormat="1" applyFont="1" applyFill="1" applyBorder="1" applyAlignment="1">
      <alignment/>
    </xf>
    <xf numFmtId="4" fontId="15" fillId="0" borderId="30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4" fontId="15" fillId="0" borderId="71" xfId="0" applyNumberFormat="1" applyFont="1" applyFill="1" applyBorder="1" applyAlignment="1">
      <alignment/>
    </xf>
    <xf numFmtId="4" fontId="15" fillId="27" borderId="71" xfId="0" applyNumberFormat="1" applyFont="1" applyFill="1" applyBorder="1" applyAlignment="1">
      <alignment/>
    </xf>
    <xf numFmtId="4" fontId="15" fillId="27" borderId="30" xfId="0" applyNumberFormat="1" applyFont="1" applyFill="1" applyBorder="1" applyAlignment="1">
      <alignment/>
    </xf>
    <xf numFmtId="4" fontId="15" fillId="28" borderId="71" xfId="0" applyNumberFormat="1" applyFont="1" applyFill="1" applyBorder="1" applyAlignment="1">
      <alignment/>
    </xf>
    <xf numFmtId="4" fontId="15" fillId="28" borderId="30" xfId="0" applyNumberFormat="1" applyFont="1" applyFill="1" applyBorder="1" applyAlignment="1">
      <alignment/>
    </xf>
    <xf numFmtId="4" fontId="15" fillId="0" borderId="60" xfId="0" applyNumberFormat="1" applyFont="1" applyFill="1" applyBorder="1" applyAlignment="1">
      <alignment/>
    </xf>
    <xf numFmtId="4" fontId="15" fillId="20" borderId="12" xfId="0" applyNumberFormat="1" applyFont="1" applyFill="1" applyBorder="1" applyAlignment="1">
      <alignment/>
    </xf>
    <xf numFmtId="3" fontId="12" fillId="0" borderId="0" xfId="99" applyNumberFormat="1" applyFont="1" applyFill="1" applyBorder="1" applyAlignment="1">
      <alignment wrapText="1"/>
      <protection/>
    </xf>
    <xf numFmtId="3" fontId="4" fillId="0" borderId="0" xfId="99" applyNumberFormat="1" applyFont="1" applyFill="1" applyBorder="1" applyAlignment="1">
      <alignment wrapText="1"/>
      <protection/>
    </xf>
    <xf numFmtId="0" fontId="11" fillId="4" borderId="0" xfId="99" applyFont="1" applyFill="1" applyAlignment="1">
      <alignment wrapText="1"/>
      <protection/>
    </xf>
    <xf numFmtId="0" fontId="42" fillId="0" borderId="0" xfId="0" applyFont="1" applyAlignment="1">
      <alignment/>
    </xf>
    <xf numFmtId="3" fontId="11" fillId="0" borderId="0" xfId="99" applyNumberFormat="1" applyFont="1" applyFill="1">
      <alignment/>
      <protection/>
    </xf>
    <xf numFmtId="3" fontId="11" fillId="0" borderId="0" xfId="99" applyNumberFormat="1" applyFont="1" applyFill="1" applyBorder="1" applyAlignment="1">
      <alignment wrapText="1"/>
      <protection/>
    </xf>
    <xf numFmtId="3" fontId="4" fillId="25" borderId="0" xfId="0" applyNumberFormat="1" applyFont="1" applyFill="1" applyAlignment="1">
      <alignment horizontal="right" vertical="top"/>
    </xf>
    <xf numFmtId="0" fontId="4" fillId="24" borderId="0" xfId="0" applyFont="1" applyFill="1" applyAlignment="1">
      <alignment vertical="top" wrapText="1"/>
    </xf>
    <xf numFmtId="0" fontId="4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vertical="top" wrapText="1"/>
    </xf>
    <xf numFmtId="3" fontId="4" fillId="24" borderId="0" xfId="0" applyNumberFormat="1" applyFont="1" applyFill="1" applyBorder="1" applyAlignment="1">
      <alignment horizontal="right" vertical="top"/>
    </xf>
    <xf numFmtId="0" fontId="4" fillId="24" borderId="0" xfId="0" applyFont="1" applyFill="1" applyAlignment="1">
      <alignment vertical="top"/>
    </xf>
    <xf numFmtId="0" fontId="4" fillId="24" borderId="0" xfId="0" applyFont="1" applyFill="1" applyBorder="1" applyAlignment="1">
      <alignment vertical="top"/>
    </xf>
    <xf numFmtId="3" fontId="4" fillId="24" borderId="0" xfId="0" applyNumberFormat="1" applyFont="1" applyFill="1" applyBorder="1" applyAlignment="1">
      <alignment vertical="top"/>
    </xf>
    <xf numFmtId="0" fontId="4" fillId="24" borderId="0" xfId="0" applyFont="1" applyFill="1" applyAlignment="1">
      <alignment horizontal="left" vertical="top"/>
    </xf>
    <xf numFmtId="0" fontId="5" fillId="24" borderId="0" xfId="0" applyFont="1" applyFill="1" applyAlignment="1">
      <alignment vertical="top"/>
    </xf>
    <xf numFmtId="3" fontId="5" fillId="24" borderId="0" xfId="0" applyNumberFormat="1" applyFont="1" applyFill="1" applyAlignment="1">
      <alignment vertical="top"/>
    </xf>
    <xf numFmtId="3" fontId="10" fillId="0" borderId="0" xfId="0" applyNumberFormat="1" applyFont="1" applyFill="1" applyAlignment="1">
      <alignment vertical="top"/>
    </xf>
    <xf numFmtId="0" fontId="5" fillId="25" borderId="0" xfId="0" applyNumberFormat="1" applyFont="1" applyFill="1" applyAlignment="1">
      <alignment vertical="top"/>
    </xf>
    <xf numFmtId="3" fontId="4" fillId="25" borderId="0" xfId="0" applyNumberFormat="1" applyFont="1" applyFill="1" applyBorder="1" applyAlignment="1">
      <alignment horizontal="right" vertical="top"/>
    </xf>
    <xf numFmtId="1" fontId="4" fillId="24" borderId="0" xfId="102" applyNumberFormat="1" applyFont="1" applyFill="1" applyAlignment="1">
      <alignment horizontal="left" vertical="top"/>
      <protection/>
    </xf>
    <xf numFmtId="0" fontId="4" fillId="24" borderId="0" xfId="102" applyFont="1" applyFill="1" applyBorder="1" applyAlignment="1">
      <alignment vertical="top" wrapText="1"/>
      <protection/>
    </xf>
    <xf numFmtId="3" fontId="4" fillId="24" borderId="0" xfId="102" applyNumberFormat="1" applyFont="1" applyFill="1" applyBorder="1" applyAlignment="1">
      <alignment horizontal="right" vertical="top"/>
      <protection/>
    </xf>
    <xf numFmtId="0" fontId="4" fillId="25" borderId="0" xfId="102" applyFont="1" applyFill="1" applyAlignment="1">
      <alignment horizontal="left" vertical="top"/>
      <protection/>
    </xf>
    <xf numFmtId="0" fontId="4" fillId="25" borderId="0" xfId="102" applyFont="1" applyFill="1" applyBorder="1" applyAlignment="1">
      <alignment vertical="top" wrapText="1"/>
      <protection/>
    </xf>
    <xf numFmtId="3" fontId="4" fillId="25" borderId="0" xfId="102" applyNumberFormat="1" applyFont="1" applyFill="1" applyBorder="1" applyAlignment="1">
      <alignment horizontal="right" vertical="top"/>
      <protection/>
    </xf>
    <xf numFmtId="0" fontId="4" fillId="25" borderId="0" xfId="102" applyFont="1" applyFill="1" applyBorder="1" applyAlignment="1">
      <alignment horizontal="center" vertical="top"/>
      <protection/>
    </xf>
    <xf numFmtId="0" fontId="4" fillId="26" borderId="0" xfId="102" applyFont="1" applyFill="1" applyAlignment="1">
      <alignment horizontal="left" vertical="top"/>
      <protection/>
    </xf>
    <xf numFmtId="0" fontId="4" fillId="24" borderId="0" xfId="102" applyFont="1" applyFill="1" applyAlignment="1">
      <alignment horizontal="left" vertical="top"/>
      <protection/>
    </xf>
    <xf numFmtId="0" fontId="4" fillId="0" borderId="0" xfId="102" applyFont="1" applyFill="1" applyAlignment="1">
      <alignment horizontal="left" vertical="top"/>
      <protection/>
    </xf>
    <xf numFmtId="0" fontId="4" fillId="9" borderId="0" xfId="102" applyFont="1" applyFill="1" applyAlignment="1">
      <alignment horizontal="left" vertical="top"/>
      <protection/>
    </xf>
    <xf numFmtId="0" fontId="4" fillId="9" borderId="0" xfId="102" applyFont="1" applyFill="1" applyBorder="1" applyAlignment="1">
      <alignment vertical="top"/>
      <protection/>
    </xf>
    <xf numFmtId="3" fontId="4" fillId="9" borderId="0" xfId="102" applyNumberFormat="1" applyFont="1" applyFill="1" applyBorder="1" applyAlignment="1">
      <alignment horizontal="right" vertical="top"/>
      <protection/>
    </xf>
    <xf numFmtId="0" fontId="4" fillId="29" borderId="0" xfId="0" applyFont="1" applyFill="1" applyAlignment="1">
      <alignment vertical="top"/>
    </xf>
    <xf numFmtId="3" fontId="4" fillId="29" borderId="0" xfId="0" applyNumberFormat="1" applyFont="1" applyFill="1" applyAlignment="1">
      <alignment vertical="top"/>
    </xf>
    <xf numFmtId="3" fontId="4" fillId="29" borderId="0" xfId="0" applyNumberFormat="1" applyFont="1" applyFill="1" applyAlignment="1">
      <alignment horizontal="right" vertical="top"/>
    </xf>
    <xf numFmtId="0" fontId="43" fillId="29" borderId="0" xfId="0" applyFont="1" applyFill="1" applyAlignment="1">
      <alignment vertical="top"/>
    </xf>
    <xf numFmtId="0" fontId="5" fillId="29" borderId="0" xfId="0" applyFont="1" applyFill="1" applyAlignment="1">
      <alignment vertical="top"/>
    </xf>
    <xf numFmtId="0" fontId="4" fillId="26" borderId="0" xfId="0" applyFont="1" applyFill="1" applyAlignment="1">
      <alignment/>
    </xf>
    <xf numFmtId="0" fontId="4" fillId="26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wrapText="1"/>
    </xf>
    <xf numFmtId="0" fontId="6" fillId="0" borderId="0" xfId="100" applyFont="1" applyFill="1" applyBorder="1" applyAlignment="1">
      <alignment horizontal="left" wrapText="1" indent="3"/>
      <protection/>
    </xf>
    <xf numFmtId="0" fontId="14" fillId="30" borderId="36" xfId="0" applyFont="1" applyFill="1" applyBorder="1" applyAlignment="1">
      <alignment horizontal="left" wrapText="1"/>
    </xf>
    <xf numFmtId="0" fontId="14" fillId="30" borderId="30" xfId="0" applyFont="1" applyFill="1" applyBorder="1" applyAlignment="1">
      <alignment horizontal="center" wrapText="1"/>
    </xf>
    <xf numFmtId="0" fontId="14" fillId="30" borderId="12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7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99" applyFont="1" applyFill="1" applyAlignment="1">
      <alignment horizontal="center"/>
      <protection/>
    </xf>
    <xf numFmtId="0" fontId="9" fillId="0" borderId="5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15" fillId="30" borderId="31" xfId="0" applyFont="1" applyFill="1" applyBorder="1" applyAlignment="1">
      <alignment horizontal="center" wrapText="1"/>
    </xf>
    <xf numFmtId="0" fontId="15" fillId="30" borderId="58" xfId="0" applyFont="1" applyFill="1" applyBorder="1" applyAlignment="1">
      <alignment horizontal="center" wrapText="1"/>
    </xf>
    <xf numFmtId="0" fontId="15" fillId="30" borderId="20" xfId="0" applyFont="1" applyFill="1" applyBorder="1" applyAlignment="1">
      <alignment horizontal="center" wrapText="1"/>
    </xf>
    <xf numFmtId="0" fontId="15" fillId="30" borderId="21" xfId="0" applyFont="1" applyFill="1" applyBorder="1" applyAlignment="1">
      <alignment horizontal="center" wrapText="1"/>
    </xf>
    <xf numFmtId="0" fontId="15" fillId="30" borderId="31" xfId="0" applyFont="1" applyFill="1" applyBorder="1" applyAlignment="1">
      <alignment horizontal="center" wrapText="1"/>
    </xf>
    <xf numFmtId="0" fontId="15" fillId="30" borderId="58" xfId="0" applyFont="1" applyFill="1" applyBorder="1" applyAlignment="1">
      <alignment horizontal="center" wrapText="1"/>
    </xf>
    <xf numFmtId="0" fontId="15" fillId="30" borderId="20" xfId="0" applyFont="1" applyFill="1" applyBorder="1" applyAlignment="1">
      <alignment horizontal="center" wrapText="1"/>
    </xf>
    <xf numFmtId="0" fontId="15" fillId="30" borderId="21" xfId="0" applyFont="1" applyFill="1" applyBorder="1" applyAlignment="1">
      <alignment horizontal="center" wrapText="1"/>
    </xf>
    <xf numFmtId="0" fontId="5" fillId="30" borderId="31" xfId="0" applyFont="1" applyFill="1" applyBorder="1" applyAlignment="1">
      <alignment horizontal="center" wrapText="1"/>
    </xf>
    <xf numFmtId="0" fontId="5" fillId="30" borderId="58" xfId="0" applyFont="1" applyFill="1" applyBorder="1" applyAlignment="1">
      <alignment horizontal="center" wrapText="1"/>
    </xf>
    <xf numFmtId="0" fontId="5" fillId="30" borderId="20" xfId="0" applyFont="1" applyFill="1" applyBorder="1" applyAlignment="1">
      <alignment horizontal="center" wrapText="1"/>
    </xf>
    <xf numFmtId="0" fontId="5" fillId="30" borderId="21" xfId="0" applyFont="1" applyFill="1" applyBorder="1" applyAlignment="1">
      <alignment horizontal="center" wrapText="1"/>
    </xf>
    <xf numFmtId="0" fontId="15" fillId="27" borderId="31" xfId="0" applyFont="1" applyFill="1" applyBorder="1" applyAlignment="1">
      <alignment horizontal="center" wrapText="1"/>
    </xf>
    <xf numFmtId="0" fontId="15" fillId="27" borderId="58" xfId="0" applyFont="1" applyFill="1" applyBorder="1" applyAlignment="1">
      <alignment horizontal="center" wrapText="1"/>
    </xf>
    <xf numFmtId="0" fontId="15" fillId="27" borderId="20" xfId="0" applyFont="1" applyFill="1" applyBorder="1" applyAlignment="1">
      <alignment horizontal="center" wrapText="1"/>
    </xf>
    <xf numFmtId="0" fontId="15" fillId="27" borderId="21" xfId="0" applyFont="1" applyFill="1" applyBorder="1" applyAlignment="1">
      <alignment horizontal="center" wrapText="1"/>
    </xf>
    <xf numFmtId="0" fontId="15" fillId="27" borderId="37" xfId="0" applyFont="1" applyFill="1" applyBorder="1" applyAlignment="1">
      <alignment horizontal="center" wrapText="1"/>
    </xf>
    <xf numFmtId="0" fontId="15" fillId="27" borderId="73" xfId="0" applyFont="1" applyFill="1" applyBorder="1" applyAlignment="1">
      <alignment horizontal="center" wrapText="1"/>
    </xf>
    <xf numFmtId="0" fontId="15" fillId="27" borderId="59" xfId="0" applyFont="1" applyFill="1" applyBorder="1" applyAlignment="1">
      <alignment horizontal="center" wrapText="1"/>
    </xf>
    <xf numFmtId="0" fontId="15" fillId="28" borderId="31" xfId="0" applyFont="1" applyFill="1" applyBorder="1" applyAlignment="1">
      <alignment horizontal="center" wrapText="1"/>
    </xf>
    <xf numFmtId="0" fontId="15" fillId="28" borderId="58" xfId="0" applyFont="1" applyFill="1" applyBorder="1" applyAlignment="1">
      <alignment horizontal="center" wrapText="1"/>
    </xf>
    <xf numFmtId="0" fontId="15" fillId="28" borderId="20" xfId="0" applyFont="1" applyFill="1" applyBorder="1" applyAlignment="1">
      <alignment horizontal="center" wrapText="1"/>
    </xf>
    <xf numFmtId="0" fontId="15" fillId="28" borderId="21" xfId="0" applyFont="1" applyFill="1" applyBorder="1" applyAlignment="1">
      <alignment horizontal="center" wrapText="1"/>
    </xf>
    <xf numFmtId="0" fontId="13" fillId="6" borderId="31" xfId="0" applyFont="1" applyFill="1" applyBorder="1" applyAlignment="1">
      <alignment horizontal="center" wrapText="1"/>
    </xf>
    <xf numFmtId="0" fontId="13" fillId="6" borderId="58" xfId="0" applyFont="1" applyFill="1" applyBorder="1" applyAlignment="1">
      <alignment horizontal="center" wrapText="1"/>
    </xf>
    <xf numFmtId="0" fontId="13" fillId="6" borderId="20" xfId="0" applyFont="1" applyFill="1" applyBorder="1" applyAlignment="1">
      <alignment horizontal="center" wrapText="1"/>
    </xf>
    <xf numFmtId="0" fontId="13" fillId="6" borderId="21" xfId="0" applyFont="1" applyFill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58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6" borderId="31" xfId="0" applyFont="1" applyFill="1" applyBorder="1" applyAlignment="1">
      <alignment horizontal="center" wrapText="1"/>
    </xf>
    <xf numFmtId="0" fontId="15" fillId="6" borderId="58" xfId="0" applyFont="1" applyFill="1" applyBorder="1" applyAlignment="1">
      <alignment horizontal="center" wrapText="1"/>
    </xf>
    <xf numFmtId="0" fontId="15" fillId="6" borderId="20" xfId="0" applyFont="1" applyFill="1" applyBorder="1" applyAlignment="1">
      <alignment horizontal="center" wrapText="1"/>
    </xf>
    <xf numFmtId="0" fontId="15" fillId="6" borderId="21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15" fillId="0" borderId="58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4" fillId="26" borderId="31" xfId="0" applyFont="1" applyFill="1" applyBorder="1" applyAlignment="1">
      <alignment horizontal="center" wrapText="1"/>
    </xf>
    <xf numFmtId="0" fontId="14" fillId="26" borderId="20" xfId="0" applyFont="1" applyFill="1" applyBorder="1" applyAlignment="1">
      <alignment horizontal="center" wrapText="1"/>
    </xf>
    <xf numFmtId="0" fontId="14" fillId="26" borderId="74" xfId="0" applyFont="1" applyFill="1" applyBorder="1" applyAlignment="1">
      <alignment horizontal="center" wrapText="1"/>
    </xf>
    <xf numFmtId="0" fontId="14" fillId="26" borderId="21" xfId="0" applyFont="1" applyFill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58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</cellXfs>
  <cellStyles count="1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1" xfId="81"/>
    <cellStyle name="Jelölőszín 2" xfId="82"/>
    <cellStyle name="Jelölőszín 3" xfId="83"/>
    <cellStyle name="Jelölőszín 4" xfId="84"/>
    <cellStyle name="Jelölőszín 5" xfId="85"/>
    <cellStyle name="Jelölőszín 6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2 2" xfId="94"/>
    <cellStyle name="Normál 2_mellékletek 2013. III. névi rendelethez Kőszeg" xfId="95"/>
    <cellStyle name="Normál 3" xfId="96"/>
    <cellStyle name="Normál 3 2" xfId="97"/>
    <cellStyle name="Normál 3 3" xfId="98"/>
    <cellStyle name="Normál_2013. költségvetés mell" xfId="99"/>
    <cellStyle name="Normál_2013. költségvetés mell 2" xfId="100"/>
    <cellStyle name="Normal_KTRSZJ" xfId="101"/>
    <cellStyle name="Normál_melléklet összesen_2012. koncepció kiegészítő táblázatok 2" xfId="102"/>
    <cellStyle name="Normál_R_2MELL" xfId="103"/>
    <cellStyle name="Normál_R_2MELL 2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Title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sedus\AppData\Local\Microsoft\Windows\INetCache\Content.Outlook\EOOTV9SS\M&#225;solat%20eredetijeK&#337;szeg%202018.%20III.%20n&#233;vi%20m&#243;dos&#237;t&#225;s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 melléklet"/>
      <sheetName val="2. melléklet"/>
      <sheetName val="3. melléklet  "/>
      <sheetName val="4. melléklet"/>
      <sheetName val="5. melléklet "/>
    </sheetNames>
    <sheetDataSet>
      <sheetData sheetId="4">
        <row r="64">
          <cell r="C64">
            <v>1402086851</v>
          </cell>
          <cell r="D64">
            <v>1515458021</v>
          </cell>
          <cell r="E64">
            <v>1582347295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76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12.00390625" style="8" customWidth="1"/>
    <col min="2" max="2" width="12.25390625" style="8" customWidth="1"/>
    <col min="3" max="3" width="6.00390625" style="7" customWidth="1"/>
    <col min="4" max="4" width="37.125" style="7" customWidth="1"/>
    <col min="5" max="16384" width="9.125" style="7" customWidth="1"/>
  </cols>
  <sheetData>
    <row r="1" ht="18.75" customHeight="1"/>
    <row r="2" spans="1:8" ht="15.75">
      <c r="A2" s="519" t="s">
        <v>30</v>
      </c>
      <c r="B2" s="519"/>
      <c r="C2" s="519"/>
      <c r="D2" s="519"/>
      <c r="E2" s="519"/>
      <c r="F2" s="519"/>
      <c r="G2" s="13"/>
      <c r="H2" s="13"/>
    </row>
    <row r="3" spans="1:6" ht="12.75">
      <c r="A3" s="12"/>
      <c r="B3" s="12"/>
      <c r="C3" s="10"/>
      <c r="D3" s="10"/>
      <c r="E3" s="10"/>
      <c r="F3" s="10"/>
    </row>
    <row r="4" spans="1:6" ht="27.75" customHeight="1">
      <c r="A4" s="12"/>
      <c r="B4" s="12"/>
      <c r="C4" s="10"/>
      <c r="D4" s="10"/>
      <c r="E4" s="10"/>
      <c r="F4" s="10"/>
    </row>
    <row r="5" spans="1:6" ht="12.75">
      <c r="A5" s="14" t="s">
        <v>31</v>
      </c>
      <c r="B5" s="14"/>
      <c r="C5" s="10"/>
      <c r="D5" s="10"/>
      <c r="E5" s="10"/>
      <c r="F5" s="10"/>
    </row>
    <row r="6" spans="1:6" ht="12.75">
      <c r="A6" s="14"/>
      <c r="B6" s="14" t="s">
        <v>32</v>
      </c>
      <c r="C6" s="10"/>
      <c r="D6" s="10"/>
      <c r="E6" s="10"/>
      <c r="F6" s="10"/>
    </row>
    <row r="7" spans="1:6" ht="25.5" customHeight="1">
      <c r="A7" s="14"/>
      <c r="B7" s="14" t="s">
        <v>4</v>
      </c>
      <c r="C7" s="15"/>
      <c r="D7" s="16" t="s">
        <v>53</v>
      </c>
      <c r="E7" s="10"/>
      <c r="F7" s="10"/>
    </row>
    <row r="8" spans="1:6" ht="25.5" customHeight="1">
      <c r="A8" s="14"/>
      <c r="B8" s="14" t="s">
        <v>5</v>
      </c>
      <c r="C8" s="15"/>
      <c r="D8" s="23" t="s">
        <v>33</v>
      </c>
      <c r="E8" s="10"/>
      <c r="F8" s="10"/>
    </row>
    <row r="9" spans="1:6" ht="25.5" customHeight="1">
      <c r="A9" s="14"/>
      <c r="B9" s="14" t="s">
        <v>6</v>
      </c>
      <c r="C9" s="15"/>
      <c r="D9" s="8" t="s">
        <v>64</v>
      </c>
      <c r="E9" s="10"/>
      <c r="F9" s="10"/>
    </row>
    <row r="10" spans="1:6" ht="25.5" customHeight="1">
      <c r="A10" s="14"/>
      <c r="B10" s="14" t="s">
        <v>7</v>
      </c>
      <c r="C10" s="15"/>
      <c r="D10" s="23" t="s">
        <v>140</v>
      </c>
      <c r="E10" s="10"/>
      <c r="F10" s="10"/>
    </row>
    <row r="11" spans="1:6" ht="25.5" customHeight="1">
      <c r="A11" s="14"/>
      <c r="B11" s="14" t="s">
        <v>8</v>
      </c>
      <c r="C11" s="15"/>
      <c r="D11" s="145" t="s">
        <v>165</v>
      </c>
      <c r="E11" s="10"/>
      <c r="F11" s="10"/>
    </row>
    <row r="12" spans="1:6" ht="25.5" customHeight="1">
      <c r="A12" s="14"/>
      <c r="B12" s="14" t="s">
        <v>18</v>
      </c>
      <c r="C12" s="15"/>
      <c r="D12" s="23" t="s">
        <v>166</v>
      </c>
      <c r="E12" s="145"/>
      <c r="F12" s="145"/>
    </row>
    <row r="13" spans="1:6" ht="25.5" customHeight="1">
      <c r="A13" s="14"/>
      <c r="B13" s="14" t="s">
        <v>19</v>
      </c>
      <c r="C13" s="15"/>
      <c r="D13" s="23" t="s">
        <v>167</v>
      </c>
      <c r="E13" s="10"/>
      <c r="F13" s="10"/>
    </row>
    <row r="14" spans="1:6" ht="25.5" customHeight="1">
      <c r="A14" s="14"/>
      <c r="B14" s="14" t="s">
        <v>21</v>
      </c>
      <c r="C14" s="15"/>
      <c r="D14" s="23" t="s">
        <v>34</v>
      </c>
      <c r="E14" s="10"/>
      <c r="F14" s="10"/>
    </row>
    <row r="15" spans="1:6" ht="25.5" customHeight="1">
      <c r="A15" s="14" t="s">
        <v>1</v>
      </c>
      <c r="B15" s="12"/>
      <c r="C15" s="10"/>
      <c r="D15" s="16" t="s">
        <v>35</v>
      </c>
      <c r="E15" s="10"/>
      <c r="F15" s="10"/>
    </row>
    <row r="16" spans="1:6" ht="12.75">
      <c r="A16" s="12"/>
      <c r="B16" s="12"/>
      <c r="C16" s="10"/>
      <c r="D16" s="10"/>
      <c r="E16" s="10"/>
      <c r="F16" s="10"/>
    </row>
    <row r="17" spans="1:6" ht="12.75">
      <c r="A17" s="12"/>
      <c r="B17" s="12"/>
      <c r="C17" s="10"/>
      <c r="D17" s="10"/>
      <c r="E17" s="10"/>
      <c r="F17" s="10"/>
    </row>
    <row r="18" spans="1:6" ht="12.75">
      <c r="A18" s="12"/>
      <c r="B18" s="12"/>
      <c r="C18" s="10"/>
      <c r="D18" s="10"/>
      <c r="E18" s="10"/>
      <c r="F18" s="10"/>
    </row>
    <row r="19" spans="1:6" ht="12.75">
      <c r="A19" s="12"/>
      <c r="B19" s="12"/>
      <c r="C19" s="10"/>
      <c r="D19" s="10"/>
      <c r="E19" s="10"/>
      <c r="F19" s="10"/>
    </row>
    <row r="20" spans="1:6" ht="12.75">
      <c r="A20" s="12"/>
      <c r="B20" s="12"/>
      <c r="C20" s="10"/>
      <c r="D20" s="10"/>
      <c r="E20" s="10"/>
      <c r="F20" s="10"/>
    </row>
    <row r="21" spans="1:6" ht="12.75">
      <c r="A21" s="12"/>
      <c r="B21" s="12"/>
      <c r="C21" s="10"/>
      <c r="D21" s="10"/>
      <c r="E21" s="10"/>
      <c r="F21" s="10"/>
    </row>
    <row r="22" spans="1:6" ht="12.75">
      <c r="A22" s="12"/>
      <c r="B22" s="12"/>
      <c r="C22" s="10"/>
      <c r="D22" s="10"/>
      <c r="E22" s="10"/>
      <c r="F22" s="10"/>
    </row>
    <row r="23" spans="1:6" ht="12.75">
      <c r="A23" s="12"/>
      <c r="B23" s="12"/>
      <c r="C23" s="10"/>
      <c r="D23" s="10"/>
      <c r="E23" s="10"/>
      <c r="F23" s="10"/>
    </row>
    <row r="24" spans="1:6" ht="12.75">
      <c r="A24" s="12"/>
      <c r="B24" s="12"/>
      <c r="C24" s="10"/>
      <c r="D24" s="10"/>
      <c r="E24" s="10"/>
      <c r="F24" s="10"/>
    </row>
    <row r="25" spans="1:6" ht="12.75">
      <c r="A25" s="12"/>
      <c r="B25" s="12"/>
      <c r="C25" s="10"/>
      <c r="D25" s="10"/>
      <c r="E25" s="10"/>
      <c r="F25" s="10"/>
    </row>
    <row r="26" spans="1:6" ht="12.75">
      <c r="A26" s="12"/>
      <c r="B26" s="12"/>
      <c r="C26" s="10"/>
      <c r="D26" s="10"/>
      <c r="E26" s="10"/>
      <c r="F26" s="10"/>
    </row>
    <row r="27" spans="1:6" ht="12.75">
      <c r="A27" s="12"/>
      <c r="B27" s="12"/>
      <c r="C27" s="10"/>
      <c r="D27" s="10"/>
      <c r="E27" s="10"/>
      <c r="F27" s="10"/>
    </row>
    <row r="28" spans="1:6" ht="12.75">
      <c r="A28" s="12"/>
      <c r="B28" s="12"/>
      <c r="C28" s="10"/>
      <c r="D28" s="10"/>
      <c r="E28" s="10"/>
      <c r="F28" s="10"/>
    </row>
    <row r="29" spans="1:6" ht="12.75">
      <c r="A29" s="12"/>
      <c r="B29" s="12"/>
      <c r="C29" s="10"/>
      <c r="D29" s="10"/>
      <c r="E29" s="10"/>
      <c r="F29" s="10"/>
    </row>
    <row r="30" spans="1:6" ht="12.75">
      <c r="A30" s="12"/>
      <c r="B30" s="12"/>
      <c r="C30" s="10"/>
      <c r="D30" s="10"/>
      <c r="E30" s="10"/>
      <c r="F30" s="10"/>
    </row>
    <row r="31" spans="1:6" ht="12.75">
      <c r="A31" s="12"/>
      <c r="B31" s="12"/>
      <c r="C31" s="10"/>
      <c r="D31" s="10"/>
      <c r="E31" s="10"/>
      <c r="F31" s="10"/>
    </row>
    <row r="32" spans="1:6" ht="12.75">
      <c r="A32" s="12"/>
      <c r="B32" s="12"/>
      <c r="C32" s="10"/>
      <c r="D32" s="10"/>
      <c r="E32" s="10"/>
      <c r="F32" s="10"/>
    </row>
    <row r="33" spans="1:6" ht="12.75">
      <c r="A33" s="12"/>
      <c r="B33" s="12"/>
      <c r="C33" s="10"/>
      <c r="D33" s="10"/>
      <c r="E33" s="10"/>
      <c r="F33" s="10"/>
    </row>
    <row r="34" spans="1:6" ht="12.75">
      <c r="A34" s="12"/>
      <c r="B34" s="12"/>
      <c r="C34" s="10"/>
      <c r="D34" s="10"/>
      <c r="E34" s="10"/>
      <c r="F34" s="10"/>
    </row>
    <row r="35" spans="1:6" ht="12.75">
      <c r="A35" s="12"/>
      <c r="B35" s="12"/>
      <c r="C35" s="10"/>
      <c r="D35" s="10"/>
      <c r="E35" s="10"/>
      <c r="F35" s="10"/>
    </row>
    <row r="36" spans="1:6" ht="12.75">
      <c r="A36" s="12"/>
      <c r="B36" s="12"/>
      <c r="C36" s="10"/>
      <c r="D36" s="10"/>
      <c r="E36" s="10"/>
      <c r="F36" s="10"/>
    </row>
    <row r="37" spans="1:6" ht="12.75">
      <c r="A37" s="12"/>
      <c r="B37" s="12"/>
      <c r="C37" s="10"/>
      <c r="D37" s="10"/>
      <c r="E37" s="10"/>
      <c r="F37" s="10"/>
    </row>
    <row r="38" spans="1:6" ht="12.75">
      <c r="A38" s="12"/>
      <c r="B38" s="12"/>
      <c r="C38" s="10"/>
      <c r="D38" s="10"/>
      <c r="E38" s="10"/>
      <c r="F38" s="10"/>
    </row>
    <row r="39" spans="1:6" ht="12.75">
      <c r="A39" s="12"/>
      <c r="B39" s="12"/>
      <c r="C39" s="10"/>
      <c r="D39" s="10"/>
      <c r="E39" s="10"/>
      <c r="F39" s="10"/>
    </row>
    <row r="40" spans="1:6" ht="12.75">
      <c r="A40" s="12"/>
      <c r="B40" s="12"/>
      <c r="C40" s="10"/>
      <c r="D40" s="10"/>
      <c r="E40" s="10"/>
      <c r="F40" s="10"/>
    </row>
    <row r="41" spans="1:6" ht="12.75">
      <c r="A41" s="12"/>
      <c r="B41" s="12"/>
      <c r="C41" s="10"/>
      <c r="D41" s="10"/>
      <c r="E41" s="10"/>
      <c r="F41" s="10"/>
    </row>
    <row r="42" spans="1:6" ht="12.75">
      <c r="A42" s="12"/>
      <c r="B42" s="12"/>
      <c r="C42" s="10"/>
      <c r="D42" s="10"/>
      <c r="E42" s="10"/>
      <c r="F42" s="10"/>
    </row>
    <row r="43" spans="1:6" ht="12.75">
      <c r="A43" s="12"/>
      <c r="B43" s="12"/>
      <c r="C43" s="10"/>
      <c r="D43" s="10"/>
      <c r="E43" s="10"/>
      <c r="F43" s="10"/>
    </row>
    <row r="44" spans="1:6" ht="12.75">
      <c r="A44" s="12"/>
      <c r="B44" s="12"/>
      <c r="C44" s="10"/>
      <c r="D44" s="10"/>
      <c r="E44" s="10"/>
      <c r="F44" s="10"/>
    </row>
    <row r="45" spans="1:6" ht="12.75">
      <c r="A45" s="12"/>
      <c r="B45" s="12"/>
      <c r="C45" s="10"/>
      <c r="D45" s="10"/>
      <c r="E45" s="10"/>
      <c r="F45" s="10"/>
    </row>
    <row r="46" spans="1:6" ht="12.75">
      <c r="A46" s="12"/>
      <c r="B46" s="12"/>
      <c r="C46" s="10"/>
      <c r="D46" s="10"/>
      <c r="E46" s="10"/>
      <c r="F46" s="10"/>
    </row>
    <row r="47" spans="1:6" ht="12.75">
      <c r="A47" s="12"/>
      <c r="B47" s="12"/>
      <c r="C47" s="10"/>
      <c r="D47" s="10"/>
      <c r="E47" s="10"/>
      <c r="F47" s="10"/>
    </row>
    <row r="48" spans="1:6" ht="12.75">
      <c r="A48" s="12"/>
      <c r="B48" s="12"/>
      <c r="C48" s="10"/>
      <c r="D48" s="10"/>
      <c r="E48" s="10"/>
      <c r="F48" s="10"/>
    </row>
    <row r="49" spans="1:6" ht="12.75">
      <c r="A49" s="12"/>
      <c r="B49" s="12"/>
      <c r="C49" s="10"/>
      <c r="D49" s="10"/>
      <c r="E49" s="10"/>
      <c r="F49" s="10"/>
    </row>
    <row r="50" spans="1:6" ht="12.75">
      <c r="A50" s="12"/>
      <c r="B50" s="12"/>
      <c r="C50" s="10"/>
      <c r="D50" s="10"/>
      <c r="E50" s="10"/>
      <c r="F50" s="10"/>
    </row>
    <row r="51" spans="1:6" ht="12.75">
      <c r="A51" s="12"/>
      <c r="B51" s="12"/>
      <c r="C51" s="10"/>
      <c r="D51" s="10"/>
      <c r="E51" s="10"/>
      <c r="F51" s="10"/>
    </row>
    <row r="52" spans="1:6" ht="12.75">
      <c r="A52" s="12"/>
      <c r="B52" s="12"/>
      <c r="C52" s="10"/>
      <c r="D52" s="10"/>
      <c r="E52" s="10"/>
      <c r="F52" s="10"/>
    </row>
    <row r="53" spans="1:6" ht="12.75">
      <c r="A53" s="12"/>
      <c r="B53" s="12"/>
      <c r="C53" s="10"/>
      <c r="D53" s="10"/>
      <c r="E53" s="10"/>
      <c r="F53" s="10"/>
    </row>
    <row r="54" spans="1:6" ht="12.75">
      <c r="A54" s="12"/>
      <c r="B54" s="12"/>
      <c r="C54" s="10"/>
      <c r="D54" s="10"/>
      <c r="E54" s="10"/>
      <c r="F54" s="10"/>
    </row>
    <row r="55" spans="1:6" ht="12.75">
      <c r="A55" s="12"/>
      <c r="B55" s="12"/>
      <c r="C55" s="10"/>
      <c r="D55" s="10"/>
      <c r="E55" s="10"/>
      <c r="F55" s="10"/>
    </row>
    <row r="56" spans="1:6" ht="12.75">
      <c r="A56" s="12"/>
      <c r="B56" s="12"/>
      <c r="C56" s="10"/>
      <c r="D56" s="10"/>
      <c r="E56" s="10"/>
      <c r="F56" s="10"/>
    </row>
    <row r="57" spans="1:6" ht="12.75">
      <c r="A57" s="12"/>
      <c r="B57" s="12"/>
      <c r="C57" s="10"/>
      <c r="D57" s="10"/>
      <c r="E57" s="10"/>
      <c r="F57" s="10"/>
    </row>
    <row r="58" spans="1:6" ht="12.75">
      <c r="A58" s="12"/>
      <c r="B58" s="12"/>
      <c r="C58" s="10"/>
      <c r="D58" s="10"/>
      <c r="E58" s="10"/>
      <c r="F58" s="10"/>
    </row>
    <row r="59" spans="1:6" ht="12.75">
      <c r="A59" s="12"/>
      <c r="B59" s="12"/>
      <c r="C59" s="10"/>
      <c r="D59" s="10"/>
      <c r="E59" s="10"/>
      <c r="F59" s="10"/>
    </row>
    <row r="60" spans="1:6" ht="12.75">
      <c r="A60" s="12"/>
      <c r="B60" s="12"/>
      <c r="C60" s="10"/>
      <c r="D60" s="10"/>
      <c r="E60" s="10"/>
      <c r="F60" s="10"/>
    </row>
    <row r="61" spans="1:6" ht="12.75">
      <c r="A61" s="12"/>
      <c r="B61" s="12"/>
      <c r="C61" s="10"/>
      <c r="D61" s="10"/>
      <c r="E61" s="10"/>
      <c r="F61" s="10"/>
    </row>
    <row r="62" spans="1:6" ht="12.75">
      <c r="A62" s="12"/>
      <c r="B62" s="12"/>
      <c r="C62" s="10"/>
      <c r="D62" s="10"/>
      <c r="E62" s="10"/>
      <c r="F62" s="10"/>
    </row>
    <row r="63" spans="1:6" ht="12.75">
      <c r="A63" s="12"/>
      <c r="B63" s="12"/>
      <c r="C63" s="10"/>
      <c r="D63" s="10"/>
      <c r="E63" s="10"/>
      <c r="F63" s="10"/>
    </row>
    <row r="64" spans="1:6" ht="12.75">
      <c r="A64" s="12"/>
      <c r="B64" s="12"/>
      <c r="C64" s="10"/>
      <c r="D64" s="10"/>
      <c r="E64" s="10"/>
      <c r="F64" s="10"/>
    </row>
    <row r="65" spans="1:6" ht="12.75">
      <c r="A65" s="12"/>
      <c r="B65" s="12"/>
      <c r="C65" s="10"/>
      <c r="D65" s="10"/>
      <c r="E65" s="10"/>
      <c r="F65" s="10"/>
    </row>
    <row r="66" spans="1:6" ht="12.75">
      <c r="A66" s="12"/>
      <c r="B66" s="12"/>
      <c r="C66" s="10"/>
      <c r="D66" s="10"/>
      <c r="E66" s="10"/>
      <c r="F66" s="10"/>
    </row>
    <row r="67" spans="1:6" ht="12.75">
      <c r="A67" s="12"/>
      <c r="B67" s="12"/>
      <c r="C67" s="10"/>
      <c r="D67" s="10"/>
      <c r="E67" s="10"/>
      <c r="F67" s="10"/>
    </row>
    <row r="68" spans="1:6" ht="12.75">
      <c r="A68" s="12"/>
      <c r="B68" s="12"/>
      <c r="C68" s="10"/>
      <c r="D68" s="10"/>
      <c r="E68" s="10"/>
      <c r="F68" s="10"/>
    </row>
    <row r="69" spans="1:6" ht="12.75">
      <c r="A69" s="12"/>
      <c r="B69" s="12"/>
      <c r="C69" s="10"/>
      <c r="D69" s="10"/>
      <c r="E69" s="10"/>
      <c r="F69" s="10"/>
    </row>
    <row r="70" spans="1:6" ht="12.75">
      <c r="A70" s="12"/>
      <c r="B70" s="12"/>
      <c r="C70" s="10"/>
      <c r="D70" s="10"/>
      <c r="E70" s="10"/>
      <c r="F70" s="10"/>
    </row>
    <row r="71" spans="1:6" ht="12.75">
      <c r="A71" s="12"/>
      <c r="B71" s="12"/>
      <c r="C71" s="10"/>
      <c r="D71" s="10"/>
      <c r="E71" s="10"/>
      <c r="F71" s="10"/>
    </row>
    <row r="72" spans="1:6" ht="12.75">
      <c r="A72" s="12"/>
      <c r="B72" s="12"/>
      <c r="C72" s="10"/>
      <c r="D72" s="10"/>
      <c r="E72" s="10"/>
      <c r="F72" s="10"/>
    </row>
    <row r="73" spans="1:6" ht="12.75">
      <c r="A73" s="12"/>
      <c r="B73" s="12"/>
      <c r="C73" s="10"/>
      <c r="D73" s="10"/>
      <c r="E73" s="10"/>
      <c r="F73" s="10"/>
    </row>
    <row r="74" spans="1:6" ht="12.75">
      <c r="A74" s="12"/>
      <c r="B74" s="12"/>
      <c r="C74" s="10"/>
      <c r="D74" s="10"/>
      <c r="E74" s="10"/>
      <c r="F74" s="10"/>
    </row>
    <row r="75" spans="1:6" ht="12.75">
      <c r="A75" s="12"/>
      <c r="B75" s="12"/>
      <c r="C75" s="10"/>
      <c r="D75" s="10"/>
      <c r="E75" s="10"/>
      <c r="F75" s="10"/>
    </row>
    <row r="76" spans="1:6" ht="12.75">
      <c r="A76" s="12"/>
      <c r="B76" s="12"/>
      <c r="C76" s="10"/>
      <c r="D76" s="10"/>
      <c r="E76" s="10"/>
      <c r="F76" s="10"/>
    </row>
  </sheetData>
  <sheetProtection/>
  <mergeCells count="1">
    <mergeCell ref="A2:F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54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1.375" style="3" customWidth="1"/>
    <col min="2" max="5" width="15.75390625" style="3" customWidth="1"/>
    <col min="6" max="6" width="3.375" style="3" customWidth="1"/>
    <col min="7" max="16384" width="9.125" style="3" customWidth="1"/>
  </cols>
  <sheetData>
    <row r="1" ht="15.75">
      <c r="A1" s="83" t="s">
        <v>357</v>
      </c>
    </row>
    <row r="2" ht="15.75">
      <c r="A2" s="83" t="s">
        <v>258</v>
      </c>
    </row>
    <row r="3" spans="1:5" ht="15.75">
      <c r="A3" s="521" t="s">
        <v>23</v>
      </c>
      <c r="B3" s="521"/>
      <c r="C3" s="521"/>
      <c r="D3" s="521"/>
      <c r="E3" s="521"/>
    </row>
    <row r="4" spans="1:5" ht="15.75">
      <c r="A4" s="521" t="s">
        <v>168</v>
      </c>
      <c r="B4" s="521"/>
      <c r="C4" s="521"/>
      <c r="D4" s="521"/>
      <c r="E4" s="521"/>
    </row>
    <row r="5" spans="1:5" s="9" customFormat="1" ht="21" customHeight="1" thickBot="1">
      <c r="A5" s="520" t="s">
        <v>170</v>
      </c>
      <c r="B5" s="520"/>
      <c r="C5" s="520"/>
      <c r="D5" s="520"/>
      <c r="E5" s="520"/>
    </row>
    <row r="6" spans="1:5" s="9" customFormat="1" ht="42" customHeight="1" thickBot="1">
      <c r="A6" s="63" t="s">
        <v>24</v>
      </c>
      <c r="B6" s="59" t="s">
        <v>169</v>
      </c>
      <c r="C6" s="163" t="s">
        <v>309</v>
      </c>
      <c r="D6" s="163" t="s">
        <v>338</v>
      </c>
      <c r="E6" s="163" t="s">
        <v>259</v>
      </c>
    </row>
    <row r="7" spans="1:5" s="9" customFormat="1" ht="12.75">
      <c r="A7" s="55" t="s">
        <v>117</v>
      </c>
      <c r="B7" s="62">
        <f>B8+B9</f>
        <v>890978777</v>
      </c>
      <c r="C7" s="62">
        <f>C8+C9</f>
        <v>1007367063</v>
      </c>
      <c r="D7" s="62">
        <f>D8+D9</f>
        <v>1031810379</v>
      </c>
      <c r="E7" s="62">
        <f aca="true" t="shared" si="0" ref="E7:E28">D7-C7</f>
        <v>24443316</v>
      </c>
    </row>
    <row r="8" spans="1:5" s="9" customFormat="1" ht="12.75">
      <c r="A8" s="149" t="s">
        <v>114</v>
      </c>
      <c r="B8" s="75">
        <v>828336315</v>
      </c>
      <c r="C8" s="75">
        <v>867576713</v>
      </c>
      <c r="D8" s="75">
        <v>884925144</v>
      </c>
      <c r="E8" s="75">
        <f t="shared" si="0"/>
        <v>17348431</v>
      </c>
    </row>
    <row r="9" spans="1:5" s="9" customFormat="1" ht="12.75">
      <c r="A9" s="149" t="s">
        <v>115</v>
      </c>
      <c r="B9" s="75">
        <v>62642462</v>
      </c>
      <c r="C9" s="75">
        <v>139790350</v>
      </c>
      <c r="D9" s="75">
        <v>146885235</v>
      </c>
      <c r="E9" s="75">
        <f t="shared" si="0"/>
        <v>7094885</v>
      </c>
    </row>
    <row r="10" spans="1:5" s="9" customFormat="1" ht="12.75">
      <c r="A10" s="64" t="s">
        <v>66</v>
      </c>
      <c r="B10" s="19">
        <v>489859309</v>
      </c>
      <c r="C10" s="19">
        <v>489869309</v>
      </c>
      <c r="D10" s="19">
        <v>489877005</v>
      </c>
      <c r="E10" s="19">
        <f t="shared" si="0"/>
        <v>7696</v>
      </c>
    </row>
    <row r="11" spans="1:5" s="9" customFormat="1" ht="12.75">
      <c r="A11" s="64" t="s">
        <v>67</v>
      </c>
      <c r="B11" s="19">
        <v>258005190</v>
      </c>
      <c r="C11" s="19">
        <v>258368095</v>
      </c>
      <c r="D11" s="19">
        <v>296904103</v>
      </c>
      <c r="E11" s="19">
        <f t="shared" si="0"/>
        <v>38536008</v>
      </c>
    </row>
    <row r="12" spans="1:5" s="9" customFormat="1" ht="13.5" thickBot="1">
      <c r="A12" s="67" t="s">
        <v>69</v>
      </c>
      <c r="B12" s="66">
        <v>28095435</v>
      </c>
      <c r="C12" s="66">
        <v>23980486</v>
      </c>
      <c r="D12" s="66">
        <v>27645798</v>
      </c>
      <c r="E12" s="66">
        <f t="shared" si="0"/>
        <v>3665312</v>
      </c>
    </row>
    <row r="13" spans="1:5" s="11" customFormat="1" ht="13.5" thickBot="1">
      <c r="A13" s="69" t="s">
        <v>99</v>
      </c>
      <c r="B13" s="21">
        <f>B7+B10+B11+B12</f>
        <v>1666938711</v>
      </c>
      <c r="C13" s="21">
        <f>C7+C10+C11+C12</f>
        <v>1779584953</v>
      </c>
      <c r="D13" s="21">
        <f>D7+D10+D11+D12</f>
        <v>1846237285</v>
      </c>
      <c r="E13" s="21">
        <f t="shared" si="0"/>
        <v>66652332</v>
      </c>
    </row>
    <row r="14" spans="1:5" s="9" customFormat="1" ht="12.75">
      <c r="A14" s="55" t="s">
        <v>81</v>
      </c>
      <c r="B14" s="18">
        <f>B15+B16+B17</f>
        <v>41720075</v>
      </c>
      <c r="C14" s="18">
        <f>C15+C16+C17</f>
        <v>244363792</v>
      </c>
      <c r="D14" s="18">
        <f>D15+D16+D17</f>
        <v>263859105</v>
      </c>
      <c r="E14" s="18">
        <f t="shared" si="0"/>
        <v>19495313</v>
      </c>
    </row>
    <row r="15" spans="1:5" s="9" customFormat="1" ht="12.75">
      <c r="A15" s="146" t="s">
        <v>96</v>
      </c>
      <c r="B15" s="80">
        <v>0</v>
      </c>
      <c r="C15" s="80">
        <v>126301000</v>
      </c>
      <c r="D15" s="80">
        <v>128801000</v>
      </c>
      <c r="E15" s="80">
        <f t="shared" si="0"/>
        <v>2500000</v>
      </c>
    </row>
    <row r="16" spans="1:5" s="9" customFormat="1" ht="12.75">
      <c r="A16" s="146" t="s">
        <v>229</v>
      </c>
      <c r="B16" s="80">
        <v>120075</v>
      </c>
      <c r="C16" s="80">
        <v>36148349</v>
      </c>
      <c r="D16" s="80">
        <v>53143662</v>
      </c>
      <c r="E16" s="80">
        <f t="shared" si="0"/>
        <v>16995313</v>
      </c>
    </row>
    <row r="17" spans="1:5" s="9" customFormat="1" ht="12.75">
      <c r="A17" s="146" t="s">
        <v>289</v>
      </c>
      <c r="B17" s="80">
        <v>41600000</v>
      </c>
      <c r="C17" s="80">
        <v>81914443</v>
      </c>
      <c r="D17" s="80">
        <v>81914443</v>
      </c>
      <c r="E17" s="80">
        <f t="shared" si="0"/>
        <v>0</v>
      </c>
    </row>
    <row r="18" spans="1:5" s="9" customFormat="1" ht="12.75">
      <c r="A18" s="64" t="s">
        <v>68</v>
      </c>
      <c r="B18" s="19">
        <v>205340627</v>
      </c>
      <c r="C18" s="19">
        <v>183353173</v>
      </c>
      <c r="D18" s="19">
        <v>183353173</v>
      </c>
      <c r="E18" s="19">
        <f t="shared" si="0"/>
        <v>0</v>
      </c>
    </row>
    <row r="19" spans="1:5" s="9" customFormat="1" ht="12.75">
      <c r="A19" s="64" t="s">
        <v>59</v>
      </c>
      <c r="B19" s="19">
        <f>SUM(B20:B21)</f>
        <v>14294359</v>
      </c>
      <c r="C19" s="19">
        <f>SUM(C20:C21)</f>
        <v>15155359</v>
      </c>
      <c r="D19" s="19">
        <f>SUM(D20:D21)</f>
        <v>15183359</v>
      </c>
      <c r="E19" s="19">
        <f t="shared" si="0"/>
        <v>28000</v>
      </c>
    </row>
    <row r="20" spans="1:5" s="9" customFormat="1" ht="12.75">
      <c r="A20" s="148" t="s">
        <v>97</v>
      </c>
      <c r="B20" s="75">
        <v>12815928</v>
      </c>
      <c r="C20" s="75">
        <v>13676928</v>
      </c>
      <c r="D20" s="75">
        <v>13704928</v>
      </c>
      <c r="E20" s="75">
        <f t="shared" si="0"/>
        <v>28000</v>
      </c>
    </row>
    <row r="21" spans="1:5" s="9" customFormat="1" ht="13.5" thickBot="1">
      <c r="A21" s="148" t="s">
        <v>116</v>
      </c>
      <c r="B21" s="79">
        <v>1478431</v>
      </c>
      <c r="C21" s="79">
        <v>1478431</v>
      </c>
      <c r="D21" s="79">
        <v>1478431</v>
      </c>
      <c r="E21" s="79">
        <f t="shared" si="0"/>
        <v>0</v>
      </c>
    </row>
    <row r="22" spans="1:5" s="11" customFormat="1" ht="14.25" customHeight="1" thickBot="1">
      <c r="A22" s="69" t="s">
        <v>100</v>
      </c>
      <c r="B22" s="21">
        <f>B19+B18+B14</f>
        <v>261355061</v>
      </c>
      <c r="C22" s="21">
        <f>C19+C18+C14</f>
        <v>442872324</v>
      </c>
      <c r="D22" s="21">
        <f>D19+D18+D14</f>
        <v>462395637</v>
      </c>
      <c r="E22" s="21">
        <f t="shared" si="0"/>
        <v>19523313</v>
      </c>
    </row>
    <row r="23" spans="1:5" s="11" customFormat="1" ht="15.75" customHeight="1" thickBot="1">
      <c r="A23" s="71" t="s">
        <v>98</v>
      </c>
      <c r="B23" s="70">
        <f>B22+B13</f>
        <v>1928293772</v>
      </c>
      <c r="C23" s="70">
        <f>C22+C13</f>
        <v>2222457277</v>
      </c>
      <c r="D23" s="70">
        <f>D22+D13</f>
        <v>2308632922</v>
      </c>
      <c r="E23" s="70">
        <f t="shared" si="0"/>
        <v>86175645</v>
      </c>
    </row>
    <row r="24" spans="1:5" s="9" customFormat="1" ht="12.75">
      <c r="A24" s="72" t="s">
        <v>65</v>
      </c>
      <c r="B24" s="62">
        <f>SUM(B25:B26)</f>
        <v>1369911367</v>
      </c>
      <c r="C24" s="62">
        <f>SUM(C25:C26)</f>
        <v>1467173842</v>
      </c>
      <c r="D24" s="62">
        <f>SUM(D25:D26)</f>
        <v>1467173842</v>
      </c>
      <c r="E24" s="62">
        <f t="shared" si="0"/>
        <v>0</v>
      </c>
    </row>
    <row r="25" spans="1:5" s="9" customFormat="1" ht="12.75">
      <c r="A25" s="146" t="s">
        <v>101</v>
      </c>
      <c r="B25" s="75">
        <v>229179577</v>
      </c>
      <c r="C25" s="75">
        <f>326442052+1676400-419581</f>
        <v>327698871</v>
      </c>
      <c r="D25" s="75">
        <f>326442052+1676400-419581</f>
        <v>327698871</v>
      </c>
      <c r="E25" s="75">
        <f t="shared" si="0"/>
        <v>0</v>
      </c>
    </row>
    <row r="26" spans="1:5" s="9" customFormat="1" ht="13.5" thickBot="1">
      <c r="A26" s="147" t="s">
        <v>102</v>
      </c>
      <c r="B26" s="76">
        <v>1140731790</v>
      </c>
      <c r="C26" s="76">
        <f>1140731790-1676400+419581</f>
        <v>1139474971</v>
      </c>
      <c r="D26" s="76">
        <f>1140731790-1676400+419581</f>
        <v>1139474971</v>
      </c>
      <c r="E26" s="76">
        <f t="shared" si="0"/>
        <v>0</v>
      </c>
    </row>
    <row r="27" spans="1:5" s="11" customFormat="1" ht="15.75" customHeight="1" thickBot="1">
      <c r="A27" s="69" t="s">
        <v>103</v>
      </c>
      <c r="B27" s="21">
        <f>SUM(B24)</f>
        <v>1369911367</v>
      </c>
      <c r="C27" s="21">
        <f>SUM(C24)</f>
        <v>1467173842</v>
      </c>
      <c r="D27" s="21">
        <f>SUM(D24)</f>
        <v>1467173842</v>
      </c>
      <c r="E27" s="21">
        <f t="shared" si="0"/>
        <v>0</v>
      </c>
    </row>
    <row r="28" spans="1:5" s="11" customFormat="1" ht="15.75" customHeight="1" thickBot="1">
      <c r="A28" s="65" t="s">
        <v>25</v>
      </c>
      <c r="B28" s="22">
        <f>B13+B22+B24</f>
        <v>3298205139</v>
      </c>
      <c r="C28" s="22">
        <f>C13+C22+C24</f>
        <v>3689631119</v>
      </c>
      <c r="D28" s="22">
        <f>D13+D22+D24</f>
        <v>3775806764</v>
      </c>
      <c r="E28" s="22">
        <f t="shared" si="0"/>
        <v>86175645</v>
      </c>
    </row>
    <row r="29" s="9" customFormat="1" ht="12.75"/>
    <row r="30" spans="1:5" s="9" customFormat="1" ht="13.5" thickBot="1">
      <c r="A30" s="520" t="s">
        <v>171</v>
      </c>
      <c r="B30" s="520"/>
      <c r="C30" s="520"/>
      <c r="D30" s="520"/>
      <c r="E30" s="520"/>
    </row>
    <row r="31" spans="1:5" s="9" customFormat="1" ht="45" customHeight="1" thickBot="1">
      <c r="A31" s="58" t="s">
        <v>24</v>
      </c>
      <c r="B31" s="54" t="s">
        <v>169</v>
      </c>
      <c r="C31" s="163" t="s">
        <v>309</v>
      </c>
      <c r="D31" s="163" t="s">
        <v>338</v>
      </c>
      <c r="E31" s="163" t="s">
        <v>259</v>
      </c>
    </row>
    <row r="32" spans="1:5" s="9" customFormat="1" ht="12.75">
      <c r="A32" s="55" t="s">
        <v>26</v>
      </c>
      <c r="B32" s="18">
        <v>735842951</v>
      </c>
      <c r="C32" s="18">
        <v>780659003</v>
      </c>
      <c r="D32" s="18">
        <v>792668561</v>
      </c>
      <c r="E32" s="18">
        <f aca="true" t="shared" si="1" ref="E32:E51">D32-C32</f>
        <v>12009558</v>
      </c>
    </row>
    <row r="33" spans="1:5" s="9" customFormat="1" ht="12.75">
      <c r="A33" s="64" t="s">
        <v>27</v>
      </c>
      <c r="B33" s="19">
        <v>164004809</v>
      </c>
      <c r="C33" s="19">
        <v>173833181</v>
      </c>
      <c r="D33" s="19">
        <v>174075420</v>
      </c>
      <c r="E33" s="19">
        <f t="shared" si="1"/>
        <v>242239</v>
      </c>
    </row>
    <row r="34" spans="1:5" s="9" customFormat="1" ht="12.75">
      <c r="A34" s="64" t="s">
        <v>15</v>
      </c>
      <c r="B34" s="19">
        <v>854234071</v>
      </c>
      <c r="C34" s="19">
        <v>952848375</v>
      </c>
      <c r="D34" s="19">
        <v>1030506866</v>
      </c>
      <c r="E34" s="19">
        <f t="shared" si="1"/>
        <v>77658491</v>
      </c>
    </row>
    <row r="35" spans="1:5" s="9" customFormat="1" ht="12.75">
      <c r="A35" s="64" t="s">
        <v>28</v>
      </c>
      <c r="B35" s="19">
        <v>24500000</v>
      </c>
      <c r="C35" s="19">
        <v>24500000</v>
      </c>
      <c r="D35" s="19">
        <v>24923362</v>
      </c>
      <c r="E35" s="19">
        <f t="shared" si="1"/>
        <v>423362</v>
      </c>
    </row>
    <row r="36" spans="1:5" s="9" customFormat="1" ht="12.75">
      <c r="A36" s="64" t="s">
        <v>118</v>
      </c>
      <c r="B36" s="19">
        <f>SUM(B37:B40)</f>
        <v>88986530</v>
      </c>
      <c r="C36" s="19">
        <f>SUM(C37:C40)</f>
        <v>156449390</v>
      </c>
      <c r="D36" s="19">
        <f>SUM(D37:D40)</f>
        <v>161248792</v>
      </c>
      <c r="E36" s="19">
        <f t="shared" si="1"/>
        <v>4799402</v>
      </c>
    </row>
    <row r="37" spans="1:5" s="9" customFormat="1" ht="12.75">
      <c r="A37" s="146" t="s">
        <v>104</v>
      </c>
      <c r="B37" s="75">
        <v>0</v>
      </c>
      <c r="C37" s="75">
        <v>16042886</v>
      </c>
      <c r="D37" s="75">
        <v>21918991</v>
      </c>
      <c r="E37" s="75">
        <f t="shared" si="1"/>
        <v>5876105</v>
      </c>
    </row>
    <row r="38" spans="1:5" s="9" customFormat="1" ht="12.75">
      <c r="A38" s="146" t="s">
        <v>106</v>
      </c>
      <c r="B38" s="75">
        <v>4103300</v>
      </c>
      <c r="C38" s="75">
        <v>4537777</v>
      </c>
      <c r="D38" s="75">
        <v>4583260</v>
      </c>
      <c r="E38" s="75">
        <f t="shared" si="1"/>
        <v>45483</v>
      </c>
    </row>
    <row r="39" spans="1:5" s="9" customFormat="1" ht="12.75">
      <c r="A39" s="146" t="s">
        <v>105</v>
      </c>
      <c r="B39" s="75">
        <v>53083516</v>
      </c>
      <c r="C39" s="75">
        <v>55798036</v>
      </c>
      <c r="D39" s="75">
        <v>55873036</v>
      </c>
      <c r="E39" s="75">
        <f t="shared" si="1"/>
        <v>75000</v>
      </c>
    </row>
    <row r="40" spans="1:5" s="9" customFormat="1" ht="13.5" thickBot="1">
      <c r="A40" s="146" t="s">
        <v>119</v>
      </c>
      <c r="B40" s="20">
        <v>31799714</v>
      </c>
      <c r="C40" s="20">
        <v>80070691</v>
      </c>
      <c r="D40" s="20">
        <v>78873505</v>
      </c>
      <c r="E40" s="20">
        <f t="shared" si="1"/>
        <v>-1197186</v>
      </c>
    </row>
    <row r="41" spans="1:5" s="9" customFormat="1" ht="13.5" thickBot="1">
      <c r="A41" s="69" t="s">
        <v>110</v>
      </c>
      <c r="B41" s="21">
        <f>B32+B33+B34+B35+B36</f>
        <v>1867568361</v>
      </c>
      <c r="C41" s="21">
        <f>C32+C33+C34+C35+C36</f>
        <v>2088289949</v>
      </c>
      <c r="D41" s="21">
        <f>D32+D33+D34+D35+D36</f>
        <v>2183423001</v>
      </c>
      <c r="E41" s="21">
        <f t="shared" si="1"/>
        <v>95133052</v>
      </c>
    </row>
    <row r="42" spans="1:5" s="9" customFormat="1" ht="12.75">
      <c r="A42" s="55" t="s">
        <v>58</v>
      </c>
      <c r="B42" s="19">
        <v>1285231319</v>
      </c>
      <c r="C42" s="19">
        <v>1340189927</v>
      </c>
      <c r="D42" s="19">
        <v>1312246220</v>
      </c>
      <c r="E42" s="19">
        <f t="shared" si="1"/>
        <v>-27943707</v>
      </c>
    </row>
    <row r="43" spans="1:5" s="9" customFormat="1" ht="12.75">
      <c r="A43" s="73" t="s">
        <v>17</v>
      </c>
      <c r="B43" s="18">
        <v>104421475</v>
      </c>
      <c r="C43" s="18">
        <v>220167259</v>
      </c>
      <c r="D43" s="18">
        <v>232710905</v>
      </c>
      <c r="E43" s="18">
        <f t="shared" si="1"/>
        <v>12543646</v>
      </c>
    </row>
    <row r="44" spans="1:5" s="9" customFormat="1" ht="12.75">
      <c r="A44" s="64" t="s">
        <v>87</v>
      </c>
      <c r="B44" s="19">
        <f>SUM(B45:B47)</f>
        <v>12434057</v>
      </c>
      <c r="C44" s="19">
        <f>SUM(C45:C47)</f>
        <v>12434057</v>
      </c>
      <c r="D44" s="19">
        <f>SUM(D45:D47)</f>
        <v>18876711</v>
      </c>
      <c r="E44" s="19">
        <f t="shared" si="1"/>
        <v>6442654</v>
      </c>
    </row>
    <row r="45" spans="1:5" s="9" customFormat="1" ht="12.75">
      <c r="A45" s="146" t="s">
        <v>107</v>
      </c>
      <c r="B45" s="75">
        <v>1165207</v>
      </c>
      <c r="C45" s="75">
        <v>1165207</v>
      </c>
      <c r="D45" s="75">
        <v>1165207</v>
      </c>
      <c r="E45" s="75">
        <f t="shared" si="1"/>
        <v>0</v>
      </c>
    </row>
    <row r="46" spans="1:5" s="9" customFormat="1" ht="12.75">
      <c r="A46" s="146" t="s">
        <v>108</v>
      </c>
      <c r="B46" s="75">
        <v>5802000</v>
      </c>
      <c r="C46" s="75">
        <v>5802000</v>
      </c>
      <c r="D46" s="75">
        <v>5802000</v>
      </c>
      <c r="E46" s="75">
        <f t="shared" si="1"/>
        <v>0</v>
      </c>
    </row>
    <row r="47" spans="1:5" s="9" customFormat="1" ht="13.5" thickBot="1">
      <c r="A47" s="146" t="s">
        <v>109</v>
      </c>
      <c r="B47" s="76">
        <v>5466850</v>
      </c>
      <c r="C47" s="76">
        <v>5466850</v>
      </c>
      <c r="D47" s="76">
        <v>11909504</v>
      </c>
      <c r="E47" s="76">
        <f t="shared" si="1"/>
        <v>6442654</v>
      </c>
    </row>
    <row r="48" spans="1:5" s="9" customFormat="1" ht="13.5" thickBot="1">
      <c r="A48" s="69" t="s">
        <v>111</v>
      </c>
      <c r="B48" s="21">
        <f>B42+B43+B44</f>
        <v>1402086851</v>
      </c>
      <c r="C48" s="21">
        <f>C42+C43+C44</f>
        <v>1572791243</v>
      </c>
      <c r="D48" s="21">
        <f>D42+D43+D44</f>
        <v>1563833836</v>
      </c>
      <c r="E48" s="21">
        <f t="shared" si="1"/>
        <v>-8957407</v>
      </c>
    </row>
    <row r="49" spans="1:5" s="11" customFormat="1" ht="15.75" customHeight="1" thickBot="1">
      <c r="A49" s="71" t="s">
        <v>112</v>
      </c>
      <c r="B49" s="70">
        <f>B48+B41</f>
        <v>3269655212</v>
      </c>
      <c r="C49" s="70">
        <f>C48+C41</f>
        <v>3661081192</v>
      </c>
      <c r="D49" s="70">
        <f>D48+D41</f>
        <v>3747256837</v>
      </c>
      <c r="E49" s="70">
        <f t="shared" si="1"/>
        <v>86175645</v>
      </c>
    </row>
    <row r="50" spans="1:5" s="9" customFormat="1" ht="15.75" customHeight="1" thickBot="1">
      <c r="A50" s="82" t="s">
        <v>113</v>
      </c>
      <c r="B50" s="81">
        <v>28549927</v>
      </c>
      <c r="C50" s="81">
        <v>28549927</v>
      </c>
      <c r="D50" s="81">
        <v>28549927</v>
      </c>
      <c r="E50" s="81">
        <f t="shared" si="1"/>
        <v>0</v>
      </c>
    </row>
    <row r="51" spans="1:6" s="11" customFormat="1" ht="15.75" customHeight="1" thickBot="1">
      <c r="A51" s="65" t="s">
        <v>29</v>
      </c>
      <c r="B51" s="22">
        <f>B50+B49</f>
        <v>3298205139</v>
      </c>
      <c r="C51" s="22">
        <f>C50+C49</f>
        <v>3689631119</v>
      </c>
      <c r="D51" s="22">
        <f>D50+D49</f>
        <v>3775806764</v>
      </c>
      <c r="E51" s="22">
        <f t="shared" si="1"/>
        <v>86175645</v>
      </c>
      <c r="F51" s="11" t="s">
        <v>262</v>
      </c>
    </row>
    <row r="54" spans="1:5" ht="15.75">
      <c r="A54" s="4"/>
      <c r="B54" s="4"/>
      <c r="C54" s="4"/>
      <c r="D54" s="4"/>
      <c r="E54" s="4"/>
    </row>
  </sheetData>
  <sheetProtection/>
  <mergeCells count="4">
    <mergeCell ref="A5:E5"/>
    <mergeCell ref="A30:E30"/>
    <mergeCell ref="A3:E3"/>
    <mergeCell ref="A4:E4"/>
  </mergeCells>
  <printOptions/>
  <pageMargins left="0" right="0" top="0.6692913385826772" bottom="0.708661417322834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6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875" style="30" customWidth="1"/>
    <col min="2" max="2" width="92.875" style="30" customWidth="1"/>
    <col min="3" max="5" width="14.75390625" style="29" customWidth="1"/>
    <col min="6" max="6" width="12.375" style="29" bestFit="1" customWidth="1"/>
    <col min="7" max="16384" width="9.125" style="30" customWidth="1"/>
  </cols>
  <sheetData>
    <row r="1" spans="1:2" ht="13.5">
      <c r="A1" s="83" t="s">
        <v>358</v>
      </c>
      <c r="B1" s="83"/>
    </row>
    <row r="2" spans="1:6" s="27" customFormat="1" ht="15" customHeight="1">
      <c r="A2" s="28"/>
      <c r="B2" s="28" t="s">
        <v>261</v>
      </c>
      <c r="C2" s="26"/>
      <c r="D2" s="26"/>
      <c r="E2" s="26"/>
      <c r="F2" s="26"/>
    </row>
    <row r="3" spans="1:6" s="27" customFormat="1" ht="9" customHeight="1">
      <c r="A3" s="28"/>
      <c r="B3" s="28"/>
      <c r="C3" s="26"/>
      <c r="D3" s="26"/>
      <c r="E3" s="26"/>
      <c r="F3" s="26"/>
    </row>
    <row r="4" spans="1:6" ht="12.75">
      <c r="A4" s="522" t="s">
        <v>158</v>
      </c>
      <c r="B4" s="522"/>
      <c r="C4" s="522"/>
      <c r="D4" s="164"/>
      <c r="E4" s="164"/>
      <c r="F4" s="164"/>
    </row>
    <row r="5" spans="2:6" s="31" customFormat="1" ht="34.5">
      <c r="B5" s="31" t="s">
        <v>0</v>
      </c>
      <c r="C5" s="32" t="s">
        <v>159</v>
      </c>
      <c r="D5" s="32" t="s">
        <v>310</v>
      </c>
      <c r="E5" s="32" t="s">
        <v>339</v>
      </c>
      <c r="F5" s="165" t="s">
        <v>263</v>
      </c>
    </row>
    <row r="6" spans="1:6" s="34" customFormat="1" ht="12.75">
      <c r="A6" s="49" t="s">
        <v>160</v>
      </c>
      <c r="B6" s="49"/>
      <c r="C6" s="49"/>
      <c r="D6" s="49"/>
      <c r="E6" s="49"/>
      <c r="F6" s="49"/>
    </row>
    <row r="7" spans="2:6" s="35" customFormat="1" ht="12.75" customHeight="1">
      <c r="B7" s="36" t="s">
        <v>235</v>
      </c>
      <c r="C7" s="37">
        <f>C8+C9+C14+C17+C15+C16+C19+C18</f>
        <v>251927795</v>
      </c>
      <c r="D7" s="37">
        <f>D8+D9+D14+D17+D15+D16+D19+D18</f>
        <v>252452151</v>
      </c>
      <c r="E7" s="37">
        <f>E8+E9+E14+E17+E15+E16+E19+E18</f>
        <v>252452151</v>
      </c>
      <c r="F7" s="37">
        <f aca="true" t="shared" si="0" ref="F7:F24">E7-D7</f>
        <v>0</v>
      </c>
    </row>
    <row r="8" spans="2:6" ht="12.75" customHeight="1">
      <c r="B8" s="38" t="s">
        <v>36</v>
      </c>
      <c r="C8" s="29">
        <v>160666400</v>
      </c>
      <c r="D8" s="29">
        <v>160666400</v>
      </c>
      <c r="E8" s="29">
        <v>160666400</v>
      </c>
      <c r="F8" s="29">
        <f t="shared" si="0"/>
        <v>0</v>
      </c>
    </row>
    <row r="9" spans="2:6" ht="12.75" customHeight="1">
      <c r="B9" s="39" t="s">
        <v>37</v>
      </c>
      <c r="C9" s="29">
        <f>C10+C11+C12+C13</f>
        <v>73192055</v>
      </c>
      <c r="D9" s="29">
        <f>D10+D11+D12+D13</f>
        <v>73192055</v>
      </c>
      <c r="E9" s="29">
        <f>E10+E11+E12+E13</f>
        <v>73192055</v>
      </c>
      <c r="F9" s="29">
        <f t="shared" si="0"/>
        <v>0</v>
      </c>
    </row>
    <row r="10" spans="2:6" ht="12.75" customHeight="1">
      <c r="B10" s="40" t="s">
        <v>56</v>
      </c>
      <c r="C10" s="29">
        <v>3213027</v>
      </c>
      <c r="D10" s="29">
        <v>3213027</v>
      </c>
      <c r="E10" s="29">
        <v>3213027</v>
      </c>
      <c r="F10" s="29">
        <f t="shared" si="0"/>
        <v>0</v>
      </c>
    </row>
    <row r="11" spans="2:6" ht="12.75" customHeight="1">
      <c r="B11" s="41" t="s">
        <v>55</v>
      </c>
      <c r="C11" s="29">
        <v>45640000</v>
      </c>
      <c r="D11" s="29">
        <v>45640000</v>
      </c>
      <c r="E11" s="29">
        <v>45640000</v>
      </c>
      <c r="F11" s="29">
        <f t="shared" si="0"/>
        <v>0</v>
      </c>
    </row>
    <row r="12" spans="2:6" ht="12.75" customHeight="1">
      <c r="B12" s="41" t="s">
        <v>54</v>
      </c>
      <c r="C12" s="29">
        <v>3588728</v>
      </c>
      <c r="D12" s="29">
        <v>3588728</v>
      </c>
      <c r="E12" s="29">
        <v>3588728</v>
      </c>
      <c r="F12" s="29">
        <f t="shared" si="0"/>
        <v>0</v>
      </c>
    </row>
    <row r="13" spans="2:6" ht="12.75" customHeight="1">
      <c r="B13" s="41" t="s">
        <v>72</v>
      </c>
      <c r="C13" s="29">
        <v>20750300</v>
      </c>
      <c r="D13" s="29">
        <v>20750300</v>
      </c>
      <c r="E13" s="29">
        <v>20750300</v>
      </c>
      <c r="F13" s="29">
        <f t="shared" si="0"/>
        <v>0</v>
      </c>
    </row>
    <row r="14" spans="2:6" ht="12.75" customHeight="1">
      <c r="B14" s="38" t="s">
        <v>73</v>
      </c>
      <c r="C14" s="29">
        <v>0</v>
      </c>
      <c r="D14" s="29">
        <v>0</v>
      </c>
      <c r="E14" s="29">
        <v>0</v>
      </c>
      <c r="F14" s="29">
        <f t="shared" si="0"/>
        <v>0</v>
      </c>
    </row>
    <row r="15" spans="2:6" ht="12.75" customHeight="1">
      <c r="B15" s="38" t="s">
        <v>74</v>
      </c>
      <c r="C15" s="29">
        <v>0</v>
      </c>
      <c r="D15" s="29">
        <v>0</v>
      </c>
      <c r="E15" s="29">
        <v>0</v>
      </c>
      <c r="F15" s="29">
        <f t="shared" si="0"/>
        <v>0</v>
      </c>
    </row>
    <row r="16" spans="2:6" ht="12.75" customHeight="1">
      <c r="B16" s="38" t="s">
        <v>75</v>
      </c>
      <c r="C16" s="29">
        <v>16020640</v>
      </c>
      <c r="D16" s="29">
        <v>16020640</v>
      </c>
      <c r="E16" s="29">
        <v>16020640</v>
      </c>
      <c r="F16" s="29">
        <f t="shared" si="0"/>
        <v>0</v>
      </c>
    </row>
    <row r="17" spans="2:6" ht="12.75" customHeight="1">
      <c r="B17" s="38" t="s">
        <v>49</v>
      </c>
      <c r="C17" s="29">
        <v>0</v>
      </c>
      <c r="D17" s="29">
        <v>0</v>
      </c>
      <c r="E17" s="29">
        <v>0</v>
      </c>
      <c r="F17" s="29">
        <f t="shared" si="0"/>
        <v>0</v>
      </c>
    </row>
    <row r="18" spans="2:6" ht="12.75" customHeight="1">
      <c r="B18" s="38" t="s">
        <v>279</v>
      </c>
      <c r="C18" s="29">
        <v>0</v>
      </c>
      <c r="D18" s="29">
        <v>524356</v>
      </c>
      <c r="E18" s="29">
        <v>524356</v>
      </c>
      <c r="F18" s="29">
        <f t="shared" si="0"/>
        <v>0</v>
      </c>
    </row>
    <row r="19" spans="2:6" ht="12.75" customHeight="1">
      <c r="B19" s="38" t="s">
        <v>161</v>
      </c>
      <c r="C19" s="29">
        <v>2048700</v>
      </c>
      <c r="D19" s="29">
        <v>2048700</v>
      </c>
      <c r="E19" s="29">
        <v>2048700</v>
      </c>
      <c r="F19" s="29">
        <f t="shared" si="0"/>
        <v>0</v>
      </c>
    </row>
    <row r="20" spans="2:6" ht="12.75" customHeight="1">
      <c r="B20" s="42" t="s">
        <v>40</v>
      </c>
      <c r="C20" s="43">
        <f>C21+C22+C23</f>
        <v>243584034</v>
      </c>
      <c r="D20" s="43">
        <f>D21+D22+D23</f>
        <v>242630266</v>
      </c>
      <c r="E20" s="43">
        <f>E21+E22+E23</f>
        <v>244204452</v>
      </c>
      <c r="F20" s="43">
        <f t="shared" si="0"/>
        <v>1574186</v>
      </c>
    </row>
    <row r="21" spans="2:6" ht="12.75" customHeight="1">
      <c r="B21" s="44" t="s">
        <v>76</v>
      </c>
      <c r="C21" s="29">
        <f>102226200+51260400+35280000+17640000</f>
        <v>206406600</v>
      </c>
      <c r="D21" s="29">
        <f>102226200+51260400+35280000+17640000-294600-147300-294000</f>
        <v>205670700</v>
      </c>
      <c r="E21" s="29">
        <v>206554500</v>
      </c>
      <c r="F21" s="29">
        <f t="shared" si="0"/>
        <v>883800</v>
      </c>
    </row>
    <row r="22" spans="2:6" ht="12.75" customHeight="1">
      <c r="B22" s="45" t="s">
        <v>47</v>
      </c>
      <c r="C22" s="29">
        <f>20969667+10593767</f>
        <v>31563434</v>
      </c>
      <c r="D22" s="29">
        <f>20969667+10593767-108934-108934</f>
        <v>31345566</v>
      </c>
      <c r="E22" s="29">
        <v>31454500</v>
      </c>
      <c r="F22" s="29">
        <f t="shared" si="0"/>
        <v>108934</v>
      </c>
    </row>
    <row r="23" spans="2:6" ht="12.75" customHeight="1">
      <c r="B23" s="38" t="s">
        <v>141</v>
      </c>
      <c r="C23" s="29">
        <v>5614000</v>
      </c>
      <c r="D23" s="29">
        <v>5614000</v>
      </c>
      <c r="E23" s="29">
        <v>6195452</v>
      </c>
      <c r="F23" s="29">
        <f t="shared" si="0"/>
        <v>581452</v>
      </c>
    </row>
    <row r="24" spans="2:6" ht="12.75" customHeight="1">
      <c r="B24" s="42" t="s">
        <v>41</v>
      </c>
      <c r="C24" s="43">
        <f>SUM(C25:C33)</f>
        <v>289515396</v>
      </c>
      <c r="D24" s="43">
        <f>SUM(D25:D33)</f>
        <v>298106421</v>
      </c>
      <c r="E24" s="43">
        <f>SUM(E25:E33)</f>
        <v>297005701</v>
      </c>
      <c r="F24" s="43">
        <f t="shared" si="0"/>
        <v>-1100720</v>
      </c>
    </row>
    <row r="25" ht="12.75" customHeight="1">
      <c r="B25" s="38"/>
    </row>
    <row r="26" spans="2:6" ht="12.75" customHeight="1">
      <c r="B26" s="38" t="s">
        <v>77</v>
      </c>
      <c r="C26" s="29">
        <v>34272000</v>
      </c>
      <c r="D26" s="29">
        <v>34272000</v>
      </c>
      <c r="E26" s="29">
        <v>34272000</v>
      </c>
      <c r="F26" s="29">
        <f aca="true" t="shared" si="1" ref="F26:F37">E26-D26</f>
        <v>0</v>
      </c>
    </row>
    <row r="27" spans="2:6" ht="12.75" customHeight="1">
      <c r="B27" s="38" t="s">
        <v>78</v>
      </c>
      <c r="C27" s="29">
        <f>8500000+11550000+4539520+6600000+6431000+8656200+12250000</f>
        <v>58526720</v>
      </c>
      <c r="D27" s="29">
        <f>8500000+11550000+4539520+6600000+6431000+8656200+12250000-276800-990000+3626264</f>
        <v>60886184</v>
      </c>
      <c r="E27" s="29">
        <v>59785464</v>
      </c>
      <c r="F27" s="29">
        <f t="shared" si="1"/>
        <v>-1100720</v>
      </c>
    </row>
    <row r="28" spans="2:6" ht="26.25" customHeight="1">
      <c r="B28" s="38" t="s">
        <v>79</v>
      </c>
      <c r="C28" s="29">
        <f>22784000+3597000</f>
        <v>26381000</v>
      </c>
      <c r="D28" s="29">
        <f>22784000+3597000+870000</f>
        <v>27251000</v>
      </c>
      <c r="E28" s="29">
        <f>22784000+3597000+870000</f>
        <v>27251000</v>
      </c>
      <c r="F28" s="29">
        <f t="shared" si="1"/>
        <v>0</v>
      </c>
    </row>
    <row r="29" spans="2:6" ht="12.75" customHeight="1">
      <c r="B29" s="38" t="s">
        <v>51</v>
      </c>
      <c r="C29" s="29">
        <v>58482000</v>
      </c>
      <c r="D29" s="29">
        <f>58482000</f>
        <v>58482000</v>
      </c>
      <c r="E29" s="29">
        <f>58482000</f>
        <v>58482000</v>
      </c>
      <c r="F29" s="29">
        <f t="shared" si="1"/>
        <v>0</v>
      </c>
    </row>
    <row r="30" spans="2:6" ht="12.75" customHeight="1">
      <c r="B30" s="38" t="s">
        <v>50</v>
      </c>
      <c r="C30" s="29">
        <v>88945076</v>
      </c>
      <c r="D30" s="29">
        <f>88945076+5231561</f>
        <v>94176637</v>
      </c>
      <c r="E30" s="29">
        <f>88945076+5231561</f>
        <v>94176637</v>
      </c>
      <c r="F30" s="29">
        <f t="shared" si="1"/>
        <v>0</v>
      </c>
    </row>
    <row r="31" spans="2:6" ht="12.75" customHeight="1">
      <c r="B31" s="38" t="s">
        <v>162</v>
      </c>
      <c r="C31" s="29">
        <v>8838000</v>
      </c>
      <c r="D31" s="29">
        <v>8838000</v>
      </c>
      <c r="E31" s="29">
        <v>8838000</v>
      </c>
      <c r="F31" s="29">
        <f t="shared" si="1"/>
        <v>0</v>
      </c>
    </row>
    <row r="32" spans="2:6" ht="12.75" customHeight="1">
      <c r="B32" s="38" t="s">
        <v>163</v>
      </c>
      <c r="C32" s="29">
        <v>6584600</v>
      </c>
      <c r="D32" s="29">
        <v>6584600</v>
      </c>
      <c r="E32" s="29">
        <v>6584600</v>
      </c>
      <c r="F32" s="29">
        <f t="shared" si="1"/>
        <v>0</v>
      </c>
    </row>
    <row r="33" spans="2:6" ht="12.75" customHeight="1">
      <c r="B33" s="38" t="s">
        <v>164</v>
      </c>
      <c r="C33" s="29">
        <v>7486000</v>
      </c>
      <c r="D33" s="29">
        <f>7486000+130000</f>
        <v>7616000</v>
      </c>
      <c r="E33" s="29">
        <f>7486000+130000</f>
        <v>7616000</v>
      </c>
      <c r="F33" s="29">
        <f t="shared" si="1"/>
        <v>0</v>
      </c>
    </row>
    <row r="34" spans="2:6" ht="12.75" customHeight="1">
      <c r="B34" s="42" t="s">
        <v>52</v>
      </c>
      <c r="C34" s="43">
        <f>SUM(C35:C38)</f>
        <v>43309090</v>
      </c>
      <c r="D34" s="43">
        <f>SUM(D35:D38)</f>
        <v>45204525</v>
      </c>
      <c r="E34" s="43">
        <f>SUM(E35:E38)</f>
        <v>45204525</v>
      </c>
      <c r="F34" s="43">
        <f t="shared" si="1"/>
        <v>0</v>
      </c>
    </row>
    <row r="35" spans="2:6" ht="12.75" customHeight="1">
      <c r="B35" s="38" t="s">
        <v>57</v>
      </c>
      <c r="C35" s="29">
        <v>13829090</v>
      </c>
      <c r="D35" s="29">
        <v>13829090</v>
      </c>
      <c r="E35" s="29">
        <v>13829090</v>
      </c>
      <c r="F35" s="29">
        <f t="shared" si="1"/>
        <v>0</v>
      </c>
    </row>
    <row r="36" spans="2:6" ht="12.75" customHeight="1">
      <c r="B36" s="38" t="s">
        <v>42</v>
      </c>
      <c r="C36" s="29">
        <v>29480000</v>
      </c>
      <c r="D36" s="29">
        <v>29480000</v>
      </c>
      <c r="E36" s="29">
        <v>29480000</v>
      </c>
      <c r="F36" s="29">
        <f t="shared" si="1"/>
        <v>0</v>
      </c>
    </row>
    <row r="37" spans="2:6" ht="12.75" customHeight="1">
      <c r="B37" s="38" t="s">
        <v>306</v>
      </c>
      <c r="C37" s="29">
        <v>0</v>
      </c>
      <c r="D37" s="29">
        <v>1895435</v>
      </c>
      <c r="E37" s="29">
        <v>1895435</v>
      </c>
      <c r="F37" s="29">
        <f t="shared" si="1"/>
        <v>0</v>
      </c>
    </row>
    <row r="38" ht="12.75" customHeight="1">
      <c r="B38" s="38"/>
    </row>
    <row r="39" spans="2:6" ht="12.75" customHeight="1">
      <c r="B39" s="42" t="s">
        <v>48</v>
      </c>
      <c r="C39" s="43">
        <v>-41507133</v>
      </c>
      <c r="D39" s="43">
        <v>-41507133</v>
      </c>
      <c r="E39" s="43">
        <v>-41507133</v>
      </c>
      <c r="F39" s="43">
        <f aca="true" t="shared" si="2" ref="F39:F51">E39-D39</f>
        <v>0</v>
      </c>
    </row>
    <row r="40" spans="2:6" s="47" customFormat="1" ht="16.5" customHeight="1">
      <c r="B40" s="50" t="s">
        <v>38</v>
      </c>
      <c r="C40" s="51">
        <f>C7+C20+C24+C34</f>
        <v>828336315</v>
      </c>
      <c r="D40" s="51">
        <f>D7+D20+D24+D34</f>
        <v>838393363</v>
      </c>
      <c r="E40" s="51">
        <f>E7+E20+E24+E34</f>
        <v>838866829</v>
      </c>
      <c r="F40" s="51">
        <f t="shared" si="2"/>
        <v>473466</v>
      </c>
    </row>
    <row r="41" spans="1:7" s="48" customFormat="1" ht="17.25" customHeight="1">
      <c r="A41" s="49" t="s">
        <v>282</v>
      </c>
      <c r="B41" s="46"/>
      <c r="C41" s="473">
        <f>SUM(C43:C43)</f>
        <v>0</v>
      </c>
      <c r="D41" s="473">
        <f>D42</f>
        <v>29183350</v>
      </c>
      <c r="E41" s="473">
        <f>E42</f>
        <v>46058315</v>
      </c>
      <c r="F41" s="473">
        <f t="shared" si="2"/>
        <v>16874965</v>
      </c>
      <c r="G41" s="46"/>
    </row>
    <row r="42" spans="2:6" s="35" customFormat="1" ht="12.75" customHeight="1">
      <c r="B42" s="36" t="s">
        <v>280</v>
      </c>
      <c r="C42" s="37">
        <f>SUM(C43:C50)</f>
        <v>0</v>
      </c>
      <c r="D42" s="37">
        <f>SUM(D43:D50)</f>
        <v>29183350</v>
      </c>
      <c r="E42" s="37">
        <f>SUM(E43:E50)</f>
        <v>46058315</v>
      </c>
      <c r="F42" s="37">
        <f t="shared" si="2"/>
        <v>16874965</v>
      </c>
    </row>
    <row r="43" spans="1:7" s="48" customFormat="1" ht="15">
      <c r="A43" s="49"/>
      <c r="B43" s="38" t="s">
        <v>284</v>
      </c>
      <c r="C43" s="29"/>
      <c r="D43" s="29">
        <v>3448958</v>
      </c>
      <c r="E43" s="29">
        <v>4237950</v>
      </c>
      <c r="F43" s="29">
        <f t="shared" si="2"/>
        <v>788992</v>
      </c>
      <c r="G43" s="46"/>
    </row>
    <row r="44" spans="1:7" ht="14.25">
      <c r="A44" s="46"/>
      <c r="B44" s="44" t="s">
        <v>285</v>
      </c>
      <c r="C44" s="46"/>
      <c r="D44" s="474">
        <v>1400400</v>
      </c>
      <c r="E44" s="474">
        <v>1400400</v>
      </c>
      <c r="F44" s="474">
        <f t="shared" si="2"/>
        <v>0</v>
      </c>
      <c r="G44" s="46"/>
    </row>
    <row r="45" spans="1:7" ht="14.25">
      <c r="A45" s="46"/>
      <c r="B45" s="44" t="s">
        <v>313</v>
      </c>
      <c r="C45" s="46"/>
      <c r="D45" s="474">
        <v>16047186</v>
      </c>
      <c r="E45" s="474">
        <v>21839400</v>
      </c>
      <c r="F45" s="474">
        <f t="shared" si="2"/>
        <v>5792214</v>
      </c>
      <c r="G45" s="46"/>
    </row>
    <row r="46" spans="1:7" ht="14.25">
      <c r="A46" s="46"/>
      <c r="B46" s="38" t="s">
        <v>277</v>
      </c>
      <c r="C46" s="46"/>
      <c r="D46" s="474">
        <v>5745739</v>
      </c>
      <c r="E46" s="474">
        <v>7647498</v>
      </c>
      <c r="F46" s="474">
        <f t="shared" si="2"/>
        <v>1901759</v>
      </c>
      <c r="G46" s="46"/>
    </row>
    <row r="47" spans="1:7" ht="14.25">
      <c r="A47" s="46"/>
      <c r="B47" s="44" t="s">
        <v>314</v>
      </c>
      <c r="C47" s="46"/>
      <c r="D47" s="474">
        <v>924000</v>
      </c>
      <c r="E47" s="474">
        <v>924000</v>
      </c>
      <c r="F47" s="474">
        <f t="shared" si="2"/>
        <v>0</v>
      </c>
      <c r="G47" s="46"/>
    </row>
    <row r="48" spans="1:7" ht="14.25">
      <c r="A48" s="46"/>
      <c r="B48" s="515" t="s">
        <v>340</v>
      </c>
      <c r="C48" s="46"/>
      <c r="D48" s="474">
        <v>0</v>
      </c>
      <c r="E48" s="474">
        <v>1780000</v>
      </c>
      <c r="F48" s="474">
        <f t="shared" si="2"/>
        <v>1780000</v>
      </c>
      <c r="G48" s="46"/>
    </row>
    <row r="49" spans="1:7" ht="14.25">
      <c r="A49" s="46"/>
      <c r="B49" s="515" t="s">
        <v>341</v>
      </c>
      <c r="C49" s="46"/>
      <c r="D49" s="474">
        <v>0</v>
      </c>
      <c r="E49" s="474">
        <v>6612000</v>
      </c>
      <c r="F49" s="474">
        <f t="shared" si="2"/>
        <v>6612000</v>
      </c>
      <c r="G49" s="46"/>
    </row>
    <row r="50" spans="1:7" ht="14.25">
      <c r="A50" s="46"/>
      <c r="B50" s="35" t="s">
        <v>315</v>
      </c>
      <c r="C50" s="46"/>
      <c r="D50" s="474">
        <v>1617067</v>
      </c>
      <c r="E50" s="474">
        <v>1617067</v>
      </c>
      <c r="F50" s="474">
        <f t="shared" si="2"/>
        <v>0</v>
      </c>
      <c r="G50" s="46"/>
    </row>
    <row r="51" spans="1:6" s="33" customFormat="1" ht="31.5">
      <c r="A51" s="52"/>
      <c r="B51" s="475" t="s">
        <v>283</v>
      </c>
      <c r="C51" s="53">
        <f>C41+C40</f>
        <v>828336315</v>
      </c>
      <c r="D51" s="53">
        <f>D41+D40</f>
        <v>867576713</v>
      </c>
      <c r="E51" s="53">
        <f>E41+E40</f>
        <v>884925144</v>
      </c>
      <c r="F51" s="53">
        <f t="shared" si="2"/>
        <v>17348431</v>
      </c>
    </row>
    <row r="52" spans="2:3" ht="16.5" customHeight="1">
      <c r="B52" s="35"/>
      <c r="C52" s="29">
        <v>0</v>
      </c>
    </row>
    <row r="53" spans="1:7" s="48" customFormat="1" ht="17.25" customHeight="1">
      <c r="A53" s="49" t="s">
        <v>282</v>
      </c>
      <c r="B53" s="46"/>
      <c r="C53" s="473">
        <f>SUM(C54)</f>
        <v>0</v>
      </c>
      <c r="D53" s="473">
        <f>SUM(D54)</f>
        <v>126301000</v>
      </c>
      <c r="E53" s="473">
        <f>SUM(E54)</f>
        <v>128801000</v>
      </c>
      <c r="F53" s="473">
        <f aca="true" t="shared" si="3" ref="F53:F59">E53-D53</f>
        <v>2500000</v>
      </c>
      <c r="G53" s="46"/>
    </row>
    <row r="54" spans="2:6" s="35" customFormat="1" ht="12.75" customHeight="1">
      <c r="B54" s="36" t="s">
        <v>281</v>
      </c>
      <c r="C54" s="37">
        <f>SUM(C55:C58)</f>
        <v>0</v>
      </c>
      <c r="D54" s="37">
        <f>SUM(D55:D58)</f>
        <v>126301000</v>
      </c>
      <c r="E54" s="37">
        <f>SUM(E55:E58)</f>
        <v>128801000</v>
      </c>
      <c r="F54" s="37">
        <f t="shared" si="3"/>
        <v>2500000</v>
      </c>
    </row>
    <row r="55" spans="1:7" s="48" customFormat="1" ht="15">
      <c r="A55" s="49"/>
      <c r="B55" s="38" t="s">
        <v>288</v>
      </c>
      <c r="C55" s="29">
        <v>0</v>
      </c>
      <c r="D55" s="29">
        <v>85750000</v>
      </c>
      <c r="E55" s="29">
        <v>85750000</v>
      </c>
      <c r="F55" s="29">
        <f t="shared" si="3"/>
        <v>0</v>
      </c>
      <c r="G55" s="46"/>
    </row>
    <row r="56" spans="1:7" s="48" customFormat="1" ht="15">
      <c r="A56" s="49"/>
      <c r="B56" s="38" t="s">
        <v>286</v>
      </c>
      <c r="C56" s="29">
        <v>0</v>
      </c>
      <c r="D56" s="29">
        <v>10551000</v>
      </c>
      <c r="E56" s="29">
        <v>10551000</v>
      </c>
      <c r="F56" s="29">
        <f t="shared" si="3"/>
        <v>0</v>
      </c>
      <c r="G56" s="46"/>
    </row>
    <row r="57" spans="1:7" s="48" customFormat="1" ht="15">
      <c r="A57" s="49"/>
      <c r="B57" s="476" t="s">
        <v>316</v>
      </c>
      <c r="C57" s="29">
        <v>0</v>
      </c>
      <c r="D57" s="29">
        <v>30000000</v>
      </c>
      <c r="E57" s="29">
        <v>30000000</v>
      </c>
      <c r="F57" s="29">
        <f t="shared" si="3"/>
        <v>0</v>
      </c>
      <c r="G57" s="46"/>
    </row>
    <row r="58" spans="1:7" s="48" customFormat="1" ht="15">
      <c r="A58" s="49"/>
      <c r="B58" s="476" t="s">
        <v>342</v>
      </c>
      <c r="C58" s="29">
        <v>0</v>
      </c>
      <c r="D58" s="29">
        <v>0</v>
      </c>
      <c r="E58" s="29">
        <v>2500000</v>
      </c>
      <c r="F58" s="29">
        <f t="shared" si="3"/>
        <v>2500000</v>
      </c>
      <c r="G58" s="46"/>
    </row>
    <row r="59" spans="1:6" s="33" customFormat="1" ht="18" customHeight="1">
      <c r="A59" s="52"/>
      <c r="B59" s="52" t="s">
        <v>287</v>
      </c>
      <c r="C59" s="53">
        <f>C53</f>
        <v>0</v>
      </c>
      <c r="D59" s="53">
        <f>D53</f>
        <v>126301000</v>
      </c>
      <c r="E59" s="53">
        <f>E53</f>
        <v>128801000</v>
      </c>
      <c r="F59" s="53">
        <f t="shared" si="3"/>
        <v>2500000</v>
      </c>
    </row>
    <row r="60" spans="3:6" s="33" customFormat="1" ht="18" customHeight="1">
      <c r="C60" s="477"/>
      <c r="D60" s="477"/>
      <c r="E60" s="477"/>
      <c r="F60" s="477"/>
    </row>
    <row r="61" spans="1:7" s="48" customFormat="1" ht="15.75">
      <c r="A61" s="49"/>
      <c r="B61" s="38"/>
      <c r="C61" s="478">
        <f>C59+C52+C51</f>
        <v>828336315</v>
      </c>
      <c r="D61" s="478">
        <f>D59+D52+D51</f>
        <v>993877713</v>
      </c>
      <c r="E61" s="478">
        <f>E59+E52+E51</f>
        <v>1013726144</v>
      </c>
      <c r="F61" s="477">
        <f>E61-D61</f>
        <v>19848431</v>
      </c>
      <c r="G61" s="46" t="s">
        <v>262</v>
      </c>
    </row>
  </sheetData>
  <sheetProtection/>
  <mergeCells count="1">
    <mergeCell ref="A4:C4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R55"/>
  <sheetViews>
    <sheetView zoomScaleSheetLayoutView="100" zoomScalePageLayoutView="0" workbookViewId="0" topLeftCell="A1">
      <pane xSplit="1" ySplit="4" topLeftCell="BU5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A1" sqref="A1"/>
    </sheetView>
  </sheetViews>
  <sheetFormatPr defaultColWidth="9.00390625" defaultRowHeight="12.75"/>
  <cols>
    <col min="1" max="1" width="48.00390625" style="3" customWidth="1"/>
    <col min="2" max="2" width="12.75390625" style="3" customWidth="1"/>
    <col min="3" max="4" width="12.625" style="3" customWidth="1"/>
    <col min="5" max="5" width="12.375" style="3" customWidth="1"/>
    <col min="6" max="6" width="10.875" style="3" customWidth="1"/>
    <col min="7" max="8" width="14.00390625" style="3" customWidth="1"/>
    <col min="9" max="9" width="12.875" style="3" customWidth="1"/>
    <col min="10" max="10" width="12.75390625" style="3" customWidth="1"/>
    <col min="11" max="12" width="13.25390625" style="3" customWidth="1"/>
    <col min="13" max="13" width="12.125" style="3" customWidth="1"/>
    <col min="14" max="14" width="11.25390625" style="3" customWidth="1"/>
    <col min="15" max="16" width="13.625" style="3" customWidth="1"/>
    <col min="17" max="17" width="12.75390625" style="3" customWidth="1"/>
    <col min="18" max="18" width="12.625" style="3" customWidth="1"/>
    <col min="19" max="20" width="13.75390625" style="3" customWidth="1"/>
    <col min="21" max="21" width="11.75390625" style="3" customWidth="1"/>
    <col min="22" max="22" width="12.625" style="3" customWidth="1"/>
    <col min="23" max="24" width="14.125" style="3" customWidth="1"/>
    <col min="25" max="25" width="11.75390625" style="3" customWidth="1"/>
    <col min="26" max="26" width="12.625" style="3" customWidth="1"/>
    <col min="27" max="28" width="14.125" style="3" customWidth="1"/>
    <col min="29" max="29" width="11.75390625" style="3" customWidth="1"/>
    <col min="30" max="30" width="12.625" style="3" customWidth="1"/>
    <col min="31" max="32" width="14.125" style="3" customWidth="1"/>
    <col min="33" max="33" width="11.75390625" style="3" customWidth="1"/>
    <col min="34" max="34" width="12.625" style="3" customWidth="1"/>
    <col min="35" max="36" width="14.125" style="3" customWidth="1"/>
    <col min="37" max="37" width="11.75390625" style="3" customWidth="1"/>
    <col min="38" max="38" width="12.625" style="3" customWidth="1"/>
    <col min="39" max="40" width="14.125" style="3" customWidth="1"/>
    <col min="41" max="41" width="11.75390625" style="3" customWidth="1"/>
    <col min="42" max="42" width="12.625" style="3" customWidth="1"/>
    <col min="43" max="44" width="13.375" style="3" customWidth="1"/>
    <col min="45" max="46" width="11.75390625" style="3" customWidth="1"/>
    <col min="47" max="48" width="13.75390625" style="3" customWidth="1"/>
    <col min="49" max="49" width="12.875" style="3" customWidth="1"/>
    <col min="50" max="50" width="11.75390625" style="3" customWidth="1"/>
    <col min="51" max="52" width="13.75390625" style="3" customWidth="1"/>
    <col min="53" max="53" width="12.875" style="3" customWidth="1"/>
    <col min="54" max="54" width="11.75390625" style="3" customWidth="1"/>
    <col min="55" max="56" width="13.75390625" style="3" customWidth="1"/>
    <col min="57" max="57" width="12.875" style="3" customWidth="1"/>
    <col min="58" max="58" width="11.75390625" style="3" customWidth="1"/>
    <col min="59" max="60" width="13.75390625" style="3" customWidth="1"/>
    <col min="61" max="61" width="12.875" style="3" customWidth="1"/>
    <col min="62" max="62" width="11.75390625" style="3" customWidth="1"/>
    <col min="63" max="64" width="13.00390625" style="3" customWidth="1"/>
    <col min="65" max="65" width="12.875" style="3" customWidth="1"/>
    <col min="66" max="66" width="12.75390625" style="88" customWidth="1"/>
    <col min="67" max="68" width="13.125" style="3" customWidth="1"/>
    <col min="69" max="69" width="11.875" style="3" customWidth="1"/>
    <col min="70" max="70" width="12.75390625" style="3" customWidth="1"/>
    <col min="71" max="72" width="13.375" style="3" customWidth="1"/>
    <col min="73" max="73" width="11.75390625" style="3" customWidth="1"/>
    <col min="74" max="74" width="13.25390625" style="86" customWidth="1"/>
    <col min="75" max="76" width="13.25390625" style="3" customWidth="1"/>
    <col min="77" max="77" width="11.875" style="3" customWidth="1"/>
    <col min="78" max="78" width="12.25390625" style="3" bestFit="1" customWidth="1"/>
    <col min="79" max="80" width="13.00390625" style="3" customWidth="1"/>
    <col min="81" max="81" width="12.375" style="3" customWidth="1"/>
    <col min="82" max="82" width="12.25390625" style="168" hidden="1" customWidth="1"/>
    <col min="83" max="83" width="14.00390625" style="168" hidden="1" customWidth="1"/>
    <col min="84" max="84" width="13.00390625" style="168" hidden="1" customWidth="1"/>
    <col min="85" max="85" width="12.625" style="168" hidden="1" customWidth="1"/>
    <col min="86" max="86" width="10.375" style="168" hidden="1" customWidth="1"/>
    <col min="87" max="87" width="14.00390625" style="168" hidden="1" customWidth="1"/>
    <col min="88" max="88" width="13.625" style="168" hidden="1" customWidth="1"/>
    <col min="89" max="89" width="12.875" style="168" hidden="1" customWidth="1"/>
    <col min="90" max="90" width="10.25390625" style="168" hidden="1" customWidth="1"/>
    <col min="91" max="92" width="11.375" style="168" hidden="1" customWidth="1"/>
    <col min="93" max="93" width="10.75390625" style="168" hidden="1" customWidth="1"/>
    <col min="94" max="94" width="1.12109375" style="168" hidden="1" customWidth="1"/>
    <col min="95" max="95" width="10.875" style="168" hidden="1" customWidth="1"/>
    <col min="96" max="16384" width="9.125" style="3" customWidth="1"/>
  </cols>
  <sheetData>
    <row r="1" ht="15.75">
      <c r="A1" s="167" t="s">
        <v>359</v>
      </c>
    </row>
    <row r="2" ht="15.75">
      <c r="A2" s="167" t="s">
        <v>278</v>
      </c>
    </row>
    <row r="3" ht="16.5" thickBot="1">
      <c r="A3" s="85" t="s">
        <v>176</v>
      </c>
    </row>
    <row r="4" spans="1:95" s="84" customFormat="1" ht="27" customHeight="1">
      <c r="A4" s="523" t="s">
        <v>170</v>
      </c>
      <c r="B4" s="525" t="s">
        <v>53</v>
      </c>
      <c r="C4" s="526"/>
      <c r="D4" s="527"/>
      <c r="E4" s="528"/>
      <c r="F4" s="529" t="s">
        <v>121</v>
      </c>
      <c r="G4" s="530"/>
      <c r="H4" s="531"/>
      <c r="I4" s="532"/>
      <c r="J4" s="533" t="s">
        <v>64</v>
      </c>
      <c r="K4" s="534"/>
      <c r="L4" s="535"/>
      <c r="M4" s="536"/>
      <c r="N4" s="529" t="s">
        <v>39</v>
      </c>
      <c r="O4" s="530"/>
      <c r="P4" s="531"/>
      <c r="Q4" s="532"/>
      <c r="R4" s="529" t="s">
        <v>140</v>
      </c>
      <c r="S4" s="530"/>
      <c r="T4" s="531"/>
      <c r="U4" s="532"/>
      <c r="V4" s="537" t="s">
        <v>175</v>
      </c>
      <c r="W4" s="538"/>
      <c r="X4" s="539"/>
      <c r="Y4" s="540"/>
      <c r="Z4" s="537" t="s">
        <v>265</v>
      </c>
      <c r="AA4" s="538"/>
      <c r="AB4" s="539"/>
      <c r="AC4" s="540"/>
      <c r="AD4" s="537" t="s">
        <v>266</v>
      </c>
      <c r="AE4" s="538"/>
      <c r="AF4" s="539"/>
      <c r="AG4" s="540"/>
      <c r="AH4" s="537" t="s">
        <v>172</v>
      </c>
      <c r="AI4" s="538"/>
      <c r="AJ4" s="539"/>
      <c r="AK4" s="540"/>
      <c r="AL4" s="541" t="s">
        <v>267</v>
      </c>
      <c r="AM4" s="542"/>
      <c r="AN4" s="542"/>
      <c r="AO4" s="543"/>
      <c r="AP4" s="537" t="s">
        <v>173</v>
      </c>
      <c r="AQ4" s="538"/>
      <c r="AR4" s="539"/>
      <c r="AS4" s="540"/>
      <c r="AT4" s="544" t="s">
        <v>268</v>
      </c>
      <c r="AU4" s="545"/>
      <c r="AV4" s="546"/>
      <c r="AW4" s="547"/>
      <c r="AX4" s="544" t="s">
        <v>269</v>
      </c>
      <c r="AY4" s="545"/>
      <c r="AZ4" s="546"/>
      <c r="BA4" s="547"/>
      <c r="BB4" s="544" t="s">
        <v>270</v>
      </c>
      <c r="BC4" s="545"/>
      <c r="BD4" s="546"/>
      <c r="BE4" s="547"/>
      <c r="BF4" s="544" t="s">
        <v>271</v>
      </c>
      <c r="BG4" s="545"/>
      <c r="BH4" s="546"/>
      <c r="BI4" s="547"/>
      <c r="BJ4" s="544" t="s">
        <v>174</v>
      </c>
      <c r="BK4" s="545"/>
      <c r="BL4" s="546"/>
      <c r="BM4" s="547"/>
      <c r="BN4" s="548" t="s">
        <v>16</v>
      </c>
      <c r="BO4" s="549"/>
      <c r="BP4" s="550"/>
      <c r="BQ4" s="551"/>
      <c r="BR4" s="552" t="s">
        <v>34</v>
      </c>
      <c r="BS4" s="553"/>
      <c r="BT4" s="554"/>
      <c r="BU4" s="555"/>
      <c r="BV4" s="556" t="s">
        <v>127</v>
      </c>
      <c r="BW4" s="557"/>
      <c r="BX4" s="558"/>
      <c r="BY4" s="559"/>
      <c r="BZ4" s="560" t="s">
        <v>135</v>
      </c>
      <c r="CA4" s="561"/>
      <c r="CB4" s="562"/>
      <c r="CC4" s="563"/>
      <c r="CD4" s="564" t="s">
        <v>136</v>
      </c>
      <c r="CE4" s="565"/>
      <c r="CF4" s="566"/>
      <c r="CG4" s="567"/>
      <c r="CH4" s="564" t="s">
        <v>138</v>
      </c>
      <c r="CI4" s="565"/>
      <c r="CJ4" s="566"/>
      <c r="CK4" s="567"/>
      <c r="CL4" s="564" t="s">
        <v>139</v>
      </c>
      <c r="CM4" s="565"/>
      <c r="CN4" s="566"/>
      <c r="CO4" s="567"/>
      <c r="CP4" s="169"/>
      <c r="CQ4" s="170"/>
    </row>
    <row r="5" spans="1:95" s="84" customFormat="1" ht="39" customHeight="1" thickBot="1">
      <c r="A5" s="524"/>
      <c r="B5" s="171" t="s">
        <v>272</v>
      </c>
      <c r="C5" s="172" t="s">
        <v>344</v>
      </c>
      <c r="D5" s="172" t="s">
        <v>343</v>
      </c>
      <c r="E5" s="173" t="s">
        <v>274</v>
      </c>
      <c r="F5" s="171" t="s">
        <v>272</v>
      </c>
      <c r="G5" s="172" t="s">
        <v>311</v>
      </c>
      <c r="H5" s="172" t="s">
        <v>343</v>
      </c>
      <c r="I5" s="173" t="s">
        <v>274</v>
      </c>
      <c r="J5" s="174" t="s">
        <v>272</v>
      </c>
      <c r="K5" s="172" t="s">
        <v>311</v>
      </c>
      <c r="L5" s="172" t="s">
        <v>343</v>
      </c>
      <c r="M5" s="173" t="s">
        <v>274</v>
      </c>
      <c r="N5" s="175" t="s">
        <v>272</v>
      </c>
      <c r="O5" s="172" t="s">
        <v>311</v>
      </c>
      <c r="P5" s="172" t="s">
        <v>343</v>
      </c>
      <c r="Q5" s="173" t="s">
        <v>274</v>
      </c>
      <c r="R5" s="175" t="s">
        <v>272</v>
      </c>
      <c r="S5" s="172" t="s">
        <v>311</v>
      </c>
      <c r="T5" s="172" t="s">
        <v>343</v>
      </c>
      <c r="U5" s="173" t="s">
        <v>274</v>
      </c>
      <c r="V5" s="516" t="s">
        <v>272</v>
      </c>
      <c r="W5" s="517" t="s">
        <v>311</v>
      </c>
      <c r="X5" s="517" t="s">
        <v>343</v>
      </c>
      <c r="Y5" s="518" t="s">
        <v>274</v>
      </c>
      <c r="Z5" s="516" t="s">
        <v>272</v>
      </c>
      <c r="AA5" s="517" t="s">
        <v>311</v>
      </c>
      <c r="AB5" s="517" t="s">
        <v>343</v>
      </c>
      <c r="AC5" s="518" t="s">
        <v>274</v>
      </c>
      <c r="AD5" s="516" t="s">
        <v>272</v>
      </c>
      <c r="AE5" s="517" t="s">
        <v>311</v>
      </c>
      <c r="AF5" s="517" t="s">
        <v>343</v>
      </c>
      <c r="AG5" s="518" t="s">
        <v>274</v>
      </c>
      <c r="AH5" s="516" t="s">
        <v>272</v>
      </c>
      <c r="AI5" s="517" t="s">
        <v>311</v>
      </c>
      <c r="AJ5" s="517" t="s">
        <v>343</v>
      </c>
      <c r="AK5" s="518" t="s">
        <v>274</v>
      </c>
      <c r="AL5" s="516" t="s">
        <v>272</v>
      </c>
      <c r="AM5" s="517" t="s">
        <v>311</v>
      </c>
      <c r="AN5" s="517" t="s">
        <v>343</v>
      </c>
      <c r="AO5" s="518" t="s">
        <v>274</v>
      </c>
      <c r="AP5" s="178" t="s">
        <v>272</v>
      </c>
      <c r="AQ5" s="179" t="s">
        <v>311</v>
      </c>
      <c r="AR5" s="179" t="s">
        <v>343</v>
      </c>
      <c r="AS5" s="180" t="s">
        <v>274</v>
      </c>
      <c r="AT5" s="516" t="s">
        <v>272</v>
      </c>
      <c r="AU5" s="517" t="s">
        <v>311</v>
      </c>
      <c r="AV5" s="517" t="s">
        <v>343</v>
      </c>
      <c r="AW5" s="518" t="s">
        <v>274</v>
      </c>
      <c r="AX5" s="516" t="s">
        <v>272</v>
      </c>
      <c r="AY5" s="517" t="s">
        <v>311</v>
      </c>
      <c r="AZ5" s="517" t="s">
        <v>343</v>
      </c>
      <c r="BA5" s="518" t="s">
        <v>274</v>
      </c>
      <c r="BB5" s="516" t="s">
        <v>272</v>
      </c>
      <c r="BC5" s="517" t="s">
        <v>311</v>
      </c>
      <c r="BD5" s="517" t="s">
        <v>343</v>
      </c>
      <c r="BE5" s="518" t="s">
        <v>274</v>
      </c>
      <c r="BF5" s="516" t="s">
        <v>272</v>
      </c>
      <c r="BG5" s="517" t="s">
        <v>311</v>
      </c>
      <c r="BH5" s="517" t="s">
        <v>343</v>
      </c>
      <c r="BI5" s="518" t="s">
        <v>274</v>
      </c>
      <c r="BJ5" s="181" t="s">
        <v>272</v>
      </c>
      <c r="BK5" s="182" t="s">
        <v>311</v>
      </c>
      <c r="BL5" s="182" t="s">
        <v>343</v>
      </c>
      <c r="BM5" s="183" t="s">
        <v>274</v>
      </c>
      <c r="BN5" s="184" t="s">
        <v>272</v>
      </c>
      <c r="BO5" s="185" t="s">
        <v>311</v>
      </c>
      <c r="BP5" s="185" t="s">
        <v>343</v>
      </c>
      <c r="BQ5" s="186" t="s">
        <v>274</v>
      </c>
      <c r="BR5" s="175" t="s">
        <v>272</v>
      </c>
      <c r="BS5" s="172" t="s">
        <v>311</v>
      </c>
      <c r="BT5" s="172" t="s">
        <v>343</v>
      </c>
      <c r="BU5" s="173" t="s">
        <v>274</v>
      </c>
      <c r="BV5" s="188" t="s">
        <v>272</v>
      </c>
      <c r="BW5" s="185" t="s">
        <v>311</v>
      </c>
      <c r="BX5" s="185" t="s">
        <v>343</v>
      </c>
      <c r="BY5" s="186" t="s">
        <v>274</v>
      </c>
      <c r="BZ5" s="175" t="s">
        <v>272</v>
      </c>
      <c r="CA5" s="172" t="s">
        <v>311</v>
      </c>
      <c r="CB5" s="172" t="s">
        <v>343</v>
      </c>
      <c r="CC5" s="173" t="s">
        <v>274</v>
      </c>
      <c r="CD5" s="189" t="s">
        <v>272</v>
      </c>
      <c r="CE5" s="176" t="s">
        <v>275</v>
      </c>
      <c r="CF5" s="176" t="s">
        <v>273</v>
      </c>
      <c r="CG5" s="177" t="s">
        <v>274</v>
      </c>
      <c r="CH5" s="190" t="s">
        <v>272</v>
      </c>
      <c r="CI5" s="176" t="s">
        <v>275</v>
      </c>
      <c r="CJ5" s="176" t="s">
        <v>273</v>
      </c>
      <c r="CK5" s="177" t="s">
        <v>274</v>
      </c>
      <c r="CL5" s="190" t="s">
        <v>272</v>
      </c>
      <c r="CM5" s="176" t="s">
        <v>275</v>
      </c>
      <c r="CN5" s="176" t="s">
        <v>273</v>
      </c>
      <c r="CO5" s="177" t="s">
        <v>274</v>
      </c>
      <c r="CP5" s="191"/>
      <c r="CQ5" s="170"/>
    </row>
    <row r="6" spans="1:95" s="9" customFormat="1" ht="26.25" customHeight="1">
      <c r="A6" s="192" t="s">
        <v>117</v>
      </c>
      <c r="B6" s="118">
        <f>B7+B8</f>
        <v>0</v>
      </c>
      <c r="C6" s="119">
        <f>C7+C8</f>
        <v>1610360</v>
      </c>
      <c r="D6" s="119">
        <f>D7+D8</f>
        <v>3356740</v>
      </c>
      <c r="E6" s="18">
        <f aca="true" t="shared" si="0" ref="E6:E26">D6-C6</f>
        <v>1746380</v>
      </c>
      <c r="F6" s="118">
        <f>F7+F8</f>
        <v>0</v>
      </c>
      <c r="G6" s="119">
        <f>G7+G8</f>
        <v>49027089</v>
      </c>
      <c r="H6" s="119">
        <f>H7+H8</f>
        <v>51610412</v>
      </c>
      <c r="I6" s="18">
        <f aca="true" t="shared" si="1" ref="I6:I26">H6-G6</f>
        <v>2583323</v>
      </c>
      <c r="J6" s="118">
        <f>J7+J8</f>
        <v>0</v>
      </c>
      <c r="K6" s="119">
        <f>K7+K8</f>
        <v>618419</v>
      </c>
      <c r="L6" s="119">
        <f>L7+L8</f>
        <v>618419</v>
      </c>
      <c r="M6" s="18">
        <f aca="true" t="shared" si="2" ref="M6:M26">L6-K6</f>
        <v>0</v>
      </c>
      <c r="N6" s="118">
        <f>N7+N8</f>
        <v>0</v>
      </c>
      <c r="O6" s="119">
        <f>O7+O8</f>
        <v>7355422</v>
      </c>
      <c r="P6" s="119">
        <f>P7+P8</f>
        <v>8935435</v>
      </c>
      <c r="Q6" s="18">
        <f aca="true" t="shared" si="3" ref="Q6:Q26">P6-O6</f>
        <v>1580013</v>
      </c>
      <c r="R6" s="118">
        <f>R7+R8</f>
        <v>38220000</v>
      </c>
      <c r="S6" s="119">
        <f>S7+S8</f>
        <v>38220000</v>
      </c>
      <c r="T6" s="119">
        <f>T7+T8</f>
        <v>38220000</v>
      </c>
      <c r="U6" s="18">
        <f aca="true" t="shared" si="4" ref="U6:U26">T6-S6</f>
        <v>0</v>
      </c>
      <c r="V6" s="118">
        <f>V7+V8</f>
        <v>0</v>
      </c>
      <c r="W6" s="119">
        <f>W7+W8</f>
        <v>1915595</v>
      </c>
      <c r="X6" s="119">
        <f>X7+X8</f>
        <v>1915595</v>
      </c>
      <c r="Y6" s="18">
        <f aca="true" t="shared" si="5" ref="Y6:Y26">X6-W6</f>
        <v>0</v>
      </c>
      <c r="Z6" s="118">
        <f>Z7+Z8</f>
        <v>0</v>
      </c>
      <c r="AA6" s="119">
        <f>AA7+AA8</f>
        <v>0</v>
      </c>
      <c r="AB6" s="119">
        <f>AB7+AB8</f>
        <v>0</v>
      </c>
      <c r="AC6" s="18">
        <f aca="true" t="shared" si="6" ref="AC6:AC26">AB6-AA6</f>
        <v>0</v>
      </c>
      <c r="AD6" s="118">
        <f>AD7+AD8</f>
        <v>0</v>
      </c>
      <c r="AE6" s="119">
        <f>AE7+AE8</f>
        <v>0</v>
      </c>
      <c r="AF6" s="119">
        <f>AF7+AF8</f>
        <v>20000</v>
      </c>
      <c r="AG6" s="18">
        <f aca="true" t="shared" si="7" ref="AG6:AG26">AF6-AE6</f>
        <v>20000</v>
      </c>
      <c r="AH6" s="118">
        <f>AH7+AH8</f>
        <v>0</v>
      </c>
      <c r="AI6" s="119">
        <f>AI7+AI8</f>
        <v>0</v>
      </c>
      <c r="AJ6" s="119">
        <f>AJ7+AJ8</f>
        <v>0</v>
      </c>
      <c r="AK6" s="18">
        <f aca="true" t="shared" si="8" ref="AK6:AK26">AJ6-AI6</f>
        <v>0</v>
      </c>
      <c r="AL6" s="118">
        <f>AL7+AL8</f>
        <v>0</v>
      </c>
      <c r="AM6" s="119">
        <f>AM7+AM8</f>
        <v>0</v>
      </c>
      <c r="AN6" s="119">
        <f>AN7+AN8</f>
        <v>0</v>
      </c>
      <c r="AO6" s="18">
        <f aca="true" t="shared" si="9" ref="AO6:AO26">AN6-AM6</f>
        <v>0</v>
      </c>
      <c r="AP6" s="193">
        <f aca="true" t="shared" si="10" ref="AP6:AP26">V6+Z6+AD6+AH6+AL6</f>
        <v>0</v>
      </c>
      <c r="AQ6" s="194">
        <f aca="true" t="shared" si="11" ref="AQ6:AQ26">W6+AA6+AE6+AI6+AM6</f>
        <v>1915595</v>
      </c>
      <c r="AR6" s="194">
        <f aca="true" t="shared" si="12" ref="AR6:AR26">X6+AB6+AF6+AJ6+AN6</f>
        <v>1935595</v>
      </c>
      <c r="AS6" s="195">
        <f aca="true" t="shared" si="13" ref="AS6:AS26">AR6-AQ6</f>
        <v>20000</v>
      </c>
      <c r="AT6" s="118">
        <f>AT7+AT8</f>
        <v>0</v>
      </c>
      <c r="AU6" s="119">
        <f>AU7+AU8</f>
        <v>912325</v>
      </c>
      <c r="AV6" s="119">
        <f>AV7+AV8</f>
        <v>1398536</v>
      </c>
      <c r="AW6" s="18">
        <f aca="true" t="shared" si="14" ref="AW6:AW26">AV6-AU6</f>
        <v>486211</v>
      </c>
      <c r="AX6" s="118">
        <f>AX7+AX8</f>
        <v>0</v>
      </c>
      <c r="AY6" s="119">
        <f>AY7+AY8</f>
        <v>0</v>
      </c>
      <c r="AZ6" s="119">
        <f>AZ7+AZ8</f>
        <v>0</v>
      </c>
      <c r="BA6" s="18">
        <f aca="true" t="shared" si="15" ref="BA6:BA26">AZ6-AY6</f>
        <v>0</v>
      </c>
      <c r="BB6" s="118">
        <f>BB7+BB8</f>
        <v>0</v>
      </c>
      <c r="BC6" s="119">
        <f>BC7+BC8</f>
        <v>0</v>
      </c>
      <c r="BD6" s="119">
        <f>BD7+BD8</f>
        <v>0</v>
      </c>
      <c r="BE6" s="18">
        <f aca="true" t="shared" si="16" ref="BE6:BE26">BD6-BC6</f>
        <v>0</v>
      </c>
      <c r="BF6" s="118">
        <f>BF7+BF8</f>
        <v>0</v>
      </c>
      <c r="BG6" s="119">
        <f>BG7+BG8</f>
        <v>0</v>
      </c>
      <c r="BH6" s="119">
        <f>BH7+BH8</f>
        <v>0</v>
      </c>
      <c r="BI6" s="18">
        <f aca="true" t="shared" si="17" ref="BI6:BI26">BH6-BG6</f>
        <v>0</v>
      </c>
      <c r="BJ6" s="196">
        <f aca="true" t="shared" si="18" ref="BJ6:BJ26">AT6+AX6+BF6+BB6</f>
        <v>0</v>
      </c>
      <c r="BK6" s="197">
        <f aca="true" t="shared" si="19" ref="BK6:BK26">AU6+AY6+BG6+BC6</f>
        <v>912325</v>
      </c>
      <c r="BL6" s="197">
        <f aca="true" t="shared" si="20" ref="BL6:BL26">AV6+AZ6+BH6+BD6</f>
        <v>1398536</v>
      </c>
      <c r="BM6" s="198">
        <f aca="true" t="shared" si="21" ref="BM6:BM26">BL6-BK6</f>
        <v>486211</v>
      </c>
      <c r="BN6" s="199">
        <f>BN7+BN8</f>
        <v>38220000</v>
      </c>
      <c r="BO6" s="200">
        <f>BO7+BO8</f>
        <v>99659210</v>
      </c>
      <c r="BP6" s="200">
        <f>BP7+BP8</f>
        <v>106075137</v>
      </c>
      <c r="BQ6" s="201">
        <f aca="true" t="shared" si="22" ref="BQ6:BQ26">BP6-BO6</f>
        <v>6415927</v>
      </c>
      <c r="BR6" s="118">
        <f>BR7+BR8</f>
        <v>852758777</v>
      </c>
      <c r="BS6" s="202">
        <f>BS7+BS8</f>
        <v>907707853</v>
      </c>
      <c r="BT6" s="202">
        <f>BT7+BT8</f>
        <v>925735242</v>
      </c>
      <c r="BU6" s="203">
        <f aca="true" t="shared" si="23" ref="BU6:BU26">BT6-BS6</f>
        <v>18027389</v>
      </c>
      <c r="BV6" s="204">
        <f>BV7+BV8</f>
        <v>890978777</v>
      </c>
      <c r="BW6" s="205">
        <f>BW7+BW8</f>
        <v>1007367063</v>
      </c>
      <c r="BX6" s="205">
        <f>BX7+BX8</f>
        <v>1031810379</v>
      </c>
      <c r="BY6" s="201">
        <f aca="true" t="shared" si="24" ref="BY6:BY26">BX6-BW6</f>
        <v>24443316</v>
      </c>
      <c r="BZ6" s="206">
        <f aca="true" t="shared" si="25" ref="BZ6:CF6">BZ7+BZ8</f>
        <v>890978777</v>
      </c>
      <c r="CA6" s="206">
        <f t="shared" si="25"/>
        <v>1007367063</v>
      </c>
      <c r="CB6" s="206">
        <f t="shared" si="25"/>
        <v>1031810379</v>
      </c>
      <c r="CC6" s="206">
        <f t="shared" si="25"/>
        <v>24443316</v>
      </c>
      <c r="CD6" s="207">
        <f t="shared" si="25"/>
        <v>914521000</v>
      </c>
      <c r="CE6" s="208">
        <f t="shared" si="25"/>
        <v>966846000</v>
      </c>
      <c r="CF6" s="208">
        <f t="shared" si="25"/>
        <v>966846000</v>
      </c>
      <c r="CG6" s="209">
        <f aca="true" t="shared" si="26" ref="CG6:CG26">CF6-CE6</f>
        <v>0</v>
      </c>
      <c r="CH6" s="208">
        <f aca="true" t="shared" si="27" ref="CH6:CO6">CH7+CH8</f>
        <v>67004</v>
      </c>
      <c r="CI6" s="208">
        <f t="shared" si="27"/>
        <v>68104</v>
      </c>
      <c r="CJ6" s="208">
        <f t="shared" si="27"/>
        <v>69204</v>
      </c>
      <c r="CK6" s="209">
        <f t="shared" si="27"/>
        <v>1100</v>
      </c>
      <c r="CL6" s="207">
        <f t="shared" si="27"/>
        <v>0</v>
      </c>
      <c r="CM6" s="210">
        <f t="shared" si="27"/>
        <v>0</v>
      </c>
      <c r="CN6" s="210">
        <f t="shared" si="27"/>
        <v>0</v>
      </c>
      <c r="CO6" s="209">
        <f t="shared" si="27"/>
        <v>0</v>
      </c>
      <c r="CP6" s="211"/>
      <c r="CQ6" s="212">
        <f aca="true" t="shared" si="28" ref="CQ6:CQ26">CM6+CI6+CE6</f>
        <v>966914104</v>
      </c>
    </row>
    <row r="7" spans="1:95" s="9" customFormat="1" ht="13.5">
      <c r="A7" s="213" t="s">
        <v>114</v>
      </c>
      <c r="B7" s="115"/>
      <c r="C7" s="77"/>
      <c r="D7" s="77"/>
      <c r="E7" s="75">
        <f t="shared" si="0"/>
        <v>0</v>
      </c>
      <c r="F7" s="214"/>
      <c r="G7" s="77"/>
      <c r="H7" s="77"/>
      <c r="I7" s="75">
        <f t="shared" si="1"/>
        <v>0</v>
      </c>
      <c r="J7" s="77"/>
      <c r="K7" s="77"/>
      <c r="L7" s="77"/>
      <c r="M7" s="75">
        <f t="shared" si="2"/>
        <v>0</v>
      </c>
      <c r="N7" s="115"/>
      <c r="O7" s="214"/>
      <c r="P7" s="214"/>
      <c r="Q7" s="75">
        <f t="shared" si="3"/>
        <v>0</v>
      </c>
      <c r="R7" s="115"/>
      <c r="S7" s="214"/>
      <c r="T7" s="214"/>
      <c r="U7" s="75">
        <f t="shared" si="4"/>
        <v>0</v>
      </c>
      <c r="V7" s="115"/>
      <c r="W7" s="214"/>
      <c r="X7" s="214"/>
      <c r="Y7" s="75">
        <f t="shared" si="5"/>
        <v>0</v>
      </c>
      <c r="Z7" s="115"/>
      <c r="AA7" s="214"/>
      <c r="AB7" s="214"/>
      <c r="AC7" s="75">
        <f t="shared" si="6"/>
        <v>0</v>
      </c>
      <c r="AD7" s="115"/>
      <c r="AE7" s="214"/>
      <c r="AF7" s="214"/>
      <c r="AG7" s="75">
        <f t="shared" si="7"/>
        <v>0</v>
      </c>
      <c r="AH7" s="115"/>
      <c r="AI7" s="214"/>
      <c r="AJ7" s="214"/>
      <c r="AK7" s="75">
        <f t="shared" si="8"/>
        <v>0</v>
      </c>
      <c r="AL7" s="115"/>
      <c r="AM7" s="214"/>
      <c r="AN7" s="214"/>
      <c r="AO7" s="75">
        <f t="shared" si="9"/>
        <v>0</v>
      </c>
      <c r="AP7" s="215">
        <f t="shared" si="10"/>
        <v>0</v>
      </c>
      <c r="AQ7" s="216">
        <f t="shared" si="11"/>
        <v>0</v>
      </c>
      <c r="AR7" s="216">
        <f t="shared" si="12"/>
        <v>0</v>
      </c>
      <c r="AS7" s="217">
        <f t="shared" si="13"/>
        <v>0</v>
      </c>
      <c r="AT7" s="115"/>
      <c r="AU7" s="214"/>
      <c r="AV7" s="214"/>
      <c r="AW7" s="75">
        <f t="shared" si="14"/>
        <v>0</v>
      </c>
      <c r="AX7" s="115"/>
      <c r="AY7" s="214"/>
      <c r="AZ7" s="214"/>
      <c r="BA7" s="75">
        <f t="shared" si="15"/>
        <v>0</v>
      </c>
      <c r="BB7" s="115"/>
      <c r="BC7" s="214"/>
      <c r="BD7" s="214"/>
      <c r="BE7" s="75">
        <f t="shared" si="16"/>
        <v>0</v>
      </c>
      <c r="BF7" s="115"/>
      <c r="BG7" s="214"/>
      <c r="BH7" s="214"/>
      <c r="BI7" s="75">
        <f t="shared" si="17"/>
        <v>0</v>
      </c>
      <c r="BJ7" s="218">
        <f t="shared" si="18"/>
        <v>0</v>
      </c>
      <c r="BK7" s="219">
        <f t="shared" si="19"/>
        <v>0</v>
      </c>
      <c r="BL7" s="219">
        <f t="shared" si="20"/>
        <v>0</v>
      </c>
      <c r="BM7" s="220">
        <f t="shared" si="21"/>
        <v>0</v>
      </c>
      <c r="BN7" s="221">
        <f aca="true" t="shared" si="29" ref="BN7:BP11">B7+F7+J7+N7+R7+BJ7+AP7</f>
        <v>0</v>
      </c>
      <c r="BO7" s="221">
        <f t="shared" si="29"/>
        <v>0</v>
      </c>
      <c r="BP7" s="221">
        <f t="shared" si="29"/>
        <v>0</v>
      </c>
      <c r="BQ7" s="222">
        <f t="shared" si="22"/>
        <v>0</v>
      </c>
      <c r="BR7" s="115">
        <v>828336315</v>
      </c>
      <c r="BS7" s="77">
        <v>867576713</v>
      </c>
      <c r="BT7" s="77">
        <v>884925144</v>
      </c>
      <c r="BU7" s="223">
        <f t="shared" si="23"/>
        <v>17348431</v>
      </c>
      <c r="BV7" s="224">
        <f aca="true" t="shared" si="30" ref="BV7:BX11">BR7+BN7</f>
        <v>828336315</v>
      </c>
      <c r="BW7" s="225">
        <f t="shared" si="30"/>
        <v>867576713</v>
      </c>
      <c r="BX7" s="225">
        <f t="shared" si="30"/>
        <v>884925144</v>
      </c>
      <c r="BY7" s="222">
        <f t="shared" si="24"/>
        <v>17348431</v>
      </c>
      <c r="BZ7" s="226">
        <f aca="true" t="shared" si="31" ref="BZ7:CC11">BV7</f>
        <v>828336315</v>
      </c>
      <c r="CA7" s="226">
        <f t="shared" si="31"/>
        <v>867576713</v>
      </c>
      <c r="CB7" s="226">
        <f t="shared" si="31"/>
        <v>884925144</v>
      </c>
      <c r="CC7" s="226">
        <f t="shared" si="31"/>
        <v>17348431</v>
      </c>
      <c r="CD7" s="227">
        <v>843598000</v>
      </c>
      <c r="CE7" s="228">
        <f>CD7+33214000</f>
        <v>876812000</v>
      </c>
      <c r="CF7" s="228">
        <f>CE7+0</f>
        <v>876812000</v>
      </c>
      <c r="CG7" s="229">
        <f t="shared" si="26"/>
        <v>0</v>
      </c>
      <c r="CH7" s="230"/>
      <c r="CI7" s="228">
        <f>CH7</f>
        <v>0</v>
      </c>
      <c r="CJ7" s="228">
        <f>CI7</f>
        <v>0</v>
      </c>
      <c r="CK7" s="229">
        <f>CI7-CH7</f>
        <v>0</v>
      </c>
      <c r="CL7" s="227"/>
      <c r="CM7" s="228">
        <f aca="true" t="shared" si="32" ref="CM7:CN11">CL7</f>
        <v>0</v>
      </c>
      <c r="CN7" s="228">
        <f t="shared" si="32"/>
        <v>0</v>
      </c>
      <c r="CO7" s="229">
        <f>CM7-CL7</f>
        <v>0</v>
      </c>
      <c r="CP7" s="231"/>
      <c r="CQ7" s="212">
        <f t="shared" si="28"/>
        <v>876812000</v>
      </c>
    </row>
    <row r="8" spans="1:95" s="9" customFormat="1" ht="13.5">
      <c r="A8" s="213" t="s">
        <v>122</v>
      </c>
      <c r="B8" s="115"/>
      <c r="C8" s="77">
        <v>1610360</v>
      </c>
      <c r="D8" s="77">
        <v>3356740</v>
      </c>
      <c r="E8" s="75">
        <f t="shared" si="0"/>
        <v>1746380</v>
      </c>
      <c r="F8" s="214"/>
      <c r="G8" s="77">
        <v>49027089</v>
      </c>
      <c r="H8" s="77">
        <v>51610412</v>
      </c>
      <c r="I8" s="75">
        <f t="shared" si="1"/>
        <v>2583323</v>
      </c>
      <c r="J8" s="77"/>
      <c r="K8" s="77">
        <v>618419</v>
      </c>
      <c r="L8" s="77">
        <v>618419</v>
      </c>
      <c r="M8" s="75">
        <f t="shared" si="2"/>
        <v>0</v>
      </c>
      <c r="N8" s="115">
        <v>0</v>
      </c>
      <c r="O8" s="214">
        <v>7355422</v>
      </c>
      <c r="P8" s="214">
        <v>8935435</v>
      </c>
      <c r="Q8" s="75">
        <f t="shared" si="3"/>
        <v>1580013</v>
      </c>
      <c r="R8" s="115">
        <v>38220000</v>
      </c>
      <c r="S8" s="214">
        <v>38220000</v>
      </c>
      <c r="T8" s="214">
        <v>38220000</v>
      </c>
      <c r="U8" s="75">
        <f t="shared" si="4"/>
        <v>0</v>
      </c>
      <c r="V8" s="115">
        <v>0</v>
      </c>
      <c r="W8" s="214">
        <v>1915595</v>
      </c>
      <c r="X8" s="214">
        <v>1915595</v>
      </c>
      <c r="Y8" s="75">
        <f t="shared" si="5"/>
        <v>0</v>
      </c>
      <c r="Z8" s="115">
        <v>0</v>
      </c>
      <c r="AA8" s="214">
        <v>0</v>
      </c>
      <c r="AB8" s="214">
        <v>0</v>
      </c>
      <c r="AC8" s="75">
        <f t="shared" si="6"/>
        <v>0</v>
      </c>
      <c r="AD8" s="115">
        <v>0</v>
      </c>
      <c r="AE8" s="214">
        <v>0</v>
      </c>
      <c r="AF8" s="214">
        <v>20000</v>
      </c>
      <c r="AG8" s="75">
        <f t="shared" si="7"/>
        <v>20000</v>
      </c>
      <c r="AH8" s="115"/>
      <c r="AI8" s="214">
        <v>0</v>
      </c>
      <c r="AJ8" s="214">
        <v>0</v>
      </c>
      <c r="AK8" s="75">
        <f t="shared" si="8"/>
        <v>0</v>
      </c>
      <c r="AL8" s="115">
        <v>0</v>
      </c>
      <c r="AM8" s="214">
        <v>0</v>
      </c>
      <c r="AN8" s="214">
        <v>0</v>
      </c>
      <c r="AO8" s="75">
        <f t="shared" si="9"/>
        <v>0</v>
      </c>
      <c r="AP8" s="215">
        <f t="shared" si="10"/>
        <v>0</v>
      </c>
      <c r="AQ8" s="216">
        <f t="shared" si="11"/>
        <v>1915595</v>
      </c>
      <c r="AR8" s="216">
        <f t="shared" si="12"/>
        <v>1935595</v>
      </c>
      <c r="AS8" s="217">
        <f t="shared" si="13"/>
        <v>20000</v>
      </c>
      <c r="AT8" s="115">
        <v>0</v>
      </c>
      <c r="AU8" s="214">
        <v>912325</v>
      </c>
      <c r="AV8" s="214">
        <v>1398536</v>
      </c>
      <c r="AW8" s="75">
        <f t="shared" si="14"/>
        <v>486211</v>
      </c>
      <c r="AX8" s="115">
        <v>0</v>
      </c>
      <c r="AY8" s="214">
        <v>0</v>
      </c>
      <c r="AZ8" s="214">
        <v>0</v>
      </c>
      <c r="BA8" s="75">
        <f t="shared" si="15"/>
        <v>0</v>
      </c>
      <c r="BB8" s="115">
        <v>0</v>
      </c>
      <c r="BC8" s="214">
        <v>0</v>
      </c>
      <c r="BD8" s="214">
        <v>0</v>
      </c>
      <c r="BE8" s="75">
        <f t="shared" si="16"/>
        <v>0</v>
      </c>
      <c r="BF8" s="115"/>
      <c r="BG8" s="214"/>
      <c r="BH8" s="214"/>
      <c r="BI8" s="75">
        <f t="shared" si="17"/>
        <v>0</v>
      </c>
      <c r="BJ8" s="218">
        <f t="shared" si="18"/>
        <v>0</v>
      </c>
      <c r="BK8" s="219">
        <f t="shared" si="19"/>
        <v>912325</v>
      </c>
      <c r="BL8" s="219">
        <f t="shared" si="20"/>
        <v>1398536</v>
      </c>
      <c r="BM8" s="220">
        <f t="shared" si="21"/>
        <v>486211</v>
      </c>
      <c r="BN8" s="221">
        <f t="shared" si="29"/>
        <v>38220000</v>
      </c>
      <c r="BO8" s="232">
        <f t="shared" si="29"/>
        <v>99659210</v>
      </c>
      <c r="BP8" s="232">
        <f t="shared" si="29"/>
        <v>106075137</v>
      </c>
      <c r="BQ8" s="222">
        <f t="shared" si="22"/>
        <v>6415927</v>
      </c>
      <c r="BR8" s="115">
        <v>24422462</v>
      </c>
      <c r="BS8" s="77">
        <v>40131140</v>
      </c>
      <c r="BT8" s="77">
        <v>40810098</v>
      </c>
      <c r="BU8" s="223">
        <f t="shared" si="23"/>
        <v>678958</v>
      </c>
      <c r="BV8" s="224">
        <f t="shared" si="30"/>
        <v>62642462</v>
      </c>
      <c r="BW8" s="225">
        <f t="shared" si="30"/>
        <v>139790350</v>
      </c>
      <c r="BX8" s="225">
        <f t="shared" si="30"/>
        <v>146885235</v>
      </c>
      <c r="BY8" s="222">
        <f t="shared" si="24"/>
        <v>7094885</v>
      </c>
      <c r="BZ8" s="226">
        <f t="shared" si="31"/>
        <v>62642462</v>
      </c>
      <c r="CA8" s="226">
        <f t="shared" si="31"/>
        <v>139790350</v>
      </c>
      <c r="CB8" s="226">
        <f t="shared" si="31"/>
        <v>146885235</v>
      </c>
      <c r="CC8" s="226">
        <f t="shared" si="31"/>
        <v>7094885</v>
      </c>
      <c r="CD8" s="227">
        <f>914521000-843598000</f>
        <v>70923000</v>
      </c>
      <c r="CE8" s="228">
        <f>CD8+860000+559000+352000+491000+155000+16694000</f>
        <v>90034000</v>
      </c>
      <c r="CF8" s="228">
        <f>CE8+0</f>
        <v>90034000</v>
      </c>
      <c r="CG8" s="229">
        <f t="shared" si="26"/>
        <v>0</v>
      </c>
      <c r="CH8" s="230">
        <v>67004</v>
      </c>
      <c r="CI8" s="228">
        <f>CH8+1100</f>
        <v>68104</v>
      </c>
      <c r="CJ8" s="228">
        <f>CI8+1100</f>
        <v>69204</v>
      </c>
      <c r="CK8" s="229">
        <f>CI8-CH8</f>
        <v>1100</v>
      </c>
      <c r="CL8" s="227"/>
      <c r="CM8" s="228">
        <f t="shared" si="32"/>
        <v>0</v>
      </c>
      <c r="CN8" s="228">
        <f t="shared" si="32"/>
        <v>0</v>
      </c>
      <c r="CO8" s="229">
        <f>CM8-CL8</f>
        <v>0</v>
      </c>
      <c r="CP8" s="231"/>
      <c r="CQ8" s="212">
        <f t="shared" si="28"/>
        <v>90102104</v>
      </c>
    </row>
    <row r="9" spans="1:95" s="9" customFormat="1" ht="13.5">
      <c r="A9" s="233" t="s">
        <v>66</v>
      </c>
      <c r="B9" s="116"/>
      <c r="C9" s="60"/>
      <c r="D9" s="60"/>
      <c r="E9" s="19">
        <f t="shared" si="0"/>
        <v>0</v>
      </c>
      <c r="F9" s="234"/>
      <c r="G9" s="60"/>
      <c r="H9" s="60"/>
      <c r="I9" s="19">
        <f t="shared" si="1"/>
        <v>0</v>
      </c>
      <c r="J9" s="60"/>
      <c r="K9" s="60"/>
      <c r="L9" s="60"/>
      <c r="M9" s="19">
        <f t="shared" si="2"/>
        <v>0</v>
      </c>
      <c r="N9" s="116"/>
      <c r="O9" s="234"/>
      <c r="P9" s="234"/>
      <c r="Q9" s="19">
        <f t="shared" si="3"/>
        <v>0</v>
      </c>
      <c r="R9" s="116"/>
      <c r="S9" s="234"/>
      <c r="T9" s="234"/>
      <c r="U9" s="19">
        <f t="shared" si="4"/>
        <v>0</v>
      </c>
      <c r="V9" s="116"/>
      <c r="W9" s="234"/>
      <c r="X9" s="234"/>
      <c r="Y9" s="19">
        <f t="shared" si="5"/>
        <v>0</v>
      </c>
      <c r="Z9" s="116"/>
      <c r="AA9" s="234"/>
      <c r="AB9" s="234"/>
      <c r="AC9" s="19">
        <f t="shared" si="6"/>
        <v>0</v>
      </c>
      <c r="AD9" s="116"/>
      <c r="AE9" s="234"/>
      <c r="AF9" s="234"/>
      <c r="AG9" s="19">
        <f t="shared" si="7"/>
        <v>0</v>
      </c>
      <c r="AH9" s="116"/>
      <c r="AI9" s="234"/>
      <c r="AJ9" s="234"/>
      <c r="AK9" s="19">
        <f t="shared" si="8"/>
        <v>0</v>
      </c>
      <c r="AL9" s="116"/>
      <c r="AM9" s="234"/>
      <c r="AN9" s="234"/>
      <c r="AO9" s="19">
        <f t="shared" si="9"/>
        <v>0</v>
      </c>
      <c r="AP9" s="235">
        <f t="shared" si="10"/>
        <v>0</v>
      </c>
      <c r="AQ9" s="236">
        <f t="shared" si="11"/>
        <v>0</v>
      </c>
      <c r="AR9" s="236">
        <f t="shared" si="12"/>
        <v>0</v>
      </c>
      <c r="AS9" s="237">
        <f t="shared" si="13"/>
        <v>0</v>
      </c>
      <c r="AT9" s="116"/>
      <c r="AU9" s="234"/>
      <c r="AV9" s="234"/>
      <c r="AW9" s="19">
        <f t="shared" si="14"/>
        <v>0</v>
      </c>
      <c r="AX9" s="116"/>
      <c r="AY9" s="234"/>
      <c r="AZ9" s="234"/>
      <c r="BA9" s="19">
        <f t="shared" si="15"/>
        <v>0</v>
      </c>
      <c r="BB9" s="116"/>
      <c r="BC9" s="234"/>
      <c r="BD9" s="234"/>
      <c r="BE9" s="19">
        <f t="shared" si="16"/>
        <v>0</v>
      </c>
      <c r="BF9" s="116"/>
      <c r="BG9" s="234"/>
      <c r="BH9" s="234"/>
      <c r="BI9" s="19">
        <f t="shared" si="17"/>
        <v>0</v>
      </c>
      <c r="BJ9" s="238">
        <f t="shared" si="18"/>
        <v>0</v>
      </c>
      <c r="BK9" s="239">
        <f t="shared" si="19"/>
        <v>0</v>
      </c>
      <c r="BL9" s="239">
        <f t="shared" si="20"/>
        <v>0</v>
      </c>
      <c r="BM9" s="240">
        <f t="shared" si="21"/>
        <v>0</v>
      </c>
      <c r="BN9" s="221">
        <f t="shared" si="29"/>
        <v>0</v>
      </c>
      <c r="BO9" s="232">
        <f t="shared" si="29"/>
        <v>0</v>
      </c>
      <c r="BP9" s="232">
        <f t="shared" si="29"/>
        <v>0</v>
      </c>
      <c r="BQ9" s="222">
        <f t="shared" si="22"/>
        <v>0</v>
      </c>
      <c r="BR9" s="116">
        <v>489859309</v>
      </c>
      <c r="BS9" s="241">
        <v>489869309</v>
      </c>
      <c r="BT9" s="241">
        <v>489877005</v>
      </c>
      <c r="BU9" s="223">
        <f t="shared" si="23"/>
        <v>7696</v>
      </c>
      <c r="BV9" s="224">
        <f t="shared" si="30"/>
        <v>489859309</v>
      </c>
      <c r="BW9" s="225">
        <f t="shared" si="30"/>
        <v>489869309</v>
      </c>
      <c r="BX9" s="225">
        <f t="shared" si="30"/>
        <v>489877005</v>
      </c>
      <c r="BY9" s="222">
        <f t="shared" si="24"/>
        <v>7696</v>
      </c>
      <c r="BZ9" s="242">
        <f t="shared" si="31"/>
        <v>489859309</v>
      </c>
      <c r="CA9" s="242">
        <f t="shared" si="31"/>
        <v>489869309</v>
      </c>
      <c r="CB9" s="242">
        <f t="shared" si="31"/>
        <v>489877005</v>
      </c>
      <c r="CC9" s="242">
        <f t="shared" si="31"/>
        <v>7696</v>
      </c>
      <c r="CD9" s="243">
        <v>454978290</v>
      </c>
      <c r="CE9" s="244">
        <v>454978290</v>
      </c>
      <c r="CF9" s="244">
        <v>454978290</v>
      </c>
      <c r="CG9" s="245">
        <f t="shared" si="26"/>
        <v>0</v>
      </c>
      <c r="CH9" s="246"/>
      <c r="CI9" s="244">
        <f aca="true" t="shared" si="33" ref="CI9:CJ11">CH9</f>
        <v>0</v>
      </c>
      <c r="CJ9" s="244">
        <f t="shared" si="33"/>
        <v>0</v>
      </c>
      <c r="CK9" s="245">
        <f>CI9-CH9</f>
        <v>0</v>
      </c>
      <c r="CL9" s="243"/>
      <c r="CM9" s="244">
        <f t="shared" si="32"/>
        <v>0</v>
      </c>
      <c r="CN9" s="244">
        <f t="shared" si="32"/>
        <v>0</v>
      </c>
      <c r="CO9" s="245">
        <f>CM9-CL9</f>
        <v>0</v>
      </c>
      <c r="CP9" s="211"/>
      <c r="CQ9" s="212">
        <f t="shared" si="28"/>
        <v>454978290</v>
      </c>
    </row>
    <row r="10" spans="1:95" s="9" customFormat="1" ht="13.5">
      <c r="A10" s="233" t="s">
        <v>67</v>
      </c>
      <c r="B10" s="116">
        <v>1500000</v>
      </c>
      <c r="C10" s="60">
        <v>1500000</v>
      </c>
      <c r="D10" s="60">
        <v>1500000</v>
      </c>
      <c r="E10" s="19">
        <f t="shared" si="0"/>
        <v>0</v>
      </c>
      <c r="F10" s="234">
        <v>80740000</v>
      </c>
      <c r="G10" s="60">
        <v>80740000</v>
      </c>
      <c r="H10" s="60">
        <v>80740000</v>
      </c>
      <c r="I10" s="19">
        <f t="shared" si="1"/>
        <v>0</v>
      </c>
      <c r="J10" s="60">
        <v>4000000</v>
      </c>
      <c r="K10" s="60">
        <v>4000000</v>
      </c>
      <c r="L10" s="60">
        <v>4260000</v>
      </c>
      <c r="M10" s="19">
        <f t="shared" si="2"/>
        <v>260000</v>
      </c>
      <c r="N10" s="116">
        <v>1700000</v>
      </c>
      <c r="O10" s="234">
        <v>1700000</v>
      </c>
      <c r="P10" s="234">
        <v>2167605</v>
      </c>
      <c r="Q10" s="19">
        <f t="shared" si="3"/>
        <v>467605</v>
      </c>
      <c r="R10" s="116">
        <v>56233710</v>
      </c>
      <c r="S10" s="234">
        <v>56233710</v>
      </c>
      <c r="T10" s="234">
        <v>56233710</v>
      </c>
      <c r="U10" s="19">
        <f t="shared" si="4"/>
        <v>0</v>
      </c>
      <c r="V10" s="116">
        <v>450000</v>
      </c>
      <c r="W10" s="234">
        <v>450000</v>
      </c>
      <c r="X10" s="234">
        <v>450000</v>
      </c>
      <c r="Y10" s="19">
        <f t="shared" si="5"/>
        <v>0</v>
      </c>
      <c r="Z10" s="116">
        <v>0</v>
      </c>
      <c r="AA10" s="234">
        <v>0</v>
      </c>
      <c r="AB10" s="234">
        <v>28159</v>
      </c>
      <c r="AC10" s="19">
        <f t="shared" si="6"/>
        <v>28159</v>
      </c>
      <c r="AD10" s="116">
        <v>472000</v>
      </c>
      <c r="AE10" s="234">
        <v>472000</v>
      </c>
      <c r="AF10" s="234">
        <v>500159</v>
      </c>
      <c r="AG10" s="19">
        <f t="shared" si="7"/>
        <v>28159</v>
      </c>
      <c r="AH10" s="116">
        <v>0</v>
      </c>
      <c r="AI10" s="234">
        <v>0</v>
      </c>
      <c r="AJ10" s="234">
        <v>0</v>
      </c>
      <c r="AK10" s="19">
        <f t="shared" si="8"/>
        <v>0</v>
      </c>
      <c r="AL10" s="116">
        <v>0</v>
      </c>
      <c r="AM10" s="234">
        <v>0</v>
      </c>
      <c r="AN10" s="234">
        <v>0</v>
      </c>
      <c r="AO10" s="19">
        <f t="shared" si="9"/>
        <v>0</v>
      </c>
      <c r="AP10" s="235">
        <f t="shared" si="10"/>
        <v>922000</v>
      </c>
      <c r="AQ10" s="236">
        <f t="shared" si="11"/>
        <v>922000</v>
      </c>
      <c r="AR10" s="236">
        <f t="shared" si="12"/>
        <v>978318</v>
      </c>
      <c r="AS10" s="237">
        <f t="shared" si="13"/>
        <v>56318</v>
      </c>
      <c r="AT10" s="116">
        <v>1400000</v>
      </c>
      <c r="AU10" s="234">
        <v>1762905</v>
      </c>
      <c r="AV10" s="234">
        <v>1762905</v>
      </c>
      <c r="AW10" s="19">
        <f t="shared" si="14"/>
        <v>0</v>
      </c>
      <c r="AX10" s="116">
        <v>150000</v>
      </c>
      <c r="AY10" s="234">
        <v>150000</v>
      </c>
      <c r="AZ10" s="234">
        <v>150000</v>
      </c>
      <c r="BA10" s="19">
        <f t="shared" si="15"/>
        <v>0</v>
      </c>
      <c r="BB10" s="116">
        <v>0</v>
      </c>
      <c r="BC10" s="234">
        <v>0</v>
      </c>
      <c r="BD10" s="234">
        <v>0</v>
      </c>
      <c r="BE10" s="19">
        <f t="shared" si="16"/>
        <v>0</v>
      </c>
      <c r="BF10" s="116">
        <v>61600</v>
      </c>
      <c r="BG10" s="234">
        <v>61600</v>
      </c>
      <c r="BH10" s="234">
        <v>61600</v>
      </c>
      <c r="BI10" s="19">
        <f t="shared" si="17"/>
        <v>0</v>
      </c>
      <c r="BJ10" s="238">
        <f t="shared" si="18"/>
        <v>1611600</v>
      </c>
      <c r="BK10" s="239">
        <f t="shared" si="19"/>
        <v>1974505</v>
      </c>
      <c r="BL10" s="239">
        <f t="shared" si="20"/>
        <v>1974505</v>
      </c>
      <c r="BM10" s="240">
        <f t="shared" si="21"/>
        <v>0</v>
      </c>
      <c r="BN10" s="221">
        <f t="shared" si="29"/>
        <v>146707310</v>
      </c>
      <c r="BO10" s="232">
        <f t="shared" si="29"/>
        <v>147070215</v>
      </c>
      <c r="BP10" s="232">
        <f t="shared" si="29"/>
        <v>147854138</v>
      </c>
      <c r="BQ10" s="222">
        <f t="shared" si="22"/>
        <v>783923</v>
      </c>
      <c r="BR10" s="116">
        <v>111297880</v>
      </c>
      <c r="BS10" s="241">
        <v>111297880</v>
      </c>
      <c r="BT10" s="241">
        <v>149049965</v>
      </c>
      <c r="BU10" s="223">
        <f t="shared" si="23"/>
        <v>37752085</v>
      </c>
      <c r="BV10" s="224">
        <f t="shared" si="30"/>
        <v>258005190</v>
      </c>
      <c r="BW10" s="225">
        <f t="shared" si="30"/>
        <v>258368095</v>
      </c>
      <c r="BX10" s="225">
        <f t="shared" si="30"/>
        <v>296904103</v>
      </c>
      <c r="BY10" s="222">
        <f t="shared" si="24"/>
        <v>38536008</v>
      </c>
      <c r="BZ10" s="242">
        <f t="shared" si="31"/>
        <v>258005190</v>
      </c>
      <c r="CA10" s="242">
        <f t="shared" si="31"/>
        <v>258368095</v>
      </c>
      <c r="CB10" s="242">
        <f t="shared" si="31"/>
        <v>296904103</v>
      </c>
      <c r="CC10" s="242">
        <f t="shared" si="31"/>
        <v>38536008</v>
      </c>
      <c r="CD10" s="243">
        <v>167678000</v>
      </c>
      <c r="CE10" s="244">
        <f>CD10+1252000+600000+6688000</f>
        <v>176218000</v>
      </c>
      <c r="CF10" s="244">
        <f>CE10+0</f>
        <v>176218000</v>
      </c>
      <c r="CG10" s="245">
        <f t="shared" si="26"/>
        <v>0</v>
      </c>
      <c r="CH10" s="246">
        <v>45305</v>
      </c>
      <c r="CI10" s="244">
        <f t="shared" si="33"/>
        <v>45305</v>
      </c>
      <c r="CJ10" s="244">
        <f t="shared" si="33"/>
        <v>45305</v>
      </c>
      <c r="CK10" s="245">
        <f>CI10-CH10</f>
        <v>0</v>
      </c>
      <c r="CL10" s="243"/>
      <c r="CM10" s="244">
        <f t="shared" si="32"/>
        <v>0</v>
      </c>
      <c r="CN10" s="244">
        <f t="shared" si="32"/>
        <v>0</v>
      </c>
      <c r="CO10" s="245">
        <f>CM10-CL10</f>
        <v>0</v>
      </c>
      <c r="CP10" s="211"/>
      <c r="CQ10" s="212">
        <f t="shared" si="28"/>
        <v>176263305</v>
      </c>
    </row>
    <row r="11" spans="1:95" s="9" customFormat="1" ht="14.25" thickBot="1">
      <c r="A11" s="247" t="s">
        <v>69</v>
      </c>
      <c r="B11" s="117"/>
      <c r="C11" s="68"/>
      <c r="D11" s="68"/>
      <c r="E11" s="66">
        <f t="shared" si="0"/>
        <v>0</v>
      </c>
      <c r="F11" s="248">
        <v>28095435</v>
      </c>
      <c r="G11" s="68">
        <v>23980486</v>
      </c>
      <c r="H11" s="68">
        <v>26230486</v>
      </c>
      <c r="I11" s="66">
        <f t="shared" si="1"/>
        <v>2250000</v>
      </c>
      <c r="J11" s="68"/>
      <c r="K11" s="68"/>
      <c r="L11" s="68"/>
      <c r="M11" s="66">
        <f t="shared" si="2"/>
        <v>0</v>
      </c>
      <c r="N11" s="117"/>
      <c r="O11" s="248"/>
      <c r="P11" s="248"/>
      <c r="Q11" s="66">
        <f t="shared" si="3"/>
        <v>0</v>
      </c>
      <c r="R11" s="117"/>
      <c r="S11" s="248">
        <f>Q11</f>
        <v>0</v>
      </c>
      <c r="T11" s="248">
        <f>R11</f>
        <v>0</v>
      </c>
      <c r="U11" s="66">
        <f t="shared" si="4"/>
        <v>0</v>
      </c>
      <c r="V11" s="117"/>
      <c r="W11" s="248"/>
      <c r="X11" s="248"/>
      <c r="Y11" s="66">
        <f t="shared" si="5"/>
        <v>0</v>
      </c>
      <c r="Z11" s="117"/>
      <c r="AA11" s="248"/>
      <c r="AB11" s="248"/>
      <c r="AC11" s="66">
        <f t="shared" si="6"/>
        <v>0</v>
      </c>
      <c r="AD11" s="117"/>
      <c r="AE11" s="248">
        <v>0</v>
      </c>
      <c r="AF11" s="248">
        <v>0</v>
      </c>
      <c r="AG11" s="66">
        <f t="shared" si="7"/>
        <v>0</v>
      </c>
      <c r="AH11" s="117"/>
      <c r="AI11" s="248"/>
      <c r="AJ11" s="248"/>
      <c r="AK11" s="66">
        <f t="shared" si="8"/>
        <v>0</v>
      </c>
      <c r="AL11" s="117"/>
      <c r="AM11" s="248"/>
      <c r="AN11" s="248"/>
      <c r="AO11" s="66">
        <f t="shared" si="9"/>
        <v>0</v>
      </c>
      <c r="AP11" s="249">
        <f t="shared" si="10"/>
        <v>0</v>
      </c>
      <c r="AQ11" s="250">
        <f t="shared" si="11"/>
        <v>0</v>
      </c>
      <c r="AR11" s="250">
        <f t="shared" si="12"/>
        <v>0</v>
      </c>
      <c r="AS11" s="251">
        <f t="shared" si="13"/>
        <v>0</v>
      </c>
      <c r="AT11" s="117"/>
      <c r="AU11" s="248"/>
      <c r="AV11" s="248"/>
      <c r="AW11" s="66">
        <f t="shared" si="14"/>
        <v>0</v>
      </c>
      <c r="AX11" s="117"/>
      <c r="AY11" s="248"/>
      <c r="AZ11" s="248"/>
      <c r="BA11" s="66">
        <f t="shared" si="15"/>
        <v>0</v>
      </c>
      <c r="BB11" s="117"/>
      <c r="BC11" s="248"/>
      <c r="BD11" s="248"/>
      <c r="BE11" s="66">
        <f t="shared" si="16"/>
        <v>0</v>
      </c>
      <c r="BF11" s="117"/>
      <c r="BG11" s="248"/>
      <c r="BH11" s="248"/>
      <c r="BI11" s="66">
        <f t="shared" si="17"/>
        <v>0</v>
      </c>
      <c r="BJ11" s="252">
        <f t="shared" si="18"/>
        <v>0</v>
      </c>
      <c r="BK11" s="253">
        <f t="shared" si="19"/>
        <v>0</v>
      </c>
      <c r="BL11" s="253">
        <f t="shared" si="20"/>
        <v>0</v>
      </c>
      <c r="BM11" s="254">
        <f t="shared" si="21"/>
        <v>0</v>
      </c>
      <c r="BN11" s="221">
        <f t="shared" si="29"/>
        <v>28095435</v>
      </c>
      <c r="BO11" s="255">
        <f t="shared" si="29"/>
        <v>23980486</v>
      </c>
      <c r="BP11" s="255">
        <f t="shared" si="29"/>
        <v>26230486</v>
      </c>
      <c r="BQ11" s="256">
        <f t="shared" si="22"/>
        <v>2250000</v>
      </c>
      <c r="BR11" s="117">
        <v>0</v>
      </c>
      <c r="BS11" s="257">
        <v>0</v>
      </c>
      <c r="BT11" s="257">
        <v>1415312</v>
      </c>
      <c r="BU11" s="258">
        <f t="shared" si="23"/>
        <v>1415312</v>
      </c>
      <c r="BV11" s="259">
        <f t="shared" si="30"/>
        <v>28095435</v>
      </c>
      <c r="BW11" s="260">
        <f t="shared" si="30"/>
        <v>23980486</v>
      </c>
      <c r="BX11" s="260">
        <f t="shared" si="30"/>
        <v>27645798</v>
      </c>
      <c r="BY11" s="256">
        <f t="shared" si="24"/>
        <v>3665312</v>
      </c>
      <c r="BZ11" s="261">
        <f t="shared" si="31"/>
        <v>28095435</v>
      </c>
      <c r="CA11" s="261">
        <f t="shared" si="31"/>
        <v>23980486</v>
      </c>
      <c r="CB11" s="261">
        <f t="shared" si="31"/>
        <v>27645798</v>
      </c>
      <c r="CC11" s="261">
        <f t="shared" si="31"/>
        <v>3665312</v>
      </c>
      <c r="CD11" s="262"/>
      <c r="CE11" s="263">
        <f>CD11</f>
        <v>0</v>
      </c>
      <c r="CF11" s="263">
        <f>CE11</f>
        <v>0</v>
      </c>
      <c r="CG11" s="264">
        <f t="shared" si="26"/>
        <v>0</v>
      </c>
      <c r="CH11" s="265"/>
      <c r="CI11" s="263">
        <f t="shared" si="33"/>
        <v>0</v>
      </c>
      <c r="CJ11" s="263">
        <f t="shared" si="33"/>
        <v>0</v>
      </c>
      <c r="CK11" s="264">
        <f>CI11-CH11</f>
        <v>0</v>
      </c>
      <c r="CL11" s="262"/>
      <c r="CM11" s="263">
        <f t="shared" si="32"/>
        <v>0</v>
      </c>
      <c r="CN11" s="263">
        <f t="shared" si="32"/>
        <v>0</v>
      </c>
      <c r="CO11" s="264">
        <f>CM11-CL11</f>
        <v>0</v>
      </c>
      <c r="CP11" s="211"/>
      <c r="CQ11" s="212">
        <f t="shared" si="28"/>
        <v>0</v>
      </c>
    </row>
    <row r="12" spans="1:95" s="11" customFormat="1" ht="14.25" thickBot="1">
      <c r="A12" s="266" t="s">
        <v>99</v>
      </c>
      <c r="B12" s="267">
        <f>B6+B9+B10+B11</f>
        <v>1500000</v>
      </c>
      <c r="C12" s="267">
        <f>C6+C9+C10+C11</f>
        <v>3110360</v>
      </c>
      <c r="D12" s="267">
        <f>D6+D9+D10+D11</f>
        <v>4856740</v>
      </c>
      <c r="E12" s="268">
        <f t="shared" si="0"/>
        <v>1746380</v>
      </c>
      <c r="F12" s="269">
        <f>F6+F9+F10+F11</f>
        <v>108835435</v>
      </c>
      <c r="G12" s="270">
        <f>G6+G9+G10+G11</f>
        <v>153747575</v>
      </c>
      <c r="H12" s="270">
        <f>H6+H9+H10+H11</f>
        <v>158580898</v>
      </c>
      <c r="I12" s="268">
        <f t="shared" si="1"/>
        <v>4833323</v>
      </c>
      <c r="J12" s="270">
        <f>J6+J9+J10+J11</f>
        <v>4000000</v>
      </c>
      <c r="K12" s="270">
        <f>K6+K9+K10+K11</f>
        <v>4618419</v>
      </c>
      <c r="L12" s="270">
        <f>L6+L9+L10+L11</f>
        <v>4878419</v>
      </c>
      <c r="M12" s="268">
        <f t="shared" si="2"/>
        <v>260000</v>
      </c>
      <c r="N12" s="267">
        <f>N6+N9+N10+N11</f>
        <v>1700000</v>
      </c>
      <c r="O12" s="269">
        <f>O6+O9+O10+O11</f>
        <v>9055422</v>
      </c>
      <c r="P12" s="269">
        <f>P6+P9+P10+P11</f>
        <v>11103040</v>
      </c>
      <c r="Q12" s="268">
        <f t="shared" si="3"/>
        <v>2047618</v>
      </c>
      <c r="R12" s="267">
        <f>R6+R9+R10+R11</f>
        <v>94453710</v>
      </c>
      <c r="S12" s="269">
        <f>S6+S9+S10+S11</f>
        <v>94453710</v>
      </c>
      <c r="T12" s="269">
        <f>T6+T9+T10+T11</f>
        <v>94453710</v>
      </c>
      <c r="U12" s="268">
        <f t="shared" si="4"/>
        <v>0</v>
      </c>
      <c r="V12" s="267">
        <f>V6+V9+V10+V11</f>
        <v>450000</v>
      </c>
      <c r="W12" s="269">
        <f>W6+W9+W10+W11</f>
        <v>2365595</v>
      </c>
      <c r="X12" s="269">
        <f>X6+X9+X10+X11</f>
        <v>2365595</v>
      </c>
      <c r="Y12" s="268">
        <f t="shared" si="5"/>
        <v>0</v>
      </c>
      <c r="Z12" s="267">
        <f>Z6+Z9+Z10+Z11</f>
        <v>0</v>
      </c>
      <c r="AA12" s="269">
        <f>AA6+AA9+AA10+AA11</f>
        <v>0</v>
      </c>
      <c r="AB12" s="269">
        <f>AB6+AB9+AB10+AB11</f>
        <v>28159</v>
      </c>
      <c r="AC12" s="268">
        <f t="shared" si="6"/>
        <v>28159</v>
      </c>
      <c r="AD12" s="267">
        <f>AD6+AD9+AD10+AD11</f>
        <v>472000</v>
      </c>
      <c r="AE12" s="269">
        <f>AE6+AE9+AE10+AE11</f>
        <v>472000</v>
      </c>
      <c r="AF12" s="269">
        <f>AF6+AF9+AF10+AF11</f>
        <v>520159</v>
      </c>
      <c r="AG12" s="268">
        <f t="shared" si="7"/>
        <v>48159</v>
      </c>
      <c r="AH12" s="267">
        <f>AH6+AH9+AH10+AH11</f>
        <v>0</v>
      </c>
      <c r="AI12" s="269">
        <f>AI6+AI9+AI10+AI11</f>
        <v>0</v>
      </c>
      <c r="AJ12" s="269">
        <f>AJ6+AJ9+AJ10+AJ11</f>
        <v>0</v>
      </c>
      <c r="AK12" s="268">
        <f t="shared" si="8"/>
        <v>0</v>
      </c>
      <c r="AL12" s="267">
        <f>AL6+AL9+AL10+AL11</f>
        <v>0</v>
      </c>
      <c r="AM12" s="269">
        <f>AM6+AM9+AM10+AM11</f>
        <v>0</v>
      </c>
      <c r="AN12" s="269">
        <f>AN6+AN9+AN10+AN11</f>
        <v>0</v>
      </c>
      <c r="AO12" s="268">
        <f t="shared" si="9"/>
        <v>0</v>
      </c>
      <c r="AP12" s="271">
        <f t="shared" si="10"/>
        <v>922000</v>
      </c>
      <c r="AQ12" s="272">
        <f t="shared" si="11"/>
        <v>2837595</v>
      </c>
      <c r="AR12" s="272">
        <f t="shared" si="12"/>
        <v>2913913</v>
      </c>
      <c r="AS12" s="273">
        <f t="shared" si="13"/>
        <v>76318</v>
      </c>
      <c r="AT12" s="267">
        <f>AT6+AT9+AT10+AT11</f>
        <v>1400000</v>
      </c>
      <c r="AU12" s="269">
        <f>AU6+AU9+AU10+AU11</f>
        <v>2675230</v>
      </c>
      <c r="AV12" s="269">
        <f>AV6+AV9+AV10+AV11</f>
        <v>3161441</v>
      </c>
      <c r="AW12" s="268">
        <f t="shared" si="14"/>
        <v>486211</v>
      </c>
      <c r="AX12" s="267">
        <f>AX6+AX9+AX10+AX11</f>
        <v>150000</v>
      </c>
      <c r="AY12" s="269">
        <f>AY6+AY9+AY10+AY11</f>
        <v>150000</v>
      </c>
      <c r="AZ12" s="269">
        <f>AZ6+AZ9+AZ10+AZ11</f>
        <v>150000</v>
      </c>
      <c r="BA12" s="268">
        <f t="shared" si="15"/>
        <v>0</v>
      </c>
      <c r="BB12" s="267">
        <f>BB6+BB9+BB10+BB11</f>
        <v>0</v>
      </c>
      <c r="BC12" s="269">
        <f>BC6+BC9+BC10+BC11</f>
        <v>0</v>
      </c>
      <c r="BD12" s="269">
        <f>BD6+BD9+BD10+BD11</f>
        <v>0</v>
      </c>
      <c r="BE12" s="268">
        <f t="shared" si="16"/>
        <v>0</v>
      </c>
      <c r="BF12" s="267">
        <f>BF6+BF9+BF10+BF11</f>
        <v>61600</v>
      </c>
      <c r="BG12" s="269">
        <f>BG6+BG9+BG10+BG11</f>
        <v>61600</v>
      </c>
      <c r="BH12" s="269">
        <f>BH6+BH9+BH10+BH11</f>
        <v>61600</v>
      </c>
      <c r="BI12" s="268">
        <f t="shared" si="17"/>
        <v>0</v>
      </c>
      <c r="BJ12" s="274">
        <f t="shared" si="18"/>
        <v>1611600</v>
      </c>
      <c r="BK12" s="275">
        <f t="shared" si="19"/>
        <v>2886830</v>
      </c>
      <c r="BL12" s="275">
        <f t="shared" si="20"/>
        <v>3373041</v>
      </c>
      <c r="BM12" s="276">
        <f t="shared" si="21"/>
        <v>486211</v>
      </c>
      <c r="BN12" s="277">
        <f>BN6+BN9+BN10+BN11</f>
        <v>213022745</v>
      </c>
      <c r="BO12" s="278">
        <f>BO6+BO9+BO10+BO11</f>
        <v>270709911</v>
      </c>
      <c r="BP12" s="278">
        <f>BP6+BP9+BP10+BP11</f>
        <v>280159761</v>
      </c>
      <c r="BQ12" s="279">
        <f t="shared" si="22"/>
        <v>9449850</v>
      </c>
      <c r="BR12" s="267">
        <f>BR6+BR9+BR10+BR11</f>
        <v>1453915966</v>
      </c>
      <c r="BS12" s="280">
        <f>BS6+BS9+BS10+BS11</f>
        <v>1508875042</v>
      </c>
      <c r="BT12" s="280">
        <f>BT6+BT9+BT10+BT11</f>
        <v>1566077524</v>
      </c>
      <c r="BU12" s="281">
        <f t="shared" si="23"/>
        <v>57202482</v>
      </c>
      <c r="BV12" s="282">
        <f>BV6+BV9+BV10+BV11</f>
        <v>1666938711</v>
      </c>
      <c r="BW12" s="280">
        <f>BW6+BW9+BW10+BW11</f>
        <v>1779584953</v>
      </c>
      <c r="BX12" s="280">
        <f>BX6+BX9+BX10+BX11</f>
        <v>1846237285</v>
      </c>
      <c r="BY12" s="281">
        <f t="shared" si="24"/>
        <v>66652332</v>
      </c>
      <c r="BZ12" s="283">
        <f aca="true" t="shared" si="34" ref="BZ12:CF12">BZ6+BZ9+BZ10+BZ11</f>
        <v>1666938711</v>
      </c>
      <c r="CA12" s="283">
        <f t="shared" si="34"/>
        <v>1779584953</v>
      </c>
      <c r="CB12" s="283">
        <f t="shared" si="34"/>
        <v>1846237285</v>
      </c>
      <c r="CC12" s="283">
        <f t="shared" si="34"/>
        <v>66652332</v>
      </c>
      <c r="CD12" s="284">
        <f t="shared" si="34"/>
        <v>1537177290</v>
      </c>
      <c r="CE12" s="285">
        <f t="shared" si="34"/>
        <v>1598042290</v>
      </c>
      <c r="CF12" s="285">
        <f t="shared" si="34"/>
        <v>1598042290</v>
      </c>
      <c r="CG12" s="286">
        <f t="shared" si="26"/>
        <v>0</v>
      </c>
      <c r="CH12" s="287">
        <f aca="true" t="shared" si="35" ref="CH12:CO12">CH6+CH9+CH10+CH11</f>
        <v>112309</v>
      </c>
      <c r="CI12" s="285">
        <f t="shared" si="35"/>
        <v>113409</v>
      </c>
      <c r="CJ12" s="285">
        <f t="shared" si="35"/>
        <v>114509</v>
      </c>
      <c r="CK12" s="286">
        <f t="shared" si="35"/>
        <v>1100</v>
      </c>
      <c r="CL12" s="284">
        <f t="shared" si="35"/>
        <v>0</v>
      </c>
      <c r="CM12" s="285">
        <f t="shared" si="35"/>
        <v>0</v>
      </c>
      <c r="CN12" s="285">
        <f t="shared" si="35"/>
        <v>0</v>
      </c>
      <c r="CO12" s="286">
        <f t="shared" si="35"/>
        <v>0</v>
      </c>
      <c r="CP12" s="288"/>
      <c r="CQ12" s="212">
        <f t="shared" si="28"/>
        <v>1598155699</v>
      </c>
    </row>
    <row r="13" spans="1:95" s="9" customFormat="1" ht="13.5">
      <c r="A13" s="192" t="s">
        <v>81</v>
      </c>
      <c r="B13" s="118"/>
      <c r="C13" s="119">
        <v>32478274</v>
      </c>
      <c r="D13" s="119">
        <v>32478274</v>
      </c>
      <c r="E13" s="18">
        <f t="shared" si="0"/>
        <v>0</v>
      </c>
      <c r="F13" s="289"/>
      <c r="G13" s="119"/>
      <c r="H13" s="119"/>
      <c r="I13" s="18">
        <f t="shared" si="1"/>
        <v>0</v>
      </c>
      <c r="J13" s="119"/>
      <c r="K13" s="119"/>
      <c r="L13" s="119"/>
      <c r="M13" s="18">
        <f t="shared" si="2"/>
        <v>0</v>
      </c>
      <c r="N13" s="118"/>
      <c r="O13" s="289"/>
      <c r="P13" s="289"/>
      <c r="Q13" s="18">
        <f t="shared" si="3"/>
        <v>0</v>
      </c>
      <c r="R13" s="118"/>
      <c r="S13" s="289"/>
      <c r="T13" s="289"/>
      <c r="U13" s="18">
        <f t="shared" si="4"/>
        <v>0</v>
      </c>
      <c r="V13" s="118"/>
      <c r="W13" s="289"/>
      <c r="X13" s="289"/>
      <c r="Y13" s="18">
        <f t="shared" si="5"/>
        <v>0</v>
      </c>
      <c r="Z13" s="118"/>
      <c r="AA13" s="289"/>
      <c r="AB13" s="289"/>
      <c r="AC13" s="18">
        <f t="shared" si="6"/>
        <v>0</v>
      </c>
      <c r="AD13" s="118"/>
      <c r="AE13" s="289"/>
      <c r="AF13" s="289"/>
      <c r="AG13" s="18">
        <f t="shared" si="7"/>
        <v>0</v>
      </c>
      <c r="AH13" s="118"/>
      <c r="AI13" s="289"/>
      <c r="AJ13" s="289"/>
      <c r="AK13" s="18">
        <f t="shared" si="8"/>
        <v>0</v>
      </c>
      <c r="AL13" s="118"/>
      <c r="AM13" s="289"/>
      <c r="AN13" s="289"/>
      <c r="AO13" s="18">
        <f t="shared" si="9"/>
        <v>0</v>
      </c>
      <c r="AP13" s="193">
        <f t="shared" si="10"/>
        <v>0</v>
      </c>
      <c r="AQ13" s="290">
        <f t="shared" si="11"/>
        <v>0</v>
      </c>
      <c r="AR13" s="290">
        <f t="shared" si="12"/>
        <v>0</v>
      </c>
      <c r="AS13" s="195">
        <f t="shared" si="13"/>
        <v>0</v>
      </c>
      <c r="AT13" s="118"/>
      <c r="AU13" s="289"/>
      <c r="AV13" s="289"/>
      <c r="AW13" s="18">
        <f t="shared" si="14"/>
        <v>0</v>
      </c>
      <c r="AX13" s="118"/>
      <c r="AY13" s="289"/>
      <c r="AZ13" s="289"/>
      <c r="BA13" s="18">
        <f t="shared" si="15"/>
        <v>0</v>
      </c>
      <c r="BB13" s="118"/>
      <c r="BC13" s="289"/>
      <c r="BD13" s="289"/>
      <c r="BE13" s="18">
        <f t="shared" si="16"/>
        <v>0</v>
      </c>
      <c r="BF13" s="118"/>
      <c r="BG13" s="289"/>
      <c r="BH13" s="289"/>
      <c r="BI13" s="18">
        <f t="shared" si="17"/>
        <v>0</v>
      </c>
      <c r="BJ13" s="196">
        <f t="shared" si="18"/>
        <v>0</v>
      </c>
      <c r="BK13" s="291">
        <f t="shared" si="19"/>
        <v>0</v>
      </c>
      <c r="BL13" s="291">
        <f t="shared" si="20"/>
        <v>0</v>
      </c>
      <c r="BM13" s="198">
        <f t="shared" si="21"/>
        <v>0</v>
      </c>
      <c r="BN13" s="199">
        <f aca="true" t="shared" si="36" ref="BN13:BP15">B13+F13+J13+N13+R13+BJ13+AP13</f>
        <v>0</v>
      </c>
      <c r="BO13" s="200">
        <f t="shared" si="36"/>
        <v>32478274</v>
      </c>
      <c r="BP13" s="200">
        <f t="shared" si="36"/>
        <v>32478274</v>
      </c>
      <c r="BQ13" s="201">
        <f t="shared" si="22"/>
        <v>0</v>
      </c>
      <c r="BR13" s="118">
        <v>41720075</v>
      </c>
      <c r="BS13" s="202">
        <v>211885518</v>
      </c>
      <c r="BT13" s="202">
        <v>231380831</v>
      </c>
      <c r="BU13" s="203">
        <f t="shared" si="23"/>
        <v>19495313</v>
      </c>
      <c r="BV13" s="204">
        <f aca="true" t="shared" si="37" ref="BV13:BX15">BR13+BN13</f>
        <v>41720075</v>
      </c>
      <c r="BW13" s="205">
        <f t="shared" si="37"/>
        <v>244363792</v>
      </c>
      <c r="BX13" s="205">
        <f t="shared" si="37"/>
        <v>263859105</v>
      </c>
      <c r="BY13" s="201">
        <f t="shared" si="24"/>
        <v>19495313</v>
      </c>
      <c r="BZ13" s="206">
        <f aca="true" t="shared" si="38" ref="BZ13:CC15">BV13</f>
        <v>41720075</v>
      </c>
      <c r="CA13" s="206">
        <f t="shared" si="38"/>
        <v>244363792</v>
      </c>
      <c r="CB13" s="206">
        <f t="shared" si="38"/>
        <v>263859105</v>
      </c>
      <c r="CC13" s="206">
        <f t="shared" si="38"/>
        <v>19495313</v>
      </c>
      <c r="CD13" s="207">
        <v>101293</v>
      </c>
      <c r="CE13" s="228">
        <f>CD13+671111</f>
        <v>772404</v>
      </c>
      <c r="CF13" s="228">
        <f>CE13+671111</f>
        <v>1443515</v>
      </c>
      <c r="CG13" s="209">
        <f t="shared" si="26"/>
        <v>671111</v>
      </c>
      <c r="CH13" s="208">
        <v>20240</v>
      </c>
      <c r="CI13" s="228">
        <f aca="true" t="shared" si="39" ref="CI13:CJ15">CH13</f>
        <v>20240</v>
      </c>
      <c r="CJ13" s="228">
        <f t="shared" si="39"/>
        <v>20240</v>
      </c>
      <c r="CK13" s="209">
        <f>CI13-CH13</f>
        <v>0</v>
      </c>
      <c r="CL13" s="207"/>
      <c r="CM13" s="228">
        <f aca="true" t="shared" si="40" ref="CM13:CN15">CL13</f>
        <v>0</v>
      </c>
      <c r="CN13" s="228">
        <f t="shared" si="40"/>
        <v>0</v>
      </c>
      <c r="CO13" s="209">
        <f>CM13-CL13</f>
        <v>0</v>
      </c>
      <c r="CP13" s="211"/>
      <c r="CQ13" s="212">
        <f t="shared" si="28"/>
        <v>792644</v>
      </c>
    </row>
    <row r="14" spans="1:95" s="9" customFormat="1" ht="13.5">
      <c r="A14" s="292" t="s">
        <v>96</v>
      </c>
      <c r="B14" s="115"/>
      <c r="C14" s="77">
        <v>0</v>
      </c>
      <c r="D14" s="77">
        <v>0</v>
      </c>
      <c r="E14" s="75">
        <f t="shared" si="0"/>
        <v>0</v>
      </c>
      <c r="F14" s="293"/>
      <c r="G14" s="77"/>
      <c r="H14" s="77"/>
      <c r="I14" s="75">
        <f t="shared" si="1"/>
        <v>0</v>
      </c>
      <c r="J14" s="121"/>
      <c r="K14" s="77"/>
      <c r="L14" s="77"/>
      <c r="M14" s="75">
        <f t="shared" si="2"/>
        <v>0</v>
      </c>
      <c r="N14" s="120"/>
      <c r="O14" s="214"/>
      <c r="P14" s="214"/>
      <c r="Q14" s="75">
        <f t="shared" si="3"/>
        <v>0</v>
      </c>
      <c r="R14" s="120"/>
      <c r="S14" s="214"/>
      <c r="T14" s="214"/>
      <c r="U14" s="75">
        <f t="shared" si="4"/>
        <v>0</v>
      </c>
      <c r="V14" s="120"/>
      <c r="W14" s="214"/>
      <c r="X14" s="214"/>
      <c r="Y14" s="75">
        <f t="shared" si="5"/>
        <v>0</v>
      </c>
      <c r="Z14" s="120"/>
      <c r="AA14" s="214"/>
      <c r="AB14" s="214"/>
      <c r="AC14" s="75">
        <f t="shared" si="6"/>
        <v>0</v>
      </c>
      <c r="AD14" s="120"/>
      <c r="AE14" s="214"/>
      <c r="AF14" s="214"/>
      <c r="AG14" s="75">
        <f t="shared" si="7"/>
        <v>0</v>
      </c>
      <c r="AH14" s="120"/>
      <c r="AI14" s="214"/>
      <c r="AJ14" s="214"/>
      <c r="AK14" s="75">
        <f t="shared" si="8"/>
        <v>0</v>
      </c>
      <c r="AL14" s="120"/>
      <c r="AM14" s="214"/>
      <c r="AN14" s="214"/>
      <c r="AO14" s="75">
        <f t="shared" si="9"/>
        <v>0</v>
      </c>
      <c r="AP14" s="294">
        <f t="shared" si="10"/>
        <v>0</v>
      </c>
      <c r="AQ14" s="216">
        <f t="shared" si="11"/>
        <v>0</v>
      </c>
      <c r="AR14" s="216">
        <f t="shared" si="12"/>
        <v>0</v>
      </c>
      <c r="AS14" s="217">
        <f t="shared" si="13"/>
        <v>0</v>
      </c>
      <c r="AT14" s="120"/>
      <c r="AU14" s="214"/>
      <c r="AV14" s="214"/>
      <c r="AW14" s="75">
        <f t="shared" si="14"/>
        <v>0</v>
      </c>
      <c r="AX14" s="120"/>
      <c r="AY14" s="214"/>
      <c r="AZ14" s="214"/>
      <c r="BA14" s="75">
        <f t="shared" si="15"/>
        <v>0</v>
      </c>
      <c r="BB14" s="120"/>
      <c r="BC14" s="214"/>
      <c r="BD14" s="214"/>
      <c r="BE14" s="75">
        <f t="shared" si="16"/>
        <v>0</v>
      </c>
      <c r="BF14" s="120"/>
      <c r="BG14" s="214"/>
      <c r="BH14" s="214"/>
      <c r="BI14" s="75">
        <f t="shared" si="17"/>
        <v>0</v>
      </c>
      <c r="BJ14" s="295">
        <f t="shared" si="18"/>
        <v>0</v>
      </c>
      <c r="BK14" s="219">
        <f t="shared" si="19"/>
        <v>0</v>
      </c>
      <c r="BL14" s="219">
        <f t="shared" si="20"/>
        <v>0</v>
      </c>
      <c r="BM14" s="220">
        <f t="shared" si="21"/>
        <v>0</v>
      </c>
      <c r="BN14" s="199">
        <f t="shared" si="36"/>
        <v>0</v>
      </c>
      <c r="BO14" s="200">
        <f t="shared" si="36"/>
        <v>0</v>
      </c>
      <c r="BP14" s="232">
        <f t="shared" si="36"/>
        <v>0</v>
      </c>
      <c r="BQ14" s="222">
        <f t="shared" si="22"/>
        <v>0</v>
      </c>
      <c r="BR14" s="120">
        <v>0</v>
      </c>
      <c r="BS14" s="77">
        <v>126301000</v>
      </c>
      <c r="BT14" s="77">
        <v>128801000</v>
      </c>
      <c r="BU14" s="223">
        <f t="shared" si="23"/>
        <v>2500000</v>
      </c>
      <c r="BV14" s="204">
        <f t="shared" si="37"/>
        <v>0</v>
      </c>
      <c r="BW14" s="225">
        <f t="shared" si="37"/>
        <v>126301000</v>
      </c>
      <c r="BX14" s="225">
        <f t="shared" si="37"/>
        <v>128801000</v>
      </c>
      <c r="BY14" s="222">
        <f t="shared" si="24"/>
        <v>2500000</v>
      </c>
      <c r="BZ14" s="296">
        <f t="shared" si="38"/>
        <v>0</v>
      </c>
      <c r="CA14" s="296">
        <f t="shared" si="38"/>
        <v>126301000</v>
      </c>
      <c r="CB14" s="296">
        <f t="shared" si="38"/>
        <v>128801000</v>
      </c>
      <c r="CC14" s="296">
        <f t="shared" si="38"/>
        <v>2500000</v>
      </c>
      <c r="CD14" s="297">
        <v>100000000</v>
      </c>
      <c r="CE14" s="228">
        <f>CD14+93000000</f>
        <v>193000000</v>
      </c>
      <c r="CF14" s="228">
        <f>CE14+0</f>
        <v>193000000</v>
      </c>
      <c r="CG14" s="229">
        <f t="shared" si="26"/>
        <v>0</v>
      </c>
      <c r="CH14" s="298"/>
      <c r="CI14" s="228">
        <f t="shared" si="39"/>
        <v>0</v>
      </c>
      <c r="CJ14" s="228">
        <f t="shared" si="39"/>
        <v>0</v>
      </c>
      <c r="CK14" s="229">
        <f>CI14-CH14</f>
        <v>0</v>
      </c>
      <c r="CL14" s="297"/>
      <c r="CM14" s="228">
        <f t="shared" si="40"/>
        <v>0</v>
      </c>
      <c r="CN14" s="228">
        <f t="shared" si="40"/>
        <v>0</v>
      </c>
      <c r="CO14" s="229">
        <f>CM14-CL14</f>
        <v>0</v>
      </c>
      <c r="CP14" s="231"/>
      <c r="CQ14" s="212">
        <f t="shared" si="28"/>
        <v>193000000</v>
      </c>
    </row>
    <row r="15" spans="1:95" s="9" customFormat="1" ht="13.5">
      <c r="A15" s="233" t="s">
        <v>68</v>
      </c>
      <c r="B15" s="116"/>
      <c r="C15" s="60"/>
      <c r="D15" s="60"/>
      <c r="E15" s="19">
        <f t="shared" si="0"/>
        <v>0</v>
      </c>
      <c r="F15" s="234"/>
      <c r="G15" s="60"/>
      <c r="H15" s="60"/>
      <c r="I15" s="19">
        <f t="shared" si="1"/>
        <v>0</v>
      </c>
      <c r="J15" s="60"/>
      <c r="K15" s="60"/>
      <c r="L15" s="60"/>
      <c r="M15" s="19">
        <f t="shared" si="2"/>
        <v>0</v>
      </c>
      <c r="N15" s="116"/>
      <c r="O15" s="234"/>
      <c r="P15" s="234"/>
      <c r="Q15" s="19">
        <f t="shared" si="3"/>
        <v>0</v>
      </c>
      <c r="R15" s="116"/>
      <c r="S15" s="234"/>
      <c r="T15" s="234"/>
      <c r="U15" s="19">
        <f t="shared" si="4"/>
        <v>0</v>
      </c>
      <c r="V15" s="116"/>
      <c r="W15" s="234"/>
      <c r="X15" s="234"/>
      <c r="Y15" s="19">
        <f t="shared" si="5"/>
        <v>0</v>
      </c>
      <c r="Z15" s="116"/>
      <c r="AA15" s="234"/>
      <c r="AB15" s="234"/>
      <c r="AC15" s="19">
        <f t="shared" si="6"/>
        <v>0</v>
      </c>
      <c r="AD15" s="116"/>
      <c r="AE15" s="234"/>
      <c r="AF15" s="234"/>
      <c r="AG15" s="19">
        <f t="shared" si="7"/>
        <v>0</v>
      </c>
      <c r="AH15" s="116"/>
      <c r="AI15" s="234"/>
      <c r="AJ15" s="234"/>
      <c r="AK15" s="19">
        <f t="shared" si="8"/>
        <v>0</v>
      </c>
      <c r="AL15" s="116"/>
      <c r="AM15" s="234"/>
      <c r="AN15" s="234"/>
      <c r="AO15" s="19">
        <f t="shared" si="9"/>
        <v>0</v>
      </c>
      <c r="AP15" s="235">
        <f t="shared" si="10"/>
        <v>0</v>
      </c>
      <c r="AQ15" s="236">
        <f t="shared" si="11"/>
        <v>0</v>
      </c>
      <c r="AR15" s="236">
        <f t="shared" si="12"/>
        <v>0</v>
      </c>
      <c r="AS15" s="237">
        <f t="shared" si="13"/>
        <v>0</v>
      </c>
      <c r="AT15" s="116"/>
      <c r="AU15" s="234"/>
      <c r="AV15" s="234"/>
      <c r="AW15" s="19">
        <f t="shared" si="14"/>
        <v>0</v>
      </c>
      <c r="AX15" s="116"/>
      <c r="AY15" s="234"/>
      <c r="AZ15" s="234"/>
      <c r="BA15" s="19">
        <f t="shared" si="15"/>
        <v>0</v>
      </c>
      <c r="BB15" s="116"/>
      <c r="BC15" s="234"/>
      <c r="BD15" s="234"/>
      <c r="BE15" s="19">
        <f t="shared" si="16"/>
        <v>0</v>
      </c>
      <c r="BF15" s="116"/>
      <c r="BG15" s="234"/>
      <c r="BH15" s="234"/>
      <c r="BI15" s="19">
        <f t="shared" si="17"/>
        <v>0</v>
      </c>
      <c r="BJ15" s="238">
        <f t="shared" si="18"/>
        <v>0</v>
      </c>
      <c r="BK15" s="239">
        <f t="shared" si="19"/>
        <v>0</v>
      </c>
      <c r="BL15" s="239">
        <f t="shared" si="20"/>
        <v>0</v>
      </c>
      <c r="BM15" s="240">
        <f t="shared" si="21"/>
        <v>0</v>
      </c>
      <c r="BN15" s="199">
        <f t="shared" si="36"/>
        <v>0</v>
      </c>
      <c r="BO15" s="200">
        <f t="shared" si="36"/>
        <v>0</v>
      </c>
      <c r="BP15" s="232">
        <f t="shared" si="36"/>
        <v>0</v>
      </c>
      <c r="BQ15" s="222">
        <f t="shared" si="22"/>
        <v>0</v>
      </c>
      <c r="BR15" s="116">
        <v>205340627</v>
      </c>
      <c r="BS15" s="241">
        <v>183353173</v>
      </c>
      <c r="BT15" s="241">
        <v>183353173</v>
      </c>
      <c r="BU15" s="223">
        <f t="shared" si="23"/>
        <v>0</v>
      </c>
      <c r="BV15" s="224">
        <f t="shared" si="37"/>
        <v>205340627</v>
      </c>
      <c r="BW15" s="225">
        <f t="shared" si="37"/>
        <v>183353173</v>
      </c>
      <c r="BX15" s="225">
        <f t="shared" si="37"/>
        <v>183353173</v>
      </c>
      <c r="BY15" s="222">
        <f t="shared" si="24"/>
        <v>0</v>
      </c>
      <c r="BZ15" s="242">
        <f t="shared" si="38"/>
        <v>205340627</v>
      </c>
      <c r="CA15" s="242">
        <f t="shared" si="38"/>
        <v>183353173</v>
      </c>
      <c r="CB15" s="242">
        <f t="shared" si="38"/>
        <v>183353173</v>
      </c>
      <c r="CC15" s="242">
        <f t="shared" si="38"/>
        <v>0</v>
      </c>
      <c r="CD15" s="243">
        <v>87248000</v>
      </c>
      <c r="CE15" s="228">
        <v>87248000</v>
      </c>
      <c r="CF15" s="228">
        <v>87248000</v>
      </c>
      <c r="CG15" s="245">
        <f t="shared" si="26"/>
        <v>0</v>
      </c>
      <c r="CH15" s="246"/>
      <c r="CI15" s="228">
        <f t="shared" si="39"/>
        <v>0</v>
      </c>
      <c r="CJ15" s="228">
        <f t="shared" si="39"/>
        <v>0</v>
      </c>
      <c r="CK15" s="245">
        <f>CI15-CH15</f>
        <v>0</v>
      </c>
      <c r="CL15" s="243"/>
      <c r="CM15" s="228">
        <f t="shared" si="40"/>
        <v>0</v>
      </c>
      <c r="CN15" s="228">
        <f t="shared" si="40"/>
        <v>0</v>
      </c>
      <c r="CO15" s="245">
        <f>CM15-CL15</f>
        <v>0</v>
      </c>
      <c r="CP15" s="211"/>
      <c r="CQ15" s="212">
        <f t="shared" si="28"/>
        <v>87248000</v>
      </c>
    </row>
    <row r="16" spans="1:95" s="9" customFormat="1" ht="13.5">
      <c r="A16" s="233" t="s">
        <v>59</v>
      </c>
      <c r="B16" s="116">
        <f>SUM(B17:B18)</f>
        <v>0</v>
      </c>
      <c r="C16" s="60">
        <f>SUM(C17:C18)</f>
        <v>0</v>
      </c>
      <c r="D16" s="60">
        <f>SUM(D17:D18)</f>
        <v>0</v>
      </c>
      <c r="E16" s="19">
        <f t="shared" si="0"/>
        <v>0</v>
      </c>
      <c r="F16" s="234">
        <f>SUM(F17:F18)</f>
        <v>1478431</v>
      </c>
      <c r="G16" s="60">
        <f>SUM(G17:G18)</f>
        <v>1478431</v>
      </c>
      <c r="H16" s="60">
        <f>SUM(H17:H18)</f>
        <v>1478431</v>
      </c>
      <c r="I16" s="19">
        <f t="shared" si="1"/>
        <v>0</v>
      </c>
      <c r="J16" s="60">
        <f>SUM(J17:J18)</f>
        <v>0</v>
      </c>
      <c r="K16" s="60">
        <f>SUM(K17:K18)</f>
        <v>0</v>
      </c>
      <c r="L16" s="60">
        <f>SUM(L17:L18)</f>
        <v>0</v>
      </c>
      <c r="M16" s="19">
        <f t="shared" si="2"/>
        <v>0</v>
      </c>
      <c r="N16" s="116">
        <f>SUM(N17:N18)</f>
        <v>0</v>
      </c>
      <c r="O16" s="234">
        <f>SUM(O17:O18)</f>
        <v>0</v>
      </c>
      <c r="P16" s="234">
        <f>SUM(P17:P18)</f>
        <v>0</v>
      </c>
      <c r="Q16" s="19">
        <f t="shared" si="3"/>
        <v>0</v>
      </c>
      <c r="R16" s="116">
        <f>SUM(R17:R18)</f>
        <v>0</v>
      </c>
      <c r="S16" s="234">
        <f>SUM(S17:S18)</f>
        <v>0</v>
      </c>
      <c r="T16" s="234">
        <f>SUM(T17:T18)</f>
        <v>0</v>
      </c>
      <c r="U16" s="19">
        <f t="shared" si="4"/>
        <v>0</v>
      </c>
      <c r="V16" s="116">
        <f>SUM(V17:V18)</f>
        <v>0</v>
      </c>
      <c r="W16" s="234">
        <f>SUM(W17:W18)</f>
        <v>0</v>
      </c>
      <c r="X16" s="234">
        <f>SUM(X17:X18)</f>
        <v>0</v>
      </c>
      <c r="Y16" s="19">
        <f t="shared" si="5"/>
        <v>0</v>
      </c>
      <c r="Z16" s="116">
        <f>SUM(Z17:Z18)</f>
        <v>0</v>
      </c>
      <c r="AA16" s="234">
        <f>SUM(AA17:AA18)</f>
        <v>0</v>
      </c>
      <c r="AB16" s="234">
        <f>SUM(AB17:AB18)</f>
        <v>0</v>
      </c>
      <c r="AC16" s="19">
        <f t="shared" si="6"/>
        <v>0</v>
      </c>
      <c r="AD16" s="116">
        <f>SUM(AD17:AD18)</f>
        <v>0</v>
      </c>
      <c r="AE16" s="234">
        <f>SUM(AE17:AE18)</f>
        <v>0</v>
      </c>
      <c r="AF16" s="234">
        <f>SUM(AF17:AF18)</f>
        <v>0</v>
      </c>
      <c r="AG16" s="19">
        <f t="shared" si="7"/>
        <v>0</v>
      </c>
      <c r="AH16" s="116">
        <f>SUM(AH17:AH18)</f>
        <v>0</v>
      </c>
      <c r="AI16" s="234">
        <f>SUM(AI17:AI18)</f>
        <v>0</v>
      </c>
      <c r="AJ16" s="234">
        <f>SUM(AJ17:AJ18)</f>
        <v>0</v>
      </c>
      <c r="AK16" s="19">
        <f t="shared" si="8"/>
        <v>0</v>
      </c>
      <c r="AL16" s="116">
        <f>SUM(AL17:AL18)</f>
        <v>0</v>
      </c>
      <c r="AM16" s="234">
        <f>SUM(AM17:AM18)</f>
        <v>0</v>
      </c>
      <c r="AN16" s="234">
        <f>SUM(AN17:AN18)</f>
        <v>0</v>
      </c>
      <c r="AO16" s="19">
        <f t="shared" si="9"/>
        <v>0</v>
      </c>
      <c r="AP16" s="235">
        <f t="shared" si="10"/>
        <v>0</v>
      </c>
      <c r="AQ16" s="236">
        <f t="shared" si="11"/>
        <v>0</v>
      </c>
      <c r="AR16" s="236">
        <f t="shared" si="12"/>
        <v>0</v>
      </c>
      <c r="AS16" s="237">
        <f t="shared" si="13"/>
        <v>0</v>
      </c>
      <c r="AT16" s="299">
        <f>SUM(AT17:AT18)</f>
        <v>0</v>
      </c>
      <c r="AU16" s="234">
        <f>SUM(AU17:AU18)</f>
        <v>0</v>
      </c>
      <c r="AV16" s="234">
        <f>SUM(AV17:AV18)</f>
        <v>0</v>
      </c>
      <c r="AW16" s="19">
        <f t="shared" si="14"/>
        <v>0</v>
      </c>
      <c r="AX16" s="116">
        <f>SUM(AX17:AX18)</f>
        <v>0</v>
      </c>
      <c r="AY16" s="116">
        <f>SUM(AY17:AY18)</f>
        <v>0</v>
      </c>
      <c r="AZ16" s="116">
        <f>SUM(AZ17:AZ18)</f>
        <v>0</v>
      </c>
      <c r="BA16" s="19">
        <f t="shared" si="15"/>
        <v>0</v>
      </c>
      <c r="BB16" s="299">
        <f>SUM(BB17:BB18)</f>
        <v>0</v>
      </c>
      <c r="BC16" s="234">
        <f>SUM(BC17:BC18)</f>
        <v>0</v>
      </c>
      <c r="BD16" s="234">
        <f>SUM(BD17:BD18)</f>
        <v>0</v>
      </c>
      <c r="BE16" s="19">
        <f t="shared" si="16"/>
        <v>0</v>
      </c>
      <c r="BF16" s="299">
        <f>SUM(BF17:BF18)</f>
        <v>0</v>
      </c>
      <c r="BG16" s="234">
        <f>SUM(BG17:BG18)</f>
        <v>0</v>
      </c>
      <c r="BH16" s="234">
        <f>SUM(BH17:BH18)</f>
        <v>0</v>
      </c>
      <c r="BI16" s="19">
        <f t="shared" si="17"/>
        <v>0</v>
      </c>
      <c r="BJ16" s="238">
        <f t="shared" si="18"/>
        <v>0</v>
      </c>
      <c r="BK16" s="239">
        <f t="shared" si="19"/>
        <v>0</v>
      </c>
      <c r="BL16" s="239">
        <f t="shared" si="20"/>
        <v>0</v>
      </c>
      <c r="BM16" s="240">
        <f t="shared" si="21"/>
        <v>0</v>
      </c>
      <c r="BN16" s="221">
        <f>SUM(BN17:BN18)</f>
        <v>1478431</v>
      </c>
      <c r="BO16" s="232">
        <f>SUM(BO17:BO18)</f>
        <v>1478431</v>
      </c>
      <c r="BP16" s="232">
        <f>SUM(BP17:BP18)</f>
        <v>1478431</v>
      </c>
      <c r="BQ16" s="222">
        <f t="shared" si="22"/>
        <v>0</v>
      </c>
      <c r="BR16" s="116">
        <f>SUM(BR17:BR18)</f>
        <v>12815928</v>
      </c>
      <c r="BS16" s="241">
        <f>SUM(BS17:BS18)</f>
        <v>13676928</v>
      </c>
      <c r="BT16" s="241">
        <f>SUM(BT17:BT18)</f>
        <v>13704928</v>
      </c>
      <c r="BU16" s="223">
        <f t="shared" si="23"/>
        <v>28000</v>
      </c>
      <c r="BV16" s="224">
        <f>SUM(BV17:BV18)</f>
        <v>14294359</v>
      </c>
      <c r="BW16" s="225">
        <f>SUM(BW17:BW18)</f>
        <v>15155359</v>
      </c>
      <c r="BX16" s="225">
        <f>SUM(BX17:BX18)</f>
        <v>15183359</v>
      </c>
      <c r="BY16" s="222">
        <f t="shared" si="24"/>
        <v>28000</v>
      </c>
      <c r="BZ16" s="242">
        <f aca="true" t="shared" si="41" ref="BZ16:CF16">SUM(BZ17:BZ18)</f>
        <v>14294359</v>
      </c>
      <c r="CA16" s="242">
        <f t="shared" si="41"/>
        <v>15155359</v>
      </c>
      <c r="CB16" s="242">
        <f t="shared" si="41"/>
        <v>15183359</v>
      </c>
      <c r="CC16" s="242">
        <f t="shared" si="41"/>
        <v>28000</v>
      </c>
      <c r="CD16" s="243">
        <f t="shared" si="41"/>
        <v>8218000</v>
      </c>
      <c r="CE16" s="244">
        <f t="shared" si="41"/>
        <v>8218000</v>
      </c>
      <c r="CF16" s="244">
        <f t="shared" si="41"/>
        <v>8218000</v>
      </c>
      <c r="CG16" s="245">
        <f t="shared" si="26"/>
        <v>0</v>
      </c>
      <c r="CH16" s="246">
        <f aca="true" t="shared" si="42" ref="CH16:CO16">SUM(CH17:CH18)</f>
        <v>5139</v>
      </c>
      <c r="CI16" s="244">
        <f t="shared" si="42"/>
        <v>5139</v>
      </c>
      <c r="CJ16" s="244">
        <f t="shared" si="42"/>
        <v>5139</v>
      </c>
      <c r="CK16" s="245">
        <f t="shared" si="42"/>
        <v>0</v>
      </c>
      <c r="CL16" s="243">
        <f t="shared" si="42"/>
        <v>0</v>
      </c>
      <c r="CM16" s="244">
        <f t="shared" si="42"/>
        <v>0</v>
      </c>
      <c r="CN16" s="244">
        <f t="shared" si="42"/>
        <v>0</v>
      </c>
      <c r="CO16" s="245">
        <f t="shared" si="42"/>
        <v>0</v>
      </c>
      <c r="CP16" s="211"/>
      <c r="CQ16" s="212">
        <f t="shared" si="28"/>
        <v>8223139</v>
      </c>
    </row>
    <row r="17" spans="1:95" s="9" customFormat="1" ht="26.25">
      <c r="A17" s="300" t="s">
        <v>128</v>
      </c>
      <c r="B17" s="115"/>
      <c r="C17" s="77"/>
      <c r="D17" s="77"/>
      <c r="E17" s="75">
        <f t="shared" si="0"/>
        <v>0</v>
      </c>
      <c r="F17" s="214"/>
      <c r="G17" s="77"/>
      <c r="H17" s="77"/>
      <c r="I17" s="75">
        <f t="shared" si="1"/>
        <v>0</v>
      </c>
      <c r="J17" s="77"/>
      <c r="K17" s="77"/>
      <c r="L17" s="77"/>
      <c r="M17" s="75">
        <f t="shared" si="2"/>
        <v>0</v>
      </c>
      <c r="N17" s="115"/>
      <c r="O17" s="214"/>
      <c r="P17" s="214"/>
      <c r="Q17" s="75">
        <f t="shared" si="3"/>
        <v>0</v>
      </c>
      <c r="R17" s="115"/>
      <c r="S17" s="214"/>
      <c r="T17" s="214"/>
      <c r="U17" s="75">
        <f t="shared" si="4"/>
        <v>0</v>
      </c>
      <c r="V17" s="115"/>
      <c r="W17" s="214"/>
      <c r="X17" s="214"/>
      <c r="Y17" s="75">
        <f t="shared" si="5"/>
        <v>0</v>
      </c>
      <c r="Z17" s="115"/>
      <c r="AA17" s="214"/>
      <c r="AB17" s="214"/>
      <c r="AC17" s="75">
        <f t="shared" si="6"/>
        <v>0</v>
      </c>
      <c r="AD17" s="115"/>
      <c r="AE17" s="214"/>
      <c r="AF17" s="214"/>
      <c r="AG17" s="75">
        <f t="shared" si="7"/>
        <v>0</v>
      </c>
      <c r="AH17" s="115"/>
      <c r="AI17" s="214"/>
      <c r="AJ17" s="214"/>
      <c r="AK17" s="75">
        <f t="shared" si="8"/>
        <v>0</v>
      </c>
      <c r="AL17" s="115"/>
      <c r="AM17" s="214"/>
      <c r="AN17" s="214"/>
      <c r="AO17" s="75">
        <f t="shared" si="9"/>
        <v>0</v>
      </c>
      <c r="AP17" s="215">
        <f t="shared" si="10"/>
        <v>0</v>
      </c>
      <c r="AQ17" s="216">
        <f t="shared" si="11"/>
        <v>0</v>
      </c>
      <c r="AR17" s="216">
        <f t="shared" si="12"/>
        <v>0</v>
      </c>
      <c r="AS17" s="217">
        <f t="shared" si="13"/>
        <v>0</v>
      </c>
      <c r="AT17" s="115"/>
      <c r="AU17" s="214"/>
      <c r="AV17" s="214"/>
      <c r="AW17" s="75">
        <f t="shared" si="14"/>
        <v>0</v>
      </c>
      <c r="AX17" s="115"/>
      <c r="AY17" s="214"/>
      <c r="AZ17" s="214"/>
      <c r="BA17" s="75">
        <f t="shared" si="15"/>
        <v>0</v>
      </c>
      <c r="BB17" s="115"/>
      <c r="BC17" s="214"/>
      <c r="BD17" s="214"/>
      <c r="BE17" s="75">
        <f t="shared" si="16"/>
        <v>0</v>
      </c>
      <c r="BF17" s="115"/>
      <c r="BG17" s="214"/>
      <c r="BH17" s="214"/>
      <c r="BI17" s="75">
        <f t="shared" si="17"/>
        <v>0</v>
      </c>
      <c r="BJ17" s="218">
        <f t="shared" si="18"/>
        <v>0</v>
      </c>
      <c r="BK17" s="219">
        <f t="shared" si="19"/>
        <v>0</v>
      </c>
      <c r="BL17" s="219">
        <f t="shared" si="20"/>
        <v>0</v>
      </c>
      <c r="BM17" s="220">
        <f t="shared" si="21"/>
        <v>0</v>
      </c>
      <c r="BN17" s="221">
        <f aca="true" t="shared" si="43" ref="BN17:BP18">B17+F17+J17+N17+R17+BJ17+AP17</f>
        <v>0</v>
      </c>
      <c r="BO17" s="232">
        <f t="shared" si="43"/>
        <v>0</v>
      </c>
      <c r="BP17" s="232">
        <f t="shared" si="43"/>
        <v>0</v>
      </c>
      <c r="BQ17" s="222">
        <f t="shared" si="22"/>
        <v>0</v>
      </c>
      <c r="BR17" s="115">
        <v>12815928</v>
      </c>
      <c r="BS17" s="77">
        <v>13676928</v>
      </c>
      <c r="BT17" s="77">
        <v>13704928</v>
      </c>
      <c r="BU17" s="223">
        <f t="shared" si="23"/>
        <v>28000</v>
      </c>
      <c r="BV17" s="224">
        <f aca="true" t="shared" si="44" ref="BV17:BX18">BR17+BN17</f>
        <v>12815928</v>
      </c>
      <c r="BW17" s="225">
        <f t="shared" si="44"/>
        <v>13676928</v>
      </c>
      <c r="BX17" s="225">
        <f t="shared" si="44"/>
        <v>13704928</v>
      </c>
      <c r="BY17" s="222">
        <f t="shared" si="24"/>
        <v>28000</v>
      </c>
      <c r="BZ17" s="226">
        <f aca="true" t="shared" si="45" ref="BZ17:CC18">BV17</f>
        <v>12815928</v>
      </c>
      <c r="CA17" s="226">
        <f t="shared" si="45"/>
        <v>13676928</v>
      </c>
      <c r="CB17" s="226">
        <f t="shared" si="45"/>
        <v>13704928</v>
      </c>
      <c r="CC17" s="226">
        <f t="shared" si="45"/>
        <v>28000</v>
      </c>
      <c r="CD17" s="227">
        <v>8218000</v>
      </c>
      <c r="CE17" s="228">
        <v>8218000</v>
      </c>
      <c r="CF17" s="228">
        <v>8218000</v>
      </c>
      <c r="CG17" s="229">
        <f t="shared" si="26"/>
        <v>0</v>
      </c>
      <c r="CH17" s="230">
        <v>5139</v>
      </c>
      <c r="CI17" s="228">
        <f>CH17</f>
        <v>5139</v>
      </c>
      <c r="CJ17" s="228">
        <f>CI17</f>
        <v>5139</v>
      </c>
      <c r="CK17" s="229">
        <f>CI17-CH17</f>
        <v>0</v>
      </c>
      <c r="CL17" s="227"/>
      <c r="CM17" s="228">
        <f>CL17</f>
        <v>0</v>
      </c>
      <c r="CN17" s="228">
        <f>CM17</f>
        <v>0</v>
      </c>
      <c r="CO17" s="229">
        <f>CM17-CL17</f>
        <v>0</v>
      </c>
      <c r="CP17" s="231"/>
      <c r="CQ17" s="212">
        <f t="shared" si="28"/>
        <v>8223139</v>
      </c>
    </row>
    <row r="18" spans="1:95" s="9" customFormat="1" ht="14.25" thickBot="1">
      <c r="A18" s="300" t="s">
        <v>129</v>
      </c>
      <c r="B18" s="122"/>
      <c r="C18" s="123"/>
      <c r="D18" s="123"/>
      <c r="E18" s="79">
        <f t="shared" si="0"/>
        <v>0</v>
      </c>
      <c r="F18" s="301">
        <v>1478431</v>
      </c>
      <c r="G18" s="123">
        <v>1478431</v>
      </c>
      <c r="H18" s="123">
        <v>1478431</v>
      </c>
      <c r="I18" s="79">
        <f t="shared" si="1"/>
        <v>0</v>
      </c>
      <c r="J18" s="123"/>
      <c r="K18" s="123"/>
      <c r="L18" s="123"/>
      <c r="M18" s="79">
        <f t="shared" si="2"/>
        <v>0</v>
      </c>
      <c r="N18" s="122"/>
      <c r="O18" s="301"/>
      <c r="P18" s="301"/>
      <c r="Q18" s="79">
        <f t="shared" si="3"/>
        <v>0</v>
      </c>
      <c r="R18" s="122"/>
      <c r="S18" s="301"/>
      <c r="T18" s="301"/>
      <c r="U18" s="79">
        <f t="shared" si="4"/>
        <v>0</v>
      </c>
      <c r="V18" s="122"/>
      <c r="W18" s="301"/>
      <c r="X18" s="301"/>
      <c r="Y18" s="79">
        <f t="shared" si="5"/>
        <v>0</v>
      </c>
      <c r="Z18" s="122"/>
      <c r="AA18" s="301"/>
      <c r="AB18" s="301"/>
      <c r="AC18" s="79">
        <f t="shared" si="6"/>
        <v>0</v>
      </c>
      <c r="AD18" s="122"/>
      <c r="AE18" s="301"/>
      <c r="AF18" s="301"/>
      <c r="AG18" s="79">
        <f t="shared" si="7"/>
        <v>0</v>
      </c>
      <c r="AH18" s="122"/>
      <c r="AI18" s="301"/>
      <c r="AJ18" s="301"/>
      <c r="AK18" s="79">
        <f t="shared" si="8"/>
        <v>0</v>
      </c>
      <c r="AL18" s="122"/>
      <c r="AM18" s="301"/>
      <c r="AN18" s="301"/>
      <c r="AO18" s="79">
        <f t="shared" si="9"/>
        <v>0</v>
      </c>
      <c r="AP18" s="302">
        <f t="shared" si="10"/>
        <v>0</v>
      </c>
      <c r="AQ18" s="303">
        <f t="shared" si="11"/>
        <v>0</v>
      </c>
      <c r="AR18" s="303">
        <f t="shared" si="12"/>
        <v>0</v>
      </c>
      <c r="AS18" s="304">
        <f t="shared" si="13"/>
        <v>0</v>
      </c>
      <c r="AT18" s="122"/>
      <c r="AU18" s="301"/>
      <c r="AV18" s="301"/>
      <c r="AW18" s="79">
        <f t="shared" si="14"/>
        <v>0</v>
      </c>
      <c r="AX18" s="122"/>
      <c r="AY18" s="301"/>
      <c r="AZ18" s="301"/>
      <c r="BA18" s="79">
        <f t="shared" si="15"/>
        <v>0</v>
      </c>
      <c r="BB18" s="122"/>
      <c r="BC18" s="301"/>
      <c r="BD18" s="301"/>
      <c r="BE18" s="79">
        <f t="shared" si="16"/>
        <v>0</v>
      </c>
      <c r="BF18" s="122"/>
      <c r="BG18" s="301"/>
      <c r="BH18" s="301"/>
      <c r="BI18" s="79">
        <f t="shared" si="17"/>
        <v>0</v>
      </c>
      <c r="BJ18" s="305">
        <f t="shared" si="18"/>
        <v>0</v>
      </c>
      <c r="BK18" s="306">
        <f t="shared" si="19"/>
        <v>0</v>
      </c>
      <c r="BL18" s="306">
        <f t="shared" si="20"/>
        <v>0</v>
      </c>
      <c r="BM18" s="307">
        <f t="shared" si="21"/>
        <v>0</v>
      </c>
      <c r="BN18" s="221">
        <f t="shared" si="43"/>
        <v>1478431</v>
      </c>
      <c r="BO18" s="255">
        <f t="shared" si="43"/>
        <v>1478431</v>
      </c>
      <c r="BP18" s="255">
        <f t="shared" si="43"/>
        <v>1478431</v>
      </c>
      <c r="BQ18" s="256">
        <f t="shared" si="22"/>
        <v>0</v>
      </c>
      <c r="BR18" s="122">
        <v>0</v>
      </c>
      <c r="BS18" s="123">
        <v>0</v>
      </c>
      <c r="BT18" s="123">
        <v>0</v>
      </c>
      <c r="BU18" s="258">
        <f t="shared" si="23"/>
        <v>0</v>
      </c>
      <c r="BV18" s="259">
        <f t="shared" si="44"/>
        <v>1478431</v>
      </c>
      <c r="BW18" s="260">
        <f t="shared" si="44"/>
        <v>1478431</v>
      </c>
      <c r="BX18" s="260">
        <f t="shared" si="44"/>
        <v>1478431</v>
      </c>
      <c r="BY18" s="256">
        <f t="shared" si="24"/>
        <v>0</v>
      </c>
      <c r="BZ18" s="308">
        <f t="shared" si="45"/>
        <v>1478431</v>
      </c>
      <c r="CA18" s="308">
        <f t="shared" si="45"/>
        <v>1478431</v>
      </c>
      <c r="CB18" s="308">
        <f t="shared" si="45"/>
        <v>1478431</v>
      </c>
      <c r="CC18" s="308">
        <f t="shared" si="45"/>
        <v>0</v>
      </c>
      <c r="CD18" s="309"/>
      <c r="CE18" s="310">
        <f>CD18</f>
        <v>0</v>
      </c>
      <c r="CF18" s="310">
        <f>CE18</f>
        <v>0</v>
      </c>
      <c r="CG18" s="311">
        <f t="shared" si="26"/>
        <v>0</v>
      </c>
      <c r="CH18" s="312"/>
      <c r="CI18" s="310">
        <f>CH18</f>
        <v>0</v>
      </c>
      <c r="CJ18" s="310">
        <f>CI18</f>
        <v>0</v>
      </c>
      <c r="CK18" s="311">
        <f>CI18-CH18</f>
        <v>0</v>
      </c>
      <c r="CL18" s="309"/>
      <c r="CM18" s="310">
        <f>CL18</f>
        <v>0</v>
      </c>
      <c r="CN18" s="310">
        <f>CM18</f>
        <v>0</v>
      </c>
      <c r="CO18" s="311">
        <f>CM18-CL18</f>
        <v>0</v>
      </c>
      <c r="CP18" s="231"/>
      <c r="CQ18" s="212">
        <f t="shared" si="28"/>
        <v>0</v>
      </c>
    </row>
    <row r="19" spans="1:95" s="11" customFormat="1" ht="14.25" customHeight="1" thickBot="1">
      <c r="A19" s="266" t="s">
        <v>100</v>
      </c>
      <c r="B19" s="267">
        <f>B16+B15+B13</f>
        <v>0</v>
      </c>
      <c r="C19" s="267">
        <f>C16+C15+C13</f>
        <v>32478274</v>
      </c>
      <c r="D19" s="267">
        <f>D16+D15+D13</f>
        <v>32478274</v>
      </c>
      <c r="E19" s="268">
        <f t="shared" si="0"/>
        <v>0</v>
      </c>
      <c r="F19" s="269">
        <f>F16+F15+F13</f>
        <v>1478431</v>
      </c>
      <c r="G19" s="270">
        <f>G16+G15+G13</f>
        <v>1478431</v>
      </c>
      <c r="H19" s="270">
        <f>H16+H15+H13</f>
        <v>1478431</v>
      </c>
      <c r="I19" s="268">
        <f t="shared" si="1"/>
        <v>0</v>
      </c>
      <c r="J19" s="270">
        <f>J16+J15+J13</f>
        <v>0</v>
      </c>
      <c r="K19" s="270">
        <f>K16+K15+K13</f>
        <v>0</v>
      </c>
      <c r="L19" s="270">
        <f>L16+L15+L13</f>
        <v>0</v>
      </c>
      <c r="M19" s="268">
        <f t="shared" si="2"/>
        <v>0</v>
      </c>
      <c r="N19" s="267">
        <f>N16+N15+N13</f>
        <v>0</v>
      </c>
      <c r="O19" s="269">
        <f>O16+O15+O13</f>
        <v>0</v>
      </c>
      <c r="P19" s="269">
        <f>P16+P15+P13</f>
        <v>0</v>
      </c>
      <c r="Q19" s="268">
        <f t="shared" si="3"/>
        <v>0</v>
      </c>
      <c r="R19" s="267">
        <f>R16+R15+R13</f>
        <v>0</v>
      </c>
      <c r="S19" s="269">
        <f>S16+S15+S13</f>
        <v>0</v>
      </c>
      <c r="T19" s="269">
        <f>T16+T15+T13</f>
        <v>0</v>
      </c>
      <c r="U19" s="268">
        <f t="shared" si="4"/>
        <v>0</v>
      </c>
      <c r="V19" s="267">
        <f>V16+V15+V13</f>
        <v>0</v>
      </c>
      <c r="W19" s="269">
        <f>W16+W15+W13</f>
        <v>0</v>
      </c>
      <c r="X19" s="269">
        <f>X16+X15+X13</f>
        <v>0</v>
      </c>
      <c r="Y19" s="268">
        <f t="shared" si="5"/>
        <v>0</v>
      </c>
      <c r="Z19" s="267">
        <f>Z16+Z15+Z13</f>
        <v>0</v>
      </c>
      <c r="AA19" s="269">
        <f>AA16+AA15+AA13</f>
        <v>0</v>
      </c>
      <c r="AB19" s="269">
        <f>AB16+AB15+AB13</f>
        <v>0</v>
      </c>
      <c r="AC19" s="268">
        <f t="shared" si="6"/>
        <v>0</v>
      </c>
      <c r="AD19" s="267">
        <f>AD16+AD15+AD13</f>
        <v>0</v>
      </c>
      <c r="AE19" s="269">
        <f>AE16+AE15+AE13</f>
        <v>0</v>
      </c>
      <c r="AF19" s="269">
        <f>AF16+AF15+AF13</f>
        <v>0</v>
      </c>
      <c r="AG19" s="268">
        <f t="shared" si="7"/>
        <v>0</v>
      </c>
      <c r="AH19" s="267">
        <f>AH16+AH15+AH13</f>
        <v>0</v>
      </c>
      <c r="AI19" s="269">
        <f>AI16+AI15+AI13</f>
        <v>0</v>
      </c>
      <c r="AJ19" s="269">
        <f>AJ16+AJ15+AJ13</f>
        <v>0</v>
      </c>
      <c r="AK19" s="268">
        <f t="shared" si="8"/>
        <v>0</v>
      </c>
      <c r="AL19" s="267">
        <f>AL16+AL15+AL13</f>
        <v>0</v>
      </c>
      <c r="AM19" s="269">
        <f>AM16+AM15+AM13</f>
        <v>0</v>
      </c>
      <c r="AN19" s="269">
        <f>AN16+AN15+AN13</f>
        <v>0</v>
      </c>
      <c r="AO19" s="268">
        <f t="shared" si="9"/>
        <v>0</v>
      </c>
      <c r="AP19" s="271">
        <f t="shared" si="10"/>
        <v>0</v>
      </c>
      <c r="AQ19" s="272">
        <f t="shared" si="11"/>
        <v>0</v>
      </c>
      <c r="AR19" s="272">
        <f t="shared" si="12"/>
        <v>0</v>
      </c>
      <c r="AS19" s="273">
        <f t="shared" si="13"/>
        <v>0</v>
      </c>
      <c r="AT19" s="267">
        <f>AT16+AT15+AT13</f>
        <v>0</v>
      </c>
      <c r="AU19" s="269">
        <f>AU16+AU15+AU13</f>
        <v>0</v>
      </c>
      <c r="AV19" s="269">
        <f>AV16+AV15+AV13</f>
        <v>0</v>
      </c>
      <c r="AW19" s="268">
        <f t="shared" si="14"/>
        <v>0</v>
      </c>
      <c r="AX19" s="267">
        <f>AX16+AX15+AX13</f>
        <v>0</v>
      </c>
      <c r="AY19" s="269">
        <f>AY16+AY15+AY13</f>
        <v>0</v>
      </c>
      <c r="AZ19" s="269">
        <f>AZ16+AZ15+AZ13</f>
        <v>0</v>
      </c>
      <c r="BA19" s="268">
        <f t="shared" si="15"/>
        <v>0</v>
      </c>
      <c r="BB19" s="267">
        <f>BB16+BB15+BB13</f>
        <v>0</v>
      </c>
      <c r="BC19" s="269">
        <f>BC16+BC15+BC13</f>
        <v>0</v>
      </c>
      <c r="BD19" s="269">
        <f>BD16+BD15+BD13</f>
        <v>0</v>
      </c>
      <c r="BE19" s="268">
        <f t="shared" si="16"/>
        <v>0</v>
      </c>
      <c r="BF19" s="267">
        <f>BF16+BF15+BF13</f>
        <v>0</v>
      </c>
      <c r="BG19" s="269">
        <f>BG16+BG15+BG13</f>
        <v>0</v>
      </c>
      <c r="BH19" s="269">
        <f>BH16+BH15+BH13</f>
        <v>0</v>
      </c>
      <c r="BI19" s="268">
        <f t="shared" si="17"/>
        <v>0</v>
      </c>
      <c r="BJ19" s="274">
        <f t="shared" si="18"/>
        <v>0</v>
      </c>
      <c r="BK19" s="275">
        <f t="shared" si="19"/>
        <v>0</v>
      </c>
      <c r="BL19" s="275">
        <f t="shared" si="20"/>
        <v>0</v>
      </c>
      <c r="BM19" s="276">
        <f t="shared" si="21"/>
        <v>0</v>
      </c>
      <c r="BN19" s="277">
        <f>BN16+BN15+BN13</f>
        <v>1478431</v>
      </c>
      <c r="BO19" s="278">
        <f>BO16+BO15+BO13</f>
        <v>33956705</v>
      </c>
      <c r="BP19" s="278">
        <f>BP16+BP15+BP13</f>
        <v>33956705</v>
      </c>
      <c r="BQ19" s="279">
        <f t="shared" si="22"/>
        <v>0</v>
      </c>
      <c r="BR19" s="267">
        <f>BR16+BR15+BR13</f>
        <v>259876630</v>
      </c>
      <c r="BS19" s="280">
        <f>BS16+BS15+BS13</f>
        <v>408915619</v>
      </c>
      <c r="BT19" s="280">
        <f>BT16+BT15+BT13</f>
        <v>428438932</v>
      </c>
      <c r="BU19" s="281">
        <f t="shared" si="23"/>
        <v>19523313</v>
      </c>
      <c r="BV19" s="282">
        <f>BV16+BV15+BV13</f>
        <v>261355061</v>
      </c>
      <c r="BW19" s="280">
        <f>BW16+BW15+BW13</f>
        <v>442872324</v>
      </c>
      <c r="BX19" s="280">
        <f>BX16+BX15+BX13</f>
        <v>462395637</v>
      </c>
      <c r="BY19" s="281">
        <f t="shared" si="24"/>
        <v>19523313</v>
      </c>
      <c r="BZ19" s="283">
        <f aca="true" t="shared" si="46" ref="BZ19:CF19">BZ16+BZ15+BZ13</f>
        <v>261355061</v>
      </c>
      <c r="CA19" s="283">
        <f t="shared" si="46"/>
        <v>442872324</v>
      </c>
      <c r="CB19" s="283">
        <f t="shared" si="46"/>
        <v>462395637</v>
      </c>
      <c r="CC19" s="283">
        <f t="shared" si="46"/>
        <v>19523313</v>
      </c>
      <c r="CD19" s="284">
        <f t="shared" si="46"/>
        <v>95567293</v>
      </c>
      <c r="CE19" s="285">
        <f t="shared" si="46"/>
        <v>96238404</v>
      </c>
      <c r="CF19" s="285">
        <f t="shared" si="46"/>
        <v>96909515</v>
      </c>
      <c r="CG19" s="286">
        <f t="shared" si="26"/>
        <v>671111</v>
      </c>
      <c r="CH19" s="287">
        <f aca="true" t="shared" si="47" ref="CH19:CO19">CH16+CH15+CH13</f>
        <v>25379</v>
      </c>
      <c r="CI19" s="285">
        <f t="shared" si="47"/>
        <v>25379</v>
      </c>
      <c r="CJ19" s="285">
        <f t="shared" si="47"/>
        <v>25379</v>
      </c>
      <c r="CK19" s="286">
        <f t="shared" si="47"/>
        <v>0</v>
      </c>
      <c r="CL19" s="284">
        <f t="shared" si="47"/>
        <v>0</v>
      </c>
      <c r="CM19" s="285">
        <f t="shared" si="47"/>
        <v>0</v>
      </c>
      <c r="CN19" s="285">
        <f t="shared" si="47"/>
        <v>0</v>
      </c>
      <c r="CO19" s="286">
        <f t="shared" si="47"/>
        <v>0</v>
      </c>
      <c r="CP19" s="288"/>
      <c r="CQ19" s="212">
        <f t="shared" si="28"/>
        <v>96263783</v>
      </c>
    </row>
    <row r="20" spans="1:95" s="11" customFormat="1" ht="15.75" customHeight="1" thickBot="1">
      <c r="A20" s="313" t="s">
        <v>98</v>
      </c>
      <c r="B20" s="267">
        <f>B19+B12</f>
        <v>1500000</v>
      </c>
      <c r="C20" s="267">
        <f>C19+C12</f>
        <v>35588634</v>
      </c>
      <c r="D20" s="267">
        <f>D19+D12</f>
        <v>37335014</v>
      </c>
      <c r="E20" s="268">
        <f t="shared" si="0"/>
        <v>1746380</v>
      </c>
      <c r="F20" s="314">
        <f>F19+F12</f>
        <v>110313866</v>
      </c>
      <c r="G20" s="270">
        <f>G19+G12</f>
        <v>155226006</v>
      </c>
      <c r="H20" s="270">
        <f>H19+H12</f>
        <v>160059329</v>
      </c>
      <c r="I20" s="268">
        <f t="shared" si="1"/>
        <v>4833323</v>
      </c>
      <c r="J20" s="315">
        <f>J19+J12</f>
        <v>4000000</v>
      </c>
      <c r="K20" s="270">
        <f>K19+K12</f>
        <v>4618419</v>
      </c>
      <c r="L20" s="270">
        <f>L19+L12</f>
        <v>4878419</v>
      </c>
      <c r="M20" s="268">
        <f t="shared" si="2"/>
        <v>260000</v>
      </c>
      <c r="N20" s="316">
        <f>N19+N12</f>
        <v>1700000</v>
      </c>
      <c r="O20" s="269">
        <f>O19+O12</f>
        <v>9055422</v>
      </c>
      <c r="P20" s="269">
        <f>P19+P12</f>
        <v>11103040</v>
      </c>
      <c r="Q20" s="268">
        <f t="shared" si="3"/>
        <v>2047618</v>
      </c>
      <c r="R20" s="316">
        <f>R19+R12</f>
        <v>94453710</v>
      </c>
      <c r="S20" s="269">
        <f>S19+S12</f>
        <v>94453710</v>
      </c>
      <c r="T20" s="269">
        <f>T19+T12</f>
        <v>94453710</v>
      </c>
      <c r="U20" s="268">
        <f t="shared" si="4"/>
        <v>0</v>
      </c>
      <c r="V20" s="316">
        <f>V19+V12</f>
        <v>450000</v>
      </c>
      <c r="W20" s="269">
        <f>W19+W12</f>
        <v>2365595</v>
      </c>
      <c r="X20" s="269">
        <f>X19+X12</f>
        <v>2365595</v>
      </c>
      <c r="Y20" s="268">
        <f t="shared" si="5"/>
        <v>0</v>
      </c>
      <c r="Z20" s="316">
        <f>Z19+Z12</f>
        <v>0</v>
      </c>
      <c r="AA20" s="269">
        <f>AA19+AA12</f>
        <v>0</v>
      </c>
      <c r="AB20" s="269">
        <f>AB19+AB12</f>
        <v>28159</v>
      </c>
      <c r="AC20" s="268">
        <f t="shared" si="6"/>
        <v>28159</v>
      </c>
      <c r="AD20" s="316">
        <f>AD19+AD12</f>
        <v>472000</v>
      </c>
      <c r="AE20" s="269">
        <f>AE19+AE12</f>
        <v>472000</v>
      </c>
      <c r="AF20" s="269">
        <f>AF19+AF12</f>
        <v>520159</v>
      </c>
      <c r="AG20" s="268">
        <f t="shared" si="7"/>
        <v>48159</v>
      </c>
      <c r="AH20" s="316">
        <f>AH19+AH12</f>
        <v>0</v>
      </c>
      <c r="AI20" s="269">
        <f>AI19+AI12</f>
        <v>0</v>
      </c>
      <c r="AJ20" s="269">
        <f>AJ19+AJ12</f>
        <v>0</v>
      </c>
      <c r="AK20" s="268">
        <f t="shared" si="8"/>
        <v>0</v>
      </c>
      <c r="AL20" s="316">
        <f>AL19+AL12</f>
        <v>0</v>
      </c>
      <c r="AM20" s="269">
        <f>AM19+AM12</f>
        <v>0</v>
      </c>
      <c r="AN20" s="269">
        <f>AN19+AN12</f>
        <v>0</v>
      </c>
      <c r="AO20" s="268">
        <f t="shared" si="9"/>
        <v>0</v>
      </c>
      <c r="AP20" s="317">
        <f t="shared" si="10"/>
        <v>922000</v>
      </c>
      <c r="AQ20" s="272">
        <f t="shared" si="11"/>
        <v>2837595</v>
      </c>
      <c r="AR20" s="272">
        <f t="shared" si="12"/>
        <v>2913913</v>
      </c>
      <c r="AS20" s="273">
        <f t="shared" si="13"/>
        <v>76318</v>
      </c>
      <c r="AT20" s="316">
        <f>AT19+AT12</f>
        <v>1400000</v>
      </c>
      <c r="AU20" s="269">
        <f>AU19+AU12</f>
        <v>2675230</v>
      </c>
      <c r="AV20" s="269">
        <f>AV19+AV12</f>
        <v>3161441</v>
      </c>
      <c r="AW20" s="268">
        <f t="shared" si="14"/>
        <v>486211</v>
      </c>
      <c r="AX20" s="316">
        <f>AX19+AX12</f>
        <v>150000</v>
      </c>
      <c r="AY20" s="269">
        <f>AY19+AY12</f>
        <v>150000</v>
      </c>
      <c r="AZ20" s="269">
        <f>AZ19+AZ12</f>
        <v>150000</v>
      </c>
      <c r="BA20" s="268">
        <f t="shared" si="15"/>
        <v>0</v>
      </c>
      <c r="BB20" s="316">
        <f>BB19+BB12</f>
        <v>0</v>
      </c>
      <c r="BC20" s="269">
        <f>BC19+BC12</f>
        <v>0</v>
      </c>
      <c r="BD20" s="269">
        <f>BD19+BD12</f>
        <v>0</v>
      </c>
      <c r="BE20" s="268">
        <f t="shared" si="16"/>
        <v>0</v>
      </c>
      <c r="BF20" s="316">
        <f>BF19+BF12</f>
        <v>61600</v>
      </c>
      <c r="BG20" s="269">
        <f>BG19+BG12</f>
        <v>61600</v>
      </c>
      <c r="BH20" s="269">
        <f>BH19+BH12</f>
        <v>61600</v>
      </c>
      <c r="BI20" s="268">
        <f t="shared" si="17"/>
        <v>0</v>
      </c>
      <c r="BJ20" s="318">
        <f t="shared" si="18"/>
        <v>1611600</v>
      </c>
      <c r="BK20" s="275">
        <f t="shared" si="19"/>
        <v>2886830</v>
      </c>
      <c r="BL20" s="275">
        <f t="shared" si="20"/>
        <v>3373041</v>
      </c>
      <c r="BM20" s="276">
        <f t="shared" si="21"/>
        <v>486211</v>
      </c>
      <c r="BN20" s="319">
        <f>BN19+BN12</f>
        <v>214501176</v>
      </c>
      <c r="BO20" s="278">
        <f>BO19+BO12</f>
        <v>304666616</v>
      </c>
      <c r="BP20" s="278">
        <f>BP19+BP12</f>
        <v>314116466</v>
      </c>
      <c r="BQ20" s="279">
        <f t="shared" si="22"/>
        <v>9449850</v>
      </c>
      <c r="BR20" s="316">
        <f>BR19+BR12</f>
        <v>1713792596</v>
      </c>
      <c r="BS20" s="280">
        <f>BS19+BS12</f>
        <v>1917790661</v>
      </c>
      <c r="BT20" s="280">
        <f>BT19+BT12</f>
        <v>1994516456</v>
      </c>
      <c r="BU20" s="281">
        <f t="shared" si="23"/>
        <v>76725795</v>
      </c>
      <c r="BV20" s="320">
        <f>BV19+BV12</f>
        <v>1928293772</v>
      </c>
      <c r="BW20" s="280">
        <f>BW19+BW12</f>
        <v>2222457277</v>
      </c>
      <c r="BX20" s="280">
        <f>BX19+BX12</f>
        <v>2308632922</v>
      </c>
      <c r="BY20" s="281">
        <f t="shared" si="24"/>
        <v>86175645</v>
      </c>
      <c r="BZ20" s="321">
        <f aca="true" t="shared" si="48" ref="BZ20:CF20">BZ19+BZ12</f>
        <v>1928293772</v>
      </c>
      <c r="CA20" s="321">
        <f t="shared" si="48"/>
        <v>2222457277</v>
      </c>
      <c r="CB20" s="321">
        <f t="shared" si="48"/>
        <v>2308632922</v>
      </c>
      <c r="CC20" s="321">
        <f t="shared" si="48"/>
        <v>86175645</v>
      </c>
      <c r="CD20" s="322">
        <f t="shared" si="48"/>
        <v>1632744583</v>
      </c>
      <c r="CE20" s="285">
        <f t="shared" si="48"/>
        <v>1694280694</v>
      </c>
      <c r="CF20" s="285">
        <f t="shared" si="48"/>
        <v>1694951805</v>
      </c>
      <c r="CG20" s="286">
        <f t="shared" si="26"/>
        <v>671111</v>
      </c>
      <c r="CH20" s="323">
        <f aca="true" t="shared" si="49" ref="CH20:CO20">CH19+CH12</f>
        <v>137688</v>
      </c>
      <c r="CI20" s="285">
        <f t="shared" si="49"/>
        <v>138788</v>
      </c>
      <c r="CJ20" s="285">
        <f t="shared" si="49"/>
        <v>139888</v>
      </c>
      <c r="CK20" s="286">
        <f t="shared" si="49"/>
        <v>1100</v>
      </c>
      <c r="CL20" s="322">
        <f t="shared" si="49"/>
        <v>0</v>
      </c>
      <c r="CM20" s="285">
        <f t="shared" si="49"/>
        <v>0</v>
      </c>
      <c r="CN20" s="285">
        <f t="shared" si="49"/>
        <v>0</v>
      </c>
      <c r="CO20" s="286">
        <f t="shared" si="49"/>
        <v>0</v>
      </c>
      <c r="CP20" s="288"/>
      <c r="CQ20" s="212">
        <f t="shared" si="28"/>
        <v>1694419482</v>
      </c>
    </row>
    <row r="21" spans="1:95" s="9" customFormat="1" ht="13.5">
      <c r="A21" s="324" t="s">
        <v>65</v>
      </c>
      <c r="B21" s="114">
        <f>SUM(B22:B23)</f>
        <v>0</v>
      </c>
      <c r="C21" s="61">
        <f>SUM(C22:C23)</f>
        <v>178626</v>
      </c>
      <c r="D21" s="61">
        <f>SUM(D22:D23)</f>
        <v>178626</v>
      </c>
      <c r="E21" s="62">
        <f t="shared" si="0"/>
        <v>0</v>
      </c>
      <c r="F21" s="325">
        <f>SUM(F22:F23)</f>
        <v>0</v>
      </c>
      <c r="G21" s="61">
        <f>SUM(G22:G23)</f>
        <v>13173309</v>
      </c>
      <c r="H21" s="61">
        <f>SUM(H22:H23)</f>
        <v>13173309</v>
      </c>
      <c r="I21" s="62">
        <f t="shared" si="1"/>
        <v>0</v>
      </c>
      <c r="J21" s="61">
        <f>SUM(J22:J23)</f>
        <v>0</v>
      </c>
      <c r="K21" s="61">
        <f>SUM(K22:K23)</f>
        <v>10137507</v>
      </c>
      <c r="L21" s="61">
        <f>SUM(L22:L23)</f>
        <v>10137507</v>
      </c>
      <c r="M21" s="62">
        <f t="shared" si="2"/>
        <v>0</v>
      </c>
      <c r="N21" s="114">
        <f>SUM(N22:N23)</f>
        <v>16000000</v>
      </c>
      <c r="O21" s="325">
        <f>SUM(O22:O23)</f>
        <v>17165396</v>
      </c>
      <c r="P21" s="325">
        <f>SUM(P22:P23)</f>
        <v>17165396</v>
      </c>
      <c r="Q21" s="62">
        <f t="shared" si="3"/>
        <v>0</v>
      </c>
      <c r="R21" s="114">
        <f>SUM(R22:R23)</f>
        <v>0</v>
      </c>
      <c r="S21" s="325">
        <f>SUM(S22:S23)</f>
        <v>8636768</v>
      </c>
      <c r="T21" s="325">
        <f>SUM(T22:T23)</f>
        <v>8636768</v>
      </c>
      <c r="U21" s="62">
        <f t="shared" si="4"/>
        <v>0</v>
      </c>
      <c r="V21" s="114">
        <f>SUM(V22:V23)</f>
        <v>0</v>
      </c>
      <c r="W21" s="325">
        <f>SUM(W22:W23)</f>
        <v>4603502</v>
      </c>
      <c r="X21" s="325">
        <f>SUM(X22:X23)</f>
        <v>4603502</v>
      </c>
      <c r="Y21" s="62">
        <f t="shared" si="5"/>
        <v>0</v>
      </c>
      <c r="Z21" s="114">
        <f>SUM(Z22:Z23)</f>
        <v>0</v>
      </c>
      <c r="AA21" s="325">
        <f>SUM(AA22:AA23)</f>
        <v>796843</v>
      </c>
      <c r="AB21" s="325">
        <f>SUM(AB22:AB23)</f>
        <v>796843</v>
      </c>
      <c r="AC21" s="62">
        <f t="shared" si="6"/>
        <v>0</v>
      </c>
      <c r="AD21" s="114">
        <f>SUM(AD22:AD23)</f>
        <v>0</v>
      </c>
      <c r="AE21" s="325">
        <f>SUM(AE22:AE23)</f>
        <v>3404677</v>
      </c>
      <c r="AF21" s="325">
        <f>SUM(AF22:AF23)</f>
        <v>3404677</v>
      </c>
      <c r="AG21" s="62">
        <f t="shared" si="7"/>
        <v>0</v>
      </c>
      <c r="AH21" s="114">
        <f>SUM(AH22:AH23)</f>
        <v>0</v>
      </c>
      <c r="AI21" s="325">
        <f>SUM(AI22:AI23)</f>
        <v>1848434</v>
      </c>
      <c r="AJ21" s="325">
        <f>SUM(AJ22:AJ23)</f>
        <v>1848434</v>
      </c>
      <c r="AK21" s="62">
        <f t="shared" si="8"/>
        <v>0</v>
      </c>
      <c r="AL21" s="114">
        <f>SUM(AL22:AL23)</f>
        <v>0</v>
      </c>
      <c r="AM21" s="325">
        <f>SUM(AM22:AM23)</f>
        <v>1454934</v>
      </c>
      <c r="AN21" s="325">
        <f>SUM(AN22:AN23)</f>
        <v>1454934</v>
      </c>
      <c r="AO21" s="62">
        <f t="shared" si="9"/>
        <v>0</v>
      </c>
      <c r="AP21" s="326">
        <f t="shared" si="10"/>
        <v>0</v>
      </c>
      <c r="AQ21" s="327">
        <f t="shared" si="11"/>
        <v>12108390</v>
      </c>
      <c r="AR21" s="327">
        <f t="shared" si="12"/>
        <v>12108390</v>
      </c>
      <c r="AS21" s="328">
        <f t="shared" si="13"/>
        <v>0</v>
      </c>
      <c r="AT21" s="114">
        <f>SUM(AT22:AT23)</f>
        <v>0</v>
      </c>
      <c r="AU21" s="325">
        <f>SUM(AU22:AU23)</f>
        <v>4488003</v>
      </c>
      <c r="AV21" s="325">
        <f>SUM(AV22:AV23)</f>
        <v>4488003</v>
      </c>
      <c r="AW21" s="62">
        <f t="shared" si="14"/>
        <v>0</v>
      </c>
      <c r="AX21" s="114">
        <f>SUM(AX22:AX23)</f>
        <v>0</v>
      </c>
      <c r="AY21" s="325">
        <f>SUM(AY22:AY23)</f>
        <v>963255</v>
      </c>
      <c r="AZ21" s="325">
        <f>SUM(AZ22:AZ23)</f>
        <v>963255</v>
      </c>
      <c r="BA21" s="62">
        <f t="shared" si="15"/>
        <v>0</v>
      </c>
      <c r="BB21" s="114">
        <f>SUM(BB22:BB23)</f>
        <v>0</v>
      </c>
      <c r="BC21" s="325">
        <f>SUM(BC22:BC23)</f>
        <v>1180425</v>
      </c>
      <c r="BD21" s="325">
        <f>SUM(BD22:BD23)</f>
        <v>1180425</v>
      </c>
      <c r="BE21" s="62">
        <f t="shared" si="16"/>
        <v>0</v>
      </c>
      <c r="BF21" s="114">
        <f>SUM(BF22:BF23)</f>
        <v>0</v>
      </c>
      <c r="BG21" s="325">
        <f>SUM(BG22:BG23)</f>
        <v>1059947</v>
      </c>
      <c r="BH21" s="325">
        <f>SUM(BH22:BH23)</f>
        <v>1059947</v>
      </c>
      <c r="BI21" s="62">
        <f t="shared" si="17"/>
        <v>0</v>
      </c>
      <c r="BJ21" s="329">
        <f t="shared" si="18"/>
        <v>0</v>
      </c>
      <c r="BK21" s="330">
        <f t="shared" si="19"/>
        <v>7691630</v>
      </c>
      <c r="BL21" s="330">
        <f t="shared" si="20"/>
        <v>7691630</v>
      </c>
      <c r="BM21" s="331">
        <f t="shared" si="21"/>
        <v>0</v>
      </c>
      <c r="BN21" s="332">
        <f>SUM(BN22:BN23)</f>
        <v>16000000</v>
      </c>
      <c r="BO21" s="333">
        <f>SUM(BO22:BO23)</f>
        <v>69091626</v>
      </c>
      <c r="BP21" s="333">
        <f>SUM(BP22:BP23)</f>
        <v>69091626</v>
      </c>
      <c r="BQ21" s="334">
        <f t="shared" si="22"/>
        <v>0</v>
      </c>
      <c r="BR21" s="114">
        <f>SUM(BR22:BR23)</f>
        <v>1353911367</v>
      </c>
      <c r="BS21" s="335">
        <f>SUM(BS22:BS23)</f>
        <v>1398082216</v>
      </c>
      <c r="BT21" s="335">
        <f>SUM(BT22:BT23)</f>
        <v>1398082216</v>
      </c>
      <c r="BU21" s="336">
        <f t="shared" si="23"/>
        <v>0</v>
      </c>
      <c r="BV21" s="337">
        <f>SUM(BV22:BV23)</f>
        <v>1369911367</v>
      </c>
      <c r="BW21" s="338">
        <f>SUM(BW22:BW23)</f>
        <v>1467173842</v>
      </c>
      <c r="BX21" s="338">
        <f>SUM(BX22:BX23)</f>
        <v>1467173842</v>
      </c>
      <c r="BY21" s="334">
        <f t="shared" si="24"/>
        <v>0</v>
      </c>
      <c r="BZ21" s="339">
        <f aca="true" t="shared" si="50" ref="BZ21:CF21">SUM(BZ22:BZ23)</f>
        <v>1369911367</v>
      </c>
      <c r="CA21" s="339">
        <f t="shared" si="50"/>
        <v>1467173842</v>
      </c>
      <c r="CB21" s="339">
        <f t="shared" si="50"/>
        <v>1467173842</v>
      </c>
      <c r="CC21" s="339">
        <f t="shared" si="50"/>
        <v>0</v>
      </c>
      <c r="CD21" s="340">
        <f t="shared" si="50"/>
        <v>105275000</v>
      </c>
      <c r="CE21" s="341">
        <f t="shared" si="50"/>
        <v>160247720</v>
      </c>
      <c r="CF21" s="341">
        <f t="shared" si="50"/>
        <v>160247720</v>
      </c>
      <c r="CG21" s="342">
        <f t="shared" si="26"/>
        <v>0</v>
      </c>
      <c r="CH21" s="343">
        <f aca="true" t="shared" si="51" ref="CH21:CO21">SUM(CH22:CH23)</f>
        <v>0</v>
      </c>
      <c r="CI21" s="341">
        <f t="shared" si="51"/>
        <v>0</v>
      </c>
      <c r="CJ21" s="341">
        <f t="shared" si="51"/>
        <v>0</v>
      </c>
      <c r="CK21" s="342">
        <f t="shared" si="51"/>
        <v>0</v>
      </c>
      <c r="CL21" s="340">
        <f t="shared" si="51"/>
        <v>0</v>
      </c>
      <c r="CM21" s="341">
        <f t="shared" si="51"/>
        <v>0</v>
      </c>
      <c r="CN21" s="341">
        <f t="shared" si="51"/>
        <v>0</v>
      </c>
      <c r="CO21" s="342">
        <f t="shared" si="51"/>
        <v>0</v>
      </c>
      <c r="CP21" s="211"/>
      <c r="CQ21" s="212">
        <f t="shared" si="28"/>
        <v>160247720</v>
      </c>
    </row>
    <row r="22" spans="1:95" s="9" customFormat="1" ht="13.5">
      <c r="A22" s="292" t="s">
        <v>101</v>
      </c>
      <c r="B22" s="115"/>
      <c r="C22" s="77">
        <v>178626</v>
      </c>
      <c r="D22" s="77">
        <v>178626</v>
      </c>
      <c r="E22" s="75">
        <f t="shared" si="0"/>
        <v>0</v>
      </c>
      <c r="F22" s="214"/>
      <c r="G22" s="77">
        <v>13173309</v>
      </c>
      <c r="H22" s="77">
        <v>13173309</v>
      </c>
      <c r="I22" s="75">
        <f t="shared" si="1"/>
        <v>0</v>
      </c>
      <c r="J22" s="77"/>
      <c r="K22" s="77">
        <v>10137507</v>
      </c>
      <c r="L22" s="77">
        <v>10137507</v>
      </c>
      <c r="M22" s="75">
        <f t="shared" si="2"/>
        <v>0</v>
      </c>
      <c r="N22" s="115">
        <v>16000000</v>
      </c>
      <c r="O22" s="214">
        <v>17165396</v>
      </c>
      <c r="P22" s="214">
        <v>17165396</v>
      </c>
      <c r="Q22" s="75">
        <f t="shared" si="3"/>
        <v>0</v>
      </c>
      <c r="R22" s="115"/>
      <c r="S22" s="214">
        <v>8636768</v>
      </c>
      <c r="T22" s="214">
        <v>8636768</v>
      </c>
      <c r="U22" s="75">
        <f t="shared" si="4"/>
        <v>0</v>
      </c>
      <c r="V22" s="115"/>
      <c r="W22" s="214">
        <v>4603502</v>
      </c>
      <c r="X22" s="214">
        <v>4603502</v>
      </c>
      <c r="Y22" s="75">
        <f t="shared" si="5"/>
        <v>0</v>
      </c>
      <c r="Z22" s="115"/>
      <c r="AA22" s="214">
        <v>796843</v>
      </c>
      <c r="AB22" s="214">
        <v>796843</v>
      </c>
      <c r="AC22" s="75">
        <f t="shared" si="6"/>
        <v>0</v>
      </c>
      <c r="AD22" s="115"/>
      <c r="AE22" s="214">
        <v>3404677</v>
      </c>
      <c r="AF22" s="214">
        <v>3404677</v>
      </c>
      <c r="AG22" s="75">
        <f t="shared" si="7"/>
        <v>0</v>
      </c>
      <c r="AH22" s="115"/>
      <c r="AI22" s="214">
        <v>1848434</v>
      </c>
      <c r="AJ22" s="214">
        <v>1848434</v>
      </c>
      <c r="AK22" s="75">
        <f t="shared" si="8"/>
        <v>0</v>
      </c>
      <c r="AL22" s="115"/>
      <c r="AM22" s="214">
        <v>1454934</v>
      </c>
      <c r="AN22" s="214">
        <v>1454934</v>
      </c>
      <c r="AO22" s="75">
        <f t="shared" si="9"/>
        <v>0</v>
      </c>
      <c r="AP22" s="215">
        <f t="shared" si="10"/>
        <v>0</v>
      </c>
      <c r="AQ22" s="216">
        <f t="shared" si="11"/>
        <v>12108390</v>
      </c>
      <c r="AR22" s="216">
        <f t="shared" si="12"/>
        <v>12108390</v>
      </c>
      <c r="AS22" s="217">
        <f t="shared" si="13"/>
        <v>0</v>
      </c>
      <c r="AT22" s="115"/>
      <c r="AU22" s="214">
        <v>4488003</v>
      </c>
      <c r="AV22" s="214">
        <v>4488003</v>
      </c>
      <c r="AW22" s="75">
        <f t="shared" si="14"/>
        <v>0</v>
      </c>
      <c r="AX22" s="115"/>
      <c r="AY22" s="214">
        <v>963255</v>
      </c>
      <c r="AZ22" s="214">
        <v>963255</v>
      </c>
      <c r="BA22" s="75">
        <f t="shared" si="15"/>
        <v>0</v>
      </c>
      <c r="BB22" s="115"/>
      <c r="BC22" s="214">
        <v>1180425</v>
      </c>
      <c r="BD22" s="214">
        <v>1180425</v>
      </c>
      <c r="BE22" s="75">
        <f t="shared" si="16"/>
        <v>0</v>
      </c>
      <c r="BF22" s="115"/>
      <c r="BG22" s="214">
        <v>1059947</v>
      </c>
      <c r="BH22" s="214">
        <v>1059947</v>
      </c>
      <c r="BI22" s="75">
        <f t="shared" si="17"/>
        <v>0</v>
      </c>
      <c r="BJ22" s="218">
        <f t="shared" si="18"/>
        <v>0</v>
      </c>
      <c r="BK22" s="219">
        <f t="shared" si="19"/>
        <v>7691630</v>
      </c>
      <c r="BL22" s="219">
        <f t="shared" si="20"/>
        <v>7691630</v>
      </c>
      <c r="BM22" s="220">
        <f t="shared" si="21"/>
        <v>0</v>
      </c>
      <c r="BN22" s="221">
        <f aca="true" t="shared" si="52" ref="BN22:BP24">B22+F22+J22+N22+R22+BJ22+AP22</f>
        <v>16000000</v>
      </c>
      <c r="BO22" s="232">
        <f t="shared" si="52"/>
        <v>69091626</v>
      </c>
      <c r="BP22" s="232">
        <f t="shared" si="52"/>
        <v>69091626</v>
      </c>
      <c r="BQ22" s="222">
        <f t="shared" si="22"/>
        <v>0</v>
      </c>
      <c r="BR22" s="115">
        <v>213179577</v>
      </c>
      <c r="BS22" s="77">
        <f>257350426+1676400-419581</f>
        <v>258607245</v>
      </c>
      <c r="BT22" s="77">
        <f>257350426+1676400-419581</f>
        <v>258607245</v>
      </c>
      <c r="BU22" s="223">
        <f t="shared" si="23"/>
        <v>0</v>
      </c>
      <c r="BV22" s="224">
        <f aca="true" t="shared" si="53" ref="BV22:BX24">BR22+BN22</f>
        <v>229179577</v>
      </c>
      <c r="BW22" s="225">
        <f t="shared" si="53"/>
        <v>327698871</v>
      </c>
      <c r="BX22" s="225">
        <f t="shared" si="53"/>
        <v>327698871</v>
      </c>
      <c r="BY22" s="222">
        <f t="shared" si="24"/>
        <v>0</v>
      </c>
      <c r="BZ22" s="226">
        <f aca="true" t="shared" si="54" ref="BZ22:CC23">BV22</f>
        <v>229179577</v>
      </c>
      <c r="CA22" s="226">
        <f t="shared" si="54"/>
        <v>327698871</v>
      </c>
      <c r="CB22" s="226">
        <f t="shared" si="54"/>
        <v>327698871</v>
      </c>
      <c r="CC22" s="226">
        <f t="shared" si="54"/>
        <v>0</v>
      </c>
      <c r="CD22" s="227">
        <v>85000000</v>
      </c>
      <c r="CE22" s="228">
        <f>CD22+54972720</f>
        <v>139972720</v>
      </c>
      <c r="CF22" s="228">
        <f>CE22+0</f>
        <v>139972720</v>
      </c>
      <c r="CG22" s="229">
        <f t="shared" si="26"/>
        <v>0</v>
      </c>
      <c r="CH22" s="230"/>
      <c r="CI22" s="228">
        <f aca="true" t="shared" si="55" ref="CI22:CJ24">CH22</f>
        <v>0</v>
      </c>
      <c r="CJ22" s="228">
        <f t="shared" si="55"/>
        <v>0</v>
      </c>
      <c r="CK22" s="229">
        <f>CI22-CH22</f>
        <v>0</v>
      </c>
      <c r="CL22" s="227"/>
      <c r="CM22" s="228">
        <f aca="true" t="shared" si="56" ref="CM22:CN24">CL22</f>
        <v>0</v>
      </c>
      <c r="CN22" s="228">
        <f t="shared" si="56"/>
        <v>0</v>
      </c>
      <c r="CO22" s="229">
        <f>CM22-CL22</f>
        <v>0</v>
      </c>
      <c r="CP22" s="231"/>
      <c r="CQ22" s="212">
        <f t="shared" si="28"/>
        <v>139972720</v>
      </c>
    </row>
    <row r="23" spans="1:95" s="9" customFormat="1" ht="13.5">
      <c r="A23" s="344" t="s">
        <v>102</v>
      </c>
      <c r="B23" s="115"/>
      <c r="C23" s="77"/>
      <c r="D23" s="77"/>
      <c r="E23" s="75">
        <f t="shared" si="0"/>
        <v>0</v>
      </c>
      <c r="F23" s="301"/>
      <c r="G23" s="77"/>
      <c r="H23" s="77"/>
      <c r="I23" s="75">
        <f t="shared" si="1"/>
        <v>0</v>
      </c>
      <c r="J23" s="123"/>
      <c r="K23" s="77"/>
      <c r="L23" s="77"/>
      <c r="M23" s="75">
        <f t="shared" si="2"/>
        <v>0</v>
      </c>
      <c r="N23" s="122"/>
      <c r="O23" s="214"/>
      <c r="P23" s="214"/>
      <c r="Q23" s="75">
        <f t="shared" si="3"/>
        <v>0</v>
      </c>
      <c r="R23" s="122"/>
      <c r="S23" s="214"/>
      <c r="T23" s="214"/>
      <c r="U23" s="75">
        <f t="shared" si="4"/>
        <v>0</v>
      </c>
      <c r="V23" s="122"/>
      <c r="W23" s="214"/>
      <c r="X23" s="214"/>
      <c r="Y23" s="75">
        <f t="shared" si="5"/>
        <v>0</v>
      </c>
      <c r="Z23" s="122"/>
      <c r="AA23" s="214"/>
      <c r="AB23" s="214"/>
      <c r="AC23" s="75">
        <f t="shared" si="6"/>
        <v>0</v>
      </c>
      <c r="AD23" s="122"/>
      <c r="AE23" s="214"/>
      <c r="AF23" s="214"/>
      <c r="AG23" s="75">
        <f t="shared" si="7"/>
        <v>0</v>
      </c>
      <c r="AH23" s="122"/>
      <c r="AI23" s="214"/>
      <c r="AJ23" s="214"/>
      <c r="AK23" s="75">
        <f t="shared" si="8"/>
        <v>0</v>
      </c>
      <c r="AL23" s="122"/>
      <c r="AM23" s="214"/>
      <c r="AN23" s="214"/>
      <c r="AO23" s="75">
        <f t="shared" si="9"/>
        <v>0</v>
      </c>
      <c r="AP23" s="302">
        <f t="shared" si="10"/>
        <v>0</v>
      </c>
      <c r="AQ23" s="216">
        <f t="shared" si="11"/>
        <v>0</v>
      </c>
      <c r="AR23" s="216">
        <f t="shared" si="12"/>
        <v>0</v>
      </c>
      <c r="AS23" s="217">
        <f t="shared" si="13"/>
        <v>0</v>
      </c>
      <c r="AT23" s="122"/>
      <c r="AU23" s="214"/>
      <c r="AV23" s="214"/>
      <c r="AW23" s="75">
        <f t="shared" si="14"/>
        <v>0</v>
      </c>
      <c r="AX23" s="122"/>
      <c r="AY23" s="214"/>
      <c r="AZ23" s="214"/>
      <c r="BA23" s="75">
        <f t="shared" si="15"/>
        <v>0</v>
      </c>
      <c r="BB23" s="122"/>
      <c r="BC23" s="214"/>
      <c r="BD23" s="214"/>
      <c r="BE23" s="75">
        <f t="shared" si="16"/>
        <v>0</v>
      </c>
      <c r="BF23" s="122"/>
      <c r="BG23" s="214"/>
      <c r="BH23" s="214"/>
      <c r="BI23" s="75">
        <f t="shared" si="17"/>
        <v>0</v>
      </c>
      <c r="BJ23" s="305">
        <f t="shared" si="18"/>
        <v>0</v>
      </c>
      <c r="BK23" s="219">
        <f t="shared" si="19"/>
        <v>0</v>
      </c>
      <c r="BL23" s="219">
        <f t="shared" si="20"/>
        <v>0</v>
      </c>
      <c r="BM23" s="220">
        <f t="shared" si="21"/>
        <v>0</v>
      </c>
      <c r="BN23" s="345">
        <f t="shared" si="52"/>
        <v>0</v>
      </c>
      <c r="BO23" s="232">
        <f t="shared" si="52"/>
        <v>0</v>
      </c>
      <c r="BP23" s="232">
        <f t="shared" si="52"/>
        <v>0</v>
      </c>
      <c r="BQ23" s="222">
        <f t="shared" si="22"/>
        <v>0</v>
      </c>
      <c r="BR23" s="122">
        <v>1140731790</v>
      </c>
      <c r="BS23" s="77">
        <f>1140731790-1676400+419581</f>
        <v>1139474971</v>
      </c>
      <c r="BT23" s="77">
        <f>1140731790-1676400+419581</f>
        <v>1139474971</v>
      </c>
      <c r="BU23" s="223">
        <f t="shared" si="23"/>
        <v>0</v>
      </c>
      <c r="BV23" s="259">
        <f t="shared" si="53"/>
        <v>1140731790</v>
      </c>
      <c r="BW23" s="225">
        <f t="shared" si="53"/>
        <v>1139474971</v>
      </c>
      <c r="BX23" s="225">
        <f t="shared" si="53"/>
        <v>1139474971</v>
      </c>
      <c r="BY23" s="222">
        <f t="shared" si="24"/>
        <v>0</v>
      </c>
      <c r="BZ23" s="308">
        <f t="shared" si="54"/>
        <v>1140731790</v>
      </c>
      <c r="CA23" s="308">
        <f t="shared" si="54"/>
        <v>1139474971</v>
      </c>
      <c r="CB23" s="308">
        <f t="shared" si="54"/>
        <v>1139474971</v>
      </c>
      <c r="CC23" s="308">
        <f t="shared" si="54"/>
        <v>0</v>
      </c>
      <c r="CD23" s="309">
        <v>20275000</v>
      </c>
      <c r="CE23" s="228">
        <f>CD23</f>
        <v>20275000</v>
      </c>
      <c r="CF23" s="228">
        <f>CE23</f>
        <v>20275000</v>
      </c>
      <c r="CG23" s="229">
        <f t="shared" si="26"/>
        <v>0</v>
      </c>
      <c r="CH23" s="312"/>
      <c r="CI23" s="228">
        <f t="shared" si="55"/>
        <v>0</v>
      </c>
      <c r="CJ23" s="228">
        <f t="shared" si="55"/>
        <v>0</v>
      </c>
      <c r="CK23" s="229">
        <f>CI23-CH23</f>
        <v>0</v>
      </c>
      <c r="CL23" s="309"/>
      <c r="CM23" s="228">
        <f t="shared" si="56"/>
        <v>0</v>
      </c>
      <c r="CN23" s="228">
        <f t="shared" si="56"/>
        <v>0</v>
      </c>
      <c r="CO23" s="229">
        <f>CM23-CL23</f>
        <v>0</v>
      </c>
      <c r="CP23" s="231"/>
      <c r="CQ23" s="212">
        <f t="shared" si="28"/>
        <v>20275000</v>
      </c>
    </row>
    <row r="24" spans="1:95" s="9" customFormat="1" ht="14.25" thickBot="1">
      <c r="A24" s="346" t="s">
        <v>126</v>
      </c>
      <c r="B24" s="124">
        <v>41898470</v>
      </c>
      <c r="C24" s="125">
        <v>45650345</v>
      </c>
      <c r="D24" s="125">
        <v>46317519</v>
      </c>
      <c r="E24" s="20">
        <f t="shared" si="0"/>
        <v>667174</v>
      </c>
      <c r="F24" s="347">
        <v>68918613</v>
      </c>
      <c r="G24" s="125">
        <v>50869908</v>
      </c>
      <c r="H24" s="125">
        <v>51617033</v>
      </c>
      <c r="I24" s="20">
        <f t="shared" si="1"/>
        <v>747125</v>
      </c>
      <c r="J24" s="125">
        <v>45831543</v>
      </c>
      <c r="K24" s="125">
        <v>46776193</v>
      </c>
      <c r="L24" s="125">
        <v>49809074</v>
      </c>
      <c r="M24" s="20">
        <f t="shared" si="2"/>
        <v>3032881</v>
      </c>
      <c r="N24" s="124">
        <v>311480037</v>
      </c>
      <c r="O24" s="347">
        <v>311135153</v>
      </c>
      <c r="P24" s="347">
        <v>311199143</v>
      </c>
      <c r="Q24" s="20">
        <f t="shared" si="3"/>
        <v>63990</v>
      </c>
      <c r="R24" s="124">
        <v>139824343</v>
      </c>
      <c r="S24" s="347">
        <v>160350492</v>
      </c>
      <c r="T24" s="347">
        <v>168399293</v>
      </c>
      <c r="U24" s="20">
        <f t="shared" si="4"/>
        <v>8048801</v>
      </c>
      <c r="V24" s="124">
        <v>85586981</v>
      </c>
      <c r="W24" s="347">
        <v>85196271</v>
      </c>
      <c r="X24" s="347">
        <v>85236039</v>
      </c>
      <c r="Y24" s="20">
        <f t="shared" si="5"/>
        <v>39768</v>
      </c>
      <c r="Z24" s="124">
        <v>27521589</v>
      </c>
      <c r="AA24" s="347">
        <v>27623065</v>
      </c>
      <c r="AB24" s="347">
        <v>27623065</v>
      </c>
      <c r="AC24" s="20">
        <f t="shared" si="6"/>
        <v>0</v>
      </c>
      <c r="AD24" s="124">
        <v>51464936</v>
      </c>
      <c r="AE24" s="347">
        <v>51614676</v>
      </c>
      <c r="AF24" s="347">
        <v>51664149</v>
      </c>
      <c r="AG24" s="20">
        <f t="shared" si="7"/>
        <v>49473</v>
      </c>
      <c r="AH24" s="124">
        <v>19334953</v>
      </c>
      <c r="AI24" s="347">
        <v>19455119</v>
      </c>
      <c r="AJ24" s="347">
        <v>19494554</v>
      </c>
      <c r="AK24" s="20">
        <f t="shared" si="8"/>
        <v>39435</v>
      </c>
      <c r="AL24" s="124">
        <v>14208750</v>
      </c>
      <c r="AM24" s="347">
        <v>14208750</v>
      </c>
      <c r="AN24" s="347">
        <v>14208750</v>
      </c>
      <c r="AO24" s="20">
        <f t="shared" si="9"/>
        <v>0</v>
      </c>
      <c r="AP24" s="348">
        <f t="shared" si="10"/>
        <v>198117209</v>
      </c>
      <c r="AQ24" s="349">
        <f t="shared" si="11"/>
        <v>198097881</v>
      </c>
      <c r="AR24" s="349">
        <f t="shared" si="12"/>
        <v>198226557</v>
      </c>
      <c r="AS24" s="350">
        <f t="shared" si="13"/>
        <v>128676</v>
      </c>
      <c r="AT24" s="124">
        <v>83125714</v>
      </c>
      <c r="AU24" s="347">
        <v>82868359</v>
      </c>
      <c r="AV24" s="347">
        <v>82926903</v>
      </c>
      <c r="AW24" s="20">
        <f t="shared" si="14"/>
        <v>58544</v>
      </c>
      <c r="AX24" s="124">
        <v>22825244</v>
      </c>
      <c r="AY24" s="347">
        <v>22877678</v>
      </c>
      <c r="AZ24" s="347">
        <v>22893452</v>
      </c>
      <c r="BA24" s="20">
        <f t="shared" si="15"/>
        <v>15774</v>
      </c>
      <c r="BB24" s="124">
        <v>0</v>
      </c>
      <c r="BC24" s="347">
        <v>0</v>
      </c>
      <c r="BD24" s="347">
        <v>0</v>
      </c>
      <c r="BE24" s="20">
        <f t="shared" si="16"/>
        <v>0</v>
      </c>
      <c r="BF24" s="124">
        <v>14950977</v>
      </c>
      <c r="BG24" s="347">
        <v>14950977</v>
      </c>
      <c r="BH24" s="347">
        <v>14950977</v>
      </c>
      <c r="BI24" s="20">
        <f t="shared" si="17"/>
        <v>0</v>
      </c>
      <c r="BJ24" s="351">
        <f t="shared" si="18"/>
        <v>120901935</v>
      </c>
      <c r="BK24" s="352">
        <f t="shared" si="19"/>
        <v>120697014</v>
      </c>
      <c r="BL24" s="352">
        <f t="shared" si="20"/>
        <v>120771332</v>
      </c>
      <c r="BM24" s="353">
        <f t="shared" si="21"/>
        <v>74318</v>
      </c>
      <c r="BN24" s="354">
        <f t="shared" si="52"/>
        <v>926972150</v>
      </c>
      <c r="BO24" s="355">
        <f t="shared" si="52"/>
        <v>933576986</v>
      </c>
      <c r="BP24" s="355">
        <f t="shared" si="52"/>
        <v>946339951</v>
      </c>
      <c r="BQ24" s="356">
        <f t="shared" si="22"/>
        <v>12762965</v>
      </c>
      <c r="BR24" s="124"/>
      <c r="BS24" s="357"/>
      <c r="BT24" s="357">
        <f>BR24</f>
        <v>0</v>
      </c>
      <c r="BU24" s="358">
        <f t="shared" si="23"/>
        <v>0</v>
      </c>
      <c r="BV24" s="359">
        <f t="shared" si="53"/>
        <v>926972150</v>
      </c>
      <c r="BW24" s="360">
        <f t="shared" si="53"/>
        <v>933576986</v>
      </c>
      <c r="BX24" s="360">
        <f t="shared" si="53"/>
        <v>946339951</v>
      </c>
      <c r="BY24" s="356">
        <f t="shared" si="24"/>
        <v>12762965</v>
      </c>
      <c r="BZ24" s="361">
        <f>BN24-BV24</f>
        <v>0</v>
      </c>
      <c r="CA24" s="361">
        <f>BW24-BO24</f>
        <v>0</v>
      </c>
      <c r="CB24" s="361">
        <f>BX24-BP24</f>
        <v>0</v>
      </c>
      <c r="CC24" s="361">
        <f>BY24-BQ24</f>
        <v>0</v>
      </c>
      <c r="CD24" s="362"/>
      <c r="CE24" s="363">
        <f>CD24</f>
        <v>0</v>
      </c>
      <c r="CF24" s="363">
        <f>CE24</f>
        <v>0</v>
      </c>
      <c r="CG24" s="364">
        <f t="shared" si="26"/>
        <v>0</v>
      </c>
      <c r="CH24" s="365"/>
      <c r="CI24" s="363">
        <f t="shared" si="55"/>
        <v>0</v>
      </c>
      <c r="CJ24" s="363">
        <f t="shared" si="55"/>
        <v>0</v>
      </c>
      <c r="CK24" s="364">
        <f>CI24-CH24</f>
        <v>0</v>
      </c>
      <c r="CL24" s="362"/>
      <c r="CM24" s="363">
        <f t="shared" si="56"/>
        <v>0</v>
      </c>
      <c r="CN24" s="363">
        <f t="shared" si="56"/>
        <v>0</v>
      </c>
      <c r="CO24" s="364">
        <f>CM24-CL24</f>
        <v>0</v>
      </c>
      <c r="CP24" s="211"/>
      <c r="CQ24" s="212">
        <f t="shared" si="28"/>
        <v>0</v>
      </c>
    </row>
    <row r="25" spans="1:95" s="11" customFormat="1" ht="15.75" customHeight="1" thickBot="1">
      <c r="A25" s="266" t="s">
        <v>103</v>
      </c>
      <c r="B25" s="267">
        <f>SUM(B21+B24)</f>
        <v>41898470</v>
      </c>
      <c r="C25" s="267">
        <f>SUM(C21+C24)</f>
        <v>45828971</v>
      </c>
      <c r="D25" s="267">
        <f>SUM(D21+D24)</f>
        <v>46496145</v>
      </c>
      <c r="E25" s="268">
        <f t="shared" si="0"/>
        <v>667174</v>
      </c>
      <c r="F25" s="269">
        <f>SUM(F21+F24)</f>
        <v>68918613</v>
      </c>
      <c r="G25" s="270">
        <f>SUM(G21+G24)</f>
        <v>64043217</v>
      </c>
      <c r="H25" s="270">
        <f>SUM(H21+H24)</f>
        <v>64790342</v>
      </c>
      <c r="I25" s="268">
        <f t="shared" si="1"/>
        <v>747125</v>
      </c>
      <c r="J25" s="270">
        <f>SUM(J21+J24)</f>
        <v>45831543</v>
      </c>
      <c r="K25" s="270">
        <f>SUM(K21+K24)</f>
        <v>56913700</v>
      </c>
      <c r="L25" s="270">
        <f>SUM(L21+L24)</f>
        <v>59946581</v>
      </c>
      <c r="M25" s="268">
        <f t="shared" si="2"/>
        <v>3032881</v>
      </c>
      <c r="N25" s="267">
        <f>SUM(N21+N24)</f>
        <v>327480037</v>
      </c>
      <c r="O25" s="269">
        <f>SUM(O21+O24)</f>
        <v>328300549</v>
      </c>
      <c r="P25" s="269">
        <f>SUM(P21+P24)</f>
        <v>328364539</v>
      </c>
      <c r="Q25" s="268">
        <f t="shared" si="3"/>
        <v>63990</v>
      </c>
      <c r="R25" s="267">
        <f>SUM(R21+R24)</f>
        <v>139824343</v>
      </c>
      <c r="S25" s="269">
        <f>SUM(S21+S24)</f>
        <v>168987260</v>
      </c>
      <c r="T25" s="269">
        <f>SUM(T21+T24)</f>
        <v>177036061</v>
      </c>
      <c r="U25" s="268">
        <f t="shared" si="4"/>
        <v>8048801</v>
      </c>
      <c r="V25" s="267">
        <f>SUM(V21+V24)</f>
        <v>85586981</v>
      </c>
      <c r="W25" s="269">
        <f>SUM(W21+W24)</f>
        <v>89799773</v>
      </c>
      <c r="X25" s="269">
        <f>SUM(X21+X24)</f>
        <v>89839541</v>
      </c>
      <c r="Y25" s="268">
        <f t="shared" si="5"/>
        <v>39768</v>
      </c>
      <c r="Z25" s="267">
        <f>SUM(Z21+Z24)</f>
        <v>27521589</v>
      </c>
      <c r="AA25" s="269">
        <f>SUM(AA21+AA24)</f>
        <v>28419908</v>
      </c>
      <c r="AB25" s="269">
        <f>SUM(AB21+AB24)</f>
        <v>28419908</v>
      </c>
      <c r="AC25" s="268">
        <f t="shared" si="6"/>
        <v>0</v>
      </c>
      <c r="AD25" s="267">
        <f>SUM(AD21+AD24)</f>
        <v>51464936</v>
      </c>
      <c r="AE25" s="269">
        <f>SUM(AE21+AE24)</f>
        <v>55019353</v>
      </c>
      <c r="AF25" s="269">
        <f>SUM(AF21+AF24)</f>
        <v>55068826</v>
      </c>
      <c r="AG25" s="268">
        <f t="shared" si="7"/>
        <v>49473</v>
      </c>
      <c r="AH25" s="267">
        <f>SUM(AH21+AH24)</f>
        <v>19334953</v>
      </c>
      <c r="AI25" s="269">
        <f>SUM(AI21+AI24)</f>
        <v>21303553</v>
      </c>
      <c r="AJ25" s="269">
        <f>SUM(AJ21+AJ24)</f>
        <v>21342988</v>
      </c>
      <c r="AK25" s="268">
        <f t="shared" si="8"/>
        <v>39435</v>
      </c>
      <c r="AL25" s="267">
        <f>SUM(AL21+AL24)</f>
        <v>14208750</v>
      </c>
      <c r="AM25" s="269">
        <f>SUM(AM21+AM24)</f>
        <v>15663684</v>
      </c>
      <c r="AN25" s="269">
        <f>SUM(AN21+AN24)</f>
        <v>15663684</v>
      </c>
      <c r="AO25" s="268">
        <f t="shared" si="9"/>
        <v>0</v>
      </c>
      <c r="AP25" s="271">
        <f t="shared" si="10"/>
        <v>198117209</v>
      </c>
      <c r="AQ25" s="272">
        <f t="shared" si="11"/>
        <v>210206271</v>
      </c>
      <c r="AR25" s="272">
        <f t="shared" si="12"/>
        <v>210334947</v>
      </c>
      <c r="AS25" s="273">
        <f t="shared" si="13"/>
        <v>128676</v>
      </c>
      <c r="AT25" s="267">
        <f>SUM(AT21+AT24)</f>
        <v>83125714</v>
      </c>
      <c r="AU25" s="269">
        <f>SUM(AU21+AU24)</f>
        <v>87356362</v>
      </c>
      <c r="AV25" s="269">
        <f>SUM(AV21+AV24)</f>
        <v>87414906</v>
      </c>
      <c r="AW25" s="268">
        <f t="shared" si="14"/>
        <v>58544</v>
      </c>
      <c r="AX25" s="267">
        <f>SUM(AX21+AX24)</f>
        <v>22825244</v>
      </c>
      <c r="AY25" s="269">
        <f>SUM(AY21+AY24)</f>
        <v>23840933</v>
      </c>
      <c r="AZ25" s="269">
        <f>SUM(AZ21+AZ24)</f>
        <v>23856707</v>
      </c>
      <c r="BA25" s="268">
        <f t="shared" si="15"/>
        <v>15774</v>
      </c>
      <c r="BB25" s="267">
        <f>SUM(BB21+BB24)</f>
        <v>0</v>
      </c>
      <c r="BC25" s="269">
        <f>SUM(BC21+BC24)</f>
        <v>1180425</v>
      </c>
      <c r="BD25" s="269">
        <f>SUM(BD21+BD24)</f>
        <v>1180425</v>
      </c>
      <c r="BE25" s="268">
        <f t="shared" si="16"/>
        <v>0</v>
      </c>
      <c r="BF25" s="267">
        <f>SUM(BF21+BF24)</f>
        <v>14950977</v>
      </c>
      <c r="BG25" s="269">
        <f>SUM(BG21+BG24)</f>
        <v>16010924</v>
      </c>
      <c r="BH25" s="269">
        <f>SUM(BH21+BH24)</f>
        <v>16010924</v>
      </c>
      <c r="BI25" s="268">
        <f t="shared" si="17"/>
        <v>0</v>
      </c>
      <c r="BJ25" s="274">
        <f t="shared" si="18"/>
        <v>120901935</v>
      </c>
      <c r="BK25" s="275">
        <f t="shared" si="19"/>
        <v>128388644</v>
      </c>
      <c r="BL25" s="275">
        <f t="shared" si="20"/>
        <v>128462962</v>
      </c>
      <c r="BM25" s="276">
        <f t="shared" si="21"/>
        <v>74318</v>
      </c>
      <c r="BN25" s="277">
        <f>SUM(BN21+BN24)</f>
        <v>942972150</v>
      </c>
      <c r="BO25" s="278">
        <f>SUM(BO21+BO24)</f>
        <v>1002668612</v>
      </c>
      <c r="BP25" s="278">
        <f>SUM(BP21+BP24)</f>
        <v>1015431577</v>
      </c>
      <c r="BQ25" s="279">
        <f t="shared" si="22"/>
        <v>12762965</v>
      </c>
      <c r="BR25" s="267">
        <f>SUM(BR21+BR24)</f>
        <v>1353911367</v>
      </c>
      <c r="BS25" s="280">
        <f>SUM(BS21+BS24)</f>
        <v>1398082216</v>
      </c>
      <c r="BT25" s="280">
        <f>SUM(BT21+BT24)</f>
        <v>1398082216</v>
      </c>
      <c r="BU25" s="281">
        <f t="shared" si="23"/>
        <v>0</v>
      </c>
      <c r="BV25" s="282">
        <f>SUM(BV21+BV24)</f>
        <v>2296883517</v>
      </c>
      <c r="BW25" s="280">
        <f>SUM(BW21+BW24)</f>
        <v>2400750828</v>
      </c>
      <c r="BX25" s="280">
        <f>SUM(BX21+BX24)</f>
        <v>2413513793</v>
      </c>
      <c r="BY25" s="281">
        <f t="shared" si="24"/>
        <v>12762965</v>
      </c>
      <c r="BZ25" s="283">
        <f aca="true" t="shared" si="57" ref="BZ25:CF25">SUM(BZ21+BZ24)</f>
        <v>1369911367</v>
      </c>
      <c r="CA25" s="283">
        <f t="shared" si="57"/>
        <v>1467173842</v>
      </c>
      <c r="CB25" s="283">
        <f t="shared" si="57"/>
        <v>1467173842</v>
      </c>
      <c r="CC25" s="283">
        <f t="shared" si="57"/>
        <v>0</v>
      </c>
      <c r="CD25" s="284">
        <f t="shared" si="57"/>
        <v>105275000</v>
      </c>
      <c r="CE25" s="285">
        <f t="shared" si="57"/>
        <v>160247720</v>
      </c>
      <c r="CF25" s="285">
        <f t="shared" si="57"/>
        <v>160247720</v>
      </c>
      <c r="CG25" s="286">
        <f t="shared" si="26"/>
        <v>0</v>
      </c>
      <c r="CH25" s="287">
        <f aca="true" t="shared" si="58" ref="CH25:CO25">SUM(CH21+CH24)</f>
        <v>0</v>
      </c>
      <c r="CI25" s="285">
        <f t="shared" si="58"/>
        <v>0</v>
      </c>
      <c r="CJ25" s="285">
        <f t="shared" si="58"/>
        <v>0</v>
      </c>
      <c r="CK25" s="286">
        <f t="shared" si="58"/>
        <v>0</v>
      </c>
      <c r="CL25" s="284">
        <f t="shared" si="58"/>
        <v>0</v>
      </c>
      <c r="CM25" s="285">
        <f t="shared" si="58"/>
        <v>0</v>
      </c>
      <c r="CN25" s="285">
        <f t="shared" si="58"/>
        <v>0</v>
      </c>
      <c r="CO25" s="286">
        <f t="shared" si="58"/>
        <v>0</v>
      </c>
      <c r="CP25" s="288"/>
      <c r="CQ25" s="212">
        <f t="shared" si="28"/>
        <v>160247720</v>
      </c>
    </row>
    <row r="26" spans="1:95" s="11" customFormat="1" ht="15.75" customHeight="1" thickBot="1">
      <c r="A26" s="366" t="s">
        <v>25</v>
      </c>
      <c r="B26" s="267">
        <f>B25+B20</f>
        <v>43398470</v>
      </c>
      <c r="C26" s="267">
        <f>C25+C20</f>
        <v>81417605</v>
      </c>
      <c r="D26" s="267">
        <f>D25+D20</f>
        <v>83831159</v>
      </c>
      <c r="E26" s="268">
        <f t="shared" si="0"/>
        <v>2413554</v>
      </c>
      <c r="F26" s="367">
        <f>F25+F20</f>
        <v>179232479</v>
      </c>
      <c r="G26" s="270">
        <f>G25+G20</f>
        <v>219269223</v>
      </c>
      <c r="H26" s="270">
        <f>H25+H20</f>
        <v>224849671</v>
      </c>
      <c r="I26" s="268">
        <f t="shared" si="1"/>
        <v>5580448</v>
      </c>
      <c r="J26" s="368">
        <f>J25+J20</f>
        <v>49831543</v>
      </c>
      <c r="K26" s="270">
        <f>K25+K20</f>
        <v>61532119</v>
      </c>
      <c r="L26" s="270">
        <f>L25+L20</f>
        <v>64825000</v>
      </c>
      <c r="M26" s="268">
        <f t="shared" si="2"/>
        <v>3292881</v>
      </c>
      <c r="N26" s="369">
        <f>N25+N20</f>
        <v>329180037</v>
      </c>
      <c r="O26" s="269">
        <f>O25+O20</f>
        <v>337355971</v>
      </c>
      <c r="P26" s="269">
        <f>P25+P20</f>
        <v>339467579</v>
      </c>
      <c r="Q26" s="268">
        <f t="shared" si="3"/>
        <v>2111608</v>
      </c>
      <c r="R26" s="369">
        <f>R25+R20</f>
        <v>234278053</v>
      </c>
      <c r="S26" s="269">
        <f>S25+S20</f>
        <v>263440970</v>
      </c>
      <c r="T26" s="269">
        <f>T25+T20</f>
        <v>271489771</v>
      </c>
      <c r="U26" s="268">
        <f t="shared" si="4"/>
        <v>8048801</v>
      </c>
      <c r="V26" s="369">
        <f>V25+V20</f>
        <v>86036981</v>
      </c>
      <c r="W26" s="269">
        <f>W25+W20</f>
        <v>92165368</v>
      </c>
      <c r="X26" s="269">
        <f>X25+X20</f>
        <v>92205136</v>
      </c>
      <c r="Y26" s="268">
        <f t="shared" si="5"/>
        <v>39768</v>
      </c>
      <c r="Z26" s="369">
        <f>Z25+Z20</f>
        <v>27521589</v>
      </c>
      <c r="AA26" s="269">
        <f>AA25+AA20</f>
        <v>28419908</v>
      </c>
      <c r="AB26" s="269">
        <f>AB25+AB20</f>
        <v>28448067</v>
      </c>
      <c r="AC26" s="268">
        <f t="shared" si="6"/>
        <v>28159</v>
      </c>
      <c r="AD26" s="369">
        <f>AD25+AD20</f>
        <v>51936936</v>
      </c>
      <c r="AE26" s="269">
        <f>AE25+AE20</f>
        <v>55491353</v>
      </c>
      <c r="AF26" s="269">
        <f>AF25+AF20</f>
        <v>55588985</v>
      </c>
      <c r="AG26" s="268">
        <f t="shared" si="7"/>
        <v>97632</v>
      </c>
      <c r="AH26" s="369">
        <f>AH25+AH20</f>
        <v>19334953</v>
      </c>
      <c r="AI26" s="269">
        <f>AI25+AI20</f>
        <v>21303553</v>
      </c>
      <c r="AJ26" s="269">
        <f>AJ25+AJ20</f>
        <v>21342988</v>
      </c>
      <c r="AK26" s="268">
        <f t="shared" si="8"/>
        <v>39435</v>
      </c>
      <c r="AL26" s="369">
        <f>AL25+AL20</f>
        <v>14208750</v>
      </c>
      <c r="AM26" s="269">
        <f>AM25+AM20</f>
        <v>15663684</v>
      </c>
      <c r="AN26" s="269">
        <f>AN25+AN20</f>
        <v>15663684</v>
      </c>
      <c r="AO26" s="268">
        <f t="shared" si="9"/>
        <v>0</v>
      </c>
      <c r="AP26" s="370">
        <f t="shared" si="10"/>
        <v>199039209</v>
      </c>
      <c r="AQ26" s="272">
        <f t="shared" si="11"/>
        <v>213043866</v>
      </c>
      <c r="AR26" s="272">
        <f t="shared" si="12"/>
        <v>213248860</v>
      </c>
      <c r="AS26" s="273">
        <f t="shared" si="13"/>
        <v>204994</v>
      </c>
      <c r="AT26" s="369">
        <f>AT25+AT20</f>
        <v>84525714</v>
      </c>
      <c r="AU26" s="269">
        <f>AU25+AU20</f>
        <v>90031592</v>
      </c>
      <c r="AV26" s="269">
        <f>AV25+AV20</f>
        <v>90576347</v>
      </c>
      <c r="AW26" s="268">
        <f t="shared" si="14"/>
        <v>544755</v>
      </c>
      <c r="AX26" s="369">
        <f>AX25+AX20</f>
        <v>22975244</v>
      </c>
      <c r="AY26" s="269">
        <f>AY25+AY20</f>
        <v>23990933</v>
      </c>
      <c r="AZ26" s="269">
        <f>AZ25+AZ20</f>
        <v>24006707</v>
      </c>
      <c r="BA26" s="268">
        <f t="shared" si="15"/>
        <v>15774</v>
      </c>
      <c r="BB26" s="369">
        <f>BB25+BB20</f>
        <v>0</v>
      </c>
      <c r="BC26" s="269">
        <f>BC25+BC20</f>
        <v>1180425</v>
      </c>
      <c r="BD26" s="269">
        <f>BD25+BD20</f>
        <v>1180425</v>
      </c>
      <c r="BE26" s="268">
        <f t="shared" si="16"/>
        <v>0</v>
      </c>
      <c r="BF26" s="369">
        <f>BF25+BF20</f>
        <v>15012577</v>
      </c>
      <c r="BG26" s="269">
        <f>BG25+BG20</f>
        <v>16072524</v>
      </c>
      <c r="BH26" s="269">
        <f>BH25+BH20</f>
        <v>16072524</v>
      </c>
      <c r="BI26" s="268">
        <f t="shared" si="17"/>
        <v>0</v>
      </c>
      <c r="BJ26" s="371">
        <f t="shared" si="18"/>
        <v>122513535</v>
      </c>
      <c r="BK26" s="275">
        <f t="shared" si="19"/>
        <v>131275474</v>
      </c>
      <c r="BL26" s="275">
        <f t="shared" si="20"/>
        <v>131836003</v>
      </c>
      <c r="BM26" s="276">
        <f t="shared" si="21"/>
        <v>560529</v>
      </c>
      <c r="BN26" s="372">
        <f>BN25+BN20</f>
        <v>1157473326</v>
      </c>
      <c r="BO26" s="278">
        <f>BO25+BO20</f>
        <v>1307335228</v>
      </c>
      <c r="BP26" s="278">
        <f>BP25+BP20</f>
        <v>1329548043</v>
      </c>
      <c r="BQ26" s="279">
        <f t="shared" si="22"/>
        <v>22212815</v>
      </c>
      <c r="BR26" s="369">
        <f>BR25+BR20</f>
        <v>3067703963</v>
      </c>
      <c r="BS26" s="280">
        <f>BS25+BS20</f>
        <v>3315872877</v>
      </c>
      <c r="BT26" s="280">
        <f>BT25+BT20</f>
        <v>3392598672</v>
      </c>
      <c r="BU26" s="281">
        <f t="shared" si="23"/>
        <v>76725795</v>
      </c>
      <c r="BV26" s="373">
        <f>BV25+BV20</f>
        <v>4225177289</v>
      </c>
      <c r="BW26" s="280">
        <f>BW25+BW20</f>
        <v>4623208105</v>
      </c>
      <c r="BX26" s="280">
        <f>BX25+BX20</f>
        <v>4722146715</v>
      </c>
      <c r="BY26" s="281">
        <f t="shared" si="24"/>
        <v>98938610</v>
      </c>
      <c r="BZ26" s="374">
        <f aca="true" t="shared" si="59" ref="BZ26:CF26">BZ25+BZ20</f>
        <v>3298205139</v>
      </c>
      <c r="CA26" s="374">
        <f t="shared" si="59"/>
        <v>3689631119</v>
      </c>
      <c r="CB26" s="374">
        <f t="shared" si="59"/>
        <v>3775806764</v>
      </c>
      <c r="CC26" s="374">
        <f t="shared" si="59"/>
        <v>86175645</v>
      </c>
      <c r="CD26" s="375">
        <f t="shared" si="59"/>
        <v>1738019583</v>
      </c>
      <c r="CE26" s="285">
        <f t="shared" si="59"/>
        <v>1854528414</v>
      </c>
      <c r="CF26" s="285">
        <f t="shared" si="59"/>
        <v>1855199525</v>
      </c>
      <c r="CG26" s="286">
        <f t="shared" si="26"/>
        <v>671111</v>
      </c>
      <c r="CH26" s="376">
        <f aca="true" t="shared" si="60" ref="CH26:CO26">CH25+CH20</f>
        <v>137688</v>
      </c>
      <c r="CI26" s="285">
        <f t="shared" si="60"/>
        <v>138788</v>
      </c>
      <c r="CJ26" s="285">
        <f t="shared" si="60"/>
        <v>139888</v>
      </c>
      <c r="CK26" s="286">
        <f t="shared" si="60"/>
        <v>1100</v>
      </c>
      <c r="CL26" s="375">
        <f t="shared" si="60"/>
        <v>0</v>
      </c>
      <c r="CM26" s="285">
        <f t="shared" si="60"/>
        <v>0</v>
      </c>
      <c r="CN26" s="285">
        <f t="shared" si="60"/>
        <v>0</v>
      </c>
      <c r="CO26" s="286">
        <f t="shared" si="60"/>
        <v>0</v>
      </c>
      <c r="CP26" s="288"/>
      <c r="CQ26" s="212">
        <f t="shared" si="28"/>
        <v>1854667202</v>
      </c>
    </row>
    <row r="27" spans="6:95" s="9" customFormat="1" ht="7.5" customHeight="1" thickBot="1">
      <c r="F27" s="377"/>
      <c r="G27" s="378"/>
      <c r="H27" s="378"/>
      <c r="I27" s="379"/>
      <c r="BN27" s="89"/>
      <c r="BV27" s="87"/>
      <c r="CD27" s="380"/>
      <c r="CE27" s="380"/>
      <c r="CF27" s="380"/>
      <c r="CG27" s="380"/>
      <c r="CH27" s="380"/>
      <c r="CI27" s="380"/>
      <c r="CJ27" s="380"/>
      <c r="CK27" s="380"/>
      <c r="CL27" s="380"/>
      <c r="CM27" s="380"/>
      <c r="CN27" s="380"/>
      <c r="CO27" s="380"/>
      <c r="CP27" s="380"/>
      <c r="CQ27" s="212">
        <f>SUM(CD27:CL27)</f>
        <v>0</v>
      </c>
    </row>
    <row r="28" spans="1:95" s="9" customFormat="1" ht="25.5" customHeight="1">
      <c r="A28" s="523" t="s">
        <v>171</v>
      </c>
      <c r="B28" s="568" t="s">
        <v>53</v>
      </c>
      <c r="C28" s="569"/>
      <c r="D28" s="570"/>
      <c r="E28" s="571"/>
      <c r="F28" s="552" t="s">
        <v>121</v>
      </c>
      <c r="G28" s="553"/>
      <c r="H28" s="554"/>
      <c r="I28" s="555"/>
      <c r="J28" s="572" t="s">
        <v>64</v>
      </c>
      <c r="K28" s="573"/>
      <c r="L28" s="574"/>
      <c r="M28" s="575"/>
      <c r="N28" s="552" t="s">
        <v>39</v>
      </c>
      <c r="O28" s="553"/>
      <c r="P28" s="554"/>
      <c r="Q28" s="555"/>
      <c r="R28" s="560" t="s">
        <v>140</v>
      </c>
      <c r="S28" s="561"/>
      <c r="T28" s="562"/>
      <c r="U28" s="563"/>
      <c r="V28" s="537" t="s">
        <v>175</v>
      </c>
      <c r="W28" s="538"/>
      <c r="X28" s="539"/>
      <c r="Y28" s="540"/>
      <c r="Z28" s="537" t="s">
        <v>265</v>
      </c>
      <c r="AA28" s="538"/>
      <c r="AB28" s="539"/>
      <c r="AC28" s="540"/>
      <c r="AD28" s="537" t="s">
        <v>266</v>
      </c>
      <c r="AE28" s="538"/>
      <c r="AF28" s="539"/>
      <c r="AG28" s="540"/>
      <c r="AH28" s="537" t="s">
        <v>172</v>
      </c>
      <c r="AI28" s="538"/>
      <c r="AJ28" s="539"/>
      <c r="AK28" s="540"/>
      <c r="AL28" s="537" t="s">
        <v>267</v>
      </c>
      <c r="AM28" s="538"/>
      <c r="AN28" s="539"/>
      <c r="AO28" s="540"/>
      <c r="AP28" s="537" t="s">
        <v>173</v>
      </c>
      <c r="AQ28" s="538"/>
      <c r="AR28" s="539"/>
      <c r="AS28" s="540"/>
      <c r="AT28" s="544" t="s">
        <v>268</v>
      </c>
      <c r="AU28" s="545"/>
      <c r="AV28" s="546"/>
      <c r="AW28" s="547"/>
      <c r="AX28" s="544" t="s">
        <v>269</v>
      </c>
      <c r="AY28" s="545"/>
      <c r="AZ28" s="546"/>
      <c r="BA28" s="547"/>
      <c r="BB28" s="544" t="s">
        <v>270</v>
      </c>
      <c r="BC28" s="545"/>
      <c r="BD28" s="546"/>
      <c r="BE28" s="547"/>
      <c r="BF28" s="544" t="s">
        <v>271</v>
      </c>
      <c r="BG28" s="545"/>
      <c r="BH28" s="546"/>
      <c r="BI28" s="547"/>
      <c r="BJ28" s="544" t="s">
        <v>174</v>
      </c>
      <c r="BK28" s="545"/>
      <c r="BL28" s="546"/>
      <c r="BM28" s="547"/>
      <c r="BN28" s="548" t="s">
        <v>16</v>
      </c>
      <c r="BO28" s="549"/>
      <c r="BP28" s="550"/>
      <c r="BQ28" s="551"/>
      <c r="BR28" s="552" t="s">
        <v>34</v>
      </c>
      <c r="BS28" s="553"/>
      <c r="BT28" s="554"/>
      <c r="BU28" s="555"/>
      <c r="BV28" s="556" t="s">
        <v>127</v>
      </c>
      <c r="BW28" s="557"/>
      <c r="BX28" s="558"/>
      <c r="BY28" s="559"/>
      <c r="BZ28" s="560" t="s">
        <v>135</v>
      </c>
      <c r="CA28" s="561"/>
      <c r="CB28" s="562"/>
      <c r="CC28" s="563"/>
      <c r="CD28" s="564" t="s">
        <v>136</v>
      </c>
      <c r="CE28" s="565"/>
      <c r="CF28" s="566"/>
      <c r="CG28" s="567"/>
      <c r="CH28" s="564" t="s">
        <v>138</v>
      </c>
      <c r="CI28" s="565"/>
      <c r="CJ28" s="566"/>
      <c r="CK28" s="567"/>
      <c r="CL28" s="564" t="s">
        <v>139</v>
      </c>
      <c r="CM28" s="565"/>
      <c r="CN28" s="566"/>
      <c r="CO28" s="567"/>
      <c r="CP28" s="169"/>
      <c r="CQ28" s="212">
        <f>SUM(CD28:CL28)</f>
        <v>0</v>
      </c>
    </row>
    <row r="29" spans="1:95" s="9" customFormat="1" ht="26.25" thickBot="1">
      <c r="A29" s="524"/>
      <c r="B29" s="171" t="s">
        <v>272</v>
      </c>
      <c r="C29" s="172" t="s">
        <v>311</v>
      </c>
      <c r="D29" s="172" t="s">
        <v>343</v>
      </c>
      <c r="E29" s="173" t="s">
        <v>274</v>
      </c>
      <c r="F29" s="171" t="s">
        <v>272</v>
      </c>
      <c r="G29" s="172" t="s">
        <v>311</v>
      </c>
      <c r="H29" s="172" t="s">
        <v>343</v>
      </c>
      <c r="I29" s="173" t="s">
        <v>274</v>
      </c>
      <c r="J29" s="381" t="s">
        <v>272</v>
      </c>
      <c r="K29" s="172" t="s">
        <v>311</v>
      </c>
      <c r="L29" s="172" t="s">
        <v>343</v>
      </c>
      <c r="M29" s="173" t="s">
        <v>274</v>
      </c>
      <c r="N29" s="187" t="s">
        <v>272</v>
      </c>
      <c r="O29" s="172" t="s">
        <v>311</v>
      </c>
      <c r="P29" s="172" t="s">
        <v>343</v>
      </c>
      <c r="Q29" s="173" t="s">
        <v>274</v>
      </c>
      <c r="R29" s="187" t="s">
        <v>272</v>
      </c>
      <c r="S29" s="172" t="s">
        <v>311</v>
      </c>
      <c r="T29" s="172" t="s">
        <v>343</v>
      </c>
      <c r="U29" s="173" t="s">
        <v>274</v>
      </c>
      <c r="V29" s="187" t="s">
        <v>272</v>
      </c>
      <c r="W29" s="172" t="s">
        <v>311</v>
      </c>
      <c r="X29" s="172" t="s">
        <v>343</v>
      </c>
      <c r="Y29" s="173" t="s">
        <v>274</v>
      </c>
      <c r="Z29" s="187" t="s">
        <v>272</v>
      </c>
      <c r="AA29" s="172" t="s">
        <v>311</v>
      </c>
      <c r="AB29" s="172" t="s">
        <v>343</v>
      </c>
      <c r="AC29" s="173" t="s">
        <v>274</v>
      </c>
      <c r="AD29" s="187" t="s">
        <v>272</v>
      </c>
      <c r="AE29" s="172" t="s">
        <v>311</v>
      </c>
      <c r="AF29" s="172" t="s">
        <v>343</v>
      </c>
      <c r="AG29" s="173" t="s">
        <v>274</v>
      </c>
      <c r="AH29" s="187" t="s">
        <v>272</v>
      </c>
      <c r="AI29" s="172" t="s">
        <v>311</v>
      </c>
      <c r="AJ29" s="172" t="s">
        <v>343</v>
      </c>
      <c r="AK29" s="173" t="s">
        <v>274</v>
      </c>
      <c r="AL29" s="187" t="s">
        <v>272</v>
      </c>
      <c r="AM29" s="172" t="s">
        <v>311</v>
      </c>
      <c r="AN29" s="172" t="s">
        <v>343</v>
      </c>
      <c r="AO29" s="173" t="s">
        <v>274</v>
      </c>
      <c r="AP29" s="178" t="s">
        <v>272</v>
      </c>
      <c r="AQ29" s="179" t="s">
        <v>311</v>
      </c>
      <c r="AR29" s="179" t="s">
        <v>343</v>
      </c>
      <c r="AS29" s="180" t="s">
        <v>274</v>
      </c>
      <c r="AT29" s="187" t="s">
        <v>272</v>
      </c>
      <c r="AU29" s="172" t="s">
        <v>311</v>
      </c>
      <c r="AV29" s="172" t="s">
        <v>343</v>
      </c>
      <c r="AW29" s="173" t="s">
        <v>274</v>
      </c>
      <c r="AX29" s="187" t="s">
        <v>272</v>
      </c>
      <c r="AY29" s="172" t="s">
        <v>311</v>
      </c>
      <c r="AZ29" s="172" t="s">
        <v>343</v>
      </c>
      <c r="BA29" s="173" t="s">
        <v>274</v>
      </c>
      <c r="BB29" s="187" t="s">
        <v>272</v>
      </c>
      <c r="BC29" s="172" t="s">
        <v>311</v>
      </c>
      <c r="BD29" s="172" t="s">
        <v>343</v>
      </c>
      <c r="BE29" s="173" t="s">
        <v>274</v>
      </c>
      <c r="BF29" s="187" t="s">
        <v>272</v>
      </c>
      <c r="BG29" s="172" t="s">
        <v>311</v>
      </c>
      <c r="BH29" s="172" t="s">
        <v>343</v>
      </c>
      <c r="BI29" s="173" t="s">
        <v>274</v>
      </c>
      <c r="BJ29" s="181" t="s">
        <v>272</v>
      </c>
      <c r="BK29" s="182" t="s">
        <v>311</v>
      </c>
      <c r="BL29" s="182" t="s">
        <v>343</v>
      </c>
      <c r="BM29" s="183" t="s">
        <v>274</v>
      </c>
      <c r="BN29" s="184" t="s">
        <v>272</v>
      </c>
      <c r="BO29" s="185" t="s">
        <v>311</v>
      </c>
      <c r="BP29" s="185" t="s">
        <v>343</v>
      </c>
      <c r="BQ29" s="186" t="s">
        <v>274</v>
      </c>
      <c r="BR29" s="187" t="s">
        <v>272</v>
      </c>
      <c r="BS29" s="172" t="s">
        <v>311</v>
      </c>
      <c r="BT29" s="172" t="s">
        <v>343</v>
      </c>
      <c r="BU29" s="173" t="s">
        <v>274</v>
      </c>
      <c r="BV29" s="188" t="s">
        <v>272</v>
      </c>
      <c r="BW29" s="185" t="s">
        <v>311</v>
      </c>
      <c r="BX29" s="185" t="s">
        <v>343</v>
      </c>
      <c r="BY29" s="186" t="s">
        <v>274</v>
      </c>
      <c r="BZ29" s="171" t="s">
        <v>272</v>
      </c>
      <c r="CA29" s="172" t="s">
        <v>311</v>
      </c>
      <c r="CB29" s="172" t="s">
        <v>343</v>
      </c>
      <c r="CC29" s="173" t="s">
        <v>274</v>
      </c>
      <c r="CD29" s="189" t="s">
        <v>272</v>
      </c>
      <c r="CE29" s="176" t="s">
        <v>275</v>
      </c>
      <c r="CF29" s="176" t="s">
        <v>273</v>
      </c>
      <c r="CG29" s="177" t="s">
        <v>274</v>
      </c>
      <c r="CH29" s="190" t="s">
        <v>272</v>
      </c>
      <c r="CI29" s="176" t="s">
        <v>275</v>
      </c>
      <c r="CJ29" s="176" t="s">
        <v>273</v>
      </c>
      <c r="CK29" s="177" t="s">
        <v>274</v>
      </c>
      <c r="CL29" s="190" t="s">
        <v>272</v>
      </c>
      <c r="CM29" s="176" t="s">
        <v>275</v>
      </c>
      <c r="CN29" s="176" t="s">
        <v>273</v>
      </c>
      <c r="CO29" s="177" t="s">
        <v>274</v>
      </c>
      <c r="CP29" s="191"/>
      <c r="CQ29" s="212"/>
    </row>
    <row r="30" spans="1:95" s="9" customFormat="1" ht="13.5">
      <c r="A30" s="73" t="s">
        <v>26</v>
      </c>
      <c r="B30" s="118">
        <v>24934840</v>
      </c>
      <c r="C30" s="119">
        <v>26670952</v>
      </c>
      <c r="D30" s="119">
        <v>28687817</v>
      </c>
      <c r="E30" s="206">
        <f aca="true" t="shared" si="61" ref="E30:E49">D30-C30</f>
        <v>2016865</v>
      </c>
      <c r="F30" s="119">
        <v>52065195</v>
      </c>
      <c r="G30" s="119">
        <v>63150724</v>
      </c>
      <c r="H30" s="119">
        <v>64092055</v>
      </c>
      <c r="I30" s="18">
        <f aca="true" t="shared" si="62" ref="I30:I49">H30-G30</f>
        <v>941331</v>
      </c>
      <c r="J30" s="119">
        <v>31069724</v>
      </c>
      <c r="K30" s="119">
        <v>33049050</v>
      </c>
      <c r="L30" s="119">
        <v>33965722</v>
      </c>
      <c r="M30" s="18">
        <f aca="true" t="shared" si="63" ref="M30:M49">L30-K30</f>
        <v>916672</v>
      </c>
      <c r="N30" s="118">
        <v>213376522</v>
      </c>
      <c r="O30" s="289">
        <v>217261158</v>
      </c>
      <c r="P30" s="289">
        <v>220840925</v>
      </c>
      <c r="Q30" s="18">
        <f aca="true" t="shared" si="64" ref="Q30:Q49">P30-O30</f>
        <v>3579767</v>
      </c>
      <c r="R30" s="118">
        <v>131285416</v>
      </c>
      <c r="S30" s="289">
        <v>146295384</v>
      </c>
      <c r="T30" s="289">
        <v>151522255</v>
      </c>
      <c r="U30" s="18">
        <f aca="true" t="shared" si="65" ref="U30:U49">T30-S30</f>
        <v>5226871</v>
      </c>
      <c r="V30" s="118">
        <v>61929134</v>
      </c>
      <c r="W30" s="289">
        <v>64928034</v>
      </c>
      <c r="X30" s="289">
        <v>64104933</v>
      </c>
      <c r="Y30" s="18">
        <f aca="true" t="shared" si="66" ref="Y30:Y49">X30-W30</f>
        <v>-823101</v>
      </c>
      <c r="Z30" s="118">
        <v>20049578</v>
      </c>
      <c r="AA30" s="289">
        <v>20186422</v>
      </c>
      <c r="AB30" s="289">
        <v>19586422</v>
      </c>
      <c r="AC30" s="18">
        <f aca="true" t="shared" si="67" ref="AC30:AC49">AB30-AA30</f>
        <v>-600000</v>
      </c>
      <c r="AD30" s="118">
        <v>39427447</v>
      </c>
      <c r="AE30" s="289">
        <v>40579891</v>
      </c>
      <c r="AF30" s="289">
        <v>40621291</v>
      </c>
      <c r="AG30" s="18">
        <f aca="true" t="shared" si="68" ref="AG30:AG49">AF30-AE30</f>
        <v>41400</v>
      </c>
      <c r="AH30" s="118">
        <v>14366234</v>
      </c>
      <c r="AI30" s="289">
        <v>14523808</v>
      </c>
      <c r="AJ30" s="289">
        <v>14538808</v>
      </c>
      <c r="AK30" s="18">
        <f aca="true" t="shared" si="69" ref="AK30:AK49">AJ30-AI30</f>
        <v>15000</v>
      </c>
      <c r="AL30" s="118">
        <v>10397742</v>
      </c>
      <c r="AM30" s="289">
        <v>10455016</v>
      </c>
      <c r="AN30" s="289">
        <v>10455016</v>
      </c>
      <c r="AO30" s="18">
        <f aca="true" t="shared" si="70" ref="AO30:AO49">AN30-AM30</f>
        <v>0</v>
      </c>
      <c r="AP30" s="193">
        <f aca="true" t="shared" si="71" ref="AP30:AP49">V30+Z30+AD30+AH30+AL30</f>
        <v>146170135</v>
      </c>
      <c r="AQ30" s="290">
        <f aca="true" t="shared" si="72" ref="AQ30:AQ49">W30+AA30+AE30+AI30+AM30</f>
        <v>150673171</v>
      </c>
      <c r="AR30" s="290">
        <f aca="true" t="shared" si="73" ref="AR30:AR49">X30+AB30+AF30+AJ30+AN30</f>
        <v>149306470</v>
      </c>
      <c r="AS30" s="195">
        <f aca="true" t="shared" si="74" ref="AS30:AS49">AR30-AQ30</f>
        <v>-1366701</v>
      </c>
      <c r="AT30" s="118">
        <v>60795379</v>
      </c>
      <c r="AU30" s="289">
        <v>65169219</v>
      </c>
      <c r="AV30" s="289">
        <v>65013240</v>
      </c>
      <c r="AW30" s="18">
        <f aca="true" t="shared" si="75" ref="AW30:AW49">AV30-AU30</f>
        <v>-155979</v>
      </c>
      <c r="AX30" s="118">
        <v>16613505</v>
      </c>
      <c r="AY30" s="289">
        <v>16657205</v>
      </c>
      <c r="AZ30" s="289">
        <v>16428587</v>
      </c>
      <c r="BA30" s="18">
        <f aca="true" t="shared" si="76" ref="BA30:BA49">AZ30-AY30</f>
        <v>-228618</v>
      </c>
      <c r="BB30" s="118">
        <v>0</v>
      </c>
      <c r="BC30" s="289">
        <v>0</v>
      </c>
      <c r="BD30" s="289">
        <v>0</v>
      </c>
      <c r="BE30" s="18">
        <f aca="true" t="shared" si="77" ref="BE30:BE49">BD30-BC30</f>
        <v>0</v>
      </c>
      <c r="BF30" s="118">
        <v>10727495</v>
      </c>
      <c r="BG30" s="289">
        <v>10727495</v>
      </c>
      <c r="BH30" s="289">
        <v>10757495</v>
      </c>
      <c r="BI30" s="18">
        <f aca="true" t="shared" si="78" ref="BI30:BI49">BH30-BG30</f>
        <v>30000</v>
      </c>
      <c r="BJ30" s="196">
        <f aca="true" t="shared" si="79" ref="BJ30:BJ49">AT30+AX30+BF30+BB30</f>
        <v>88136379</v>
      </c>
      <c r="BK30" s="291">
        <f aca="true" t="shared" si="80" ref="BK30:BK49">AU30+AY30+BG30+BC30</f>
        <v>92553919</v>
      </c>
      <c r="BL30" s="291">
        <f aca="true" t="shared" si="81" ref="BL30:BL49">AV30+AZ30+BH30+BD30</f>
        <v>92199322</v>
      </c>
      <c r="BM30" s="198">
        <f aca="true" t="shared" si="82" ref="BM30:BM49">BL30-BK30</f>
        <v>-354597</v>
      </c>
      <c r="BN30" s="199">
        <f aca="true" t="shared" si="83" ref="BN30:BP33">B30+F30+J30+N30+R30+BJ30+AP30</f>
        <v>687038211</v>
      </c>
      <c r="BO30" s="200">
        <f t="shared" si="83"/>
        <v>729654358</v>
      </c>
      <c r="BP30" s="200">
        <f t="shared" si="83"/>
        <v>740614566</v>
      </c>
      <c r="BQ30" s="382">
        <f aca="true" t="shared" si="84" ref="BQ30:BQ49">BP30-BO30</f>
        <v>10960208</v>
      </c>
      <c r="BR30" s="118">
        <v>48804740</v>
      </c>
      <c r="BS30" s="202">
        <v>51004645</v>
      </c>
      <c r="BT30" s="202">
        <v>52053995</v>
      </c>
      <c r="BU30" s="18">
        <f aca="true" t="shared" si="85" ref="BU30:BU49">BT30-BS30</f>
        <v>1049350</v>
      </c>
      <c r="BV30" s="204">
        <f aca="true" t="shared" si="86" ref="BV30:BX33">BR30+BN30</f>
        <v>735842951</v>
      </c>
      <c r="BW30" s="205">
        <f t="shared" si="86"/>
        <v>780659003</v>
      </c>
      <c r="BX30" s="205">
        <f t="shared" si="86"/>
        <v>792668561</v>
      </c>
      <c r="BY30" s="382">
        <f aca="true" t="shared" si="87" ref="BY30:BY49">BX30-BW30</f>
        <v>12009558</v>
      </c>
      <c r="BZ30" s="18">
        <f aca="true" t="shared" si="88" ref="BZ30:CC33">BV30</f>
        <v>735842951</v>
      </c>
      <c r="CA30" s="18">
        <f t="shared" si="88"/>
        <v>780659003</v>
      </c>
      <c r="CB30" s="18">
        <f t="shared" si="88"/>
        <v>792668561</v>
      </c>
      <c r="CC30" s="18">
        <f t="shared" si="88"/>
        <v>12009558</v>
      </c>
      <c r="CD30" s="207">
        <v>354351</v>
      </c>
      <c r="CE30" s="210">
        <f>CD30+1756+1323+1927+2902+16049+1213</f>
        <v>379521</v>
      </c>
      <c r="CF30" s="210">
        <f>CE30+1756+1323+1927+2902+16049+1213</f>
        <v>404691</v>
      </c>
      <c r="CG30" s="209">
        <f aca="true" t="shared" si="89" ref="CG30:CG49">CF30-CE30</f>
        <v>25170</v>
      </c>
      <c r="CH30" s="208">
        <v>24557</v>
      </c>
      <c r="CI30" s="210">
        <f>CH30-124+1722</f>
        <v>26155</v>
      </c>
      <c r="CJ30" s="210">
        <f>CI30-124+1722</f>
        <v>27753</v>
      </c>
      <c r="CK30" s="209">
        <f>CI30-CH30</f>
        <v>1598</v>
      </c>
      <c r="CL30" s="207">
        <v>56088</v>
      </c>
      <c r="CM30" s="210">
        <f aca="true" t="shared" si="90" ref="CM30:CN33">CL30</f>
        <v>56088</v>
      </c>
      <c r="CN30" s="210">
        <f t="shared" si="90"/>
        <v>56088</v>
      </c>
      <c r="CO30" s="209">
        <f>CM30-CL30</f>
        <v>0</v>
      </c>
      <c r="CP30" s="211"/>
      <c r="CQ30" s="212">
        <f aca="true" t="shared" si="91" ref="CQ30:CQ50">CM30+CI30+CE30</f>
        <v>461764</v>
      </c>
    </row>
    <row r="31" spans="1:95" s="9" customFormat="1" ht="13.5">
      <c r="A31" s="64" t="s">
        <v>27</v>
      </c>
      <c r="B31" s="116">
        <v>5199120</v>
      </c>
      <c r="C31" s="60">
        <v>5498074</v>
      </c>
      <c r="D31" s="60">
        <v>5894763</v>
      </c>
      <c r="E31" s="242">
        <f t="shared" si="61"/>
        <v>396689</v>
      </c>
      <c r="F31" s="60">
        <v>11021119</v>
      </c>
      <c r="G31" s="60">
        <v>13486185</v>
      </c>
      <c r="H31" s="60">
        <v>14075302</v>
      </c>
      <c r="I31" s="19">
        <f t="shared" si="62"/>
        <v>589117</v>
      </c>
      <c r="J31" s="60">
        <v>6459019</v>
      </c>
      <c r="K31" s="60">
        <v>6848392</v>
      </c>
      <c r="L31" s="60">
        <v>6745980</v>
      </c>
      <c r="M31" s="19">
        <f t="shared" si="63"/>
        <v>-102412</v>
      </c>
      <c r="N31" s="116">
        <v>50052615</v>
      </c>
      <c r="O31" s="234">
        <v>51195494</v>
      </c>
      <c r="P31" s="234">
        <v>47504806</v>
      </c>
      <c r="Q31" s="19">
        <f t="shared" si="64"/>
        <v>-3690688</v>
      </c>
      <c r="R31" s="116">
        <v>31226258</v>
      </c>
      <c r="S31" s="234">
        <v>34170750</v>
      </c>
      <c r="T31" s="234">
        <v>35212680</v>
      </c>
      <c r="U31" s="19">
        <f t="shared" si="65"/>
        <v>1041930</v>
      </c>
      <c r="V31" s="116">
        <v>14519497</v>
      </c>
      <c r="W31" s="234">
        <v>15097194</v>
      </c>
      <c r="X31" s="234">
        <v>15960063</v>
      </c>
      <c r="Y31" s="19">
        <f t="shared" si="66"/>
        <v>862869</v>
      </c>
      <c r="Z31" s="116">
        <v>4133551</v>
      </c>
      <c r="AA31" s="234">
        <v>4160495</v>
      </c>
      <c r="AB31" s="234">
        <v>4760495</v>
      </c>
      <c r="AC31" s="19">
        <f t="shared" si="67"/>
        <v>600000</v>
      </c>
      <c r="AD31" s="116">
        <v>7977279</v>
      </c>
      <c r="AE31" s="234">
        <v>8202370</v>
      </c>
      <c r="AF31" s="234">
        <v>8210443</v>
      </c>
      <c r="AG31" s="19">
        <f t="shared" si="68"/>
        <v>8073</v>
      </c>
      <c r="AH31" s="116">
        <v>2940469</v>
      </c>
      <c r="AI31" s="234">
        <v>2971503</v>
      </c>
      <c r="AJ31" s="234">
        <v>2995938</v>
      </c>
      <c r="AK31" s="19">
        <f t="shared" si="69"/>
        <v>24435</v>
      </c>
      <c r="AL31" s="116">
        <v>2112298</v>
      </c>
      <c r="AM31" s="234">
        <v>2123466</v>
      </c>
      <c r="AN31" s="234">
        <v>2123466</v>
      </c>
      <c r="AO31" s="19">
        <f t="shared" si="70"/>
        <v>0</v>
      </c>
      <c r="AP31" s="235">
        <f t="shared" si="71"/>
        <v>31683094</v>
      </c>
      <c r="AQ31" s="236">
        <f t="shared" si="72"/>
        <v>32555028</v>
      </c>
      <c r="AR31" s="236">
        <f t="shared" si="73"/>
        <v>34050405</v>
      </c>
      <c r="AS31" s="237">
        <f t="shared" si="74"/>
        <v>1495377</v>
      </c>
      <c r="AT31" s="116">
        <v>12430665</v>
      </c>
      <c r="AU31" s="234">
        <v>13199798</v>
      </c>
      <c r="AV31" s="234">
        <v>13900532</v>
      </c>
      <c r="AW31" s="19">
        <f t="shared" si="75"/>
        <v>700734</v>
      </c>
      <c r="AX31" s="116">
        <v>3351909</v>
      </c>
      <c r="AY31" s="234">
        <v>3360643</v>
      </c>
      <c r="AZ31" s="234">
        <v>3605035</v>
      </c>
      <c r="BA31" s="19">
        <f t="shared" si="76"/>
        <v>244392</v>
      </c>
      <c r="BB31" s="116">
        <v>0</v>
      </c>
      <c r="BC31" s="234">
        <v>0</v>
      </c>
      <c r="BD31" s="234">
        <v>0</v>
      </c>
      <c r="BE31" s="19">
        <f t="shared" si="77"/>
        <v>0</v>
      </c>
      <c r="BF31" s="116">
        <v>2179592</v>
      </c>
      <c r="BG31" s="234">
        <v>2179592</v>
      </c>
      <c r="BH31" s="234">
        <v>2149592</v>
      </c>
      <c r="BI31" s="19">
        <f t="shared" si="78"/>
        <v>-30000</v>
      </c>
      <c r="BJ31" s="238">
        <f t="shared" si="79"/>
        <v>17962166</v>
      </c>
      <c r="BK31" s="239">
        <f t="shared" si="80"/>
        <v>18740033</v>
      </c>
      <c r="BL31" s="239">
        <f t="shared" si="81"/>
        <v>19655159</v>
      </c>
      <c r="BM31" s="240">
        <f t="shared" si="82"/>
        <v>915126</v>
      </c>
      <c r="BN31" s="199">
        <f t="shared" si="83"/>
        <v>153603391</v>
      </c>
      <c r="BO31" s="232">
        <f t="shared" si="83"/>
        <v>162493956</v>
      </c>
      <c r="BP31" s="232">
        <f t="shared" si="83"/>
        <v>163139095</v>
      </c>
      <c r="BQ31" s="383">
        <f t="shared" si="84"/>
        <v>645139</v>
      </c>
      <c r="BR31" s="116">
        <v>10401418</v>
      </c>
      <c r="BS31" s="241">
        <v>11339225</v>
      </c>
      <c r="BT31" s="241">
        <v>10936325</v>
      </c>
      <c r="BU31" s="19">
        <f t="shared" si="85"/>
        <v>-402900</v>
      </c>
      <c r="BV31" s="224">
        <f t="shared" si="86"/>
        <v>164004809</v>
      </c>
      <c r="BW31" s="225">
        <f t="shared" si="86"/>
        <v>173833181</v>
      </c>
      <c r="BX31" s="225">
        <f t="shared" si="86"/>
        <v>174075420</v>
      </c>
      <c r="BY31" s="383">
        <f t="shared" si="87"/>
        <v>242239</v>
      </c>
      <c r="BZ31" s="19">
        <f t="shared" si="88"/>
        <v>164004809</v>
      </c>
      <c r="CA31" s="19">
        <f t="shared" si="88"/>
        <v>173833181</v>
      </c>
      <c r="CB31" s="19">
        <f t="shared" si="88"/>
        <v>174075420</v>
      </c>
      <c r="CC31" s="19">
        <f t="shared" si="88"/>
        <v>242239</v>
      </c>
      <c r="CD31" s="243">
        <v>83871</v>
      </c>
      <c r="CE31" s="244">
        <f>CD31+299+453+405+578+2237+229</f>
        <v>88072</v>
      </c>
      <c r="CF31" s="244">
        <f>CE31+299+453+405+578+2237+229</f>
        <v>92273</v>
      </c>
      <c r="CG31" s="245">
        <f t="shared" si="89"/>
        <v>4201</v>
      </c>
      <c r="CH31" s="246">
        <v>6300</v>
      </c>
      <c r="CI31" s="244">
        <f>CH31+124+43</f>
        <v>6467</v>
      </c>
      <c r="CJ31" s="244">
        <f>CI31+124+43</f>
        <v>6634</v>
      </c>
      <c r="CK31" s="245">
        <f>CI31-CH31</f>
        <v>167</v>
      </c>
      <c r="CL31" s="243">
        <v>13885</v>
      </c>
      <c r="CM31" s="244">
        <f t="shared" si="90"/>
        <v>13885</v>
      </c>
      <c r="CN31" s="244">
        <f t="shared" si="90"/>
        <v>13885</v>
      </c>
      <c r="CO31" s="245">
        <f>CM31-CL31</f>
        <v>0</v>
      </c>
      <c r="CP31" s="211"/>
      <c r="CQ31" s="212">
        <f t="shared" si="91"/>
        <v>108424</v>
      </c>
    </row>
    <row r="32" spans="1:95" s="9" customFormat="1" ht="13.5">
      <c r="A32" s="64" t="s">
        <v>15</v>
      </c>
      <c r="B32" s="116">
        <v>13264510</v>
      </c>
      <c r="C32" s="60">
        <v>16581202</v>
      </c>
      <c r="D32" s="60">
        <v>16531103</v>
      </c>
      <c r="E32" s="242">
        <f t="shared" si="61"/>
        <v>-50099</v>
      </c>
      <c r="F32" s="60">
        <v>113223234</v>
      </c>
      <c r="G32" s="60">
        <v>131124196</v>
      </c>
      <c r="H32" s="60">
        <v>135174196</v>
      </c>
      <c r="I32" s="19">
        <f t="shared" si="62"/>
        <v>4050000</v>
      </c>
      <c r="J32" s="60">
        <v>11921800</v>
      </c>
      <c r="K32" s="60">
        <v>16100202</v>
      </c>
      <c r="L32" s="60">
        <v>18249799</v>
      </c>
      <c r="M32" s="19">
        <f t="shared" si="63"/>
        <v>2149597</v>
      </c>
      <c r="N32" s="116">
        <v>63750900</v>
      </c>
      <c r="O32" s="234">
        <v>63439897</v>
      </c>
      <c r="P32" s="234">
        <v>65892710</v>
      </c>
      <c r="Q32" s="19">
        <f t="shared" si="64"/>
        <v>2452813</v>
      </c>
      <c r="R32" s="116">
        <v>69609173</v>
      </c>
      <c r="S32" s="234">
        <v>72789402</v>
      </c>
      <c r="T32" s="234">
        <v>72789402</v>
      </c>
      <c r="U32" s="19">
        <f t="shared" si="65"/>
        <v>0</v>
      </c>
      <c r="V32" s="116">
        <v>9038350</v>
      </c>
      <c r="W32" s="234">
        <v>9038350</v>
      </c>
      <c r="X32" s="234">
        <v>9038350</v>
      </c>
      <c r="Y32" s="19">
        <f t="shared" si="66"/>
        <v>0</v>
      </c>
      <c r="Z32" s="116">
        <v>3188460</v>
      </c>
      <c r="AA32" s="234">
        <v>3122560</v>
      </c>
      <c r="AB32" s="234">
        <v>3150719</v>
      </c>
      <c r="AC32" s="19">
        <f t="shared" si="67"/>
        <v>28159</v>
      </c>
      <c r="AD32" s="116">
        <v>4532210</v>
      </c>
      <c r="AE32" s="234">
        <v>4381886</v>
      </c>
      <c r="AF32" s="234">
        <v>4430045</v>
      </c>
      <c r="AG32" s="19">
        <f t="shared" si="68"/>
        <v>48159</v>
      </c>
      <c r="AH32" s="116">
        <v>2028250</v>
      </c>
      <c r="AI32" s="234">
        <v>2028250</v>
      </c>
      <c r="AJ32" s="234">
        <v>2028250</v>
      </c>
      <c r="AK32" s="19">
        <f t="shared" si="69"/>
        <v>0</v>
      </c>
      <c r="AL32" s="116">
        <v>1698710</v>
      </c>
      <c r="AM32" s="234">
        <v>1643846</v>
      </c>
      <c r="AN32" s="234">
        <v>1643846</v>
      </c>
      <c r="AO32" s="19">
        <f t="shared" si="70"/>
        <v>0</v>
      </c>
      <c r="AP32" s="235">
        <f t="shared" si="71"/>
        <v>20485980</v>
      </c>
      <c r="AQ32" s="236">
        <f t="shared" si="72"/>
        <v>20214892</v>
      </c>
      <c r="AR32" s="236">
        <f t="shared" si="73"/>
        <v>20291210</v>
      </c>
      <c r="AS32" s="237">
        <f t="shared" si="74"/>
        <v>76318</v>
      </c>
      <c r="AT32" s="116">
        <v>10299670</v>
      </c>
      <c r="AU32" s="234">
        <v>10662575</v>
      </c>
      <c r="AV32" s="234">
        <v>10662575</v>
      </c>
      <c r="AW32" s="19">
        <f t="shared" si="75"/>
        <v>0</v>
      </c>
      <c r="AX32" s="116">
        <v>2682830</v>
      </c>
      <c r="AY32" s="234">
        <v>3646085</v>
      </c>
      <c r="AZ32" s="234">
        <v>3646085</v>
      </c>
      <c r="BA32" s="19">
        <f t="shared" si="76"/>
        <v>0</v>
      </c>
      <c r="BB32" s="116">
        <v>0</v>
      </c>
      <c r="BC32" s="234">
        <v>0</v>
      </c>
      <c r="BD32" s="234">
        <v>0</v>
      </c>
      <c r="BE32" s="19">
        <f t="shared" si="77"/>
        <v>0</v>
      </c>
      <c r="BF32" s="116">
        <v>2105490</v>
      </c>
      <c r="BG32" s="234">
        <v>2405490</v>
      </c>
      <c r="BH32" s="234">
        <v>2405490</v>
      </c>
      <c r="BI32" s="19">
        <f t="shared" si="78"/>
        <v>0</v>
      </c>
      <c r="BJ32" s="238">
        <f t="shared" si="79"/>
        <v>15087990</v>
      </c>
      <c r="BK32" s="239">
        <f t="shared" si="80"/>
        <v>16714150</v>
      </c>
      <c r="BL32" s="239">
        <f t="shared" si="81"/>
        <v>16714150</v>
      </c>
      <c r="BM32" s="240">
        <f t="shared" si="82"/>
        <v>0</v>
      </c>
      <c r="BN32" s="199">
        <f t="shared" si="83"/>
        <v>307343587</v>
      </c>
      <c r="BO32" s="232">
        <f t="shared" si="83"/>
        <v>336963941</v>
      </c>
      <c r="BP32" s="232">
        <f t="shared" si="83"/>
        <v>345642570</v>
      </c>
      <c r="BQ32" s="383">
        <f t="shared" si="84"/>
        <v>8678629</v>
      </c>
      <c r="BR32" s="116">
        <v>546890484</v>
      </c>
      <c r="BS32" s="241">
        <v>615884434</v>
      </c>
      <c r="BT32" s="241">
        <v>684864296</v>
      </c>
      <c r="BU32" s="19">
        <f t="shared" si="85"/>
        <v>68979862</v>
      </c>
      <c r="BV32" s="224">
        <f t="shared" si="86"/>
        <v>854234071</v>
      </c>
      <c r="BW32" s="225">
        <f t="shared" si="86"/>
        <v>952848375</v>
      </c>
      <c r="BX32" s="225">
        <f t="shared" si="86"/>
        <v>1030506866</v>
      </c>
      <c r="BY32" s="383">
        <f t="shared" si="87"/>
        <v>77658491</v>
      </c>
      <c r="BZ32" s="19">
        <f t="shared" si="88"/>
        <v>854234071</v>
      </c>
      <c r="CA32" s="19">
        <f t="shared" si="88"/>
        <v>952848375</v>
      </c>
      <c r="CB32" s="19">
        <f t="shared" si="88"/>
        <v>1030506866</v>
      </c>
      <c r="CC32" s="19">
        <f t="shared" si="88"/>
        <v>77658491</v>
      </c>
      <c r="CD32" s="243">
        <v>626581</v>
      </c>
      <c r="CE32" s="244">
        <f>CD32+2089+8501+4402+1000-699+19829</f>
        <v>661703</v>
      </c>
      <c r="CF32" s="244">
        <f>CE32+2089+8501+4402+1000-699+19829</f>
        <v>696825</v>
      </c>
      <c r="CG32" s="245">
        <f t="shared" si="89"/>
        <v>35122</v>
      </c>
      <c r="CH32" s="246">
        <v>98506</v>
      </c>
      <c r="CI32" s="244">
        <f>CH32+1100+7615</f>
        <v>107221</v>
      </c>
      <c r="CJ32" s="244">
        <f>CI32+1100+7615</f>
        <v>115936</v>
      </c>
      <c r="CK32" s="245">
        <f>CI32-CH32</f>
        <v>8715</v>
      </c>
      <c r="CL32" s="243">
        <v>19530</v>
      </c>
      <c r="CM32" s="244">
        <f t="shared" si="90"/>
        <v>19530</v>
      </c>
      <c r="CN32" s="244">
        <f t="shared" si="90"/>
        <v>19530</v>
      </c>
      <c r="CO32" s="245">
        <f>CM32-CL32</f>
        <v>0</v>
      </c>
      <c r="CP32" s="211"/>
      <c r="CQ32" s="212">
        <f t="shared" si="91"/>
        <v>788454</v>
      </c>
    </row>
    <row r="33" spans="1:95" s="9" customFormat="1" ht="13.5">
      <c r="A33" s="64" t="s">
        <v>28</v>
      </c>
      <c r="B33" s="116"/>
      <c r="C33" s="60"/>
      <c r="D33" s="60"/>
      <c r="E33" s="242">
        <f t="shared" si="61"/>
        <v>0</v>
      </c>
      <c r="F33" s="60"/>
      <c r="G33" s="60"/>
      <c r="H33" s="60"/>
      <c r="I33" s="19">
        <f t="shared" si="62"/>
        <v>0</v>
      </c>
      <c r="J33" s="60"/>
      <c r="K33" s="60"/>
      <c r="L33" s="60"/>
      <c r="M33" s="19">
        <f t="shared" si="63"/>
        <v>0</v>
      </c>
      <c r="N33" s="116"/>
      <c r="O33" s="234"/>
      <c r="P33" s="234"/>
      <c r="Q33" s="19">
        <f t="shared" si="64"/>
        <v>0</v>
      </c>
      <c r="R33" s="116"/>
      <c r="S33" s="234"/>
      <c r="T33" s="234"/>
      <c r="U33" s="19">
        <f t="shared" si="65"/>
        <v>0</v>
      </c>
      <c r="V33" s="116"/>
      <c r="W33" s="234"/>
      <c r="X33" s="234"/>
      <c r="Y33" s="19">
        <f t="shared" si="66"/>
        <v>0</v>
      </c>
      <c r="Z33" s="116"/>
      <c r="AA33" s="234"/>
      <c r="AB33" s="234"/>
      <c r="AC33" s="19">
        <f t="shared" si="67"/>
        <v>0</v>
      </c>
      <c r="AD33" s="116"/>
      <c r="AE33" s="234"/>
      <c r="AF33" s="234"/>
      <c r="AG33" s="19">
        <f t="shared" si="68"/>
        <v>0</v>
      </c>
      <c r="AH33" s="116"/>
      <c r="AI33" s="234"/>
      <c r="AJ33" s="234"/>
      <c r="AK33" s="19">
        <f t="shared" si="69"/>
        <v>0</v>
      </c>
      <c r="AL33" s="116"/>
      <c r="AM33" s="234"/>
      <c r="AN33" s="234"/>
      <c r="AO33" s="19">
        <f t="shared" si="70"/>
        <v>0</v>
      </c>
      <c r="AP33" s="235">
        <f t="shared" si="71"/>
        <v>0</v>
      </c>
      <c r="AQ33" s="236">
        <f t="shared" si="72"/>
        <v>0</v>
      </c>
      <c r="AR33" s="236">
        <f t="shared" si="73"/>
        <v>0</v>
      </c>
      <c r="AS33" s="237">
        <f t="shared" si="74"/>
        <v>0</v>
      </c>
      <c r="AT33" s="116"/>
      <c r="AU33" s="234"/>
      <c r="AV33" s="234"/>
      <c r="AW33" s="19">
        <f t="shared" si="75"/>
        <v>0</v>
      </c>
      <c r="AX33" s="116"/>
      <c r="AY33" s="234"/>
      <c r="AZ33" s="234"/>
      <c r="BA33" s="19">
        <f t="shared" si="76"/>
        <v>0</v>
      </c>
      <c r="BB33" s="116"/>
      <c r="BC33" s="234"/>
      <c r="BD33" s="234"/>
      <c r="BE33" s="19">
        <f t="shared" si="77"/>
        <v>0</v>
      </c>
      <c r="BF33" s="116"/>
      <c r="BG33" s="234"/>
      <c r="BH33" s="234"/>
      <c r="BI33" s="19">
        <f t="shared" si="78"/>
        <v>0</v>
      </c>
      <c r="BJ33" s="238">
        <f t="shared" si="79"/>
        <v>0</v>
      </c>
      <c r="BK33" s="239">
        <f t="shared" si="80"/>
        <v>0</v>
      </c>
      <c r="BL33" s="239">
        <f t="shared" si="81"/>
        <v>0</v>
      </c>
      <c r="BM33" s="240">
        <f t="shared" si="82"/>
        <v>0</v>
      </c>
      <c r="BN33" s="199">
        <f t="shared" si="83"/>
        <v>0</v>
      </c>
      <c r="BO33" s="232">
        <f t="shared" si="83"/>
        <v>0</v>
      </c>
      <c r="BP33" s="232">
        <f t="shared" si="83"/>
        <v>0</v>
      </c>
      <c r="BQ33" s="383">
        <f t="shared" si="84"/>
        <v>0</v>
      </c>
      <c r="BR33" s="116">
        <v>24500000</v>
      </c>
      <c r="BS33" s="241">
        <v>24500000</v>
      </c>
      <c r="BT33" s="241">
        <v>24923362</v>
      </c>
      <c r="BU33" s="19">
        <f t="shared" si="85"/>
        <v>423362</v>
      </c>
      <c r="BV33" s="224">
        <f t="shared" si="86"/>
        <v>24500000</v>
      </c>
      <c r="BW33" s="225">
        <f t="shared" si="86"/>
        <v>24500000</v>
      </c>
      <c r="BX33" s="225">
        <f t="shared" si="86"/>
        <v>24923362</v>
      </c>
      <c r="BY33" s="383">
        <f t="shared" si="87"/>
        <v>423362</v>
      </c>
      <c r="BZ33" s="19">
        <f t="shared" si="88"/>
        <v>24500000</v>
      </c>
      <c r="CA33" s="19">
        <f t="shared" si="88"/>
        <v>24500000</v>
      </c>
      <c r="CB33" s="19">
        <f t="shared" si="88"/>
        <v>24923362</v>
      </c>
      <c r="CC33" s="19">
        <f t="shared" si="88"/>
        <v>423362</v>
      </c>
      <c r="CD33" s="243">
        <v>26800</v>
      </c>
      <c r="CE33" s="244">
        <f>CD33</f>
        <v>26800</v>
      </c>
      <c r="CF33" s="244">
        <f>CE33</f>
        <v>26800</v>
      </c>
      <c r="CG33" s="245">
        <f t="shared" si="89"/>
        <v>0</v>
      </c>
      <c r="CH33" s="246"/>
      <c r="CI33" s="244">
        <f>CH33</f>
        <v>0</v>
      </c>
      <c r="CJ33" s="244">
        <f>CI33</f>
        <v>0</v>
      </c>
      <c r="CK33" s="245">
        <f>CI33-CH33</f>
        <v>0</v>
      </c>
      <c r="CL33" s="243"/>
      <c r="CM33" s="244">
        <f t="shared" si="90"/>
        <v>0</v>
      </c>
      <c r="CN33" s="244">
        <f t="shared" si="90"/>
        <v>0</v>
      </c>
      <c r="CO33" s="245">
        <f>CM33-CL33</f>
        <v>0</v>
      </c>
      <c r="CP33" s="211"/>
      <c r="CQ33" s="212">
        <f t="shared" si="91"/>
        <v>26800</v>
      </c>
    </row>
    <row r="34" spans="1:95" s="9" customFormat="1" ht="13.5">
      <c r="A34" s="64" t="s">
        <v>118</v>
      </c>
      <c r="B34" s="116">
        <f>SUM(B35:B38)</f>
        <v>0</v>
      </c>
      <c r="C34" s="60">
        <f>SUM(C35:C38)</f>
        <v>0</v>
      </c>
      <c r="D34" s="60">
        <f>SUM(D35:D38)</f>
        <v>0</v>
      </c>
      <c r="E34" s="242">
        <f t="shared" si="61"/>
        <v>0</v>
      </c>
      <c r="F34" s="60">
        <f>SUM(F35:F38)</f>
        <v>0</v>
      </c>
      <c r="G34" s="60">
        <f>SUM(G35:G38)</f>
        <v>3887187</v>
      </c>
      <c r="H34" s="60">
        <f>SUM(H35:H38)</f>
        <v>3887187</v>
      </c>
      <c r="I34" s="19">
        <f t="shared" si="62"/>
        <v>0</v>
      </c>
      <c r="J34" s="60">
        <f>SUM(J35:J38)</f>
        <v>0</v>
      </c>
      <c r="K34" s="60">
        <f>SUM(K35:K38)</f>
        <v>425000</v>
      </c>
      <c r="L34" s="60">
        <f>SUM(L35:L38)</f>
        <v>425000</v>
      </c>
      <c r="M34" s="19">
        <f t="shared" si="63"/>
        <v>0</v>
      </c>
      <c r="N34" s="116">
        <f>SUM(N35:N38)</f>
        <v>0</v>
      </c>
      <c r="O34" s="234">
        <f>SUM(O35:O38)</f>
        <v>74138</v>
      </c>
      <c r="P34" s="234">
        <f>SUM(P35:P38)</f>
        <v>74138</v>
      </c>
      <c r="Q34" s="19">
        <f t="shared" si="64"/>
        <v>0</v>
      </c>
      <c r="R34" s="116">
        <f>SUM(R35:R38)</f>
        <v>0</v>
      </c>
      <c r="S34" s="234">
        <f>SUM(S35:S38)</f>
        <v>3551964</v>
      </c>
      <c r="T34" s="234">
        <f>SUM(T35:T38)</f>
        <v>3551964</v>
      </c>
      <c r="U34" s="19">
        <f t="shared" si="65"/>
        <v>0</v>
      </c>
      <c r="V34" s="116">
        <f>SUM(V35:V38)</f>
        <v>0</v>
      </c>
      <c r="W34" s="234">
        <f>SUM(W35:W38)</f>
        <v>1236890</v>
      </c>
      <c r="X34" s="234">
        <f>SUM(X35:X38)</f>
        <v>1236890</v>
      </c>
      <c r="Y34" s="19">
        <f t="shared" si="66"/>
        <v>0</v>
      </c>
      <c r="Z34" s="116">
        <f>SUM(Z35:Z38)</f>
        <v>0</v>
      </c>
      <c r="AA34" s="234">
        <f>SUM(AA35:AA38)</f>
        <v>734531</v>
      </c>
      <c r="AB34" s="234">
        <f>SUM(AB35:AB38)</f>
        <v>734531</v>
      </c>
      <c r="AC34" s="19">
        <f t="shared" si="67"/>
        <v>0</v>
      </c>
      <c r="AD34" s="116">
        <f>SUM(AD35:AD38)</f>
        <v>0</v>
      </c>
      <c r="AE34" s="234">
        <f>SUM(AE35:AE38)</f>
        <v>2176882</v>
      </c>
      <c r="AF34" s="234">
        <f>SUM(AF35:AF38)</f>
        <v>2176882</v>
      </c>
      <c r="AG34" s="19">
        <f t="shared" si="68"/>
        <v>0</v>
      </c>
      <c r="AH34" s="116">
        <f>SUM(AH35:AH38)</f>
        <v>0</v>
      </c>
      <c r="AI34" s="234">
        <f>SUM(AI35:AI38)</f>
        <v>0</v>
      </c>
      <c r="AJ34" s="234">
        <f>SUM(AJ35:AJ38)</f>
        <v>0</v>
      </c>
      <c r="AK34" s="19">
        <f t="shared" si="69"/>
        <v>0</v>
      </c>
      <c r="AL34" s="299">
        <f>SUM(AL35:AL38)</f>
        <v>0</v>
      </c>
      <c r="AM34" s="234">
        <f>SUM(AM35:AM38)</f>
        <v>1386492</v>
      </c>
      <c r="AN34" s="234">
        <f>SUM(AN35:AN38)</f>
        <v>1386492</v>
      </c>
      <c r="AO34" s="19">
        <f t="shared" si="70"/>
        <v>0</v>
      </c>
      <c r="AP34" s="235">
        <f t="shared" si="71"/>
        <v>0</v>
      </c>
      <c r="AQ34" s="236">
        <f t="shared" si="72"/>
        <v>5534795</v>
      </c>
      <c r="AR34" s="236">
        <f t="shared" si="73"/>
        <v>5534795</v>
      </c>
      <c r="AS34" s="237">
        <f t="shared" si="74"/>
        <v>0</v>
      </c>
      <c r="AT34" s="299">
        <f>SUM(AT35:AT38)</f>
        <v>0</v>
      </c>
      <c r="AU34" s="234">
        <f>SUM(AU35:AU38)</f>
        <v>0</v>
      </c>
      <c r="AV34" s="234">
        <f>SUM(AV35:AV38)</f>
        <v>0</v>
      </c>
      <c r="AW34" s="19">
        <f t="shared" si="75"/>
        <v>0</v>
      </c>
      <c r="AX34" s="299">
        <f>SUM(AX35:AX38)</f>
        <v>0</v>
      </c>
      <c r="AY34" s="60">
        <f>SUM(AY35:AY38)</f>
        <v>0</v>
      </c>
      <c r="AZ34" s="60">
        <f>SUM(AZ35:AZ38)</f>
        <v>0</v>
      </c>
      <c r="BA34" s="19">
        <f t="shared" si="76"/>
        <v>0</v>
      </c>
      <c r="BB34" s="299">
        <f>SUM(BB35:BB38)</f>
        <v>0</v>
      </c>
      <c r="BC34" s="60">
        <f>SUM(BC35:BC38)</f>
        <v>1180425</v>
      </c>
      <c r="BD34" s="60">
        <f>SUM(BD35:BD38)</f>
        <v>1180425</v>
      </c>
      <c r="BE34" s="19">
        <f t="shared" si="77"/>
        <v>0</v>
      </c>
      <c r="BF34" s="299">
        <f>SUM(BF35:BF38)</f>
        <v>0</v>
      </c>
      <c r="BG34" s="60">
        <f>SUM(BG35:BG38)</f>
        <v>759947</v>
      </c>
      <c r="BH34" s="60">
        <f>SUM(BH35:BH38)</f>
        <v>759947</v>
      </c>
      <c r="BI34" s="19">
        <f t="shared" si="78"/>
        <v>0</v>
      </c>
      <c r="BJ34" s="238">
        <f t="shared" si="79"/>
        <v>0</v>
      </c>
      <c r="BK34" s="239">
        <f t="shared" si="80"/>
        <v>1940372</v>
      </c>
      <c r="BL34" s="239">
        <f t="shared" si="81"/>
        <v>1940372</v>
      </c>
      <c r="BM34" s="240">
        <f t="shared" si="82"/>
        <v>0</v>
      </c>
      <c r="BN34" s="221">
        <f>SUM(BN35:BN38)</f>
        <v>0</v>
      </c>
      <c r="BO34" s="232">
        <f>SUM(BO35:BO38)</f>
        <v>15413456</v>
      </c>
      <c r="BP34" s="232">
        <f>SUM(BP35:BP38)</f>
        <v>15413456</v>
      </c>
      <c r="BQ34" s="383">
        <f t="shared" si="84"/>
        <v>0</v>
      </c>
      <c r="BR34" s="116">
        <f>SUM(BR35:BR38)</f>
        <v>88986530</v>
      </c>
      <c r="BS34" s="116">
        <f>SUM(BS35:BS38)</f>
        <v>141035934</v>
      </c>
      <c r="BT34" s="116">
        <f>SUM(BT35:BT38)</f>
        <v>145835336</v>
      </c>
      <c r="BU34" s="19">
        <f t="shared" si="85"/>
        <v>4799402</v>
      </c>
      <c r="BV34" s="224">
        <f>SUM(BV35:BV38)</f>
        <v>88986530</v>
      </c>
      <c r="BW34" s="260">
        <f>SUM(BW35:BW38)</f>
        <v>156449390</v>
      </c>
      <c r="BX34" s="260">
        <f>SUM(BX35:BX38)</f>
        <v>161248792</v>
      </c>
      <c r="BY34" s="383">
        <f t="shared" si="87"/>
        <v>4799402</v>
      </c>
      <c r="BZ34" s="19">
        <f aca="true" t="shared" si="92" ref="BZ34:CF34">SUM(BZ35:BZ38)</f>
        <v>88986530</v>
      </c>
      <c r="CA34" s="19">
        <f t="shared" si="92"/>
        <v>156449390</v>
      </c>
      <c r="CB34" s="19">
        <f t="shared" si="92"/>
        <v>161248792</v>
      </c>
      <c r="CC34" s="19">
        <f t="shared" si="92"/>
        <v>4799402</v>
      </c>
      <c r="CD34" s="243">
        <f t="shared" si="92"/>
        <v>335706</v>
      </c>
      <c r="CE34" s="244">
        <f t="shared" si="92"/>
        <v>358841</v>
      </c>
      <c r="CF34" s="244">
        <f t="shared" si="92"/>
        <v>381976</v>
      </c>
      <c r="CG34" s="245">
        <f t="shared" si="89"/>
        <v>23135</v>
      </c>
      <c r="CH34" s="246">
        <f aca="true" t="shared" si="93" ref="CH34:CO34">SUM(CH35:CH38)</f>
        <v>59243</v>
      </c>
      <c r="CI34" s="244">
        <f t="shared" si="93"/>
        <v>58131</v>
      </c>
      <c r="CJ34" s="244">
        <f t="shared" si="93"/>
        <v>57019</v>
      </c>
      <c r="CK34" s="245">
        <f t="shared" si="93"/>
        <v>-1112</v>
      </c>
      <c r="CL34" s="243">
        <f t="shared" si="93"/>
        <v>0</v>
      </c>
      <c r="CM34" s="244">
        <f t="shared" si="93"/>
        <v>0</v>
      </c>
      <c r="CN34" s="244">
        <f t="shared" si="93"/>
        <v>0</v>
      </c>
      <c r="CO34" s="245">
        <f t="shared" si="93"/>
        <v>0</v>
      </c>
      <c r="CP34" s="211"/>
      <c r="CQ34" s="212">
        <f t="shared" si="91"/>
        <v>416972</v>
      </c>
    </row>
    <row r="35" spans="1:95" s="9" customFormat="1" ht="13.5">
      <c r="A35" s="74" t="s">
        <v>104</v>
      </c>
      <c r="B35" s="115"/>
      <c r="C35" s="77"/>
      <c r="D35" s="77"/>
      <c r="E35" s="226">
        <f t="shared" si="61"/>
        <v>0</v>
      </c>
      <c r="F35" s="77"/>
      <c r="G35" s="77">
        <v>3887187</v>
      </c>
      <c r="H35" s="77">
        <v>3887187</v>
      </c>
      <c r="I35" s="75">
        <f t="shared" si="62"/>
        <v>0</v>
      </c>
      <c r="J35" s="77"/>
      <c r="K35" s="77">
        <v>425000</v>
      </c>
      <c r="L35" s="77">
        <v>425000</v>
      </c>
      <c r="M35" s="75">
        <f t="shared" si="63"/>
        <v>0</v>
      </c>
      <c r="N35" s="115"/>
      <c r="O35" s="214"/>
      <c r="P35" s="214"/>
      <c r="Q35" s="75">
        <f t="shared" si="64"/>
        <v>0</v>
      </c>
      <c r="R35" s="115"/>
      <c r="S35" s="214">
        <v>3551964</v>
      </c>
      <c r="T35" s="214">
        <v>3551964</v>
      </c>
      <c r="U35" s="75">
        <f t="shared" si="65"/>
        <v>0</v>
      </c>
      <c r="V35" s="115"/>
      <c r="W35" s="214">
        <v>1236890</v>
      </c>
      <c r="X35" s="214">
        <v>1236890</v>
      </c>
      <c r="Y35" s="75">
        <f t="shared" si="66"/>
        <v>0</v>
      </c>
      <c r="Z35" s="115"/>
      <c r="AA35" s="214">
        <v>734531</v>
      </c>
      <c r="AB35" s="214">
        <v>734531</v>
      </c>
      <c r="AC35" s="75">
        <f t="shared" si="67"/>
        <v>0</v>
      </c>
      <c r="AD35" s="115"/>
      <c r="AE35" s="214">
        <v>2176882</v>
      </c>
      <c r="AF35" s="214">
        <v>2176882</v>
      </c>
      <c r="AG35" s="75">
        <f t="shared" si="68"/>
        <v>0</v>
      </c>
      <c r="AH35" s="115"/>
      <c r="AI35" s="214"/>
      <c r="AJ35" s="214"/>
      <c r="AK35" s="75">
        <f t="shared" si="69"/>
        <v>0</v>
      </c>
      <c r="AL35" s="115"/>
      <c r="AM35" s="214">
        <v>1386492</v>
      </c>
      <c r="AN35" s="214">
        <v>1386492</v>
      </c>
      <c r="AO35" s="75">
        <f t="shared" si="70"/>
        <v>0</v>
      </c>
      <c r="AP35" s="215">
        <f t="shared" si="71"/>
        <v>0</v>
      </c>
      <c r="AQ35" s="216">
        <f t="shared" si="72"/>
        <v>5534795</v>
      </c>
      <c r="AR35" s="216">
        <f t="shared" si="73"/>
        <v>5534795</v>
      </c>
      <c r="AS35" s="217">
        <f t="shared" si="74"/>
        <v>0</v>
      </c>
      <c r="AT35" s="115"/>
      <c r="AU35" s="214"/>
      <c r="AV35" s="214"/>
      <c r="AW35" s="75">
        <f t="shared" si="75"/>
        <v>0</v>
      </c>
      <c r="AX35" s="115"/>
      <c r="AY35" s="214"/>
      <c r="AZ35" s="214"/>
      <c r="BA35" s="75">
        <f t="shared" si="76"/>
        <v>0</v>
      </c>
      <c r="BB35" s="115"/>
      <c r="BC35" s="214">
        <v>1180425</v>
      </c>
      <c r="BD35" s="214">
        <v>1180425</v>
      </c>
      <c r="BE35" s="75">
        <f t="shared" si="77"/>
        <v>0</v>
      </c>
      <c r="BF35" s="115"/>
      <c r="BG35" s="214">
        <v>759947</v>
      </c>
      <c r="BH35" s="214">
        <v>759947</v>
      </c>
      <c r="BI35" s="75">
        <f t="shared" si="78"/>
        <v>0</v>
      </c>
      <c r="BJ35" s="218">
        <f t="shared" si="79"/>
        <v>0</v>
      </c>
      <c r="BK35" s="219">
        <f t="shared" si="80"/>
        <v>1940372</v>
      </c>
      <c r="BL35" s="219">
        <f t="shared" si="81"/>
        <v>1940372</v>
      </c>
      <c r="BM35" s="220">
        <f t="shared" si="82"/>
        <v>0</v>
      </c>
      <c r="BN35" s="221">
        <f aca="true" t="shared" si="94" ref="BN35:BP38">B35+F35+J35+N35+R35+BJ35+AP35</f>
        <v>0</v>
      </c>
      <c r="BO35" s="232">
        <f t="shared" si="94"/>
        <v>15339318</v>
      </c>
      <c r="BP35" s="232">
        <f t="shared" si="94"/>
        <v>15339318</v>
      </c>
      <c r="BQ35" s="384">
        <f t="shared" si="84"/>
        <v>0</v>
      </c>
      <c r="BR35" s="115">
        <v>0</v>
      </c>
      <c r="BS35" s="77">
        <v>703568</v>
      </c>
      <c r="BT35" s="77">
        <v>6604673</v>
      </c>
      <c r="BU35" s="75">
        <f t="shared" si="85"/>
        <v>5901105</v>
      </c>
      <c r="BV35" s="385">
        <f aca="true" t="shared" si="95" ref="BV35:BX38">BR35+BN35</f>
        <v>0</v>
      </c>
      <c r="BW35" s="225">
        <f t="shared" si="95"/>
        <v>16042886</v>
      </c>
      <c r="BX35" s="225">
        <f t="shared" si="95"/>
        <v>21943991</v>
      </c>
      <c r="BY35" s="386">
        <f t="shared" si="87"/>
        <v>5901105</v>
      </c>
      <c r="BZ35" s="75">
        <f aca="true" t="shared" si="96" ref="BZ35:CC38">BV35</f>
        <v>0</v>
      </c>
      <c r="CA35" s="75">
        <f t="shared" si="96"/>
        <v>16042886</v>
      </c>
      <c r="CB35" s="75">
        <f t="shared" si="96"/>
        <v>21943991</v>
      </c>
      <c r="CC35" s="75">
        <f t="shared" si="96"/>
        <v>5901105</v>
      </c>
      <c r="CD35" s="227">
        <v>0</v>
      </c>
      <c r="CE35" s="228">
        <f>CD35+485</f>
        <v>485</v>
      </c>
      <c r="CF35" s="228">
        <f>CE35+485</f>
        <v>970</v>
      </c>
      <c r="CG35" s="229">
        <f t="shared" si="89"/>
        <v>485</v>
      </c>
      <c r="CH35" s="230"/>
      <c r="CI35" s="228">
        <f>CH35</f>
        <v>0</v>
      </c>
      <c r="CJ35" s="228">
        <f>CI35</f>
        <v>0</v>
      </c>
      <c r="CK35" s="229">
        <f>CI35-CH35</f>
        <v>0</v>
      </c>
      <c r="CL35" s="227"/>
      <c r="CM35" s="228">
        <f aca="true" t="shared" si="97" ref="CM35:CN38">CL35</f>
        <v>0</v>
      </c>
      <c r="CN35" s="228">
        <f t="shared" si="97"/>
        <v>0</v>
      </c>
      <c r="CO35" s="229">
        <f>CM35-CL35</f>
        <v>0</v>
      </c>
      <c r="CP35" s="231"/>
      <c r="CQ35" s="212">
        <f t="shared" si="91"/>
        <v>485</v>
      </c>
    </row>
    <row r="36" spans="1:95" s="9" customFormat="1" ht="13.5">
      <c r="A36" s="74" t="s">
        <v>123</v>
      </c>
      <c r="B36" s="115"/>
      <c r="C36" s="77"/>
      <c r="D36" s="77"/>
      <c r="E36" s="226">
        <f t="shared" si="61"/>
        <v>0</v>
      </c>
      <c r="F36" s="77"/>
      <c r="G36" s="77"/>
      <c r="H36" s="77"/>
      <c r="I36" s="75">
        <f t="shared" si="62"/>
        <v>0</v>
      </c>
      <c r="J36" s="77"/>
      <c r="K36" s="77"/>
      <c r="L36" s="77"/>
      <c r="M36" s="75">
        <f t="shared" si="63"/>
        <v>0</v>
      </c>
      <c r="N36" s="115"/>
      <c r="O36" s="214">
        <v>59618</v>
      </c>
      <c r="P36" s="214">
        <v>59618</v>
      </c>
      <c r="Q36" s="75">
        <f t="shared" si="64"/>
        <v>0</v>
      </c>
      <c r="R36" s="115"/>
      <c r="S36" s="214">
        <v>0</v>
      </c>
      <c r="T36" s="214">
        <v>0</v>
      </c>
      <c r="U36" s="75">
        <f t="shared" si="65"/>
        <v>0</v>
      </c>
      <c r="V36" s="115"/>
      <c r="W36" s="214"/>
      <c r="X36" s="214"/>
      <c r="Y36" s="75">
        <f t="shared" si="66"/>
        <v>0</v>
      </c>
      <c r="Z36" s="115"/>
      <c r="AA36" s="214">
        <v>0</v>
      </c>
      <c r="AB36" s="214">
        <v>0</v>
      </c>
      <c r="AC36" s="75">
        <f t="shared" si="67"/>
        <v>0</v>
      </c>
      <c r="AD36" s="115"/>
      <c r="AE36" s="214"/>
      <c r="AF36" s="214"/>
      <c r="AG36" s="75">
        <f t="shared" si="68"/>
        <v>0</v>
      </c>
      <c r="AH36" s="115"/>
      <c r="AI36" s="214">
        <v>0</v>
      </c>
      <c r="AJ36" s="214">
        <v>0</v>
      </c>
      <c r="AK36" s="75">
        <f t="shared" si="69"/>
        <v>0</v>
      </c>
      <c r="AL36" s="115"/>
      <c r="AM36" s="214">
        <v>0</v>
      </c>
      <c r="AN36" s="214">
        <v>0</v>
      </c>
      <c r="AO36" s="75">
        <f t="shared" si="70"/>
        <v>0</v>
      </c>
      <c r="AP36" s="215">
        <f t="shared" si="71"/>
        <v>0</v>
      </c>
      <c r="AQ36" s="216">
        <f t="shared" si="72"/>
        <v>0</v>
      </c>
      <c r="AR36" s="216">
        <f t="shared" si="73"/>
        <v>0</v>
      </c>
      <c r="AS36" s="217">
        <f t="shared" si="74"/>
        <v>0</v>
      </c>
      <c r="AT36" s="115"/>
      <c r="AU36" s="214"/>
      <c r="AV36" s="214"/>
      <c r="AW36" s="75">
        <f t="shared" si="75"/>
        <v>0</v>
      </c>
      <c r="AX36" s="115"/>
      <c r="AY36" s="214">
        <v>0</v>
      </c>
      <c r="AZ36" s="214">
        <v>0</v>
      </c>
      <c r="BA36" s="75">
        <f t="shared" si="76"/>
        <v>0</v>
      </c>
      <c r="BB36" s="115"/>
      <c r="BC36" s="214">
        <v>0</v>
      </c>
      <c r="BD36" s="214">
        <v>0</v>
      </c>
      <c r="BE36" s="75">
        <f t="shared" si="77"/>
        <v>0</v>
      </c>
      <c r="BF36" s="115"/>
      <c r="BG36" s="214">
        <v>0</v>
      </c>
      <c r="BH36" s="214">
        <v>0</v>
      </c>
      <c r="BI36" s="75">
        <f t="shared" si="78"/>
        <v>0</v>
      </c>
      <c r="BJ36" s="218">
        <f t="shared" si="79"/>
        <v>0</v>
      </c>
      <c r="BK36" s="219">
        <f t="shared" si="80"/>
        <v>0</v>
      </c>
      <c r="BL36" s="219">
        <f t="shared" si="81"/>
        <v>0</v>
      </c>
      <c r="BM36" s="220">
        <f t="shared" si="82"/>
        <v>0</v>
      </c>
      <c r="BN36" s="221">
        <f t="shared" si="94"/>
        <v>0</v>
      </c>
      <c r="BO36" s="232">
        <f t="shared" si="94"/>
        <v>59618</v>
      </c>
      <c r="BP36" s="232">
        <f t="shared" si="94"/>
        <v>59618</v>
      </c>
      <c r="BQ36" s="384">
        <f t="shared" si="84"/>
        <v>0</v>
      </c>
      <c r="BR36" s="115">
        <v>4103300</v>
      </c>
      <c r="BS36" s="77">
        <v>4478159</v>
      </c>
      <c r="BT36" s="77">
        <v>4523642</v>
      </c>
      <c r="BU36" s="75">
        <f t="shared" si="85"/>
        <v>45483</v>
      </c>
      <c r="BV36" s="224">
        <f t="shared" si="95"/>
        <v>4103300</v>
      </c>
      <c r="BW36" s="205">
        <f t="shared" si="95"/>
        <v>4537777</v>
      </c>
      <c r="BX36" s="205">
        <f t="shared" si="95"/>
        <v>4583260</v>
      </c>
      <c r="BY36" s="384">
        <f t="shared" si="87"/>
        <v>45483</v>
      </c>
      <c r="BZ36" s="75">
        <f t="shared" si="96"/>
        <v>4103300</v>
      </c>
      <c r="CA36" s="75">
        <f t="shared" si="96"/>
        <v>4537777</v>
      </c>
      <c r="CB36" s="75">
        <f t="shared" si="96"/>
        <v>4583260</v>
      </c>
      <c r="CC36" s="75">
        <f t="shared" si="96"/>
        <v>45483</v>
      </c>
      <c r="CD36" s="227">
        <v>314406</v>
      </c>
      <c r="CE36" s="228">
        <f>CD36+1001+1579+2997</f>
        <v>319983</v>
      </c>
      <c r="CF36" s="228">
        <f>CE36+1001+1579+2997</f>
        <v>325560</v>
      </c>
      <c r="CG36" s="229">
        <f t="shared" si="89"/>
        <v>5577</v>
      </c>
      <c r="CH36" s="230">
        <v>1800</v>
      </c>
      <c r="CI36" s="228">
        <f>CH36</f>
        <v>1800</v>
      </c>
      <c r="CJ36" s="228">
        <f>CI36</f>
        <v>1800</v>
      </c>
      <c r="CK36" s="229">
        <f>CI36-CH36</f>
        <v>0</v>
      </c>
      <c r="CL36" s="227"/>
      <c r="CM36" s="228">
        <f t="shared" si="97"/>
        <v>0</v>
      </c>
      <c r="CN36" s="228">
        <f t="shared" si="97"/>
        <v>0</v>
      </c>
      <c r="CO36" s="229">
        <f>CM36-CL36</f>
        <v>0</v>
      </c>
      <c r="CP36" s="231"/>
      <c r="CQ36" s="212">
        <f t="shared" si="91"/>
        <v>321783</v>
      </c>
    </row>
    <row r="37" spans="1:95" s="9" customFormat="1" ht="13.5">
      <c r="A37" s="74" t="s">
        <v>124</v>
      </c>
      <c r="B37" s="115"/>
      <c r="C37" s="77"/>
      <c r="D37" s="77"/>
      <c r="E37" s="226">
        <f t="shared" si="61"/>
        <v>0</v>
      </c>
      <c r="F37" s="77"/>
      <c r="G37" s="77"/>
      <c r="H37" s="77"/>
      <c r="I37" s="75">
        <f t="shared" si="62"/>
        <v>0</v>
      </c>
      <c r="J37" s="77"/>
      <c r="K37" s="77"/>
      <c r="L37" s="77"/>
      <c r="M37" s="75">
        <f t="shared" si="63"/>
        <v>0</v>
      </c>
      <c r="N37" s="115"/>
      <c r="O37" s="214">
        <v>14520</v>
      </c>
      <c r="P37" s="214">
        <v>14520</v>
      </c>
      <c r="Q37" s="75">
        <f t="shared" si="64"/>
        <v>0</v>
      </c>
      <c r="R37" s="115"/>
      <c r="S37" s="214"/>
      <c r="T37" s="214"/>
      <c r="U37" s="75">
        <f t="shared" si="65"/>
        <v>0</v>
      </c>
      <c r="V37" s="115"/>
      <c r="W37" s="214"/>
      <c r="X37" s="214"/>
      <c r="Y37" s="75">
        <f t="shared" si="66"/>
        <v>0</v>
      </c>
      <c r="Z37" s="115"/>
      <c r="AA37" s="214"/>
      <c r="AB37" s="214"/>
      <c r="AC37" s="75">
        <f t="shared" si="67"/>
        <v>0</v>
      </c>
      <c r="AD37" s="115"/>
      <c r="AE37" s="214"/>
      <c r="AF37" s="214"/>
      <c r="AG37" s="75">
        <f t="shared" si="68"/>
        <v>0</v>
      </c>
      <c r="AH37" s="115"/>
      <c r="AI37" s="214"/>
      <c r="AJ37" s="214"/>
      <c r="AK37" s="75">
        <f t="shared" si="69"/>
        <v>0</v>
      </c>
      <c r="AL37" s="115"/>
      <c r="AM37" s="214"/>
      <c r="AN37" s="214"/>
      <c r="AO37" s="75">
        <f t="shared" si="70"/>
        <v>0</v>
      </c>
      <c r="AP37" s="215">
        <f t="shared" si="71"/>
        <v>0</v>
      </c>
      <c r="AQ37" s="216">
        <f t="shared" si="72"/>
        <v>0</v>
      </c>
      <c r="AR37" s="216">
        <f t="shared" si="73"/>
        <v>0</v>
      </c>
      <c r="AS37" s="217">
        <f t="shared" si="74"/>
        <v>0</v>
      </c>
      <c r="AT37" s="115"/>
      <c r="AU37" s="214"/>
      <c r="AV37" s="214"/>
      <c r="AW37" s="75">
        <f t="shared" si="75"/>
        <v>0</v>
      </c>
      <c r="AX37" s="115"/>
      <c r="AY37" s="214"/>
      <c r="AZ37" s="214"/>
      <c r="BA37" s="75">
        <f t="shared" si="76"/>
        <v>0</v>
      </c>
      <c r="BB37" s="115"/>
      <c r="BC37" s="214"/>
      <c r="BD37" s="214"/>
      <c r="BE37" s="75">
        <f t="shared" si="77"/>
        <v>0</v>
      </c>
      <c r="BF37" s="115"/>
      <c r="BG37" s="214"/>
      <c r="BH37" s="214"/>
      <c r="BI37" s="75">
        <f t="shared" si="78"/>
        <v>0</v>
      </c>
      <c r="BJ37" s="218">
        <f t="shared" si="79"/>
        <v>0</v>
      </c>
      <c r="BK37" s="219">
        <f t="shared" si="80"/>
        <v>0</v>
      </c>
      <c r="BL37" s="219">
        <f t="shared" si="81"/>
        <v>0</v>
      </c>
      <c r="BM37" s="220">
        <f t="shared" si="82"/>
        <v>0</v>
      </c>
      <c r="BN37" s="221">
        <f t="shared" si="94"/>
        <v>0</v>
      </c>
      <c r="BO37" s="232">
        <f t="shared" si="94"/>
        <v>14520</v>
      </c>
      <c r="BP37" s="232">
        <f t="shared" si="94"/>
        <v>14520</v>
      </c>
      <c r="BQ37" s="384">
        <f t="shared" si="84"/>
        <v>0</v>
      </c>
      <c r="BR37" s="115">
        <v>53083516</v>
      </c>
      <c r="BS37" s="77">
        <v>55783516</v>
      </c>
      <c r="BT37" s="77">
        <v>55833516</v>
      </c>
      <c r="BU37" s="75">
        <f t="shared" si="85"/>
        <v>50000</v>
      </c>
      <c r="BV37" s="224">
        <f t="shared" si="95"/>
        <v>53083516</v>
      </c>
      <c r="BW37" s="225">
        <f t="shared" si="95"/>
        <v>55798036</v>
      </c>
      <c r="BX37" s="225">
        <f t="shared" si="95"/>
        <v>55848036</v>
      </c>
      <c r="BY37" s="384">
        <f t="shared" si="87"/>
        <v>50000</v>
      </c>
      <c r="BZ37" s="75">
        <f t="shared" si="96"/>
        <v>53083516</v>
      </c>
      <c r="CA37" s="75">
        <f t="shared" si="96"/>
        <v>55798036</v>
      </c>
      <c r="CB37" s="75">
        <f t="shared" si="96"/>
        <v>55848036</v>
      </c>
      <c r="CC37" s="75">
        <f t="shared" si="96"/>
        <v>50000</v>
      </c>
      <c r="CD37" s="227">
        <v>17800</v>
      </c>
      <c r="CE37" s="228">
        <f>CD37</f>
        <v>17800</v>
      </c>
      <c r="CF37" s="228">
        <f>CE37</f>
        <v>17800</v>
      </c>
      <c r="CG37" s="229">
        <f t="shared" si="89"/>
        <v>0</v>
      </c>
      <c r="CH37" s="230">
        <v>25779</v>
      </c>
      <c r="CI37" s="228">
        <f>CH37-592</f>
        <v>25187</v>
      </c>
      <c r="CJ37" s="228">
        <f>CI37-592</f>
        <v>24595</v>
      </c>
      <c r="CK37" s="229">
        <f>CI37-CH37</f>
        <v>-592</v>
      </c>
      <c r="CL37" s="227"/>
      <c r="CM37" s="228">
        <f t="shared" si="97"/>
        <v>0</v>
      </c>
      <c r="CN37" s="228">
        <f t="shared" si="97"/>
        <v>0</v>
      </c>
      <c r="CO37" s="229">
        <f>CM37-CL37</f>
        <v>0</v>
      </c>
      <c r="CP37" s="231"/>
      <c r="CQ37" s="212">
        <f t="shared" si="91"/>
        <v>42987</v>
      </c>
    </row>
    <row r="38" spans="1:95" s="9" customFormat="1" ht="14.25" thickBot="1">
      <c r="A38" s="74" t="s">
        <v>119</v>
      </c>
      <c r="B38" s="124"/>
      <c r="C38" s="125"/>
      <c r="D38" s="125"/>
      <c r="E38" s="361">
        <f t="shared" si="61"/>
        <v>0</v>
      </c>
      <c r="F38" s="125"/>
      <c r="G38" s="125"/>
      <c r="H38" s="125"/>
      <c r="I38" s="20">
        <f t="shared" si="62"/>
        <v>0</v>
      </c>
      <c r="J38" s="125"/>
      <c r="K38" s="125"/>
      <c r="L38" s="125"/>
      <c r="M38" s="20">
        <f t="shared" si="63"/>
        <v>0</v>
      </c>
      <c r="N38" s="124"/>
      <c r="O38" s="347"/>
      <c r="P38" s="347"/>
      <c r="Q38" s="20">
        <f t="shared" si="64"/>
        <v>0</v>
      </c>
      <c r="R38" s="124"/>
      <c r="S38" s="347"/>
      <c r="T38" s="347"/>
      <c r="U38" s="20">
        <f t="shared" si="65"/>
        <v>0</v>
      </c>
      <c r="V38" s="124"/>
      <c r="W38" s="347"/>
      <c r="X38" s="347"/>
      <c r="Y38" s="20">
        <f t="shared" si="66"/>
        <v>0</v>
      </c>
      <c r="Z38" s="124"/>
      <c r="AA38" s="347"/>
      <c r="AB38" s="347"/>
      <c r="AC38" s="20">
        <f t="shared" si="67"/>
        <v>0</v>
      </c>
      <c r="AD38" s="124"/>
      <c r="AE38" s="347"/>
      <c r="AF38" s="347"/>
      <c r="AG38" s="20">
        <f t="shared" si="68"/>
        <v>0</v>
      </c>
      <c r="AH38" s="124"/>
      <c r="AI38" s="347"/>
      <c r="AJ38" s="347"/>
      <c r="AK38" s="20">
        <f t="shared" si="69"/>
        <v>0</v>
      </c>
      <c r="AL38" s="124"/>
      <c r="AM38" s="347"/>
      <c r="AN38" s="347"/>
      <c r="AO38" s="20">
        <f t="shared" si="70"/>
        <v>0</v>
      </c>
      <c r="AP38" s="348">
        <f t="shared" si="71"/>
        <v>0</v>
      </c>
      <c r="AQ38" s="349">
        <f t="shared" si="72"/>
        <v>0</v>
      </c>
      <c r="AR38" s="349">
        <f t="shared" si="73"/>
        <v>0</v>
      </c>
      <c r="AS38" s="350">
        <f t="shared" si="74"/>
        <v>0</v>
      </c>
      <c r="AT38" s="124"/>
      <c r="AU38" s="347"/>
      <c r="AV38" s="347"/>
      <c r="AW38" s="20">
        <f t="shared" si="75"/>
        <v>0</v>
      </c>
      <c r="AX38" s="124"/>
      <c r="AY38" s="347"/>
      <c r="AZ38" s="347"/>
      <c r="BA38" s="20">
        <f t="shared" si="76"/>
        <v>0</v>
      </c>
      <c r="BB38" s="124"/>
      <c r="BC38" s="347"/>
      <c r="BD38" s="347"/>
      <c r="BE38" s="20">
        <f t="shared" si="77"/>
        <v>0</v>
      </c>
      <c r="BF38" s="124"/>
      <c r="BG38" s="347"/>
      <c r="BH38" s="347"/>
      <c r="BI38" s="20">
        <f t="shared" si="78"/>
        <v>0</v>
      </c>
      <c r="BJ38" s="351">
        <f t="shared" si="79"/>
        <v>0</v>
      </c>
      <c r="BK38" s="352">
        <f t="shared" si="80"/>
        <v>0</v>
      </c>
      <c r="BL38" s="352">
        <f t="shared" si="81"/>
        <v>0</v>
      </c>
      <c r="BM38" s="353">
        <f t="shared" si="82"/>
        <v>0</v>
      </c>
      <c r="BN38" s="221">
        <f t="shared" si="94"/>
        <v>0</v>
      </c>
      <c r="BO38" s="355">
        <f t="shared" si="94"/>
        <v>0</v>
      </c>
      <c r="BP38" s="355">
        <f t="shared" si="94"/>
        <v>0</v>
      </c>
      <c r="BQ38" s="387">
        <f t="shared" si="84"/>
        <v>0</v>
      </c>
      <c r="BR38" s="124">
        <v>31799714</v>
      </c>
      <c r="BS38" s="78">
        <v>80070691</v>
      </c>
      <c r="BT38" s="78">
        <v>78873505</v>
      </c>
      <c r="BU38" s="20">
        <f t="shared" si="85"/>
        <v>-1197186</v>
      </c>
      <c r="BV38" s="359">
        <f t="shared" si="95"/>
        <v>31799714</v>
      </c>
      <c r="BW38" s="360">
        <f t="shared" si="95"/>
        <v>80070691</v>
      </c>
      <c r="BX38" s="360">
        <f t="shared" si="95"/>
        <v>78873505</v>
      </c>
      <c r="BY38" s="387">
        <f t="shared" si="87"/>
        <v>-1197186</v>
      </c>
      <c r="BZ38" s="20">
        <f t="shared" si="96"/>
        <v>31799714</v>
      </c>
      <c r="CA38" s="20">
        <f t="shared" si="96"/>
        <v>80070691</v>
      </c>
      <c r="CB38" s="20">
        <f t="shared" si="96"/>
        <v>78873505</v>
      </c>
      <c r="CC38" s="20">
        <f t="shared" si="96"/>
        <v>-1197186</v>
      </c>
      <c r="CD38" s="362">
        <v>3500</v>
      </c>
      <c r="CE38" s="363">
        <f>CD38+17073</f>
        <v>20573</v>
      </c>
      <c r="CF38" s="363">
        <f>CE38+17073</f>
        <v>37646</v>
      </c>
      <c r="CG38" s="364">
        <f t="shared" si="89"/>
        <v>17073</v>
      </c>
      <c r="CH38" s="365">
        <v>31664</v>
      </c>
      <c r="CI38" s="363">
        <f>CH38-520</f>
        <v>31144</v>
      </c>
      <c r="CJ38" s="363">
        <f>CI38-520</f>
        <v>30624</v>
      </c>
      <c r="CK38" s="364">
        <f>CI38-CH38</f>
        <v>-520</v>
      </c>
      <c r="CL38" s="362"/>
      <c r="CM38" s="363">
        <f t="shared" si="97"/>
        <v>0</v>
      </c>
      <c r="CN38" s="363">
        <f t="shared" si="97"/>
        <v>0</v>
      </c>
      <c r="CO38" s="364">
        <f>CM38-CL38</f>
        <v>0</v>
      </c>
      <c r="CP38" s="211"/>
      <c r="CQ38" s="212">
        <f t="shared" si="91"/>
        <v>51717</v>
      </c>
    </row>
    <row r="39" spans="1:95" s="9" customFormat="1" ht="14.25" thickBot="1">
      <c r="A39" s="388" t="s">
        <v>110</v>
      </c>
      <c r="B39" s="267">
        <f>B30+B31+B32+B33+B34</f>
        <v>43398470</v>
      </c>
      <c r="C39" s="267">
        <f>C30+C31+C32+C33+C34</f>
        <v>48750228</v>
      </c>
      <c r="D39" s="267">
        <f>D30+D31+D32+D33+D34</f>
        <v>51113683</v>
      </c>
      <c r="E39" s="283">
        <f t="shared" si="61"/>
        <v>2363455</v>
      </c>
      <c r="F39" s="270">
        <f>F30+F31+F32+F33+F34</f>
        <v>176309548</v>
      </c>
      <c r="G39" s="270">
        <f>G30+G31+G32+G33+G34</f>
        <v>211648292</v>
      </c>
      <c r="H39" s="270">
        <f>H30+H31+H32+H33+H34</f>
        <v>217228740</v>
      </c>
      <c r="I39" s="268">
        <f t="shared" si="62"/>
        <v>5580448</v>
      </c>
      <c r="J39" s="270">
        <f>J30+J31+J32+J33+J34</f>
        <v>49450543</v>
      </c>
      <c r="K39" s="270">
        <f>K30+K31+K32+K33+K34</f>
        <v>56422644</v>
      </c>
      <c r="L39" s="270">
        <f>L30+L31+L32+L33+L34</f>
        <v>59386501</v>
      </c>
      <c r="M39" s="268">
        <f t="shared" si="63"/>
        <v>2963857</v>
      </c>
      <c r="N39" s="267">
        <f>N30+N31+N32+N33+N34</f>
        <v>327180037</v>
      </c>
      <c r="O39" s="269">
        <f>O30+O31+O32+O33+O34</f>
        <v>331970687</v>
      </c>
      <c r="P39" s="269">
        <f>P30+P31+P32+P33+P34</f>
        <v>334312579</v>
      </c>
      <c r="Q39" s="268">
        <f t="shared" si="64"/>
        <v>2341892</v>
      </c>
      <c r="R39" s="267">
        <f>R30+R31+R32+R33+R34</f>
        <v>232120847</v>
      </c>
      <c r="S39" s="269">
        <f>S30+S31+S32+S33+S34</f>
        <v>256807500</v>
      </c>
      <c r="T39" s="269">
        <f>T30+T31+T32+T33+T34</f>
        <v>263076301</v>
      </c>
      <c r="U39" s="268">
        <f t="shared" si="65"/>
        <v>6268801</v>
      </c>
      <c r="V39" s="267">
        <f>V30+V31+V32+V33+V34</f>
        <v>85486981</v>
      </c>
      <c r="W39" s="269">
        <f>W30+W31+W32+W33+W34</f>
        <v>90300468</v>
      </c>
      <c r="X39" s="269">
        <f>X30+X31+X32+X33+X34</f>
        <v>90340236</v>
      </c>
      <c r="Y39" s="268">
        <f t="shared" si="66"/>
        <v>39768</v>
      </c>
      <c r="Z39" s="267">
        <f>Z30+Z31+Z32+Z33+Z34</f>
        <v>27371589</v>
      </c>
      <c r="AA39" s="269">
        <f>AA30+AA31+AA32+AA33+AA34</f>
        <v>28204008</v>
      </c>
      <c r="AB39" s="269">
        <f>AB30+AB31+AB32+AB33+AB34</f>
        <v>28232167</v>
      </c>
      <c r="AC39" s="268">
        <f t="shared" si="67"/>
        <v>28159</v>
      </c>
      <c r="AD39" s="267">
        <f>AD30+AD31+AD32+AD33+AD34</f>
        <v>51936936</v>
      </c>
      <c r="AE39" s="269">
        <f>AE30+AE31+AE32+AE33+AE34</f>
        <v>55341029</v>
      </c>
      <c r="AF39" s="269">
        <f>AF30+AF31+AF32+AF33+AF34</f>
        <v>55438661</v>
      </c>
      <c r="AG39" s="268">
        <f t="shared" si="68"/>
        <v>97632</v>
      </c>
      <c r="AH39" s="267">
        <f>AH30+AH31+AH32+AH33+AH34</f>
        <v>19334953</v>
      </c>
      <c r="AI39" s="269">
        <f>AI30+AI31+AI32+AI33+AI34</f>
        <v>19523561</v>
      </c>
      <c r="AJ39" s="269">
        <f>AJ30+AJ31+AJ32+AJ33+AJ34</f>
        <v>19562996</v>
      </c>
      <c r="AK39" s="268">
        <f t="shared" si="69"/>
        <v>39435</v>
      </c>
      <c r="AL39" s="267">
        <f>AL30+AL31+AL32+AL33+AL34</f>
        <v>14208750</v>
      </c>
      <c r="AM39" s="269">
        <f>AM30+AM31+AM32+AM33+AM34</f>
        <v>15608820</v>
      </c>
      <c r="AN39" s="269">
        <f>AN30+AN31+AN32+AN33+AN34</f>
        <v>15608820</v>
      </c>
      <c r="AO39" s="268">
        <f t="shared" si="70"/>
        <v>0</v>
      </c>
      <c r="AP39" s="271">
        <f t="shared" si="71"/>
        <v>198339209</v>
      </c>
      <c r="AQ39" s="272">
        <f t="shared" si="72"/>
        <v>208977886</v>
      </c>
      <c r="AR39" s="272">
        <f t="shared" si="73"/>
        <v>209182880</v>
      </c>
      <c r="AS39" s="273">
        <f t="shared" si="74"/>
        <v>204994</v>
      </c>
      <c r="AT39" s="267">
        <f>AT30+AT31+AT32+AT33+AT34</f>
        <v>83525714</v>
      </c>
      <c r="AU39" s="269">
        <f>AU30+AU31+AU32+AU33+AU34</f>
        <v>89031592</v>
      </c>
      <c r="AV39" s="269">
        <f>AV30+AV31+AV32+AV33+AV34</f>
        <v>89576347</v>
      </c>
      <c r="AW39" s="268">
        <f t="shared" si="75"/>
        <v>544755</v>
      </c>
      <c r="AX39" s="267">
        <f>AX30+AX31+AX32+AX33+AX34</f>
        <v>22648244</v>
      </c>
      <c r="AY39" s="269">
        <f>AY30+AY31+AY32+AY33+AY34</f>
        <v>23663933</v>
      </c>
      <c r="AZ39" s="269">
        <f>AZ30+AZ31+AZ32+AZ33+AZ34</f>
        <v>23679707</v>
      </c>
      <c r="BA39" s="268">
        <f t="shared" si="76"/>
        <v>15774</v>
      </c>
      <c r="BB39" s="267">
        <f>BB30+BB31+BB32+BB33+BB34</f>
        <v>0</v>
      </c>
      <c r="BC39" s="269">
        <f>BC30+BC31+BC32+BC33+BC34</f>
        <v>1180425</v>
      </c>
      <c r="BD39" s="269">
        <f>BD30+BD31+BD32+BD33+BD34</f>
        <v>1180425</v>
      </c>
      <c r="BE39" s="268">
        <f t="shared" si="77"/>
        <v>0</v>
      </c>
      <c r="BF39" s="267">
        <f>BF30+BF31+BF32+BF33+BF34</f>
        <v>15012577</v>
      </c>
      <c r="BG39" s="269">
        <f>BG30+BG31+BG32+BG33+BG34</f>
        <v>16072524</v>
      </c>
      <c r="BH39" s="269">
        <f>BH30+BH31+BH32+BH33+BH34</f>
        <v>16072524</v>
      </c>
      <c r="BI39" s="268">
        <f t="shared" si="78"/>
        <v>0</v>
      </c>
      <c r="BJ39" s="274">
        <f t="shared" si="79"/>
        <v>121186535</v>
      </c>
      <c r="BK39" s="275">
        <f t="shared" si="80"/>
        <v>129948474</v>
      </c>
      <c r="BL39" s="275">
        <f t="shared" si="81"/>
        <v>130509003</v>
      </c>
      <c r="BM39" s="276">
        <f t="shared" si="82"/>
        <v>560529</v>
      </c>
      <c r="BN39" s="277">
        <f>BN30+BN31+BN32+BN33+BN34</f>
        <v>1147985189</v>
      </c>
      <c r="BO39" s="278">
        <f>BO30+BO31+BO32+BO33+BO34</f>
        <v>1244525711</v>
      </c>
      <c r="BP39" s="278">
        <f>BP30+BP31+BP32+BP33+BP34</f>
        <v>1264809687</v>
      </c>
      <c r="BQ39" s="268">
        <f t="shared" si="84"/>
        <v>20283976</v>
      </c>
      <c r="BR39" s="267">
        <f>BR30+BR31+BR32+BR33+BR34</f>
        <v>719583172</v>
      </c>
      <c r="BS39" s="280">
        <f>BS30+BS31+BS32+BS33+BS34</f>
        <v>843764238</v>
      </c>
      <c r="BT39" s="280">
        <f>BT30+BT31+BT32+BT33+BT34</f>
        <v>918613314</v>
      </c>
      <c r="BU39" s="281">
        <f t="shared" si="85"/>
        <v>74849076</v>
      </c>
      <c r="BV39" s="282">
        <f>BV30+BV31+BV32+BV33+BV34</f>
        <v>1867568361</v>
      </c>
      <c r="BW39" s="280">
        <f>BW30+BW31+BW32+BW33+BW34</f>
        <v>2088289949</v>
      </c>
      <c r="BX39" s="280">
        <f>BX30+BX31+BX32+BX33+BX34</f>
        <v>2183423001</v>
      </c>
      <c r="BY39" s="281">
        <f t="shared" si="87"/>
        <v>95133052</v>
      </c>
      <c r="BZ39" s="268">
        <f aca="true" t="shared" si="98" ref="BZ39:CF39">BZ30+BZ31+BZ32+BZ33+BZ34</f>
        <v>1867568361</v>
      </c>
      <c r="CA39" s="268">
        <f t="shared" si="98"/>
        <v>2088289949</v>
      </c>
      <c r="CB39" s="268">
        <f t="shared" si="98"/>
        <v>2183423001</v>
      </c>
      <c r="CC39" s="268">
        <f t="shared" si="98"/>
        <v>95133052</v>
      </c>
      <c r="CD39" s="284">
        <f t="shared" si="98"/>
        <v>1427309</v>
      </c>
      <c r="CE39" s="285">
        <f t="shared" si="98"/>
        <v>1514937</v>
      </c>
      <c r="CF39" s="285">
        <f t="shared" si="98"/>
        <v>1602565</v>
      </c>
      <c r="CG39" s="286">
        <f t="shared" si="89"/>
        <v>87628</v>
      </c>
      <c r="CH39" s="287">
        <f aca="true" t="shared" si="99" ref="CH39:CO39">CH30+CH31+CH32+CH33+CH34</f>
        <v>188606</v>
      </c>
      <c r="CI39" s="285">
        <f t="shared" si="99"/>
        <v>197974</v>
      </c>
      <c r="CJ39" s="285">
        <f t="shared" si="99"/>
        <v>207342</v>
      </c>
      <c r="CK39" s="286">
        <f t="shared" si="99"/>
        <v>9368</v>
      </c>
      <c r="CL39" s="284">
        <f t="shared" si="99"/>
        <v>89503</v>
      </c>
      <c r="CM39" s="285">
        <f t="shared" si="99"/>
        <v>89503</v>
      </c>
      <c r="CN39" s="285">
        <f t="shared" si="99"/>
        <v>89503</v>
      </c>
      <c r="CO39" s="286">
        <f t="shared" si="99"/>
        <v>0</v>
      </c>
      <c r="CP39" s="288"/>
      <c r="CQ39" s="212">
        <f t="shared" si="91"/>
        <v>1802414</v>
      </c>
    </row>
    <row r="40" spans="1:95" s="9" customFormat="1" ht="13.5">
      <c r="A40" s="55" t="s">
        <v>58</v>
      </c>
      <c r="B40" s="116"/>
      <c r="C40" s="60">
        <v>12667488</v>
      </c>
      <c r="D40" s="60">
        <v>12717587</v>
      </c>
      <c r="E40" s="242">
        <f t="shared" si="61"/>
        <v>50099</v>
      </c>
      <c r="F40" s="60">
        <v>2732431</v>
      </c>
      <c r="G40" s="60">
        <v>4732431</v>
      </c>
      <c r="H40" s="60">
        <v>4732431</v>
      </c>
      <c r="I40" s="19">
        <f t="shared" si="62"/>
        <v>0</v>
      </c>
      <c r="J40" s="60"/>
      <c r="K40" s="60">
        <v>2420000</v>
      </c>
      <c r="L40" s="60">
        <v>2902847</v>
      </c>
      <c r="M40" s="19">
        <f t="shared" si="63"/>
        <v>482847</v>
      </c>
      <c r="N40" s="116">
        <v>2000000</v>
      </c>
      <c r="O40" s="234">
        <v>5385284</v>
      </c>
      <c r="P40" s="234">
        <v>5155000</v>
      </c>
      <c r="Q40" s="19">
        <f t="shared" si="64"/>
        <v>-230284</v>
      </c>
      <c r="R40" s="116">
        <v>890000</v>
      </c>
      <c r="S40" s="234">
        <v>5366264</v>
      </c>
      <c r="T40" s="234">
        <v>7146264</v>
      </c>
      <c r="U40" s="19">
        <f t="shared" si="65"/>
        <v>1780000</v>
      </c>
      <c r="V40" s="116">
        <v>550000</v>
      </c>
      <c r="W40" s="234">
        <v>1864900</v>
      </c>
      <c r="X40" s="234">
        <v>1864900</v>
      </c>
      <c r="Y40" s="19">
        <f t="shared" si="66"/>
        <v>0</v>
      </c>
      <c r="Z40" s="116">
        <v>150000</v>
      </c>
      <c r="AA40" s="234">
        <v>215900</v>
      </c>
      <c r="AB40" s="234">
        <v>215900</v>
      </c>
      <c r="AC40" s="19">
        <f t="shared" si="67"/>
        <v>0</v>
      </c>
      <c r="AD40" s="116"/>
      <c r="AE40" s="234">
        <v>150324</v>
      </c>
      <c r="AF40" s="234">
        <v>150324</v>
      </c>
      <c r="AG40" s="19">
        <f t="shared" si="68"/>
        <v>0</v>
      </c>
      <c r="AH40" s="116">
        <v>0</v>
      </c>
      <c r="AI40" s="234">
        <v>1614892</v>
      </c>
      <c r="AJ40" s="234">
        <v>1614892</v>
      </c>
      <c r="AK40" s="19">
        <f t="shared" si="69"/>
        <v>0</v>
      </c>
      <c r="AL40" s="116"/>
      <c r="AM40" s="234">
        <v>54864</v>
      </c>
      <c r="AN40" s="234">
        <v>54864</v>
      </c>
      <c r="AO40" s="19">
        <f t="shared" si="70"/>
        <v>0</v>
      </c>
      <c r="AP40" s="235">
        <f t="shared" si="71"/>
        <v>700000</v>
      </c>
      <c r="AQ40" s="236">
        <f t="shared" si="72"/>
        <v>3900880</v>
      </c>
      <c r="AR40" s="236">
        <f t="shared" si="73"/>
        <v>3900880</v>
      </c>
      <c r="AS40" s="237">
        <f t="shared" si="74"/>
        <v>0</v>
      </c>
      <c r="AT40" s="116">
        <v>1000000</v>
      </c>
      <c r="AU40" s="234">
        <v>1000000</v>
      </c>
      <c r="AV40" s="234">
        <v>1030531</v>
      </c>
      <c r="AW40" s="19">
        <f t="shared" si="75"/>
        <v>30531</v>
      </c>
      <c r="AX40" s="116">
        <v>200000</v>
      </c>
      <c r="AY40" s="234">
        <v>200000</v>
      </c>
      <c r="AZ40" s="234">
        <v>200000</v>
      </c>
      <c r="BA40" s="19">
        <f t="shared" si="76"/>
        <v>0</v>
      </c>
      <c r="BB40" s="116"/>
      <c r="BC40" s="234"/>
      <c r="BD40" s="234"/>
      <c r="BE40" s="19">
        <f t="shared" si="77"/>
        <v>0</v>
      </c>
      <c r="BF40" s="116"/>
      <c r="BG40" s="234"/>
      <c r="BH40" s="234"/>
      <c r="BI40" s="19">
        <f t="shared" si="78"/>
        <v>0</v>
      </c>
      <c r="BJ40" s="238">
        <f t="shared" si="79"/>
        <v>1200000</v>
      </c>
      <c r="BK40" s="239">
        <f t="shared" si="80"/>
        <v>1200000</v>
      </c>
      <c r="BL40" s="239">
        <f t="shared" si="81"/>
        <v>1230531</v>
      </c>
      <c r="BM40" s="240">
        <f t="shared" si="82"/>
        <v>30531</v>
      </c>
      <c r="BN40" s="221">
        <f aca="true" t="shared" si="100" ref="BN40:BP41">B40+F40+J40+N40+R40+BJ40+AP40</f>
        <v>7522431</v>
      </c>
      <c r="BO40" s="232">
        <f t="shared" si="100"/>
        <v>35672347</v>
      </c>
      <c r="BP40" s="232">
        <f t="shared" si="100"/>
        <v>37785540</v>
      </c>
      <c r="BQ40" s="383">
        <f t="shared" si="84"/>
        <v>2113193</v>
      </c>
      <c r="BR40" s="116">
        <v>1277708888</v>
      </c>
      <c r="BS40" s="241">
        <v>1304517580</v>
      </c>
      <c r="BT40" s="241">
        <v>1274460680</v>
      </c>
      <c r="BU40" s="19">
        <f t="shared" si="85"/>
        <v>-30056900</v>
      </c>
      <c r="BV40" s="224">
        <f aca="true" t="shared" si="101" ref="BV40:BX45">BR40+BN40</f>
        <v>1285231319</v>
      </c>
      <c r="BW40" s="225">
        <f t="shared" si="101"/>
        <v>1340189927</v>
      </c>
      <c r="BX40" s="225">
        <f t="shared" si="101"/>
        <v>1312246220</v>
      </c>
      <c r="BY40" s="383">
        <f t="shared" si="87"/>
        <v>-27943707</v>
      </c>
      <c r="BZ40" s="19">
        <f aca="true" t="shared" si="102" ref="BZ40:CC41">BV40</f>
        <v>1285231319</v>
      </c>
      <c r="CA40" s="19">
        <f t="shared" si="102"/>
        <v>1340189927</v>
      </c>
      <c r="CB40" s="19">
        <f t="shared" si="102"/>
        <v>1312246220</v>
      </c>
      <c r="CC40" s="19">
        <f t="shared" si="102"/>
        <v>-27943707</v>
      </c>
      <c r="CD40" s="243">
        <v>138500</v>
      </c>
      <c r="CE40" s="244">
        <f>CD40+618+75+5177+2500+699+430785</f>
        <v>578354</v>
      </c>
      <c r="CF40" s="244">
        <f>CE40+618+75+5177+2500+699+430785</f>
        <v>1018208</v>
      </c>
      <c r="CG40" s="245">
        <f t="shared" si="89"/>
        <v>439854</v>
      </c>
      <c r="CH40" s="246">
        <v>21680</v>
      </c>
      <c r="CI40" s="244">
        <f>CH40</f>
        <v>21680</v>
      </c>
      <c r="CJ40" s="244">
        <f>CI40</f>
        <v>21680</v>
      </c>
      <c r="CK40" s="245">
        <f aca="true" t="shared" si="103" ref="CK40:CK45">CI40-CH40</f>
        <v>0</v>
      </c>
      <c r="CL40" s="243"/>
      <c r="CM40" s="244">
        <f aca="true" t="shared" si="104" ref="CM40:CN45">CL40</f>
        <v>0</v>
      </c>
      <c r="CN40" s="244">
        <f t="shared" si="104"/>
        <v>0</v>
      </c>
      <c r="CO40" s="245">
        <f aca="true" t="shared" si="105" ref="CO40:CO45">CM40-CL40</f>
        <v>0</v>
      </c>
      <c r="CP40" s="211"/>
      <c r="CQ40" s="212">
        <f t="shared" si="91"/>
        <v>600034</v>
      </c>
    </row>
    <row r="41" spans="1:95" s="9" customFormat="1" ht="13.5">
      <c r="A41" s="73" t="s">
        <v>17</v>
      </c>
      <c r="B41" s="118"/>
      <c r="C41" s="119">
        <v>19999889</v>
      </c>
      <c r="D41" s="119">
        <v>19999889</v>
      </c>
      <c r="E41" s="206">
        <f t="shared" si="61"/>
        <v>0</v>
      </c>
      <c r="F41" s="119">
        <v>190500</v>
      </c>
      <c r="G41" s="119">
        <v>2888500</v>
      </c>
      <c r="H41" s="119">
        <v>2888500</v>
      </c>
      <c r="I41" s="18">
        <f t="shared" si="62"/>
        <v>0</v>
      </c>
      <c r="J41" s="119">
        <v>381000</v>
      </c>
      <c r="K41" s="119">
        <v>2689475</v>
      </c>
      <c r="L41" s="119">
        <v>2535652</v>
      </c>
      <c r="M41" s="18">
        <f t="shared" si="63"/>
        <v>-153823</v>
      </c>
      <c r="N41" s="118"/>
      <c r="O41" s="289"/>
      <c r="P41" s="289"/>
      <c r="Q41" s="18">
        <f t="shared" si="64"/>
        <v>0</v>
      </c>
      <c r="R41" s="118">
        <v>1267206</v>
      </c>
      <c r="S41" s="289">
        <v>1267206</v>
      </c>
      <c r="T41" s="289">
        <v>1267206</v>
      </c>
      <c r="U41" s="18">
        <f t="shared" si="65"/>
        <v>0</v>
      </c>
      <c r="V41" s="118"/>
      <c r="W41" s="289"/>
      <c r="X41" s="289"/>
      <c r="Y41" s="18">
        <f t="shared" si="66"/>
        <v>0</v>
      </c>
      <c r="Z41" s="118"/>
      <c r="AA41" s="289"/>
      <c r="AB41" s="289"/>
      <c r="AC41" s="18">
        <f t="shared" si="67"/>
        <v>0</v>
      </c>
      <c r="AD41" s="118"/>
      <c r="AE41" s="289"/>
      <c r="AF41" s="289"/>
      <c r="AG41" s="18">
        <f t="shared" si="68"/>
        <v>0</v>
      </c>
      <c r="AH41" s="118"/>
      <c r="AI41" s="289">
        <v>165100</v>
      </c>
      <c r="AJ41" s="289">
        <v>165100</v>
      </c>
      <c r="AK41" s="18">
        <f t="shared" si="69"/>
        <v>0</v>
      </c>
      <c r="AL41" s="118"/>
      <c r="AM41" s="289"/>
      <c r="AN41" s="289"/>
      <c r="AO41" s="18">
        <f t="shared" si="70"/>
        <v>0</v>
      </c>
      <c r="AP41" s="193">
        <f t="shared" si="71"/>
        <v>0</v>
      </c>
      <c r="AQ41" s="290">
        <f t="shared" si="72"/>
        <v>165100</v>
      </c>
      <c r="AR41" s="290">
        <f t="shared" si="73"/>
        <v>165100</v>
      </c>
      <c r="AS41" s="195">
        <f t="shared" si="74"/>
        <v>0</v>
      </c>
      <c r="AT41" s="118"/>
      <c r="AU41" s="289"/>
      <c r="AV41" s="289">
        <v>-30531</v>
      </c>
      <c r="AW41" s="18">
        <f t="shared" si="75"/>
        <v>-30531</v>
      </c>
      <c r="AX41" s="118">
        <v>127000</v>
      </c>
      <c r="AY41" s="289">
        <v>127000</v>
      </c>
      <c r="AZ41" s="289">
        <v>127000</v>
      </c>
      <c r="BA41" s="18">
        <f t="shared" si="76"/>
        <v>0</v>
      </c>
      <c r="BB41" s="118"/>
      <c r="BC41" s="289"/>
      <c r="BD41" s="289"/>
      <c r="BE41" s="18">
        <f t="shared" si="77"/>
        <v>0</v>
      </c>
      <c r="BF41" s="118"/>
      <c r="BG41" s="289"/>
      <c r="BH41" s="289"/>
      <c r="BI41" s="18">
        <f t="shared" si="78"/>
        <v>0</v>
      </c>
      <c r="BJ41" s="196">
        <f t="shared" si="79"/>
        <v>127000</v>
      </c>
      <c r="BK41" s="291">
        <f t="shared" si="80"/>
        <v>127000</v>
      </c>
      <c r="BL41" s="291">
        <f t="shared" si="81"/>
        <v>96469</v>
      </c>
      <c r="BM41" s="198">
        <f t="shared" si="82"/>
        <v>-30531</v>
      </c>
      <c r="BN41" s="221">
        <f t="shared" si="100"/>
        <v>1965706</v>
      </c>
      <c r="BO41" s="200">
        <f t="shared" si="100"/>
        <v>27137170</v>
      </c>
      <c r="BP41" s="200">
        <f t="shared" si="100"/>
        <v>26952816</v>
      </c>
      <c r="BQ41" s="382">
        <f t="shared" si="84"/>
        <v>-184354</v>
      </c>
      <c r="BR41" s="118">
        <v>102455769</v>
      </c>
      <c r="BS41" s="202">
        <v>193030089</v>
      </c>
      <c r="BT41" s="202">
        <v>205758089</v>
      </c>
      <c r="BU41" s="18">
        <f t="shared" si="85"/>
        <v>12728000</v>
      </c>
      <c r="BV41" s="204">
        <f t="shared" si="101"/>
        <v>104421475</v>
      </c>
      <c r="BW41" s="205">
        <f t="shared" si="101"/>
        <v>220167259</v>
      </c>
      <c r="BX41" s="205">
        <f t="shared" si="101"/>
        <v>232710905</v>
      </c>
      <c r="BY41" s="382">
        <f t="shared" si="87"/>
        <v>12543646</v>
      </c>
      <c r="BZ41" s="18">
        <f t="shared" si="102"/>
        <v>104421475</v>
      </c>
      <c r="CA41" s="18">
        <f t="shared" si="102"/>
        <v>220167259</v>
      </c>
      <c r="CB41" s="18">
        <f t="shared" si="102"/>
        <v>232710905</v>
      </c>
      <c r="CC41" s="18">
        <f t="shared" si="102"/>
        <v>12543646</v>
      </c>
      <c r="CD41" s="207">
        <v>69453</v>
      </c>
      <c r="CE41" s="210">
        <f>CD41+243149</f>
        <v>312602</v>
      </c>
      <c r="CF41" s="210">
        <f>CE41+243149</f>
        <v>555751</v>
      </c>
      <c r="CG41" s="209">
        <f t="shared" si="89"/>
        <v>243149</v>
      </c>
      <c r="CH41" s="208">
        <v>3800</v>
      </c>
      <c r="CI41" s="210">
        <f>CH41-3800</f>
        <v>0</v>
      </c>
      <c r="CJ41" s="210">
        <f>CI41-3800</f>
        <v>-3800</v>
      </c>
      <c r="CK41" s="209">
        <f t="shared" si="103"/>
        <v>-3800</v>
      </c>
      <c r="CL41" s="207"/>
      <c r="CM41" s="210">
        <f t="shared" si="104"/>
        <v>0</v>
      </c>
      <c r="CN41" s="210">
        <f t="shared" si="104"/>
        <v>0</v>
      </c>
      <c r="CO41" s="209">
        <f t="shared" si="105"/>
        <v>0</v>
      </c>
      <c r="CP41" s="211"/>
      <c r="CQ41" s="212">
        <f t="shared" si="91"/>
        <v>312602</v>
      </c>
    </row>
    <row r="42" spans="1:95" s="9" customFormat="1" ht="13.5">
      <c r="A42" s="64" t="s">
        <v>87</v>
      </c>
      <c r="B42" s="116">
        <f>SUM(B43:B45)</f>
        <v>0</v>
      </c>
      <c r="C42" s="116">
        <f>SUM(C43:C45)</f>
        <v>0</v>
      </c>
      <c r="D42" s="116">
        <f>SUM(D43:D45)</f>
        <v>0</v>
      </c>
      <c r="E42" s="242">
        <f t="shared" si="61"/>
        <v>0</v>
      </c>
      <c r="F42" s="60">
        <f>SUM(F43:F45)</f>
        <v>0</v>
      </c>
      <c r="G42" s="60">
        <f>SUM(G43:G45)</f>
        <v>0</v>
      </c>
      <c r="H42" s="60">
        <f>SUM(H43:H45)</f>
        <v>0</v>
      </c>
      <c r="I42" s="19">
        <f t="shared" si="62"/>
        <v>0</v>
      </c>
      <c r="J42" s="60">
        <f>SUM(J43:J45)</f>
        <v>0</v>
      </c>
      <c r="K42" s="60">
        <f>SUM(K43:K45)</f>
        <v>0</v>
      </c>
      <c r="L42" s="60">
        <f>SUM(L43:L45)</f>
        <v>0</v>
      </c>
      <c r="M42" s="19">
        <f t="shared" si="63"/>
        <v>0</v>
      </c>
      <c r="N42" s="116">
        <f>SUM(N43:N45)</f>
        <v>0</v>
      </c>
      <c r="O42" s="116">
        <f>SUM(O43:O45)</f>
        <v>0</v>
      </c>
      <c r="P42" s="116">
        <f>SUM(P43:P45)</f>
        <v>0</v>
      </c>
      <c r="Q42" s="19">
        <f t="shared" si="64"/>
        <v>0</v>
      </c>
      <c r="R42" s="116">
        <f>SUM(R43:R45)</f>
        <v>0</v>
      </c>
      <c r="S42" s="116">
        <f>SUM(S43:S45)</f>
        <v>0</v>
      </c>
      <c r="T42" s="116">
        <f>SUM(T43:T45)</f>
        <v>0</v>
      </c>
      <c r="U42" s="19">
        <f t="shared" si="65"/>
        <v>0</v>
      </c>
      <c r="V42" s="116">
        <f>SUM(V43:V45)</f>
        <v>0</v>
      </c>
      <c r="W42" s="234">
        <f>U42</f>
        <v>0</v>
      </c>
      <c r="X42" s="234">
        <f>V42</f>
        <v>0</v>
      </c>
      <c r="Y42" s="19">
        <f t="shared" si="66"/>
        <v>0</v>
      </c>
      <c r="Z42" s="116">
        <f>SUM(Z43:Z45)</f>
        <v>0</v>
      </c>
      <c r="AA42" s="116">
        <f>SUM(AA43:AA45)</f>
        <v>0</v>
      </c>
      <c r="AB42" s="116">
        <f>SUM(AB43:AB45)</f>
        <v>0</v>
      </c>
      <c r="AC42" s="19">
        <f t="shared" si="67"/>
        <v>0</v>
      </c>
      <c r="AD42" s="116">
        <f>SUM(AD43:AD45)</f>
        <v>0</v>
      </c>
      <c r="AE42" s="234">
        <f>AC42</f>
        <v>0</v>
      </c>
      <c r="AF42" s="234">
        <f>AD42</f>
        <v>0</v>
      </c>
      <c r="AG42" s="19">
        <f t="shared" si="68"/>
        <v>0</v>
      </c>
      <c r="AH42" s="299">
        <f>SUM(AH43:AH45)</f>
        <v>0</v>
      </c>
      <c r="AI42" s="60">
        <f>SUM(AI43:AI45)</f>
        <v>0</v>
      </c>
      <c r="AJ42" s="60">
        <f>SUM(AJ43:AJ45)</f>
        <v>0</v>
      </c>
      <c r="AK42" s="19">
        <f t="shared" si="69"/>
        <v>0</v>
      </c>
      <c r="AL42" s="299">
        <f>SUM(AL43:AL45)</f>
        <v>0</v>
      </c>
      <c r="AM42" s="234">
        <f>SUM(AM43:AM45)</f>
        <v>0</v>
      </c>
      <c r="AN42" s="234">
        <f>SUM(AN43:AN45)</f>
        <v>0</v>
      </c>
      <c r="AO42" s="19">
        <f t="shared" si="70"/>
        <v>0</v>
      </c>
      <c r="AP42" s="235">
        <f t="shared" si="71"/>
        <v>0</v>
      </c>
      <c r="AQ42" s="236">
        <f t="shared" si="72"/>
        <v>0</v>
      </c>
      <c r="AR42" s="236">
        <f t="shared" si="73"/>
        <v>0</v>
      </c>
      <c r="AS42" s="237">
        <f t="shared" si="74"/>
        <v>0</v>
      </c>
      <c r="AT42" s="299">
        <f>SUM(AT43:AT45)</f>
        <v>0</v>
      </c>
      <c r="AU42" s="60">
        <f>SUM(AU43:AU45)</f>
        <v>0</v>
      </c>
      <c r="AV42" s="60">
        <f>SUM(AV43:AV45)</f>
        <v>0</v>
      </c>
      <c r="AW42" s="19">
        <f t="shared" si="75"/>
        <v>0</v>
      </c>
      <c r="AX42" s="299">
        <f>SUM(AX43:AX45)</f>
        <v>0</v>
      </c>
      <c r="AY42" s="60">
        <f>SUM(AY43:AY45)</f>
        <v>0</v>
      </c>
      <c r="AZ42" s="60">
        <f>SUM(AZ43:AZ45)</f>
        <v>0</v>
      </c>
      <c r="BA42" s="19">
        <f t="shared" si="76"/>
        <v>0</v>
      </c>
      <c r="BB42" s="299">
        <f>SUM(BB43:BB45)</f>
        <v>0</v>
      </c>
      <c r="BC42" s="60">
        <f>SUM(BC43:BC45)</f>
        <v>0</v>
      </c>
      <c r="BD42" s="60">
        <f>SUM(BD43:BD45)</f>
        <v>0</v>
      </c>
      <c r="BE42" s="19">
        <f t="shared" si="77"/>
        <v>0</v>
      </c>
      <c r="BF42" s="299">
        <f>SUM(BF43:BF45)</f>
        <v>0</v>
      </c>
      <c r="BG42" s="60">
        <f>SUM(BG43:BG45)</f>
        <v>0</v>
      </c>
      <c r="BH42" s="60">
        <f>SUM(BH43:BH45)</f>
        <v>0</v>
      </c>
      <c r="BI42" s="19">
        <f t="shared" si="78"/>
        <v>0</v>
      </c>
      <c r="BJ42" s="238">
        <f t="shared" si="79"/>
        <v>0</v>
      </c>
      <c r="BK42" s="239">
        <f t="shared" si="80"/>
        <v>0</v>
      </c>
      <c r="BL42" s="239">
        <f t="shared" si="81"/>
        <v>0</v>
      </c>
      <c r="BM42" s="240">
        <f t="shared" si="82"/>
        <v>0</v>
      </c>
      <c r="BN42" s="221">
        <f>B42+F42+J42+N42+R42+V42+BJ42</f>
        <v>0</v>
      </c>
      <c r="BO42" s="232">
        <f>C42+G42+K42+O42+S42+W42+BK42</f>
        <v>0</v>
      </c>
      <c r="BP42" s="232">
        <f>D42+H42+L42+P42+T42+X42+BL42</f>
        <v>0</v>
      </c>
      <c r="BQ42" s="383">
        <f t="shared" si="84"/>
        <v>0</v>
      </c>
      <c r="BR42" s="116">
        <f>SUM(BR43:BR45)</f>
        <v>12434057</v>
      </c>
      <c r="BS42" s="241">
        <f>SUM(BS43:BS45)</f>
        <v>12434057</v>
      </c>
      <c r="BT42" s="241">
        <f>SUM(BT43:BT45)</f>
        <v>18876711</v>
      </c>
      <c r="BU42" s="19">
        <f t="shared" si="85"/>
        <v>6442654</v>
      </c>
      <c r="BV42" s="224">
        <f t="shared" si="101"/>
        <v>12434057</v>
      </c>
      <c r="BW42" s="225">
        <f t="shared" si="101"/>
        <v>12434057</v>
      </c>
      <c r="BX42" s="225">
        <f t="shared" si="101"/>
        <v>18876711</v>
      </c>
      <c r="BY42" s="383">
        <f t="shared" si="87"/>
        <v>6442654</v>
      </c>
      <c r="BZ42" s="19">
        <f aca="true" t="shared" si="106" ref="BZ42:CF42">SUM(BZ43:BZ45)</f>
        <v>12434057</v>
      </c>
      <c r="CA42" s="19">
        <f t="shared" si="106"/>
        <v>12434057</v>
      </c>
      <c r="CB42" s="19">
        <f t="shared" si="106"/>
        <v>18876711</v>
      </c>
      <c r="CC42" s="19">
        <f t="shared" si="106"/>
        <v>6442654</v>
      </c>
      <c r="CD42" s="243">
        <f t="shared" si="106"/>
        <v>5992</v>
      </c>
      <c r="CE42" s="243">
        <f t="shared" si="106"/>
        <v>16391</v>
      </c>
      <c r="CF42" s="243">
        <f t="shared" si="106"/>
        <v>26790</v>
      </c>
      <c r="CG42" s="245">
        <f t="shared" si="89"/>
        <v>10399</v>
      </c>
      <c r="CH42" s="246">
        <f>SUM(CH43:CH45)</f>
        <v>2988</v>
      </c>
      <c r="CI42" s="244">
        <f>SUM(CI43:CI45)</f>
        <v>4438</v>
      </c>
      <c r="CJ42" s="244">
        <f>SUM(CJ43:CJ45)</f>
        <v>5888</v>
      </c>
      <c r="CK42" s="245">
        <f t="shared" si="103"/>
        <v>1450</v>
      </c>
      <c r="CL42" s="243">
        <f>SUM(CL43:CL45)</f>
        <v>0</v>
      </c>
      <c r="CM42" s="244">
        <f t="shared" si="104"/>
        <v>0</v>
      </c>
      <c r="CN42" s="244">
        <f t="shared" si="104"/>
        <v>0</v>
      </c>
      <c r="CO42" s="245">
        <f t="shared" si="105"/>
        <v>0</v>
      </c>
      <c r="CP42" s="211"/>
      <c r="CQ42" s="212">
        <f t="shared" si="91"/>
        <v>20829</v>
      </c>
    </row>
    <row r="43" spans="1:95" s="9" customFormat="1" ht="13.5">
      <c r="A43" s="74" t="s">
        <v>130</v>
      </c>
      <c r="B43" s="115"/>
      <c r="C43" s="77"/>
      <c r="D43" s="77"/>
      <c r="E43" s="226">
        <f t="shared" si="61"/>
        <v>0</v>
      </c>
      <c r="F43" s="77"/>
      <c r="G43" s="77"/>
      <c r="H43" s="77"/>
      <c r="I43" s="75">
        <f t="shared" si="62"/>
        <v>0</v>
      </c>
      <c r="J43" s="77"/>
      <c r="K43" s="77"/>
      <c r="L43" s="77"/>
      <c r="M43" s="75">
        <f t="shared" si="63"/>
        <v>0</v>
      </c>
      <c r="N43" s="115"/>
      <c r="O43" s="214"/>
      <c r="P43" s="214"/>
      <c r="Q43" s="75">
        <f t="shared" si="64"/>
        <v>0</v>
      </c>
      <c r="R43" s="115"/>
      <c r="S43" s="214"/>
      <c r="T43" s="214"/>
      <c r="U43" s="75">
        <f t="shared" si="65"/>
        <v>0</v>
      </c>
      <c r="V43" s="115"/>
      <c r="W43" s="214"/>
      <c r="X43" s="214"/>
      <c r="Y43" s="75">
        <f t="shared" si="66"/>
        <v>0</v>
      </c>
      <c r="Z43" s="115"/>
      <c r="AA43" s="214"/>
      <c r="AB43" s="214"/>
      <c r="AC43" s="75">
        <f t="shared" si="67"/>
        <v>0</v>
      </c>
      <c r="AD43" s="115"/>
      <c r="AE43" s="214"/>
      <c r="AF43" s="214"/>
      <c r="AG43" s="75">
        <f t="shared" si="68"/>
        <v>0</v>
      </c>
      <c r="AH43" s="115"/>
      <c r="AI43" s="214"/>
      <c r="AJ43" s="214"/>
      <c r="AK43" s="75">
        <f t="shared" si="69"/>
        <v>0</v>
      </c>
      <c r="AL43" s="115"/>
      <c r="AM43" s="214"/>
      <c r="AN43" s="214"/>
      <c r="AO43" s="75">
        <f t="shared" si="70"/>
        <v>0</v>
      </c>
      <c r="AP43" s="215">
        <f t="shared" si="71"/>
        <v>0</v>
      </c>
      <c r="AQ43" s="216">
        <f t="shared" si="72"/>
        <v>0</v>
      </c>
      <c r="AR43" s="216">
        <f t="shared" si="73"/>
        <v>0</v>
      </c>
      <c r="AS43" s="217">
        <f t="shared" si="74"/>
        <v>0</v>
      </c>
      <c r="AT43" s="115"/>
      <c r="AU43" s="214"/>
      <c r="AV43" s="214"/>
      <c r="AW43" s="75">
        <f t="shared" si="75"/>
        <v>0</v>
      </c>
      <c r="AX43" s="115"/>
      <c r="AY43" s="214"/>
      <c r="AZ43" s="214"/>
      <c r="BA43" s="75">
        <f t="shared" si="76"/>
        <v>0</v>
      </c>
      <c r="BB43" s="115"/>
      <c r="BC43" s="214"/>
      <c r="BD43" s="214"/>
      <c r="BE43" s="75">
        <f t="shared" si="77"/>
        <v>0</v>
      </c>
      <c r="BF43" s="115"/>
      <c r="BG43" s="214"/>
      <c r="BH43" s="214"/>
      <c r="BI43" s="75">
        <f t="shared" si="78"/>
        <v>0</v>
      </c>
      <c r="BJ43" s="218">
        <f t="shared" si="79"/>
        <v>0</v>
      </c>
      <c r="BK43" s="219">
        <f t="shared" si="80"/>
        <v>0</v>
      </c>
      <c r="BL43" s="219">
        <f t="shared" si="81"/>
        <v>0</v>
      </c>
      <c r="BM43" s="220">
        <f t="shared" si="82"/>
        <v>0</v>
      </c>
      <c r="BN43" s="221">
        <f aca="true" t="shared" si="107" ref="BN43:BP45">B43+F43+J43+N43+R43+BJ43+AP43</f>
        <v>0</v>
      </c>
      <c r="BO43" s="232">
        <f t="shared" si="107"/>
        <v>0</v>
      </c>
      <c r="BP43" s="232">
        <f t="shared" si="107"/>
        <v>0</v>
      </c>
      <c r="BQ43" s="384">
        <f t="shared" si="84"/>
        <v>0</v>
      </c>
      <c r="BR43" s="115">
        <v>1165207</v>
      </c>
      <c r="BS43" s="77">
        <v>1165207</v>
      </c>
      <c r="BT43" s="77">
        <v>1165207</v>
      </c>
      <c r="BU43" s="75">
        <f t="shared" si="85"/>
        <v>0</v>
      </c>
      <c r="BV43" s="224">
        <f t="shared" si="101"/>
        <v>1165207</v>
      </c>
      <c r="BW43" s="225">
        <f t="shared" si="101"/>
        <v>1165207</v>
      </c>
      <c r="BX43" s="225">
        <f t="shared" si="101"/>
        <v>1165207</v>
      </c>
      <c r="BY43" s="384">
        <f t="shared" si="87"/>
        <v>0</v>
      </c>
      <c r="BZ43" s="75">
        <f aca="true" t="shared" si="108" ref="BZ43:CC45">BV43</f>
        <v>1165207</v>
      </c>
      <c r="CA43" s="75">
        <f t="shared" si="108"/>
        <v>1165207</v>
      </c>
      <c r="CB43" s="75">
        <f t="shared" si="108"/>
        <v>1165207</v>
      </c>
      <c r="CC43" s="75">
        <f t="shared" si="108"/>
        <v>0</v>
      </c>
      <c r="CD43" s="227"/>
      <c r="CE43" s="228">
        <f>CD43</f>
        <v>0</v>
      </c>
      <c r="CF43" s="228">
        <f>CE43</f>
        <v>0</v>
      </c>
      <c r="CG43" s="229">
        <f t="shared" si="89"/>
        <v>0</v>
      </c>
      <c r="CH43" s="230">
        <v>1358</v>
      </c>
      <c r="CI43" s="228">
        <f>CH43</f>
        <v>1358</v>
      </c>
      <c r="CJ43" s="228">
        <f>CI43</f>
        <v>1358</v>
      </c>
      <c r="CK43" s="229">
        <f t="shared" si="103"/>
        <v>0</v>
      </c>
      <c r="CL43" s="227"/>
      <c r="CM43" s="228">
        <f t="shared" si="104"/>
        <v>0</v>
      </c>
      <c r="CN43" s="228">
        <f t="shared" si="104"/>
        <v>0</v>
      </c>
      <c r="CO43" s="229">
        <f t="shared" si="105"/>
        <v>0</v>
      </c>
      <c r="CP43" s="231"/>
      <c r="CQ43" s="212">
        <f t="shared" si="91"/>
        <v>1358</v>
      </c>
    </row>
    <row r="44" spans="1:95" s="9" customFormat="1" ht="13.5">
      <c r="A44" s="74" t="s">
        <v>131</v>
      </c>
      <c r="B44" s="115"/>
      <c r="C44" s="77"/>
      <c r="D44" s="77"/>
      <c r="E44" s="226">
        <f t="shared" si="61"/>
        <v>0</v>
      </c>
      <c r="F44" s="77"/>
      <c r="G44" s="77"/>
      <c r="H44" s="77"/>
      <c r="I44" s="75">
        <f t="shared" si="62"/>
        <v>0</v>
      </c>
      <c r="J44" s="77"/>
      <c r="K44" s="77"/>
      <c r="L44" s="77"/>
      <c r="M44" s="75">
        <f t="shared" si="63"/>
        <v>0</v>
      </c>
      <c r="N44" s="115"/>
      <c r="O44" s="214"/>
      <c r="P44" s="214"/>
      <c r="Q44" s="75">
        <f t="shared" si="64"/>
        <v>0</v>
      </c>
      <c r="R44" s="115"/>
      <c r="S44" s="214"/>
      <c r="T44" s="214"/>
      <c r="U44" s="75">
        <f t="shared" si="65"/>
        <v>0</v>
      </c>
      <c r="V44" s="115"/>
      <c r="W44" s="214"/>
      <c r="X44" s="214"/>
      <c r="Y44" s="75">
        <f t="shared" si="66"/>
        <v>0</v>
      </c>
      <c r="Z44" s="115"/>
      <c r="AA44" s="214"/>
      <c r="AB44" s="214"/>
      <c r="AC44" s="75">
        <f t="shared" si="67"/>
        <v>0</v>
      </c>
      <c r="AD44" s="115"/>
      <c r="AE44" s="214"/>
      <c r="AF44" s="214"/>
      <c r="AG44" s="75">
        <f t="shared" si="68"/>
        <v>0</v>
      </c>
      <c r="AH44" s="115"/>
      <c r="AI44" s="214"/>
      <c r="AJ44" s="214"/>
      <c r="AK44" s="75">
        <f t="shared" si="69"/>
        <v>0</v>
      </c>
      <c r="AL44" s="115"/>
      <c r="AM44" s="214"/>
      <c r="AN44" s="214"/>
      <c r="AO44" s="75">
        <f t="shared" si="70"/>
        <v>0</v>
      </c>
      <c r="AP44" s="215">
        <f t="shared" si="71"/>
        <v>0</v>
      </c>
      <c r="AQ44" s="216">
        <f t="shared" si="72"/>
        <v>0</v>
      </c>
      <c r="AR44" s="216">
        <f t="shared" si="73"/>
        <v>0</v>
      </c>
      <c r="AS44" s="217">
        <f t="shared" si="74"/>
        <v>0</v>
      </c>
      <c r="AT44" s="115"/>
      <c r="AU44" s="214"/>
      <c r="AV44" s="214"/>
      <c r="AW44" s="75">
        <f t="shared" si="75"/>
        <v>0</v>
      </c>
      <c r="AX44" s="115"/>
      <c r="AY44" s="214"/>
      <c r="AZ44" s="214"/>
      <c r="BA44" s="75">
        <f t="shared" si="76"/>
        <v>0</v>
      </c>
      <c r="BB44" s="115"/>
      <c r="BC44" s="214"/>
      <c r="BD44" s="214"/>
      <c r="BE44" s="75">
        <f t="shared" si="77"/>
        <v>0</v>
      </c>
      <c r="BF44" s="115"/>
      <c r="BG44" s="214"/>
      <c r="BH44" s="214"/>
      <c r="BI44" s="75">
        <f t="shared" si="78"/>
        <v>0</v>
      </c>
      <c r="BJ44" s="218">
        <f t="shared" si="79"/>
        <v>0</v>
      </c>
      <c r="BK44" s="219">
        <f t="shared" si="80"/>
        <v>0</v>
      </c>
      <c r="BL44" s="219">
        <f t="shared" si="81"/>
        <v>0</v>
      </c>
      <c r="BM44" s="220">
        <f t="shared" si="82"/>
        <v>0</v>
      </c>
      <c r="BN44" s="221">
        <f t="shared" si="107"/>
        <v>0</v>
      </c>
      <c r="BO44" s="232">
        <f t="shared" si="107"/>
        <v>0</v>
      </c>
      <c r="BP44" s="232">
        <f t="shared" si="107"/>
        <v>0</v>
      </c>
      <c r="BQ44" s="384">
        <f t="shared" si="84"/>
        <v>0</v>
      </c>
      <c r="BR44" s="115">
        <v>5802000</v>
      </c>
      <c r="BS44" s="77">
        <v>5802000</v>
      </c>
      <c r="BT44" s="77">
        <v>5802000</v>
      </c>
      <c r="BU44" s="75">
        <f t="shared" si="85"/>
        <v>0</v>
      </c>
      <c r="BV44" s="224">
        <f t="shared" si="101"/>
        <v>5802000</v>
      </c>
      <c r="BW44" s="225">
        <f t="shared" si="101"/>
        <v>5802000</v>
      </c>
      <c r="BX44" s="225">
        <f t="shared" si="101"/>
        <v>5802000</v>
      </c>
      <c r="BY44" s="384">
        <f t="shared" si="87"/>
        <v>0</v>
      </c>
      <c r="BZ44" s="75">
        <f t="shared" si="108"/>
        <v>5802000</v>
      </c>
      <c r="CA44" s="75">
        <f t="shared" si="108"/>
        <v>5802000</v>
      </c>
      <c r="CB44" s="75">
        <f t="shared" si="108"/>
        <v>5802000</v>
      </c>
      <c r="CC44" s="75">
        <f t="shared" si="108"/>
        <v>0</v>
      </c>
      <c r="CD44" s="227">
        <v>5992</v>
      </c>
      <c r="CE44" s="228">
        <f>CD44</f>
        <v>5992</v>
      </c>
      <c r="CF44" s="228">
        <f>CE44</f>
        <v>5992</v>
      </c>
      <c r="CG44" s="229">
        <f t="shared" si="89"/>
        <v>0</v>
      </c>
      <c r="CH44" s="230"/>
      <c r="CI44" s="228">
        <f>CH44</f>
        <v>0</v>
      </c>
      <c r="CJ44" s="228">
        <f>CI44</f>
        <v>0</v>
      </c>
      <c r="CK44" s="229">
        <f t="shared" si="103"/>
        <v>0</v>
      </c>
      <c r="CL44" s="227"/>
      <c r="CM44" s="228">
        <f t="shared" si="104"/>
        <v>0</v>
      </c>
      <c r="CN44" s="228">
        <f t="shared" si="104"/>
        <v>0</v>
      </c>
      <c r="CO44" s="229">
        <f t="shared" si="105"/>
        <v>0</v>
      </c>
      <c r="CP44" s="231"/>
      <c r="CQ44" s="212">
        <f t="shared" si="91"/>
        <v>5992</v>
      </c>
    </row>
    <row r="45" spans="1:95" s="9" customFormat="1" ht="14.25" thickBot="1">
      <c r="A45" s="74" t="s">
        <v>132</v>
      </c>
      <c r="B45" s="126"/>
      <c r="C45" s="78"/>
      <c r="D45" s="78"/>
      <c r="E45" s="389">
        <f t="shared" si="61"/>
        <v>0</v>
      </c>
      <c r="F45" s="78"/>
      <c r="G45" s="78"/>
      <c r="H45" s="78"/>
      <c r="I45" s="76">
        <f t="shared" si="62"/>
        <v>0</v>
      </c>
      <c r="J45" s="78"/>
      <c r="K45" s="78"/>
      <c r="L45" s="78"/>
      <c r="M45" s="76">
        <f t="shared" si="63"/>
        <v>0</v>
      </c>
      <c r="N45" s="126"/>
      <c r="O45" s="390"/>
      <c r="P45" s="390"/>
      <c r="Q45" s="76">
        <f t="shared" si="64"/>
        <v>0</v>
      </c>
      <c r="R45" s="126"/>
      <c r="S45" s="390"/>
      <c r="T45" s="390"/>
      <c r="U45" s="76">
        <f t="shared" si="65"/>
        <v>0</v>
      </c>
      <c r="V45" s="126"/>
      <c r="W45" s="390"/>
      <c r="X45" s="390"/>
      <c r="Y45" s="76">
        <f t="shared" si="66"/>
        <v>0</v>
      </c>
      <c r="Z45" s="126"/>
      <c r="AA45" s="390"/>
      <c r="AB45" s="390"/>
      <c r="AC45" s="76">
        <f t="shared" si="67"/>
        <v>0</v>
      </c>
      <c r="AD45" s="126"/>
      <c r="AE45" s="390"/>
      <c r="AF45" s="390"/>
      <c r="AG45" s="76">
        <f t="shared" si="68"/>
        <v>0</v>
      </c>
      <c r="AH45" s="126"/>
      <c r="AI45" s="390"/>
      <c r="AJ45" s="390"/>
      <c r="AK45" s="76">
        <f t="shared" si="69"/>
        <v>0</v>
      </c>
      <c r="AL45" s="126"/>
      <c r="AM45" s="390"/>
      <c r="AN45" s="390"/>
      <c r="AO45" s="76">
        <f t="shared" si="70"/>
        <v>0</v>
      </c>
      <c r="AP45" s="391">
        <f t="shared" si="71"/>
        <v>0</v>
      </c>
      <c r="AQ45" s="392">
        <f t="shared" si="72"/>
        <v>0</v>
      </c>
      <c r="AR45" s="392">
        <f t="shared" si="73"/>
        <v>0</v>
      </c>
      <c r="AS45" s="393">
        <f t="shared" si="74"/>
        <v>0</v>
      </c>
      <c r="AT45" s="126"/>
      <c r="AU45" s="390"/>
      <c r="AV45" s="390"/>
      <c r="AW45" s="76">
        <f t="shared" si="75"/>
        <v>0</v>
      </c>
      <c r="AX45" s="126"/>
      <c r="AY45" s="390"/>
      <c r="AZ45" s="390"/>
      <c r="BA45" s="76">
        <f t="shared" si="76"/>
        <v>0</v>
      </c>
      <c r="BB45" s="126"/>
      <c r="BC45" s="390"/>
      <c r="BD45" s="390"/>
      <c r="BE45" s="76">
        <f t="shared" si="77"/>
        <v>0</v>
      </c>
      <c r="BF45" s="126"/>
      <c r="BG45" s="390"/>
      <c r="BH45" s="390"/>
      <c r="BI45" s="76">
        <f t="shared" si="78"/>
        <v>0</v>
      </c>
      <c r="BJ45" s="394">
        <f t="shared" si="79"/>
        <v>0</v>
      </c>
      <c r="BK45" s="395">
        <f t="shared" si="80"/>
        <v>0</v>
      </c>
      <c r="BL45" s="395">
        <f t="shared" si="81"/>
        <v>0</v>
      </c>
      <c r="BM45" s="396">
        <f t="shared" si="82"/>
        <v>0</v>
      </c>
      <c r="BN45" s="221">
        <f t="shared" si="107"/>
        <v>0</v>
      </c>
      <c r="BO45" s="355">
        <f t="shared" si="107"/>
        <v>0</v>
      </c>
      <c r="BP45" s="355">
        <f t="shared" si="107"/>
        <v>0</v>
      </c>
      <c r="BQ45" s="397">
        <f t="shared" si="84"/>
        <v>0</v>
      </c>
      <c r="BR45" s="126">
        <v>5466850</v>
      </c>
      <c r="BS45" s="78">
        <v>5466850</v>
      </c>
      <c r="BT45" s="78">
        <v>11909504</v>
      </c>
      <c r="BU45" s="76">
        <f t="shared" si="85"/>
        <v>6442654</v>
      </c>
      <c r="BV45" s="359">
        <f t="shared" si="101"/>
        <v>5466850</v>
      </c>
      <c r="BW45" s="360">
        <f t="shared" si="101"/>
        <v>5466850</v>
      </c>
      <c r="BX45" s="360">
        <f t="shared" si="101"/>
        <v>11909504</v>
      </c>
      <c r="BY45" s="397">
        <f t="shared" si="87"/>
        <v>6442654</v>
      </c>
      <c r="BZ45" s="76">
        <f t="shared" si="108"/>
        <v>5466850</v>
      </c>
      <c r="CA45" s="76">
        <f t="shared" si="108"/>
        <v>5466850</v>
      </c>
      <c r="CB45" s="76">
        <f t="shared" si="108"/>
        <v>11909504</v>
      </c>
      <c r="CC45" s="76">
        <f t="shared" si="108"/>
        <v>6442654</v>
      </c>
      <c r="CD45" s="398"/>
      <c r="CE45" s="399">
        <f>CD45+10649-250</f>
        <v>10399</v>
      </c>
      <c r="CF45" s="399">
        <f>CE45+10649-250</f>
        <v>20798</v>
      </c>
      <c r="CG45" s="400">
        <f t="shared" si="89"/>
        <v>10399</v>
      </c>
      <c r="CH45" s="401">
        <v>1630</v>
      </c>
      <c r="CI45" s="399">
        <f>CH45+1200+250</f>
        <v>3080</v>
      </c>
      <c r="CJ45" s="399">
        <f>CI45+1200+250</f>
        <v>4530</v>
      </c>
      <c r="CK45" s="400">
        <f t="shared" si="103"/>
        <v>1450</v>
      </c>
      <c r="CL45" s="398"/>
      <c r="CM45" s="399">
        <f t="shared" si="104"/>
        <v>0</v>
      </c>
      <c r="CN45" s="399">
        <f t="shared" si="104"/>
        <v>0</v>
      </c>
      <c r="CO45" s="400">
        <f t="shared" si="105"/>
        <v>0</v>
      </c>
      <c r="CP45" s="231"/>
      <c r="CQ45" s="212">
        <f t="shared" si="91"/>
        <v>13479</v>
      </c>
    </row>
    <row r="46" spans="1:95" s="9" customFormat="1" ht="14.25" thickBot="1">
      <c r="A46" s="388" t="s">
        <v>111</v>
      </c>
      <c r="B46" s="267">
        <f>B40+B41+B42</f>
        <v>0</v>
      </c>
      <c r="C46" s="267">
        <f>C40+C41+C42</f>
        <v>32667377</v>
      </c>
      <c r="D46" s="267">
        <f>D40+D41+D42</f>
        <v>32717476</v>
      </c>
      <c r="E46" s="283">
        <f t="shared" si="61"/>
        <v>50099</v>
      </c>
      <c r="F46" s="270">
        <f>F40+F41+F42</f>
        <v>2922931</v>
      </c>
      <c r="G46" s="270">
        <f>G40+G41+G42</f>
        <v>7620931</v>
      </c>
      <c r="H46" s="270">
        <f>H40+H41+H42</f>
        <v>7620931</v>
      </c>
      <c r="I46" s="268">
        <f t="shared" si="62"/>
        <v>0</v>
      </c>
      <c r="J46" s="270">
        <f>J40+J41+J42</f>
        <v>381000</v>
      </c>
      <c r="K46" s="270">
        <f>K40+K41+K42</f>
        <v>5109475</v>
      </c>
      <c r="L46" s="270">
        <f>L40+L41+L42</f>
        <v>5438499</v>
      </c>
      <c r="M46" s="268">
        <f t="shared" si="63"/>
        <v>329024</v>
      </c>
      <c r="N46" s="267">
        <f>N40+N41+N42</f>
        <v>2000000</v>
      </c>
      <c r="O46" s="269">
        <f>O40+O41+O42</f>
        <v>5385284</v>
      </c>
      <c r="P46" s="269">
        <f>P40+P41+P42</f>
        <v>5155000</v>
      </c>
      <c r="Q46" s="268">
        <f t="shared" si="64"/>
        <v>-230284</v>
      </c>
      <c r="R46" s="267">
        <f>R40+R41+R42</f>
        <v>2157206</v>
      </c>
      <c r="S46" s="269">
        <f>S40+S41+S42</f>
        <v>6633470</v>
      </c>
      <c r="T46" s="269">
        <f>T40+T41+T42</f>
        <v>8413470</v>
      </c>
      <c r="U46" s="268">
        <f t="shared" si="65"/>
        <v>1780000</v>
      </c>
      <c r="V46" s="267">
        <f>V40+V41+V42</f>
        <v>550000</v>
      </c>
      <c r="W46" s="269">
        <f>W40+W41+W42</f>
        <v>1864900</v>
      </c>
      <c r="X46" s="269">
        <f>X40+X41+X42</f>
        <v>1864900</v>
      </c>
      <c r="Y46" s="268">
        <f t="shared" si="66"/>
        <v>0</v>
      </c>
      <c r="Z46" s="267">
        <f>Z40+Z41+Z42</f>
        <v>150000</v>
      </c>
      <c r="AA46" s="269">
        <f>AA40+AA41+AA42</f>
        <v>215900</v>
      </c>
      <c r="AB46" s="269">
        <f>AB40+AB41+AB42</f>
        <v>215900</v>
      </c>
      <c r="AC46" s="268">
        <f t="shared" si="67"/>
        <v>0</v>
      </c>
      <c r="AD46" s="267">
        <f>AD40+AD41+AD42</f>
        <v>0</v>
      </c>
      <c r="AE46" s="269">
        <f>AE40+AE41+AE42</f>
        <v>150324</v>
      </c>
      <c r="AF46" s="269">
        <f>AF40+AF41+AF42</f>
        <v>150324</v>
      </c>
      <c r="AG46" s="268">
        <f t="shared" si="68"/>
        <v>0</v>
      </c>
      <c r="AH46" s="267">
        <f>AH40+AH41+AH42</f>
        <v>0</v>
      </c>
      <c r="AI46" s="269">
        <f>AI40+AI41+AI42</f>
        <v>1779992</v>
      </c>
      <c r="AJ46" s="269">
        <f>AJ40+AJ41+AJ42</f>
        <v>1779992</v>
      </c>
      <c r="AK46" s="268">
        <f t="shared" si="69"/>
        <v>0</v>
      </c>
      <c r="AL46" s="267">
        <f>AL40+AL41+AL42</f>
        <v>0</v>
      </c>
      <c r="AM46" s="269">
        <f>AM40+AM41+AM42</f>
        <v>54864</v>
      </c>
      <c r="AN46" s="269">
        <f>AN40+AN41+AN42</f>
        <v>54864</v>
      </c>
      <c r="AO46" s="268">
        <f t="shared" si="70"/>
        <v>0</v>
      </c>
      <c r="AP46" s="271">
        <f t="shared" si="71"/>
        <v>700000</v>
      </c>
      <c r="AQ46" s="272">
        <f t="shared" si="72"/>
        <v>4065980</v>
      </c>
      <c r="AR46" s="272">
        <f t="shared" si="73"/>
        <v>4065980</v>
      </c>
      <c r="AS46" s="273">
        <f t="shared" si="74"/>
        <v>0</v>
      </c>
      <c r="AT46" s="267">
        <f>AT40+AT41+AT42</f>
        <v>1000000</v>
      </c>
      <c r="AU46" s="269">
        <f>AU40+AU41+AU42</f>
        <v>1000000</v>
      </c>
      <c r="AV46" s="269">
        <f>AV40+AV41+AV42</f>
        <v>1000000</v>
      </c>
      <c r="AW46" s="268">
        <f t="shared" si="75"/>
        <v>0</v>
      </c>
      <c r="AX46" s="267">
        <f>AX40+AX41+AX42</f>
        <v>327000</v>
      </c>
      <c r="AY46" s="269">
        <f>AY40+AY41+AY42</f>
        <v>327000</v>
      </c>
      <c r="AZ46" s="269">
        <f>AZ40+AZ41+AZ42</f>
        <v>327000</v>
      </c>
      <c r="BA46" s="268">
        <f t="shared" si="76"/>
        <v>0</v>
      </c>
      <c r="BB46" s="267">
        <f>BB40+BB41+BB42</f>
        <v>0</v>
      </c>
      <c r="BC46" s="269">
        <f>BC40+BC41+BC42</f>
        <v>0</v>
      </c>
      <c r="BD46" s="269">
        <f>BD40+BD41+BD42</f>
        <v>0</v>
      </c>
      <c r="BE46" s="268">
        <f t="shared" si="77"/>
        <v>0</v>
      </c>
      <c r="BF46" s="267">
        <f>BF40+BF41+BF42</f>
        <v>0</v>
      </c>
      <c r="BG46" s="269">
        <f>BG40+BG41+BG42</f>
        <v>0</v>
      </c>
      <c r="BH46" s="269">
        <f>BH40+BH41+BH42</f>
        <v>0</v>
      </c>
      <c r="BI46" s="268">
        <f t="shared" si="78"/>
        <v>0</v>
      </c>
      <c r="BJ46" s="274">
        <f t="shared" si="79"/>
        <v>1327000</v>
      </c>
      <c r="BK46" s="275">
        <f t="shared" si="80"/>
        <v>1327000</v>
      </c>
      <c r="BL46" s="275">
        <f t="shared" si="81"/>
        <v>1327000</v>
      </c>
      <c r="BM46" s="276">
        <f t="shared" si="82"/>
        <v>0</v>
      </c>
      <c r="BN46" s="277">
        <f>BN40+BN41+BN42</f>
        <v>9488137</v>
      </c>
      <c r="BO46" s="278">
        <f>BO40+BO41+BO42</f>
        <v>62809517</v>
      </c>
      <c r="BP46" s="278">
        <f>BP40+BP41+BP42</f>
        <v>64738356</v>
      </c>
      <c r="BQ46" s="268">
        <f t="shared" si="84"/>
        <v>1928839</v>
      </c>
      <c r="BR46" s="267">
        <f>BR40+BR41+BR42</f>
        <v>1392598714</v>
      </c>
      <c r="BS46" s="280">
        <f>BS40+BS41+BS42</f>
        <v>1509981726</v>
      </c>
      <c r="BT46" s="280">
        <f>BT40+BT41+BT42</f>
        <v>1499095480</v>
      </c>
      <c r="BU46" s="281">
        <f t="shared" si="85"/>
        <v>-10886246</v>
      </c>
      <c r="BV46" s="282">
        <f>BV40+BV41+BV42</f>
        <v>1402086851</v>
      </c>
      <c r="BW46" s="280">
        <f>BW40+BW41+BW42</f>
        <v>1572791243</v>
      </c>
      <c r="BX46" s="280">
        <f>BX40+BX41+BX42</f>
        <v>1563833836</v>
      </c>
      <c r="BY46" s="281">
        <f t="shared" si="87"/>
        <v>-8957407</v>
      </c>
      <c r="BZ46" s="268">
        <f aca="true" t="shared" si="109" ref="BZ46:CF46">BZ40+BZ41+BZ42</f>
        <v>1402086851</v>
      </c>
      <c r="CA46" s="268">
        <f t="shared" si="109"/>
        <v>1572791243</v>
      </c>
      <c r="CB46" s="268">
        <f t="shared" si="109"/>
        <v>1563833836</v>
      </c>
      <c r="CC46" s="268">
        <f t="shared" si="109"/>
        <v>-8957407</v>
      </c>
      <c r="CD46" s="284">
        <f t="shared" si="109"/>
        <v>213945</v>
      </c>
      <c r="CE46" s="285">
        <f t="shared" si="109"/>
        <v>907347</v>
      </c>
      <c r="CF46" s="285">
        <f t="shared" si="109"/>
        <v>1600749</v>
      </c>
      <c r="CG46" s="286">
        <f t="shared" si="89"/>
        <v>693402</v>
      </c>
      <c r="CH46" s="287">
        <f aca="true" t="shared" si="110" ref="CH46:CO46">CH40+CH41+CH42</f>
        <v>28468</v>
      </c>
      <c r="CI46" s="285">
        <f t="shared" si="110"/>
        <v>26118</v>
      </c>
      <c r="CJ46" s="285">
        <f t="shared" si="110"/>
        <v>23768</v>
      </c>
      <c r="CK46" s="286">
        <f t="shared" si="110"/>
        <v>-2350</v>
      </c>
      <c r="CL46" s="284">
        <f t="shared" si="110"/>
        <v>0</v>
      </c>
      <c r="CM46" s="285">
        <f t="shared" si="110"/>
        <v>0</v>
      </c>
      <c r="CN46" s="285">
        <f t="shared" si="110"/>
        <v>0</v>
      </c>
      <c r="CO46" s="286">
        <f t="shared" si="110"/>
        <v>0</v>
      </c>
      <c r="CP46" s="288"/>
      <c r="CQ46" s="212">
        <f t="shared" si="91"/>
        <v>933465</v>
      </c>
    </row>
    <row r="47" spans="1:95" s="11" customFormat="1" ht="15.75" customHeight="1" thickBot="1">
      <c r="A47" s="402" t="s">
        <v>112</v>
      </c>
      <c r="B47" s="316">
        <f>B46+B39</f>
        <v>43398470</v>
      </c>
      <c r="C47" s="316">
        <f>C46+C39</f>
        <v>81417605</v>
      </c>
      <c r="D47" s="316">
        <f>D46+D39</f>
        <v>83831159</v>
      </c>
      <c r="E47" s="321">
        <f t="shared" si="61"/>
        <v>2413554</v>
      </c>
      <c r="F47" s="315">
        <f>F46+F39</f>
        <v>179232479</v>
      </c>
      <c r="G47" s="315">
        <f>G46+G39</f>
        <v>219269223</v>
      </c>
      <c r="H47" s="315">
        <f>H46+H39</f>
        <v>224849671</v>
      </c>
      <c r="I47" s="403">
        <f t="shared" si="62"/>
        <v>5580448</v>
      </c>
      <c r="J47" s="315">
        <f>J46+J39</f>
        <v>49831543</v>
      </c>
      <c r="K47" s="315">
        <f>K46+K39</f>
        <v>61532119</v>
      </c>
      <c r="L47" s="315">
        <f>L46+L39</f>
        <v>64825000</v>
      </c>
      <c r="M47" s="403">
        <f t="shared" si="63"/>
        <v>3292881</v>
      </c>
      <c r="N47" s="316">
        <f>N46+N39</f>
        <v>329180037</v>
      </c>
      <c r="O47" s="314">
        <f>O46+O39</f>
        <v>337355971</v>
      </c>
      <c r="P47" s="314">
        <f>P46+P39</f>
        <v>339467579</v>
      </c>
      <c r="Q47" s="403">
        <f t="shared" si="64"/>
        <v>2111608</v>
      </c>
      <c r="R47" s="316">
        <f>R46+R39</f>
        <v>234278053</v>
      </c>
      <c r="S47" s="314">
        <f>S46+S39</f>
        <v>263440970</v>
      </c>
      <c r="T47" s="314">
        <f>T46+T39</f>
        <v>271489771</v>
      </c>
      <c r="U47" s="403">
        <f t="shared" si="65"/>
        <v>8048801</v>
      </c>
      <c r="V47" s="316">
        <f>V46+V39</f>
        <v>86036981</v>
      </c>
      <c r="W47" s="314">
        <f>W46+W39</f>
        <v>92165368</v>
      </c>
      <c r="X47" s="314">
        <f>X46+X39</f>
        <v>92205136</v>
      </c>
      <c r="Y47" s="403">
        <f t="shared" si="66"/>
        <v>39768</v>
      </c>
      <c r="Z47" s="316">
        <f>Z46+Z39</f>
        <v>27521589</v>
      </c>
      <c r="AA47" s="314">
        <f>AA46+AA39</f>
        <v>28419908</v>
      </c>
      <c r="AB47" s="314">
        <f>AB46+AB39</f>
        <v>28448067</v>
      </c>
      <c r="AC47" s="403">
        <f t="shared" si="67"/>
        <v>28159</v>
      </c>
      <c r="AD47" s="316">
        <f>AD46+AD39</f>
        <v>51936936</v>
      </c>
      <c r="AE47" s="314">
        <f>AE46+AE39</f>
        <v>55491353</v>
      </c>
      <c r="AF47" s="314">
        <f>AF46+AF39</f>
        <v>55588985</v>
      </c>
      <c r="AG47" s="403">
        <f t="shared" si="68"/>
        <v>97632</v>
      </c>
      <c r="AH47" s="316">
        <f>AH46+AH39</f>
        <v>19334953</v>
      </c>
      <c r="AI47" s="314">
        <f>AI46+AI39</f>
        <v>21303553</v>
      </c>
      <c r="AJ47" s="314">
        <f>AJ46+AJ39</f>
        <v>21342988</v>
      </c>
      <c r="AK47" s="403">
        <f t="shared" si="69"/>
        <v>39435</v>
      </c>
      <c r="AL47" s="316">
        <f>AL46+AL39</f>
        <v>14208750</v>
      </c>
      <c r="AM47" s="314">
        <f>AM46+AM39</f>
        <v>15663684</v>
      </c>
      <c r="AN47" s="314">
        <f>AN46+AN39</f>
        <v>15663684</v>
      </c>
      <c r="AO47" s="403">
        <f t="shared" si="70"/>
        <v>0</v>
      </c>
      <c r="AP47" s="317">
        <f t="shared" si="71"/>
        <v>199039209</v>
      </c>
      <c r="AQ47" s="404">
        <f t="shared" si="72"/>
        <v>213043866</v>
      </c>
      <c r="AR47" s="404">
        <f t="shared" si="73"/>
        <v>213248860</v>
      </c>
      <c r="AS47" s="405">
        <f t="shared" si="74"/>
        <v>204994</v>
      </c>
      <c r="AT47" s="316">
        <f>AT46+AT39</f>
        <v>84525714</v>
      </c>
      <c r="AU47" s="314">
        <f>AU46+AU39</f>
        <v>90031592</v>
      </c>
      <c r="AV47" s="314">
        <f>AV46+AV39</f>
        <v>90576347</v>
      </c>
      <c r="AW47" s="403">
        <f t="shared" si="75"/>
        <v>544755</v>
      </c>
      <c r="AX47" s="316">
        <f>AX46+AX39</f>
        <v>22975244</v>
      </c>
      <c r="AY47" s="314">
        <f>AY46+AY39</f>
        <v>23990933</v>
      </c>
      <c r="AZ47" s="314">
        <f>AZ46+AZ39</f>
        <v>24006707</v>
      </c>
      <c r="BA47" s="403">
        <f t="shared" si="76"/>
        <v>15774</v>
      </c>
      <c r="BB47" s="316">
        <f>BB46+BB39</f>
        <v>0</v>
      </c>
      <c r="BC47" s="314">
        <f>BC46+BC39</f>
        <v>1180425</v>
      </c>
      <c r="BD47" s="314">
        <f>BD46+BD39</f>
        <v>1180425</v>
      </c>
      <c r="BE47" s="403">
        <f t="shared" si="77"/>
        <v>0</v>
      </c>
      <c r="BF47" s="316">
        <f>BF46+BF39</f>
        <v>15012577</v>
      </c>
      <c r="BG47" s="314">
        <f>BG46+BG39</f>
        <v>16072524</v>
      </c>
      <c r="BH47" s="314">
        <f>BH46+BH39</f>
        <v>16072524</v>
      </c>
      <c r="BI47" s="403">
        <f t="shared" si="78"/>
        <v>0</v>
      </c>
      <c r="BJ47" s="318">
        <f t="shared" si="79"/>
        <v>122513535</v>
      </c>
      <c r="BK47" s="406">
        <f t="shared" si="80"/>
        <v>131275474</v>
      </c>
      <c r="BL47" s="406">
        <f t="shared" si="81"/>
        <v>131836003</v>
      </c>
      <c r="BM47" s="407">
        <f t="shared" si="82"/>
        <v>560529</v>
      </c>
      <c r="BN47" s="319">
        <f>BN46+BN39</f>
        <v>1157473326</v>
      </c>
      <c r="BO47" s="408">
        <f>BO46+BO39</f>
        <v>1307335228</v>
      </c>
      <c r="BP47" s="408">
        <f>BP46+BP39</f>
        <v>1329548043</v>
      </c>
      <c r="BQ47" s="403">
        <f t="shared" si="84"/>
        <v>22212815</v>
      </c>
      <c r="BR47" s="316">
        <f>BR46+BR39</f>
        <v>2112181886</v>
      </c>
      <c r="BS47" s="409">
        <f>BS46+BS39</f>
        <v>2353745964</v>
      </c>
      <c r="BT47" s="409">
        <f>BT46+BT39</f>
        <v>2417708794</v>
      </c>
      <c r="BU47" s="410">
        <f t="shared" si="85"/>
        <v>63962830</v>
      </c>
      <c r="BV47" s="320">
        <f>BV46+BV39</f>
        <v>3269655212</v>
      </c>
      <c r="BW47" s="409">
        <f>BW46+BW39</f>
        <v>3661081192</v>
      </c>
      <c r="BX47" s="409">
        <f>BX46+BX39</f>
        <v>3747256837</v>
      </c>
      <c r="BY47" s="410">
        <f t="shared" si="87"/>
        <v>86175645</v>
      </c>
      <c r="BZ47" s="403">
        <f aca="true" t="shared" si="111" ref="BZ47:CF47">BZ46+BZ39</f>
        <v>3269655212</v>
      </c>
      <c r="CA47" s="403">
        <f t="shared" si="111"/>
        <v>3661081192</v>
      </c>
      <c r="CB47" s="403">
        <f t="shared" si="111"/>
        <v>3747256837</v>
      </c>
      <c r="CC47" s="403">
        <f t="shared" si="111"/>
        <v>86175645</v>
      </c>
      <c r="CD47" s="322">
        <f t="shared" si="111"/>
        <v>1641254</v>
      </c>
      <c r="CE47" s="411">
        <f t="shared" si="111"/>
        <v>2422284</v>
      </c>
      <c r="CF47" s="411">
        <f t="shared" si="111"/>
        <v>3203314</v>
      </c>
      <c r="CG47" s="412">
        <f t="shared" si="89"/>
        <v>781030</v>
      </c>
      <c r="CH47" s="323">
        <f aca="true" t="shared" si="112" ref="CH47:CO47">CH46+CH39</f>
        <v>217074</v>
      </c>
      <c r="CI47" s="411">
        <f t="shared" si="112"/>
        <v>224092</v>
      </c>
      <c r="CJ47" s="411">
        <f t="shared" si="112"/>
        <v>231110</v>
      </c>
      <c r="CK47" s="412">
        <f t="shared" si="112"/>
        <v>7018</v>
      </c>
      <c r="CL47" s="322">
        <f t="shared" si="112"/>
        <v>89503</v>
      </c>
      <c r="CM47" s="411">
        <f t="shared" si="112"/>
        <v>89503</v>
      </c>
      <c r="CN47" s="411">
        <f t="shared" si="112"/>
        <v>89503</v>
      </c>
      <c r="CO47" s="412">
        <f t="shared" si="112"/>
        <v>0</v>
      </c>
      <c r="CP47" s="288"/>
      <c r="CQ47" s="212">
        <f t="shared" si="91"/>
        <v>2735879</v>
      </c>
    </row>
    <row r="48" spans="1:96" s="9" customFormat="1" ht="15.75" customHeight="1" thickBot="1">
      <c r="A48" s="413" t="s">
        <v>113</v>
      </c>
      <c r="B48" s="282">
        <v>0</v>
      </c>
      <c r="C48" s="282">
        <v>0</v>
      </c>
      <c r="D48" s="282">
        <v>0</v>
      </c>
      <c r="E48" s="414">
        <f t="shared" si="61"/>
        <v>0</v>
      </c>
      <c r="F48" s="280">
        <v>0</v>
      </c>
      <c r="G48" s="280">
        <v>0</v>
      </c>
      <c r="H48" s="280">
        <v>0</v>
      </c>
      <c r="I48" s="281">
        <f t="shared" si="62"/>
        <v>0</v>
      </c>
      <c r="J48" s="280">
        <v>0</v>
      </c>
      <c r="K48" s="280">
        <v>0</v>
      </c>
      <c r="L48" s="280">
        <v>0</v>
      </c>
      <c r="M48" s="281">
        <f t="shared" si="63"/>
        <v>0</v>
      </c>
      <c r="N48" s="282">
        <v>0</v>
      </c>
      <c r="O48" s="415">
        <v>0</v>
      </c>
      <c r="P48" s="415">
        <v>0</v>
      </c>
      <c r="Q48" s="281">
        <f t="shared" si="64"/>
        <v>0</v>
      </c>
      <c r="R48" s="282">
        <v>0</v>
      </c>
      <c r="S48" s="415">
        <v>0</v>
      </c>
      <c r="T48" s="415">
        <v>0</v>
      </c>
      <c r="U48" s="281">
        <f t="shared" si="65"/>
        <v>0</v>
      </c>
      <c r="V48" s="282">
        <v>0</v>
      </c>
      <c r="W48" s="415">
        <v>0</v>
      </c>
      <c r="X48" s="415">
        <v>0</v>
      </c>
      <c r="Y48" s="281">
        <f t="shared" si="66"/>
        <v>0</v>
      </c>
      <c r="Z48" s="282">
        <v>0</v>
      </c>
      <c r="AA48" s="415">
        <v>0</v>
      </c>
      <c r="AB48" s="415">
        <v>0</v>
      </c>
      <c r="AC48" s="281">
        <f t="shared" si="67"/>
        <v>0</v>
      </c>
      <c r="AD48" s="282">
        <v>0</v>
      </c>
      <c r="AE48" s="415">
        <v>0</v>
      </c>
      <c r="AF48" s="415">
        <v>0</v>
      </c>
      <c r="AG48" s="281">
        <f t="shared" si="68"/>
        <v>0</v>
      </c>
      <c r="AH48" s="282">
        <v>0</v>
      </c>
      <c r="AI48" s="415">
        <v>0</v>
      </c>
      <c r="AJ48" s="415">
        <v>0</v>
      </c>
      <c r="AK48" s="281">
        <f t="shared" si="69"/>
        <v>0</v>
      </c>
      <c r="AL48" s="282">
        <v>0</v>
      </c>
      <c r="AM48" s="415">
        <v>0</v>
      </c>
      <c r="AN48" s="415">
        <v>0</v>
      </c>
      <c r="AO48" s="281">
        <f t="shared" si="70"/>
        <v>0</v>
      </c>
      <c r="AP48" s="416">
        <f t="shared" si="71"/>
        <v>0</v>
      </c>
      <c r="AQ48" s="417">
        <f t="shared" si="72"/>
        <v>0</v>
      </c>
      <c r="AR48" s="417">
        <f t="shared" si="73"/>
        <v>0</v>
      </c>
      <c r="AS48" s="418">
        <f t="shared" si="74"/>
        <v>0</v>
      </c>
      <c r="AT48" s="282">
        <v>0</v>
      </c>
      <c r="AU48" s="415">
        <v>0</v>
      </c>
      <c r="AV48" s="415">
        <v>0</v>
      </c>
      <c r="AW48" s="281">
        <f t="shared" si="75"/>
        <v>0</v>
      </c>
      <c r="AX48" s="282">
        <v>0</v>
      </c>
      <c r="AY48" s="415">
        <v>0</v>
      </c>
      <c r="AZ48" s="415">
        <v>0</v>
      </c>
      <c r="BA48" s="281">
        <f t="shared" si="76"/>
        <v>0</v>
      </c>
      <c r="BB48" s="282">
        <v>0</v>
      </c>
      <c r="BC48" s="415">
        <v>0</v>
      </c>
      <c r="BD48" s="415">
        <v>0</v>
      </c>
      <c r="BE48" s="281">
        <f t="shared" si="77"/>
        <v>0</v>
      </c>
      <c r="BF48" s="282">
        <v>0</v>
      </c>
      <c r="BG48" s="415">
        <v>0</v>
      </c>
      <c r="BH48" s="415">
        <v>0</v>
      </c>
      <c r="BI48" s="281">
        <f t="shared" si="78"/>
        <v>0</v>
      </c>
      <c r="BJ48" s="419">
        <f t="shared" si="79"/>
        <v>0</v>
      </c>
      <c r="BK48" s="420">
        <f t="shared" si="80"/>
        <v>0</v>
      </c>
      <c r="BL48" s="420">
        <f t="shared" si="81"/>
        <v>0</v>
      </c>
      <c r="BM48" s="421">
        <f t="shared" si="82"/>
        <v>0</v>
      </c>
      <c r="BN48" s="277">
        <f>B48+F48+J48+N48+R48+BJ48+AP48</f>
        <v>0</v>
      </c>
      <c r="BO48" s="278">
        <f>C48+G48+K48+O48+S48+BK48+AQ48</f>
        <v>0</v>
      </c>
      <c r="BP48" s="278">
        <f>D48+H48+L48+P48+T48+BL48+AR48</f>
        <v>0</v>
      </c>
      <c r="BQ48" s="281">
        <f t="shared" si="84"/>
        <v>0</v>
      </c>
      <c r="BR48" s="282">
        <f>28549927+BN24</f>
        <v>955522077</v>
      </c>
      <c r="BS48" s="280">
        <f>28549927+BO24</f>
        <v>962126913</v>
      </c>
      <c r="BT48" s="280">
        <f>28549927+BP24</f>
        <v>974889878</v>
      </c>
      <c r="BU48" s="281">
        <f t="shared" si="85"/>
        <v>12762965</v>
      </c>
      <c r="BV48" s="282">
        <f>BR48+BN48</f>
        <v>955522077</v>
      </c>
      <c r="BW48" s="280">
        <f>BS48+BO48</f>
        <v>962126913</v>
      </c>
      <c r="BX48" s="280">
        <f>BT48+BP48</f>
        <v>974889878</v>
      </c>
      <c r="BY48" s="281">
        <f t="shared" si="87"/>
        <v>12762965</v>
      </c>
      <c r="BZ48" s="281">
        <f>BV48-BN24</f>
        <v>28549927</v>
      </c>
      <c r="CA48" s="281">
        <f>BW48-BO24</f>
        <v>28549927</v>
      </c>
      <c r="CB48" s="281">
        <f>BX48-BP24</f>
        <v>28549927</v>
      </c>
      <c r="CC48" s="281">
        <f>BY48-BQ24</f>
        <v>0</v>
      </c>
      <c r="CD48" s="422">
        <v>29068</v>
      </c>
      <c r="CE48" s="423">
        <f>CD48</f>
        <v>29068</v>
      </c>
      <c r="CF48" s="423">
        <f>CE48</f>
        <v>29068</v>
      </c>
      <c r="CG48" s="424">
        <f t="shared" si="89"/>
        <v>0</v>
      </c>
      <c r="CH48" s="425"/>
      <c r="CI48" s="423">
        <f>CH48</f>
        <v>0</v>
      </c>
      <c r="CJ48" s="423">
        <f>CI48</f>
        <v>0</v>
      </c>
      <c r="CK48" s="424">
        <f>CI48-CH48</f>
        <v>0</v>
      </c>
      <c r="CL48" s="422"/>
      <c r="CM48" s="423">
        <f>CL48</f>
        <v>0</v>
      </c>
      <c r="CN48" s="423">
        <f>CM48</f>
        <v>0</v>
      </c>
      <c r="CO48" s="424">
        <f>CM48-CL48</f>
        <v>0</v>
      </c>
      <c r="CP48" s="426"/>
      <c r="CQ48" s="212">
        <f t="shared" si="91"/>
        <v>29068</v>
      </c>
      <c r="CR48" s="24"/>
    </row>
    <row r="49" spans="1:95" s="11" customFormat="1" ht="15.75" customHeight="1" thickBot="1">
      <c r="A49" s="427" t="s">
        <v>29</v>
      </c>
      <c r="B49" s="369">
        <f>B48+B47</f>
        <v>43398470</v>
      </c>
      <c r="C49" s="369">
        <f>C48+C47</f>
        <v>81417605</v>
      </c>
      <c r="D49" s="369">
        <f>D48+D47</f>
        <v>83831159</v>
      </c>
      <c r="E49" s="374">
        <f t="shared" si="61"/>
        <v>2413554</v>
      </c>
      <c r="F49" s="368">
        <f>F48+F47</f>
        <v>179232479</v>
      </c>
      <c r="G49" s="368">
        <f>G48+G47</f>
        <v>219269223</v>
      </c>
      <c r="H49" s="368">
        <f>H48+H47</f>
        <v>224849671</v>
      </c>
      <c r="I49" s="428">
        <f t="shared" si="62"/>
        <v>5580448</v>
      </c>
      <c r="J49" s="368">
        <f>J48+J47</f>
        <v>49831543</v>
      </c>
      <c r="K49" s="368">
        <f>K48+K47</f>
        <v>61532119</v>
      </c>
      <c r="L49" s="368">
        <f>L48+L47</f>
        <v>64825000</v>
      </c>
      <c r="M49" s="428">
        <f t="shared" si="63"/>
        <v>3292881</v>
      </c>
      <c r="N49" s="369">
        <f>N48+N47</f>
        <v>329180037</v>
      </c>
      <c r="O49" s="367">
        <f>O48+O47</f>
        <v>337355971</v>
      </c>
      <c r="P49" s="367">
        <f>P48+P47</f>
        <v>339467579</v>
      </c>
      <c r="Q49" s="428">
        <f t="shared" si="64"/>
        <v>2111608</v>
      </c>
      <c r="R49" s="369">
        <f>R48+R47</f>
        <v>234278053</v>
      </c>
      <c r="S49" s="367">
        <f>S48+S47</f>
        <v>263440970</v>
      </c>
      <c r="T49" s="367">
        <f>T48+T47</f>
        <v>271489771</v>
      </c>
      <c r="U49" s="428">
        <f t="shared" si="65"/>
        <v>8048801</v>
      </c>
      <c r="V49" s="369">
        <f>V48+V47</f>
        <v>86036981</v>
      </c>
      <c r="W49" s="367">
        <f>W48+W47</f>
        <v>92165368</v>
      </c>
      <c r="X49" s="367">
        <f>X48+X47</f>
        <v>92205136</v>
      </c>
      <c r="Y49" s="428">
        <f t="shared" si="66"/>
        <v>39768</v>
      </c>
      <c r="Z49" s="369">
        <f>Z48+Z47</f>
        <v>27521589</v>
      </c>
      <c r="AA49" s="367">
        <f>AA48+AA47</f>
        <v>28419908</v>
      </c>
      <c r="AB49" s="367">
        <f>AB48+AB47</f>
        <v>28448067</v>
      </c>
      <c r="AC49" s="428">
        <f t="shared" si="67"/>
        <v>28159</v>
      </c>
      <c r="AD49" s="369">
        <f>AD48+AD47</f>
        <v>51936936</v>
      </c>
      <c r="AE49" s="367">
        <f>AE48+AE47</f>
        <v>55491353</v>
      </c>
      <c r="AF49" s="367">
        <f>AF48+AF47</f>
        <v>55588985</v>
      </c>
      <c r="AG49" s="428">
        <f t="shared" si="68"/>
        <v>97632</v>
      </c>
      <c r="AH49" s="369">
        <f>AH48+AH47</f>
        <v>19334953</v>
      </c>
      <c r="AI49" s="367">
        <f>AI48+AI47</f>
        <v>21303553</v>
      </c>
      <c r="AJ49" s="367">
        <f>AJ48+AJ47</f>
        <v>21342988</v>
      </c>
      <c r="AK49" s="428">
        <f t="shared" si="69"/>
        <v>39435</v>
      </c>
      <c r="AL49" s="369">
        <f>AL48+AL47</f>
        <v>14208750</v>
      </c>
      <c r="AM49" s="367">
        <f>AM48+AM47</f>
        <v>15663684</v>
      </c>
      <c r="AN49" s="367">
        <f>AN48+AN47</f>
        <v>15663684</v>
      </c>
      <c r="AO49" s="428">
        <f t="shared" si="70"/>
        <v>0</v>
      </c>
      <c r="AP49" s="370">
        <f t="shared" si="71"/>
        <v>199039209</v>
      </c>
      <c r="AQ49" s="429">
        <f t="shared" si="72"/>
        <v>213043866</v>
      </c>
      <c r="AR49" s="429">
        <f t="shared" si="73"/>
        <v>213248860</v>
      </c>
      <c r="AS49" s="430">
        <f t="shared" si="74"/>
        <v>204994</v>
      </c>
      <c r="AT49" s="369">
        <f>AT48+AT47</f>
        <v>84525714</v>
      </c>
      <c r="AU49" s="367">
        <f>AU48+AU47</f>
        <v>90031592</v>
      </c>
      <c r="AV49" s="367">
        <f>AV48+AV47</f>
        <v>90576347</v>
      </c>
      <c r="AW49" s="428">
        <f t="shared" si="75"/>
        <v>544755</v>
      </c>
      <c r="AX49" s="369">
        <f>AX48+AX47</f>
        <v>22975244</v>
      </c>
      <c r="AY49" s="367">
        <f>AY48+AY47</f>
        <v>23990933</v>
      </c>
      <c r="AZ49" s="367">
        <f>AZ48+AZ47</f>
        <v>24006707</v>
      </c>
      <c r="BA49" s="428">
        <f t="shared" si="76"/>
        <v>15774</v>
      </c>
      <c r="BB49" s="369">
        <f>BB48+BB47</f>
        <v>0</v>
      </c>
      <c r="BC49" s="367">
        <f>BC48+BC47</f>
        <v>1180425</v>
      </c>
      <c r="BD49" s="367">
        <f>BD48+BD47</f>
        <v>1180425</v>
      </c>
      <c r="BE49" s="428">
        <f t="shared" si="77"/>
        <v>0</v>
      </c>
      <c r="BF49" s="369">
        <f>BF48+BF47</f>
        <v>15012577</v>
      </c>
      <c r="BG49" s="367">
        <f>BG48+BG47</f>
        <v>16072524</v>
      </c>
      <c r="BH49" s="367">
        <f>BH48+BH47</f>
        <v>16072524</v>
      </c>
      <c r="BI49" s="428">
        <f t="shared" si="78"/>
        <v>0</v>
      </c>
      <c r="BJ49" s="371">
        <f t="shared" si="79"/>
        <v>122513535</v>
      </c>
      <c r="BK49" s="431">
        <f t="shared" si="80"/>
        <v>131275474</v>
      </c>
      <c r="BL49" s="431">
        <f t="shared" si="81"/>
        <v>131836003</v>
      </c>
      <c r="BM49" s="432">
        <f t="shared" si="82"/>
        <v>560529</v>
      </c>
      <c r="BN49" s="372">
        <f>BN48+BN47</f>
        <v>1157473326</v>
      </c>
      <c r="BO49" s="433">
        <f>BO48+BO47</f>
        <v>1307335228</v>
      </c>
      <c r="BP49" s="433">
        <f>BP48+BP47</f>
        <v>1329548043</v>
      </c>
      <c r="BQ49" s="428">
        <f t="shared" si="84"/>
        <v>22212815</v>
      </c>
      <c r="BR49" s="369">
        <f>BR48+BR47</f>
        <v>3067703963</v>
      </c>
      <c r="BS49" s="434">
        <f>BS48+BS47</f>
        <v>3315872877</v>
      </c>
      <c r="BT49" s="434">
        <f>BT48+BT47</f>
        <v>3392598672</v>
      </c>
      <c r="BU49" s="435">
        <f t="shared" si="85"/>
        <v>76725795</v>
      </c>
      <c r="BV49" s="373">
        <f>BV48+BV47</f>
        <v>4225177289</v>
      </c>
      <c r="BW49" s="434">
        <f>BW48+BW47</f>
        <v>4623208105</v>
      </c>
      <c r="BX49" s="434">
        <f>BX48+BX47</f>
        <v>4722146715</v>
      </c>
      <c r="BY49" s="435">
        <f t="shared" si="87"/>
        <v>98938610</v>
      </c>
      <c r="BZ49" s="428">
        <f aca="true" t="shared" si="113" ref="BZ49:CF49">BZ48+BZ47</f>
        <v>3298205139</v>
      </c>
      <c r="CA49" s="428">
        <f t="shared" si="113"/>
        <v>3689631119</v>
      </c>
      <c r="CB49" s="428">
        <f t="shared" si="113"/>
        <v>3775806764</v>
      </c>
      <c r="CC49" s="428">
        <f t="shared" si="113"/>
        <v>86175645</v>
      </c>
      <c r="CD49" s="284">
        <f t="shared" si="113"/>
        <v>1670322</v>
      </c>
      <c r="CE49" s="285">
        <f t="shared" si="113"/>
        <v>2451352</v>
      </c>
      <c r="CF49" s="285">
        <f t="shared" si="113"/>
        <v>3232382</v>
      </c>
      <c r="CG49" s="286">
        <f t="shared" si="89"/>
        <v>781030</v>
      </c>
      <c r="CH49" s="287">
        <f aca="true" t="shared" si="114" ref="CH49:CO49">CH48+CH47</f>
        <v>217074</v>
      </c>
      <c r="CI49" s="285">
        <f t="shared" si="114"/>
        <v>224092</v>
      </c>
      <c r="CJ49" s="285">
        <f t="shared" si="114"/>
        <v>231110</v>
      </c>
      <c r="CK49" s="286">
        <f t="shared" si="114"/>
        <v>7018</v>
      </c>
      <c r="CL49" s="284">
        <f t="shared" si="114"/>
        <v>89503</v>
      </c>
      <c r="CM49" s="285">
        <f t="shared" si="114"/>
        <v>89503</v>
      </c>
      <c r="CN49" s="285">
        <f t="shared" si="114"/>
        <v>89503</v>
      </c>
      <c r="CO49" s="286">
        <f t="shared" si="114"/>
        <v>0</v>
      </c>
      <c r="CP49" s="288" t="s">
        <v>262</v>
      </c>
      <c r="CQ49" s="212">
        <f t="shared" si="91"/>
        <v>2764947</v>
      </c>
    </row>
    <row r="50" spans="75:95" ht="9" customHeight="1" thickBot="1">
      <c r="BW50" s="86"/>
      <c r="BX50" s="86"/>
      <c r="BZ50" s="4"/>
      <c r="CA50" s="4"/>
      <c r="CB50" s="4"/>
      <c r="CC50" s="4"/>
      <c r="CD50" s="436"/>
      <c r="CE50" s="436"/>
      <c r="CF50" s="436"/>
      <c r="CG50" s="436"/>
      <c r="CH50" s="436"/>
      <c r="CI50" s="436"/>
      <c r="CJ50" s="436"/>
      <c r="CK50" s="436"/>
      <c r="CL50" s="436"/>
      <c r="CM50" s="436"/>
      <c r="CN50" s="436"/>
      <c r="CO50" s="436"/>
      <c r="CP50" s="436"/>
      <c r="CQ50" s="212">
        <f t="shared" si="91"/>
        <v>0</v>
      </c>
    </row>
    <row r="51" spans="1:95" s="87" customFormat="1" ht="12.75">
      <c r="A51" s="127" t="s">
        <v>137</v>
      </c>
      <c r="B51" s="437">
        <f>SUM(B52:B53)</f>
        <v>9</v>
      </c>
      <c r="C51" s="438">
        <f>SUM(C52:C53)</f>
        <v>9</v>
      </c>
      <c r="D51" s="438">
        <f>SUM(D52:D53)</f>
        <v>9</v>
      </c>
      <c r="E51" s="439">
        <f>D51-C51</f>
        <v>0</v>
      </c>
      <c r="F51" s="437">
        <v>15.5</v>
      </c>
      <c r="G51" s="437">
        <v>15.5</v>
      </c>
      <c r="H51" s="437">
        <v>15.5</v>
      </c>
      <c r="I51" s="438">
        <f>H51-G51</f>
        <v>0</v>
      </c>
      <c r="J51" s="437">
        <f>SUM(J52:J53)</f>
        <v>12</v>
      </c>
      <c r="K51" s="437">
        <f>SUM(K52:K53)</f>
        <v>12</v>
      </c>
      <c r="L51" s="437">
        <f>SUM(L52:L53)</f>
        <v>12</v>
      </c>
      <c r="M51" s="62">
        <f>L51-K51</f>
        <v>0</v>
      </c>
      <c r="N51" s="437">
        <f>SUM(N52:N53)</f>
        <v>54</v>
      </c>
      <c r="O51" s="437">
        <f>SUM(O52:O53)</f>
        <v>55</v>
      </c>
      <c r="P51" s="437">
        <f>SUM(P52:P53)</f>
        <v>55</v>
      </c>
      <c r="Q51" s="62">
        <f>P51-O51</f>
        <v>0</v>
      </c>
      <c r="R51" s="437">
        <f>SUM(R52:R53)</f>
        <v>44.75</v>
      </c>
      <c r="S51" s="437">
        <f>SUM(S52:S53)</f>
        <v>48.75</v>
      </c>
      <c r="T51" s="437">
        <f>SUM(T52:T53)</f>
        <v>48.75</v>
      </c>
      <c r="U51" s="62">
        <f>T51-S51</f>
        <v>0</v>
      </c>
      <c r="V51" s="437">
        <f>SUM(V52:V53)</f>
        <v>18.25</v>
      </c>
      <c r="W51" s="437">
        <f>SUM(W52:W53)</f>
        <v>18.25</v>
      </c>
      <c r="X51" s="437">
        <f>SUM(X52:X53)</f>
        <v>18.25</v>
      </c>
      <c r="Y51" s="438">
        <f>X51-W51</f>
        <v>0</v>
      </c>
      <c r="Z51" s="437">
        <f>SUM(Z52:Z53)</f>
        <v>5.5</v>
      </c>
      <c r="AA51" s="437">
        <f>SUM(AA52:AA53)</f>
        <v>5.5</v>
      </c>
      <c r="AB51" s="437">
        <f>SUM(AB52:AB53)</f>
        <v>5.5</v>
      </c>
      <c r="AC51" s="438">
        <f>AB51-AA51</f>
        <v>0</v>
      </c>
      <c r="AD51" s="437">
        <f>SUM(AD52:AD53)</f>
        <v>10.5</v>
      </c>
      <c r="AE51" s="437">
        <f>SUM(AE52:AE53)</f>
        <v>10.5</v>
      </c>
      <c r="AF51" s="437">
        <f>SUM(AF52:AF53)</f>
        <v>10.5</v>
      </c>
      <c r="AG51" s="438">
        <f>AF51-AE51</f>
        <v>0</v>
      </c>
      <c r="AH51" s="437">
        <f>SUM(AH52:AH53)</f>
        <v>4.5</v>
      </c>
      <c r="AI51" s="437">
        <f>SUM(AI52:AI53)</f>
        <v>4.5</v>
      </c>
      <c r="AJ51" s="437">
        <f>SUM(AJ52:AJ53)</f>
        <v>4.5</v>
      </c>
      <c r="AK51" s="438">
        <f>AJ51-AI51</f>
        <v>0</v>
      </c>
      <c r="AL51" s="437">
        <f>SUM(AL52:AL53)</f>
        <v>3</v>
      </c>
      <c r="AM51" s="437">
        <f>SUM(AM52:AM53)</f>
        <v>3</v>
      </c>
      <c r="AN51" s="437">
        <f>SUM(AN52:AN53)</f>
        <v>3</v>
      </c>
      <c r="AO51" s="438">
        <f>AN51-AM51</f>
        <v>0</v>
      </c>
      <c r="AP51" s="440">
        <f aca="true" t="shared" si="115" ref="AP51:AR54">V51+Z51+AD51+AH51+AL51</f>
        <v>41.75</v>
      </c>
      <c r="AQ51" s="441">
        <f t="shared" si="115"/>
        <v>41.75</v>
      </c>
      <c r="AR51" s="441">
        <f t="shared" si="115"/>
        <v>41.75</v>
      </c>
      <c r="AS51" s="328">
        <f>AR51-AQ51</f>
        <v>0</v>
      </c>
      <c r="AT51" s="437">
        <f>SUM(AT52:AT53)</f>
        <v>18.5</v>
      </c>
      <c r="AU51" s="437">
        <f>SUM(AU52:AU53)</f>
        <v>19.5</v>
      </c>
      <c r="AV51" s="437">
        <f>SUM(AV52:AV53)</f>
        <v>19.5</v>
      </c>
      <c r="AW51" s="438">
        <f>AV51-AU51</f>
        <v>0</v>
      </c>
      <c r="AX51" s="437">
        <f>SUM(AX52:AX53)</f>
        <v>3</v>
      </c>
      <c r="AY51" s="437">
        <f>SUM(AY52:AY53)</f>
        <v>3</v>
      </c>
      <c r="AZ51" s="437">
        <f>SUM(AZ52:AZ53)</f>
        <v>3</v>
      </c>
      <c r="BA51" s="438">
        <f>AZ51-AY51</f>
        <v>0</v>
      </c>
      <c r="BB51" s="437">
        <f>SUM(BB52:BB53)</f>
        <v>0</v>
      </c>
      <c r="BC51" s="437">
        <f>SUM(BC52:BC53)</f>
        <v>0</v>
      </c>
      <c r="BD51" s="437">
        <f>SUM(BD52:BD53)</f>
        <v>0</v>
      </c>
      <c r="BE51" s="438">
        <f>BD51-BC51</f>
        <v>0</v>
      </c>
      <c r="BF51" s="437">
        <f>SUM(BF52:BF53)</f>
        <v>3</v>
      </c>
      <c r="BG51" s="437">
        <f>SUM(BG52:BG53)</f>
        <v>3</v>
      </c>
      <c r="BH51" s="437">
        <f>SUM(BH52:BH53)</f>
        <v>3</v>
      </c>
      <c r="BI51" s="438">
        <f>BH51-BG51</f>
        <v>0</v>
      </c>
      <c r="BJ51" s="442">
        <f aca="true" t="shared" si="116" ref="BJ51:BL54">AT51+AX51+BF51+BB51</f>
        <v>24.5</v>
      </c>
      <c r="BK51" s="443">
        <f t="shared" si="116"/>
        <v>25.5</v>
      </c>
      <c r="BL51" s="443">
        <f t="shared" si="116"/>
        <v>25.5</v>
      </c>
      <c r="BM51" s="443">
        <f>BL51-BK51</f>
        <v>0</v>
      </c>
      <c r="BN51" s="150">
        <f aca="true" t="shared" si="117" ref="BN51:BP54">B51+F51+J51+N51+R51+BJ51+AP51</f>
        <v>201.5</v>
      </c>
      <c r="BO51" s="438">
        <f t="shared" si="117"/>
        <v>207.5</v>
      </c>
      <c r="BP51" s="438">
        <f t="shared" si="117"/>
        <v>207.5</v>
      </c>
      <c r="BQ51" s="438">
        <f>BP51-BO51</f>
        <v>0</v>
      </c>
      <c r="BR51" s="444">
        <f>SUM(BR52:BR53)</f>
        <v>4.75</v>
      </c>
      <c r="BS51" s="444">
        <f>SUM(BS52:BS53)</f>
        <v>4.75</v>
      </c>
      <c r="BT51" s="444">
        <f>SUM(BT52:BT53)</f>
        <v>4.75</v>
      </c>
      <c r="BU51" s="438">
        <f>BT51-BS51</f>
        <v>0</v>
      </c>
      <c r="BV51" s="445">
        <f aca="true" t="shared" si="118" ref="BV51:BX54">BR51+BN51</f>
        <v>206.25</v>
      </c>
      <c r="BW51" s="438">
        <f t="shared" si="118"/>
        <v>212.25</v>
      </c>
      <c r="BX51" s="438">
        <f t="shared" si="118"/>
        <v>212.25</v>
      </c>
      <c r="BY51" s="438">
        <f>BX51-BW51</f>
        <v>0</v>
      </c>
      <c r="BZ51" s="130"/>
      <c r="CA51" s="130"/>
      <c r="CB51" s="130"/>
      <c r="CC51" s="130"/>
      <c r="CD51" s="426"/>
      <c r="CE51" s="446"/>
      <c r="CF51" s="446"/>
      <c r="CG51" s="446"/>
      <c r="CH51" s="447"/>
      <c r="CI51" s="446"/>
      <c r="CJ51" s="446"/>
      <c r="CK51" s="446"/>
      <c r="CL51" s="447"/>
      <c r="CM51" s="446"/>
      <c r="CN51" s="446"/>
      <c r="CO51" s="446"/>
      <c r="CP51" s="446"/>
      <c r="CQ51" s="448"/>
    </row>
    <row r="52" spans="1:95" s="90" customFormat="1" ht="12.75">
      <c r="A52" s="128" t="s">
        <v>133</v>
      </c>
      <c r="B52" s="449">
        <v>7</v>
      </c>
      <c r="C52" s="450">
        <v>7</v>
      </c>
      <c r="D52" s="450">
        <v>7</v>
      </c>
      <c r="E52" s="451">
        <f>D52-C52</f>
        <v>0</v>
      </c>
      <c r="F52" s="450">
        <v>5.5</v>
      </c>
      <c r="G52" s="450">
        <v>5.5</v>
      </c>
      <c r="H52" s="450">
        <v>5.5</v>
      </c>
      <c r="I52" s="450">
        <f>H52-G52</f>
        <v>0</v>
      </c>
      <c r="J52" s="450">
        <v>4</v>
      </c>
      <c r="K52" s="450">
        <v>4</v>
      </c>
      <c r="L52" s="450">
        <v>4</v>
      </c>
      <c r="M52" s="18">
        <f>L52-K52</f>
        <v>0</v>
      </c>
      <c r="N52" s="452">
        <v>52</v>
      </c>
      <c r="O52" s="450">
        <v>53</v>
      </c>
      <c r="P52" s="450">
        <v>53</v>
      </c>
      <c r="Q52" s="18">
        <f>P52-O52</f>
        <v>0</v>
      </c>
      <c r="R52" s="452">
        <v>39.75</v>
      </c>
      <c r="S52" s="450">
        <v>43.75</v>
      </c>
      <c r="T52" s="450">
        <f>39.75+4</f>
        <v>43.75</v>
      </c>
      <c r="U52" s="18">
        <f>T52-S52</f>
        <v>0</v>
      </c>
      <c r="V52" s="452">
        <v>17</v>
      </c>
      <c r="W52" s="450">
        <v>17</v>
      </c>
      <c r="X52" s="450">
        <v>17</v>
      </c>
      <c r="Y52" s="450">
        <f>X52-W52</f>
        <v>0</v>
      </c>
      <c r="Z52" s="452">
        <v>4.5</v>
      </c>
      <c r="AA52" s="450">
        <v>4.5</v>
      </c>
      <c r="AB52" s="450">
        <v>4.5</v>
      </c>
      <c r="AC52" s="450">
        <f>AB52-AA52</f>
        <v>0</v>
      </c>
      <c r="AD52" s="452">
        <v>10</v>
      </c>
      <c r="AE52" s="450">
        <v>10</v>
      </c>
      <c r="AF52" s="450">
        <v>10</v>
      </c>
      <c r="AG52" s="450">
        <f>AF52-AE52</f>
        <v>0</v>
      </c>
      <c r="AH52" s="452">
        <v>4</v>
      </c>
      <c r="AI52" s="450">
        <v>4</v>
      </c>
      <c r="AJ52" s="450">
        <v>4</v>
      </c>
      <c r="AK52" s="450">
        <f>AJ52-AI52</f>
        <v>0</v>
      </c>
      <c r="AL52" s="452">
        <v>3</v>
      </c>
      <c r="AM52" s="450">
        <v>3</v>
      </c>
      <c r="AN52" s="450">
        <v>3</v>
      </c>
      <c r="AO52" s="450">
        <f>AN52-AM52</f>
        <v>0</v>
      </c>
      <c r="AP52" s="453">
        <f t="shared" si="115"/>
        <v>38.5</v>
      </c>
      <c r="AQ52" s="454">
        <f t="shared" si="115"/>
        <v>38.5</v>
      </c>
      <c r="AR52" s="454">
        <f t="shared" si="115"/>
        <v>38.5</v>
      </c>
      <c r="AS52" s="195">
        <f>AR52-AQ52</f>
        <v>0</v>
      </c>
      <c r="AT52" s="452">
        <v>18</v>
      </c>
      <c r="AU52" s="450">
        <v>19</v>
      </c>
      <c r="AV52" s="450">
        <v>19</v>
      </c>
      <c r="AW52" s="450">
        <f>AV52-AU52</f>
        <v>0</v>
      </c>
      <c r="AX52" s="452">
        <v>3</v>
      </c>
      <c r="AY52" s="450">
        <v>3</v>
      </c>
      <c r="AZ52" s="450">
        <v>3</v>
      </c>
      <c r="BA52" s="450">
        <f>AZ52-AY52</f>
        <v>0</v>
      </c>
      <c r="BB52" s="452">
        <v>0</v>
      </c>
      <c r="BC52" s="450">
        <v>0</v>
      </c>
      <c r="BD52" s="450">
        <v>0</v>
      </c>
      <c r="BE52" s="450">
        <f>BD52-BC52</f>
        <v>0</v>
      </c>
      <c r="BF52" s="452">
        <v>3</v>
      </c>
      <c r="BG52" s="450">
        <v>3</v>
      </c>
      <c r="BH52" s="450">
        <v>3</v>
      </c>
      <c r="BI52" s="450">
        <f>BH52-BG52</f>
        <v>0</v>
      </c>
      <c r="BJ52" s="455">
        <f t="shared" si="116"/>
        <v>24</v>
      </c>
      <c r="BK52" s="456">
        <f t="shared" si="116"/>
        <v>25</v>
      </c>
      <c r="BL52" s="456">
        <f t="shared" si="116"/>
        <v>25</v>
      </c>
      <c r="BM52" s="456">
        <f>BL52-BK52</f>
        <v>0</v>
      </c>
      <c r="BN52" s="151">
        <f t="shared" si="117"/>
        <v>170.75</v>
      </c>
      <c r="BO52" s="450">
        <f t="shared" si="117"/>
        <v>176.75</v>
      </c>
      <c r="BP52" s="450">
        <f t="shared" si="117"/>
        <v>176.75</v>
      </c>
      <c r="BQ52" s="450">
        <f>BP52-BO52</f>
        <v>0</v>
      </c>
      <c r="BR52" s="457">
        <v>3.5</v>
      </c>
      <c r="BS52" s="450">
        <v>3.5</v>
      </c>
      <c r="BT52" s="450">
        <f>BR52</f>
        <v>3.5</v>
      </c>
      <c r="BU52" s="450">
        <f>BT52-BS52</f>
        <v>0</v>
      </c>
      <c r="BV52" s="458">
        <f t="shared" si="118"/>
        <v>174.25</v>
      </c>
      <c r="BW52" s="450">
        <f t="shared" si="118"/>
        <v>180.25</v>
      </c>
      <c r="BX52" s="450">
        <f t="shared" si="118"/>
        <v>180.25</v>
      </c>
      <c r="BY52" s="450">
        <f>BX52-BW52</f>
        <v>0</v>
      </c>
      <c r="BZ52" s="112"/>
      <c r="CA52" s="112"/>
      <c r="CB52" s="112"/>
      <c r="CC52" s="112"/>
      <c r="CD52" s="459"/>
      <c r="CE52" s="460"/>
      <c r="CF52" s="460"/>
      <c r="CG52" s="460"/>
      <c r="CH52" s="459"/>
      <c r="CI52" s="460"/>
      <c r="CJ52" s="460"/>
      <c r="CK52" s="460"/>
      <c r="CL52" s="461"/>
      <c r="CM52" s="460"/>
      <c r="CN52" s="460"/>
      <c r="CO52" s="460"/>
      <c r="CP52" s="460"/>
      <c r="CQ52" s="462"/>
    </row>
    <row r="53" spans="1:95" s="90" customFormat="1" ht="12.75">
      <c r="A53" s="128" t="s">
        <v>134</v>
      </c>
      <c r="B53" s="449">
        <v>2</v>
      </c>
      <c r="C53" s="450">
        <v>2</v>
      </c>
      <c r="D53" s="450">
        <v>2</v>
      </c>
      <c r="E53" s="451">
        <f>D53-C53</f>
        <v>0</v>
      </c>
      <c r="F53" s="450">
        <v>10</v>
      </c>
      <c r="G53" s="450">
        <v>10</v>
      </c>
      <c r="H53" s="450">
        <v>10</v>
      </c>
      <c r="I53" s="450">
        <f>H53-G53</f>
        <v>0</v>
      </c>
      <c r="J53" s="450">
        <v>8</v>
      </c>
      <c r="K53" s="450">
        <v>8</v>
      </c>
      <c r="L53" s="450">
        <v>8</v>
      </c>
      <c r="M53" s="18">
        <f>L53-K53</f>
        <v>0</v>
      </c>
      <c r="N53" s="452">
        <v>2</v>
      </c>
      <c r="O53" s="450">
        <v>2</v>
      </c>
      <c r="P53" s="450">
        <v>2</v>
      </c>
      <c r="Q53" s="18">
        <f>P53-O53</f>
        <v>0</v>
      </c>
      <c r="R53" s="452">
        <v>5</v>
      </c>
      <c r="S53" s="450">
        <v>5</v>
      </c>
      <c r="T53" s="450">
        <v>5</v>
      </c>
      <c r="U53" s="18">
        <f>T53-S53</f>
        <v>0</v>
      </c>
      <c r="V53" s="452">
        <v>1.25</v>
      </c>
      <c r="W53" s="450">
        <v>1.25</v>
      </c>
      <c r="X53" s="450">
        <v>1.25</v>
      </c>
      <c r="Y53" s="450">
        <f>X53-W53</f>
        <v>0</v>
      </c>
      <c r="Z53" s="452">
        <v>1</v>
      </c>
      <c r="AA53" s="450">
        <v>1</v>
      </c>
      <c r="AB53" s="450">
        <v>1</v>
      </c>
      <c r="AC53" s="450">
        <f>AB53-AA53</f>
        <v>0</v>
      </c>
      <c r="AD53" s="452">
        <v>0.5</v>
      </c>
      <c r="AE53" s="450">
        <v>0.5</v>
      </c>
      <c r="AF53" s="450">
        <v>0.5</v>
      </c>
      <c r="AG53" s="450">
        <f>AF53-AE53</f>
        <v>0</v>
      </c>
      <c r="AH53" s="452">
        <v>0.5</v>
      </c>
      <c r="AI53" s="450">
        <v>0.5</v>
      </c>
      <c r="AJ53" s="450">
        <v>0.5</v>
      </c>
      <c r="AK53" s="450">
        <f>AJ53-AI53</f>
        <v>0</v>
      </c>
      <c r="AL53" s="452">
        <v>0</v>
      </c>
      <c r="AM53" s="450">
        <v>0</v>
      </c>
      <c r="AN53" s="450">
        <v>0</v>
      </c>
      <c r="AO53" s="450">
        <f>AN53-AM53</f>
        <v>0</v>
      </c>
      <c r="AP53" s="453">
        <f t="shared" si="115"/>
        <v>3.25</v>
      </c>
      <c r="AQ53" s="454">
        <f t="shared" si="115"/>
        <v>3.25</v>
      </c>
      <c r="AR53" s="454">
        <f t="shared" si="115"/>
        <v>3.25</v>
      </c>
      <c r="AS53" s="195">
        <f>AR53-AQ53</f>
        <v>0</v>
      </c>
      <c r="AT53" s="452">
        <v>0.5</v>
      </c>
      <c r="AU53" s="450">
        <v>0.5</v>
      </c>
      <c r="AV53" s="450">
        <v>0.5</v>
      </c>
      <c r="AW53" s="450">
        <f>AV53-AU53</f>
        <v>0</v>
      </c>
      <c r="AX53" s="452">
        <v>0</v>
      </c>
      <c r="AY53" s="450">
        <v>0</v>
      </c>
      <c r="AZ53" s="450">
        <v>0</v>
      </c>
      <c r="BA53" s="450">
        <f>AZ53-AY53</f>
        <v>0</v>
      </c>
      <c r="BB53" s="452">
        <v>0</v>
      </c>
      <c r="BC53" s="450">
        <v>0</v>
      </c>
      <c r="BD53" s="450">
        <v>0</v>
      </c>
      <c r="BE53" s="450">
        <f>BD53-BC53</f>
        <v>0</v>
      </c>
      <c r="BF53" s="452">
        <v>0</v>
      </c>
      <c r="BG53" s="450">
        <v>0</v>
      </c>
      <c r="BH53" s="450">
        <v>0</v>
      </c>
      <c r="BI53" s="450">
        <f>BH53-BG53</f>
        <v>0</v>
      </c>
      <c r="BJ53" s="455">
        <f t="shared" si="116"/>
        <v>0.5</v>
      </c>
      <c r="BK53" s="456">
        <f t="shared" si="116"/>
        <v>0.5</v>
      </c>
      <c r="BL53" s="456">
        <f t="shared" si="116"/>
        <v>0.5</v>
      </c>
      <c r="BM53" s="456">
        <f>BL53-BK53</f>
        <v>0</v>
      </c>
      <c r="BN53" s="151">
        <f t="shared" si="117"/>
        <v>30.75</v>
      </c>
      <c r="BO53" s="450">
        <f t="shared" si="117"/>
        <v>30.75</v>
      </c>
      <c r="BP53" s="450">
        <f t="shared" si="117"/>
        <v>30.75</v>
      </c>
      <c r="BQ53" s="450">
        <f>BP53-BO53</f>
        <v>0</v>
      </c>
      <c r="BR53" s="457">
        <v>1.25</v>
      </c>
      <c r="BS53" s="450">
        <v>1.25</v>
      </c>
      <c r="BT53" s="450">
        <f>BR53</f>
        <v>1.25</v>
      </c>
      <c r="BU53" s="450">
        <f>BT53-BS53</f>
        <v>0</v>
      </c>
      <c r="BV53" s="458">
        <f t="shared" si="118"/>
        <v>32</v>
      </c>
      <c r="BW53" s="450">
        <f t="shared" si="118"/>
        <v>32</v>
      </c>
      <c r="BX53" s="450">
        <f t="shared" si="118"/>
        <v>32</v>
      </c>
      <c r="BY53" s="450">
        <f>BX53-BW53</f>
        <v>0</v>
      </c>
      <c r="BZ53" s="113"/>
      <c r="CA53" s="113"/>
      <c r="CB53" s="113"/>
      <c r="CC53" s="113"/>
      <c r="CD53" s="461"/>
      <c r="CE53" s="460"/>
      <c r="CF53" s="460"/>
      <c r="CG53" s="460"/>
      <c r="CH53" s="461"/>
      <c r="CI53" s="460"/>
      <c r="CJ53" s="460"/>
      <c r="CK53" s="460"/>
      <c r="CL53" s="461"/>
      <c r="CM53" s="460"/>
      <c r="CN53" s="460"/>
      <c r="CO53" s="460"/>
      <c r="CP53" s="460"/>
      <c r="CQ53" s="462"/>
    </row>
    <row r="54" spans="1:95" s="87" customFormat="1" ht="13.5" thickBot="1">
      <c r="A54" s="129" t="s">
        <v>276</v>
      </c>
      <c r="B54" s="463">
        <v>2</v>
      </c>
      <c r="C54" s="464">
        <v>2</v>
      </c>
      <c r="D54" s="464">
        <v>2</v>
      </c>
      <c r="E54" s="465">
        <f>D54-C54</f>
        <v>0</v>
      </c>
      <c r="F54" s="464">
        <v>1</v>
      </c>
      <c r="G54" s="464">
        <v>1</v>
      </c>
      <c r="H54" s="464">
        <v>1</v>
      </c>
      <c r="I54" s="464">
        <f>H54-G54</f>
        <v>0</v>
      </c>
      <c r="J54" s="464">
        <v>0</v>
      </c>
      <c r="K54" s="464">
        <v>0</v>
      </c>
      <c r="L54" s="464">
        <v>0</v>
      </c>
      <c r="M54" s="18">
        <f>L54-K54</f>
        <v>0</v>
      </c>
      <c r="N54" s="466">
        <v>1</v>
      </c>
      <c r="O54" s="464">
        <v>1</v>
      </c>
      <c r="P54" s="464">
        <v>1</v>
      </c>
      <c r="Q54" s="18">
        <f>P54-O54</f>
        <v>0</v>
      </c>
      <c r="R54" s="466">
        <v>0</v>
      </c>
      <c r="S54" s="464">
        <v>0</v>
      </c>
      <c r="T54" s="464">
        <v>0</v>
      </c>
      <c r="U54" s="18">
        <f>T54-S54</f>
        <v>0</v>
      </c>
      <c r="V54" s="466">
        <v>1</v>
      </c>
      <c r="W54" s="464">
        <v>1</v>
      </c>
      <c r="X54" s="464">
        <v>1</v>
      </c>
      <c r="Y54" s="464">
        <f>X54-W54</f>
        <v>0</v>
      </c>
      <c r="Z54" s="466">
        <v>1</v>
      </c>
      <c r="AA54" s="464">
        <v>1</v>
      </c>
      <c r="AB54" s="464">
        <v>1</v>
      </c>
      <c r="AC54" s="464">
        <f>AB54-AA54</f>
        <v>0</v>
      </c>
      <c r="AD54" s="466">
        <v>0</v>
      </c>
      <c r="AE54" s="464">
        <v>0</v>
      </c>
      <c r="AF54" s="464">
        <v>0</v>
      </c>
      <c r="AG54" s="464">
        <f>AF54-AE54</f>
        <v>0</v>
      </c>
      <c r="AH54" s="466">
        <v>0</v>
      </c>
      <c r="AI54" s="464">
        <f>AG54</f>
        <v>0</v>
      </c>
      <c r="AJ54" s="464">
        <f>AH54</f>
        <v>0</v>
      </c>
      <c r="AK54" s="464">
        <f>AJ54-AI54</f>
        <v>0</v>
      </c>
      <c r="AL54" s="466">
        <v>1</v>
      </c>
      <c r="AM54" s="464">
        <v>1</v>
      </c>
      <c r="AN54" s="464">
        <v>1</v>
      </c>
      <c r="AO54" s="464">
        <f>AN54-AM54</f>
        <v>0</v>
      </c>
      <c r="AP54" s="467">
        <f t="shared" si="115"/>
        <v>3</v>
      </c>
      <c r="AQ54" s="468">
        <f t="shared" si="115"/>
        <v>3</v>
      </c>
      <c r="AR54" s="468">
        <f t="shared" si="115"/>
        <v>3</v>
      </c>
      <c r="AS54" s="195">
        <f>AR54-AQ54</f>
        <v>0</v>
      </c>
      <c r="AT54" s="466">
        <v>0</v>
      </c>
      <c r="AU54" s="464">
        <v>0</v>
      </c>
      <c r="AV54" s="464">
        <v>0</v>
      </c>
      <c r="AW54" s="464">
        <f>AV54-AU54</f>
        <v>0</v>
      </c>
      <c r="AX54" s="466">
        <v>1</v>
      </c>
      <c r="AY54" s="464">
        <v>1</v>
      </c>
      <c r="AZ54" s="464">
        <v>1</v>
      </c>
      <c r="BA54" s="464">
        <f>AZ54-AY54</f>
        <v>0</v>
      </c>
      <c r="BB54" s="466">
        <v>0</v>
      </c>
      <c r="BC54" s="464">
        <v>0</v>
      </c>
      <c r="BD54" s="464">
        <v>0</v>
      </c>
      <c r="BE54" s="464">
        <f>BD54-BC54</f>
        <v>0</v>
      </c>
      <c r="BF54" s="466">
        <v>0</v>
      </c>
      <c r="BG54" s="464">
        <v>0</v>
      </c>
      <c r="BH54" s="464">
        <v>0</v>
      </c>
      <c r="BI54" s="464">
        <f>BH54-BG54</f>
        <v>0</v>
      </c>
      <c r="BJ54" s="469">
        <f t="shared" si="116"/>
        <v>1</v>
      </c>
      <c r="BK54" s="470">
        <f t="shared" si="116"/>
        <v>1</v>
      </c>
      <c r="BL54" s="470">
        <f t="shared" si="116"/>
        <v>1</v>
      </c>
      <c r="BM54" s="470">
        <f>BL54-BK54</f>
        <v>0</v>
      </c>
      <c r="BN54" s="152">
        <f t="shared" si="117"/>
        <v>8</v>
      </c>
      <c r="BO54" s="464">
        <f t="shared" si="117"/>
        <v>8</v>
      </c>
      <c r="BP54" s="464">
        <f t="shared" si="117"/>
        <v>8</v>
      </c>
      <c r="BQ54" s="464">
        <f>BP54-BO54</f>
        <v>0</v>
      </c>
      <c r="BR54" s="471">
        <v>0</v>
      </c>
      <c r="BS54" s="464">
        <v>0</v>
      </c>
      <c r="BT54" s="464">
        <v>0</v>
      </c>
      <c r="BU54" s="464">
        <f>BT54-BS54</f>
        <v>0</v>
      </c>
      <c r="BV54" s="472">
        <f t="shared" si="118"/>
        <v>8</v>
      </c>
      <c r="BW54" s="464">
        <f t="shared" si="118"/>
        <v>8</v>
      </c>
      <c r="BX54" s="464">
        <f t="shared" si="118"/>
        <v>8</v>
      </c>
      <c r="BY54" s="464">
        <f>BX54-BW54</f>
        <v>0</v>
      </c>
      <c r="BZ54" s="131"/>
      <c r="CA54" s="131"/>
      <c r="CB54" s="131"/>
      <c r="CC54" s="131"/>
      <c r="CD54" s="447"/>
      <c r="CE54" s="446"/>
      <c r="CF54" s="446"/>
      <c r="CG54" s="446"/>
      <c r="CH54" s="447"/>
      <c r="CI54" s="446"/>
      <c r="CJ54" s="446"/>
      <c r="CK54" s="446"/>
      <c r="CL54" s="447"/>
      <c r="CM54" s="446"/>
      <c r="CN54" s="446"/>
      <c r="CO54" s="446"/>
      <c r="CP54" s="446"/>
      <c r="CQ54" s="448"/>
    </row>
    <row r="55" spans="82:94" ht="15.75">
      <c r="CD55" s="436"/>
      <c r="CE55" s="436"/>
      <c r="CF55" s="436"/>
      <c r="CG55" s="436"/>
      <c r="CH55" s="436"/>
      <c r="CI55" s="436"/>
      <c r="CJ55" s="436"/>
      <c r="CK55" s="436"/>
      <c r="CL55" s="436"/>
      <c r="CM55" s="436"/>
      <c r="CN55" s="436"/>
      <c r="CO55" s="436"/>
      <c r="CP55" s="436"/>
    </row>
  </sheetData>
  <sheetProtection/>
  <mergeCells count="48">
    <mergeCell ref="BR28:BU28"/>
    <mergeCell ref="BV28:BY28"/>
    <mergeCell ref="BZ28:CC28"/>
    <mergeCell ref="CD28:CG28"/>
    <mergeCell ref="CH28:CK28"/>
    <mergeCell ref="CL28:CO28"/>
    <mergeCell ref="AT28:AW28"/>
    <mergeCell ref="AX28:BA28"/>
    <mergeCell ref="BB28:BE28"/>
    <mergeCell ref="BF28:BI28"/>
    <mergeCell ref="BJ28:BM28"/>
    <mergeCell ref="BN28:BQ28"/>
    <mergeCell ref="V28:Y28"/>
    <mergeCell ref="Z28:AC28"/>
    <mergeCell ref="AD28:AG28"/>
    <mergeCell ref="AH28:AK28"/>
    <mergeCell ref="AL28:AO28"/>
    <mergeCell ref="AP28:AS28"/>
    <mergeCell ref="A28:A29"/>
    <mergeCell ref="B28:E28"/>
    <mergeCell ref="F28:I28"/>
    <mergeCell ref="J28:M28"/>
    <mergeCell ref="N28:Q28"/>
    <mergeCell ref="R28:U28"/>
    <mergeCell ref="BR4:BU4"/>
    <mergeCell ref="BV4:BY4"/>
    <mergeCell ref="BZ4:CC4"/>
    <mergeCell ref="CD4:CG4"/>
    <mergeCell ref="CH4:CK4"/>
    <mergeCell ref="CL4:CO4"/>
    <mergeCell ref="AT4:AW4"/>
    <mergeCell ref="AX4:BA4"/>
    <mergeCell ref="BB4:BE4"/>
    <mergeCell ref="BF4:BI4"/>
    <mergeCell ref="BJ4:BM4"/>
    <mergeCell ref="BN4:BQ4"/>
    <mergeCell ref="V4:Y4"/>
    <mergeCell ref="Z4:AC4"/>
    <mergeCell ref="AD4:AG4"/>
    <mergeCell ref="AH4:AK4"/>
    <mergeCell ref="AL4:AO4"/>
    <mergeCell ref="AP4:AS4"/>
    <mergeCell ref="A4:A5"/>
    <mergeCell ref="B4:E4"/>
    <mergeCell ref="F4:I4"/>
    <mergeCell ref="J4:M4"/>
    <mergeCell ref="N4:Q4"/>
    <mergeCell ref="R4:U4"/>
  </mergeCells>
  <printOptions/>
  <pageMargins left="0.07874015748031496" right="0.1968503937007874" top="0" bottom="0" header="0.31496062992125984" footer="0.31496062992125984"/>
  <pageSetup fitToWidth="6" horizontalDpi="600" verticalDpi="600" orientation="landscape" paperSize="8" scale="56" r:id="rId1"/>
  <colBreaks count="3" manualBreakCount="3">
    <brk id="21" max="53" man="1"/>
    <brk id="45" max="53" man="1"/>
    <brk id="65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72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63.875" style="0" customWidth="1"/>
    <col min="3" max="3" width="14.75390625" style="0" customWidth="1"/>
    <col min="4" max="5" width="15.00390625" style="0" customWidth="1"/>
    <col min="6" max="6" width="10.875" style="0" bestFit="1" customWidth="1"/>
    <col min="7" max="7" width="5.25390625" style="0" customWidth="1"/>
  </cols>
  <sheetData>
    <row r="1" ht="13.5">
      <c r="A1" s="167" t="s">
        <v>360</v>
      </c>
    </row>
    <row r="2" spans="1:6" s="2" customFormat="1" ht="13.5">
      <c r="A2" s="576" t="s">
        <v>292</v>
      </c>
      <c r="B2" s="576"/>
      <c r="C2" s="576"/>
      <c r="D2" s="5"/>
      <c r="E2" s="5"/>
      <c r="F2" s="6"/>
    </row>
    <row r="3" spans="1:6" s="2" customFormat="1" ht="12.75">
      <c r="A3" s="5"/>
      <c r="B3" s="17"/>
      <c r="C3" s="6"/>
      <c r="D3" s="6"/>
      <c r="E3" s="6"/>
      <c r="F3" s="6"/>
    </row>
    <row r="4" spans="1:6" s="2" customFormat="1" ht="16.5" customHeight="1">
      <c r="A4" s="577" t="s">
        <v>355</v>
      </c>
      <c r="B4" s="577"/>
      <c r="C4" s="577"/>
      <c r="D4" s="577"/>
      <c r="E4" s="577"/>
      <c r="F4" s="577"/>
    </row>
    <row r="5" spans="1:6" s="2" customFormat="1" ht="45" customHeight="1">
      <c r="A5" s="1"/>
      <c r="B5" s="25"/>
      <c r="C5" s="25" t="s">
        <v>244</v>
      </c>
      <c r="D5" s="25" t="s">
        <v>312</v>
      </c>
      <c r="E5" s="25" t="s">
        <v>337</v>
      </c>
      <c r="F5" s="25" t="s">
        <v>260</v>
      </c>
    </row>
    <row r="6" spans="1:6" s="108" customFormat="1" ht="16.5" customHeight="1">
      <c r="A6" s="107" t="s">
        <v>1</v>
      </c>
      <c r="B6" s="107" t="s">
        <v>80</v>
      </c>
      <c r="C6" s="107"/>
      <c r="D6" s="107"/>
      <c r="E6" s="107"/>
      <c r="F6" s="107"/>
    </row>
    <row r="7" spans="1:6" s="93" customFormat="1" ht="16.5" customHeight="1">
      <c r="A7" s="506" t="s">
        <v>4</v>
      </c>
      <c r="B7" s="506" t="s">
        <v>241</v>
      </c>
      <c r="C7" s="507">
        <v>33000000</v>
      </c>
      <c r="D7" s="507">
        <v>33000000</v>
      </c>
      <c r="E7" s="507">
        <v>33000000</v>
      </c>
      <c r="F7" s="507">
        <f aca="true" t="shared" si="0" ref="F7:F12">E7-D7</f>
        <v>0</v>
      </c>
    </row>
    <row r="8" spans="1:6" s="57" customFormat="1" ht="16.5" customHeight="1">
      <c r="A8" s="506" t="s">
        <v>5</v>
      </c>
      <c r="B8" s="506" t="s">
        <v>188</v>
      </c>
      <c r="C8" s="507">
        <f>35200000-1760000</f>
        <v>33440000</v>
      </c>
      <c r="D8" s="507">
        <f>35200000-1760000</f>
        <v>33440000</v>
      </c>
      <c r="E8" s="507">
        <f>35200000-1760000</f>
        <v>33440000</v>
      </c>
      <c r="F8" s="508">
        <f t="shared" si="0"/>
        <v>0</v>
      </c>
    </row>
    <row r="9" spans="1:6" s="57" customFormat="1" ht="16.5" customHeight="1">
      <c r="A9" s="506" t="s">
        <v>6</v>
      </c>
      <c r="B9" s="506" t="s">
        <v>187</v>
      </c>
      <c r="C9" s="507">
        <v>56700824</v>
      </c>
      <c r="D9" s="507">
        <v>56700824</v>
      </c>
      <c r="E9" s="507">
        <v>56700824</v>
      </c>
      <c r="F9" s="508">
        <f t="shared" si="0"/>
        <v>0</v>
      </c>
    </row>
    <row r="10" spans="1:6" s="57" customFormat="1" ht="16.5" customHeight="1">
      <c r="A10" s="506" t="s">
        <v>7</v>
      </c>
      <c r="B10" s="506" t="s">
        <v>213</v>
      </c>
      <c r="C10" s="507">
        <f>45609738+7500000+4500000+4800000+1790065</f>
        <v>64199803</v>
      </c>
      <c r="D10" s="507">
        <f>45609738+7500000+4500000+4800000+1790065-10000000-11987454</f>
        <v>42212349</v>
      </c>
      <c r="E10" s="507">
        <f>45609738+7500000+4500000+4800000+1790065-10000000-11987454</f>
        <v>42212349</v>
      </c>
      <c r="F10" s="508">
        <f t="shared" si="0"/>
        <v>0</v>
      </c>
    </row>
    <row r="11" spans="1:6" s="57" customFormat="1" ht="16.5" customHeight="1">
      <c r="A11" s="506" t="s">
        <v>8</v>
      </c>
      <c r="B11" s="506" t="s">
        <v>157</v>
      </c>
      <c r="C11" s="507">
        <v>18000000</v>
      </c>
      <c r="D11" s="507">
        <v>18000000</v>
      </c>
      <c r="E11" s="507">
        <v>18000000</v>
      </c>
      <c r="F11" s="508">
        <f t="shared" si="0"/>
        <v>0</v>
      </c>
    </row>
    <row r="12" spans="2:6" s="56" customFormat="1" ht="16.5" customHeight="1">
      <c r="B12" s="56" t="s">
        <v>3</v>
      </c>
      <c r="C12" s="92">
        <f>SUM(C7:C11)</f>
        <v>205340627</v>
      </c>
      <c r="D12" s="92">
        <f>SUM(D7:D11)</f>
        <v>183353173</v>
      </c>
      <c r="E12" s="92">
        <f>SUM(E7:E11)</f>
        <v>183353173</v>
      </c>
      <c r="F12" s="110">
        <f t="shared" si="0"/>
        <v>0</v>
      </c>
    </row>
    <row r="13" spans="3:6" s="93" customFormat="1" ht="16.5" customHeight="1">
      <c r="C13" s="105"/>
      <c r="D13" s="105"/>
      <c r="E13" s="105"/>
      <c r="F13" s="111"/>
    </row>
    <row r="14" spans="1:6" s="56" customFormat="1" ht="16.5" customHeight="1">
      <c r="A14" s="56" t="s">
        <v>9</v>
      </c>
      <c r="B14" s="107" t="s">
        <v>81</v>
      </c>
      <c r="C14" s="92"/>
      <c r="D14" s="92"/>
      <c r="E14" s="92"/>
      <c r="F14" s="92"/>
    </row>
    <row r="15" spans="1:6" s="93" customFormat="1" ht="16.5" customHeight="1">
      <c r="A15" s="506" t="s">
        <v>4</v>
      </c>
      <c r="B15" s="506" t="s">
        <v>227</v>
      </c>
      <c r="C15" s="507">
        <v>72045</v>
      </c>
      <c r="D15" s="507">
        <v>72045</v>
      </c>
      <c r="E15" s="507">
        <v>72045</v>
      </c>
      <c r="F15" s="508">
        <f aca="true" t="shared" si="1" ref="F15:F30">E15-D15</f>
        <v>0</v>
      </c>
    </row>
    <row r="16" spans="1:6" s="93" customFormat="1" ht="16.5" customHeight="1">
      <c r="A16" s="506" t="s">
        <v>5</v>
      </c>
      <c r="B16" s="506" t="s">
        <v>228</v>
      </c>
      <c r="C16" s="507">
        <v>48030</v>
      </c>
      <c r="D16" s="507">
        <v>48030</v>
      </c>
      <c r="E16" s="507">
        <v>48030</v>
      </c>
      <c r="F16" s="508">
        <f t="shared" si="1"/>
        <v>0</v>
      </c>
    </row>
    <row r="17" spans="1:6" s="93" customFormat="1" ht="16.5" customHeight="1">
      <c r="A17" s="139" t="s">
        <v>6</v>
      </c>
      <c r="B17" s="139" t="s">
        <v>245</v>
      </c>
      <c r="C17" s="138">
        <v>0</v>
      </c>
      <c r="D17" s="138">
        <v>85750000</v>
      </c>
      <c r="E17" s="138">
        <v>85750000</v>
      </c>
      <c r="F17" s="479">
        <f t="shared" si="1"/>
        <v>0</v>
      </c>
    </row>
    <row r="18" spans="1:6" s="93" customFormat="1" ht="16.5" customHeight="1">
      <c r="A18" s="139" t="s">
        <v>7</v>
      </c>
      <c r="B18" s="139" t="s">
        <v>150</v>
      </c>
      <c r="C18" s="138">
        <v>41600000</v>
      </c>
      <c r="D18" s="138">
        <f>41600000+20314443</f>
        <v>61914443</v>
      </c>
      <c r="E18" s="138">
        <f>41600000+20314443</f>
        <v>61914443</v>
      </c>
      <c r="F18" s="479">
        <f t="shared" si="1"/>
        <v>0</v>
      </c>
    </row>
    <row r="19" spans="1:6" s="93" customFormat="1" ht="16.5" customHeight="1">
      <c r="A19" s="139" t="s">
        <v>8</v>
      </c>
      <c r="B19" s="139" t="s">
        <v>290</v>
      </c>
      <c r="C19" s="138">
        <v>0</v>
      </c>
      <c r="D19" s="138">
        <v>10551000</v>
      </c>
      <c r="E19" s="138">
        <v>10551000</v>
      </c>
      <c r="F19" s="479">
        <f t="shared" si="1"/>
        <v>0</v>
      </c>
    </row>
    <row r="20" spans="1:6" s="93" customFormat="1" ht="16.5" customHeight="1">
      <c r="A20" s="139" t="s">
        <v>18</v>
      </c>
      <c r="B20" s="139" t="s">
        <v>291</v>
      </c>
      <c r="C20" s="138">
        <v>0</v>
      </c>
      <c r="D20" s="138">
        <v>20000000</v>
      </c>
      <c r="E20" s="138">
        <v>19500000</v>
      </c>
      <c r="F20" s="479">
        <f t="shared" si="1"/>
        <v>-500000</v>
      </c>
    </row>
    <row r="21" spans="1:6" s="93" customFormat="1" ht="16.5" customHeight="1">
      <c r="A21" s="139" t="s">
        <v>19</v>
      </c>
      <c r="B21" s="139" t="s">
        <v>345</v>
      </c>
      <c r="C21" s="138">
        <v>0</v>
      </c>
      <c r="D21" s="138">
        <v>0</v>
      </c>
      <c r="E21" s="138">
        <v>0</v>
      </c>
      <c r="F21" s="479">
        <f t="shared" si="1"/>
        <v>0</v>
      </c>
    </row>
    <row r="22" spans="1:6" s="93" customFormat="1" ht="16.5" customHeight="1">
      <c r="A22" s="139" t="s">
        <v>21</v>
      </c>
      <c r="B22" s="139" t="s">
        <v>346</v>
      </c>
      <c r="C22" s="138">
        <v>0</v>
      </c>
      <c r="D22" s="138">
        <v>0</v>
      </c>
      <c r="E22" s="138">
        <v>10000000</v>
      </c>
      <c r="F22" s="479">
        <f t="shared" si="1"/>
        <v>10000000</v>
      </c>
    </row>
    <row r="23" spans="1:6" s="93" customFormat="1" ht="16.5" customHeight="1">
      <c r="A23" s="139" t="s">
        <v>327</v>
      </c>
      <c r="B23" s="139" t="s">
        <v>347</v>
      </c>
      <c r="C23" s="138">
        <v>0</v>
      </c>
      <c r="D23" s="138">
        <v>0</v>
      </c>
      <c r="E23" s="138">
        <v>7495313</v>
      </c>
      <c r="F23" s="479">
        <f t="shared" si="1"/>
        <v>7495313</v>
      </c>
    </row>
    <row r="24" spans="1:6" s="93" customFormat="1" ht="16.5" customHeight="1">
      <c r="A24" s="506" t="s">
        <v>329</v>
      </c>
      <c r="B24" s="506" t="s">
        <v>325</v>
      </c>
      <c r="C24" s="507">
        <v>0</v>
      </c>
      <c r="D24" s="507">
        <v>30000000</v>
      </c>
      <c r="E24" s="507">
        <v>30000000</v>
      </c>
      <c r="F24" s="508">
        <f t="shared" si="1"/>
        <v>0</v>
      </c>
    </row>
    <row r="25" spans="1:6" s="93" customFormat="1" ht="16.5" customHeight="1">
      <c r="A25" s="506" t="s">
        <v>331</v>
      </c>
      <c r="B25" s="506" t="s">
        <v>326</v>
      </c>
      <c r="C25" s="507">
        <v>0</v>
      </c>
      <c r="D25" s="507">
        <v>400000</v>
      </c>
      <c r="E25" s="507">
        <v>400000</v>
      </c>
      <c r="F25" s="508">
        <f t="shared" si="1"/>
        <v>0</v>
      </c>
    </row>
    <row r="26" spans="1:6" s="93" customFormat="1" ht="16.5" customHeight="1">
      <c r="A26" s="506" t="s">
        <v>348</v>
      </c>
      <c r="B26" s="506" t="s">
        <v>328</v>
      </c>
      <c r="C26" s="507">
        <v>0</v>
      </c>
      <c r="D26" s="507">
        <v>3000000</v>
      </c>
      <c r="E26" s="507">
        <v>3000000</v>
      </c>
      <c r="F26" s="508">
        <f t="shared" si="1"/>
        <v>0</v>
      </c>
    </row>
    <row r="27" spans="1:6" s="93" customFormat="1" ht="16.5" customHeight="1">
      <c r="A27" s="506" t="s">
        <v>349</v>
      </c>
      <c r="B27" s="506" t="s">
        <v>330</v>
      </c>
      <c r="C27" s="507">
        <v>0</v>
      </c>
      <c r="D27" s="507">
        <v>150000</v>
      </c>
      <c r="E27" s="507">
        <v>150000</v>
      </c>
      <c r="F27" s="508">
        <f t="shared" si="1"/>
        <v>0</v>
      </c>
    </row>
    <row r="28" spans="1:6" s="93" customFormat="1" ht="16.5" customHeight="1">
      <c r="A28" s="506" t="s">
        <v>350</v>
      </c>
      <c r="B28" s="506" t="s">
        <v>332</v>
      </c>
      <c r="C28" s="507">
        <v>0</v>
      </c>
      <c r="D28" s="507">
        <v>32478274</v>
      </c>
      <c r="E28" s="507">
        <v>32478274</v>
      </c>
      <c r="F28" s="508">
        <f t="shared" si="1"/>
        <v>0</v>
      </c>
    </row>
    <row r="29" spans="1:6" s="93" customFormat="1" ht="16.5" customHeight="1">
      <c r="A29" s="506" t="s">
        <v>351</v>
      </c>
      <c r="B29" s="506" t="s">
        <v>352</v>
      </c>
      <c r="C29" s="507">
        <v>0</v>
      </c>
      <c r="D29" s="507">
        <v>0</v>
      </c>
      <c r="E29" s="507">
        <v>2500000</v>
      </c>
      <c r="F29" s="508">
        <f t="shared" si="1"/>
        <v>2500000</v>
      </c>
    </row>
    <row r="30" spans="2:6" s="56" customFormat="1" ht="16.5" customHeight="1">
      <c r="B30" s="56" t="s">
        <v>3</v>
      </c>
      <c r="C30" s="92">
        <f>SUM(C15:C29)</f>
        <v>41720075</v>
      </c>
      <c r="D30" s="92">
        <f>SUM(D15:D29)</f>
        <v>244363792</v>
      </c>
      <c r="E30" s="92">
        <f>SUM(E15:E29)</f>
        <v>263859105</v>
      </c>
      <c r="F30" s="110">
        <f t="shared" si="1"/>
        <v>19495313</v>
      </c>
    </row>
    <row r="31" spans="2:6" s="93" customFormat="1" ht="16.5" customHeight="1">
      <c r="B31" s="108"/>
      <c r="C31" s="105"/>
      <c r="D31" s="105"/>
      <c r="E31" s="105"/>
      <c r="F31" s="105"/>
    </row>
    <row r="32" spans="1:6" s="56" customFormat="1" ht="16.5" customHeight="1">
      <c r="A32" s="56" t="s">
        <v>10</v>
      </c>
      <c r="B32" s="107" t="s">
        <v>59</v>
      </c>
      <c r="C32" s="92"/>
      <c r="D32" s="92"/>
      <c r="E32" s="92"/>
      <c r="F32" s="92"/>
    </row>
    <row r="33" spans="1:6" s="56" customFormat="1" ht="16.5" customHeight="1">
      <c r="A33" s="57" t="s">
        <v>4</v>
      </c>
      <c r="B33" s="99" t="s">
        <v>83</v>
      </c>
      <c r="C33" s="92"/>
      <c r="D33" s="92"/>
      <c r="E33" s="92"/>
      <c r="F33" s="92"/>
    </row>
    <row r="34" spans="1:6" s="93" customFormat="1" ht="16.5" customHeight="1">
      <c r="A34" s="506" t="s">
        <v>4</v>
      </c>
      <c r="B34" s="506" t="s">
        <v>60</v>
      </c>
      <c r="C34" s="507">
        <v>7687716</v>
      </c>
      <c r="D34" s="507">
        <v>7687716</v>
      </c>
      <c r="E34" s="507">
        <v>7687716</v>
      </c>
      <c r="F34" s="507">
        <f aca="true" t="shared" si="2" ref="F34:F39">E34-D34</f>
        <v>0</v>
      </c>
    </row>
    <row r="35" spans="1:6" s="104" customFormat="1" ht="16.5" customHeight="1">
      <c r="A35" s="139" t="s">
        <v>5</v>
      </c>
      <c r="B35" s="139" t="s">
        <v>11</v>
      </c>
      <c r="C35" s="138">
        <v>100448</v>
      </c>
      <c r="D35" s="138">
        <v>100448</v>
      </c>
      <c r="E35" s="138">
        <v>100448</v>
      </c>
      <c r="F35" s="156">
        <f t="shared" si="2"/>
        <v>0</v>
      </c>
    </row>
    <row r="36" spans="1:6" s="93" customFormat="1" ht="16.5" customHeight="1">
      <c r="A36" s="139" t="s">
        <v>6</v>
      </c>
      <c r="B36" s="139" t="s">
        <v>212</v>
      </c>
      <c r="C36" s="138">
        <v>3862557</v>
      </c>
      <c r="D36" s="138">
        <v>3862557</v>
      </c>
      <c r="E36" s="138">
        <v>3862557</v>
      </c>
      <c r="F36" s="156">
        <f t="shared" si="2"/>
        <v>0</v>
      </c>
    </row>
    <row r="37" spans="1:6" s="93" customFormat="1" ht="16.5" customHeight="1">
      <c r="A37" s="139" t="s">
        <v>7</v>
      </c>
      <c r="B37" s="139" t="s">
        <v>12</v>
      </c>
      <c r="C37" s="138">
        <v>1165207</v>
      </c>
      <c r="D37" s="138">
        <v>1165207</v>
      </c>
      <c r="E37" s="138">
        <v>1165207</v>
      </c>
      <c r="F37" s="156">
        <f t="shared" si="2"/>
        <v>0</v>
      </c>
    </row>
    <row r="38" spans="1:6" s="93" customFormat="1" ht="16.5" customHeight="1">
      <c r="A38" s="506" t="s">
        <v>8</v>
      </c>
      <c r="B38" s="506" t="s">
        <v>333</v>
      </c>
      <c r="C38" s="507">
        <v>0</v>
      </c>
      <c r="D38" s="507">
        <v>861000</v>
      </c>
      <c r="E38" s="507">
        <v>889000</v>
      </c>
      <c r="F38" s="507">
        <f t="shared" si="2"/>
        <v>28000</v>
      </c>
    </row>
    <row r="39" spans="2:6" s="56" customFormat="1" ht="16.5" customHeight="1">
      <c r="B39" s="99" t="s">
        <v>3</v>
      </c>
      <c r="C39" s="97">
        <f>SUM(C34:C38)</f>
        <v>12815928</v>
      </c>
      <c r="D39" s="97">
        <f>SUM(D34:D38)</f>
        <v>13676928</v>
      </c>
      <c r="E39" s="97">
        <f>SUM(E34:E38)</f>
        <v>13704928</v>
      </c>
      <c r="F39" s="92">
        <f t="shared" si="2"/>
        <v>28000</v>
      </c>
    </row>
    <row r="40" spans="1:6" s="56" customFormat="1" ht="16.5" customHeight="1">
      <c r="A40" s="57" t="s">
        <v>5</v>
      </c>
      <c r="B40" s="99" t="s">
        <v>82</v>
      </c>
      <c r="C40" s="92"/>
      <c r="D40" s="92"/>
      <c r="E40" s="92"/>
      <c r="F40" s="92"/>
    </row>
    <row r="41" spans="1:6" s="93" customFormat="1" ht="16.5" customHeight="1">
      <c r="A41" s="506" t="s">
        <v>4</v>
      </c>
      <c r="B41" s="506" t="s">
        <v>230</v>
      </c>
      <c r="C41" s="507">
        <v>1478431</v>
      </c>
      <c r="D41" s="507">
        <v>1478431</v>
      </c>
      <c r="E41" s="507">
        <v>1478431</v>
      </c>
      <c r="F41" s="508">
        <f>E41-D41</f>
        <v>0</v>
      </c>
    </row>
    <row r="42" spans="1:6" s="93" customFormat="1" ht="16.5" customHeight="1">
      <c r="A42" s="506" t="s">
        <v>5</v>
      </c>
      <c r="B42" s="506"/>
      <c r="C42" s="507"/>
      <c r="D42" s="507"/>
      <c r="E42" s="507"/>
      <c r="F42" s="508"/>
    </row>
    <row r="43" spans="2:6" s="56" customFormat="1" ht="16.5" customHeight="1">
      <c r="B43" s="57" t="s">
        <v>3</v>
      </c>
      <c r="C43" s="97">
        <f>SUM(C41:C42)</f>
        <v>1478431</v>
      </c>
      <c r="D43" s="97">
        <f>SUM(D41:D42)</f>
        <v>1478431</v>
      </c>
      <c r="E43" s="97">
        <f>SUM(E41:E42)</f>
        <v>1478431</v>
      </c>
      <c r="F43" s="110">
        <f>E43-D43</f>
        <v>0</v>
      </c>
    </row>
    <row r="44" spans="2:6" s="56" customFormat="1" ht="16.5" customHeight="1">
      <c r="B44" s="56" t="s">
        <v>3</v>
      </c>
      <c r="C44" s="92">
        <f>C39+C43</f>
        <v>14294359</v>
      </c>
      <c r="D44" s="92">
        <f>D39+D43</f>
        <v>15155359</v>
      </c>
      <c r="E44" s="92">
        <f>E39+E43</f>
        <v>15183359</v>
      </c>
      <c r="F44" s="110">
        <f>E44-D44</f>
        <v>28000</v>
      </c>
    </row>
    <row r="45" spans="2:6" s="56" customFormat="1" ht="16.5" customHeight="1">
      <c r="B45" s="107"/>
      <c r="C45" s="92"/>
      <c r="D45" s="92"/>
      <c r="E45" s="92"/>
      <c r="F45" s="92"/>
    </row>
    <row r="46" spans="2:6" s="56" customFormat="1" ht="28.5" customHeight="1">
      <c r="B46" s="91" t="s">
        <v>84</v>
      </c>
      <c r="C46" s="92">
        <f>C12+C30+C44</f>
        <v>261355061</v>
      </c>
      <c r="D46" s="92">
        <f>D12+D30+D44</f>
        <v>442872324</v>
      </c>
      <c r="E46" s="92">
        <f>E12+E30+E44</f>
        <v>462395637</v>
      </c>
      <c r="F46" s="110">
        <f>E46-D46</f>
        <v>19523313</v>
      </c>
    </row>
    <row r="47" spans="1:6" s="56" customFormat="1" ht="16.5" customHeight="1">
      <c r="A47" s="56" t="s">
        <v>13</v>
      </c>
      <c r="B47" s="107" t="s">
        <v>85</v>
      </c>
      <c r="C47" s="92"/>
      <c r="D47" s="92"/>
      <c r="E47" s="92"/>
      <c r="F47" s="92"/>
    </row>
    <row r="48" spans="1:6" s="104" customFormat="1" ht="16.5" customHeight="1">
      <c r="A48" s="506">
        <v>1</v>
      </c>
      <c r="B48" s="506" t="s">
        <v>142</v>
      </c>
      <c r="C48" s="507">
        <v>5335793</v>
      </c>
      <c r="D48" s="507">
        <v>5335793</v>
      </c>
      <c r="E48" s="507">
        <v>5335793</v>
      </c>
      <c r="F48" s="508">
        <f aca="true" t="shared" si="3" ref="F48:F62">E48-D48</f>
        <v>0</v>
      </c>
    </row>
    <row r="49" spans="1:6" s="104" customFormat="1" ht="16.5" customHeight="1">
      <c r="A49" s="506">
        <v>2</v>
      </c>
      <c r="B49" s="506" t="s">
        <v>240</v>
      </c>
      <c r="C49" s="507">
        <f>11022089-1379435</f>
        <v>9642654</v>
      </c>
      <c r="D49" s="507">
        <f>11022089-1379435-1676400+419581</f>
        <v>8385835</v>
      </c>
      <c r="E49" s="507">
        <f>11022089-1379435-1676400+419581</f>
        <v>8385835</v>
      </c>
      <c r="F49" s="508">
        <f t="shared" si="3"/>
        <v>0</v>
      </c>
    </row>
    <row r="50" spans="1:6" s="104" customFormat="1" ht="16.5" customHeight="1">
      <c r="A50" s="506">
        <v>3</v>
      </c>
      <c r="B50" s="506" t="s">
        <v>218</v>
      </c>
      <c r="C50" s="507">
        <f>11503990-2500000</f>
        <v>9003990</v>
      </c>
      <c r="D50" s="507">
        <f>11503990-2500000</f>
        <v>9003990</v>
      </c>
      <c r="E50" s="507">
        <f>11503990-2500000</f>
        <v>9003990</v>
      </c>
      <c r="F50" s="508">
        <f t="shared" si="3"/>
        <v>0</v>
      </c>
    </row>
    <row r="51" spans="1:6" s="104" customFormat="1" ht="16.5" customHeight="1">
      <c r="A51" s="155">
        <v>4</v>
      </c>
      <c r="B51" s="155" t="s">
        <v>208</v>
      </c>
      <c r="C51" s="156">
        <v>72619772</v>
      </c>
      <c r="D51" s="156">
        <v>72619772</v>
      </c>
      <c r="E51" s="156">
        <v>72619772</v>
      </c>
      <c r="F51" s="479">
        <f t="shared" si="3"/>
        <v>0</v>
      </c>
    </row>
    <row r="52" spans="1:6" s="104" customFormat="1" ht="16.5" customHeight="1">
      <c r="A52" s="506">
        <v>5</v>
      </c>
      <c r="B52" s="506" t="s">
        <v>209</v>
      </c>
      <c r="C52" s="507">
        <v>14000000</v>
      </c>
      <c r="D52" s="507">
        <v>14000000</v>
      </c>
      <c r="E52" s="507">
        <v>14000000</v>
      </c>
      <c r="F52" s="508">
        <f t="shared" si="3"/>
        <v>0</v>
      </c>
    </row>
    <row r="53" spans="1:6" s="104" customFormat="1" ht="16.5" customHeight="1">
      <c r="A53" s="506">
        <v>6</v>
      </c>
      <c r="B53" s="506" t="s">
        <v>192</v>
      </c>
      <c r="C53" s="507">
        <v>285303085</v>
      </c>
      <c r="D53" s="507">
        <v>285303085</v>
      </c>
      <c r="E53" s="507">
        <v>285303085</v>
      </c>
      <c r="F53" s="508">
        <f t="shared" si="3"/>
        <v>0</v>
      </c>
    </row>
    <row r="54" spans="1:6" s="104" customFormat="1" ht="16.5" customHeight="1">
      <c r="A54" s="506">
        <v>7</v>
      </c>
      <c r="B54" s="506" t="s">
        <v>193</v>
      </c>
      <c r="C54" s="507">
        <f>137437852-2917000</f>
        <v>134520852</v>
      </c>
      <c r="D54" s="507">
        <f>137437852-2917000</f>
        <v>134520852</v>
      </c>
      <c r="E54" s="507">
        <f>137437852-2917000</f>
        <v>134520852</v>
      </c>
      <c r="F54" s="508">
        <f t="shared" si="3"/>
        <v>0</v>
      </c>
    </row>
    <row r="55" spans="1:6" s="104" customFormat="1" ht="16.5" customHeight="1">
      <c r="A55" s="506">
        <v>8</v>
      </c>
      <c r="B55" s="506" t="s">
        <v>194</v>
      </c>
      <c r="C55" s="507">
        <v>276033587</v>
      </c>
      <c r="D55" s="507">
        <v>276033587</v>
      </c>
      <c r="E55" s="507">
        <v>276033587</v>
      </c>
      <c r="F55" s="508">
        <f t="shared" si="3"/>
        <v>0</v>
      </c>
    </row>
    <row r="56" spans="1:6" s="104" customFormat="1" ht="16.5" customHeight="1">
      <c r="A56" s="506">
        <v>9</v>
      </c>
      <c r="B56" s="506" t="s">
        <v>195</v>
      </c>
      <c r="C56" s="507">
        <v>5795748</v>
      </c>
      <c r="D56" s="507">
        <v>5795748</v>
      </c>
      <c r="E56" s="507">
        <v>5795748</v>
      </c>
      <c r="F56" s="508">
        <f t="shared" si="3"/>
        <v>0</v>
      </c>
    </row>
    <row r="57" spans="1:6" s="104" customFormat="1" ht="16.5" customHeight="1">
      <c r="A57" s="506">
        <v>10</v>
      </c>
      <c r="B57" s="506" t="s">
        <v>196</v>
      </c>
      <c r="C57" s="507">
        <v>98529302</v>
      </c>
      <c r="D57" s="507">
        <v>98529302</v>
      </c>
      <c r="E57" s="507">
        <v>98529302</v>
      </c>
      <c r="F57" s="508">
        <f t="shared" si="3"/>
        <v>0</v>
      </c>
    </row>
    <row r="58" spans="1:6" s="104" customFormat="1" ht="16.5" customHeight="1">
      <c r="A58" s="506">
        <v>11</v>
      </c>
      <c r="B58" s="506" t="s">
        <v>197</v>
      </c>
      <c r="C58" s="507">
        <f>81319020-1385400</f>
        <v>79933620</v>
      </c>
      <c r="D58" s="507">
        <f>81319020-1385400</f>
        <v>79933620</v>
      </c>
      <c r="E58" s="507">
        <f>81319020-1385400</f>
        <v>79933620</v>
      </c>
      <c r="F58" s="508">
        <f t="shared" si="3"/>
        <v>0</v>
      </c>
    </row>
    <row r="59" spans="1:6" s="104" customFormat="1" ht="16.5" customHeight="1">
      <c r="A59" s="506">
        <v>12</v>
      </c>
      <c r="B59" s="506" t="s">
        <v>198</v>
      </c>
      <c r="C59" s="507">
        <f>55918496-715000</f>
        <v>55203496</v>
      </c>
      <c r="D59" s="507">
        <f>55918496-715000</f>
        <v>55203496</v>
      </c>
      <c r="E59" s="507">
        <f>55918496-715000</f>
        <v>55203496</v>
      </c>
      <c r="F59" s="508">
        <f t="shared" si="3"/>
        <v>0</v>
      </c>
    </row>
    <row r="60" spans="1:6" s="104" customFormat="1" ht="16.5" customHeight="1">
      <c r="A60" s="506">
        <v>13</v>
      </c>
      <c r="B60" s="506" t="s">
        <v>199</v>
      </c>
      <c r="C60" s="507">
        <v>9689915</v>
      </c>
      <c r="D60" s="507">
        <v>9689915</v>
      </c>
      <c r="E60" s="507">
        <v>9689915</v>
      </c>
      <c r="F60" s="508">
        <f t="shared" si="3"/>
        <v>0</v>
      </c>
    </row>
    <row r="61" spans="1:6" s="104" customFormat="1" ht="16.5" customHeight="1">
      <c r="A61" s="506">
        <v>14</v>
      </c>
      <c r="B61" s="509" t="s">
        <v>210</v>
      </c>
      <c r="C61" s="507">
        <v>85119976</v>
      </c>
      <c r="D61" s="507">
        <v>85119976</v>
      </c>
      <c r="E61" s="507">
        <v>85119976</v>
      </c>
      <c r="F61" s="508">
        <f t="shared" si="3"/>
        <v>0</v>
      </c>
    </row>
    <row r="62" spans="2:6" s="56" customFormat="1" ht="16.5" customHeight="1">
      <c r="B62" s="99" t="s">
        <v>3</v>
      </c>
      <c r="C62" s="97">
        <f>SUM(C48:C61)</f>
        <v>1140731790</v>
      </c>
      <c r="D62" s="97">
        <f>SUM(D48:D61)</f>
        <v>1139474971</v>
      </c>
      <c r="E62" s="97">
        <f>SUM(E48:E61)</f>
        <v>1139474971</v>
      </c>
      <c r="F62" s="92">
        <f t="shared" si="3"/>
        <v>0</v>
      </c>
    </row>
    <row r="63" spans="3:6" s="93" customFormat="1" ht="16.5" customHeight="1">
      <c r="C63" s="111"/>
      <c r="D63" s="111"/>
      <c r="E63" s="111"/>
      <c r="F63" s="111"/>
    </row>
    <row r="64" spans="2:6" s="56" customFormat="1" ht="16.5" customHeight="1">
      <c r="B64" s="107" t="s">
        <v>86</v>
      </c>
      <c r="C64" s="92">
        <f>C62</f>
        <v>1140731790</v>
      </c>
      <c r="D64" s="92">
        <f>D62</f>
        <v>1139474971</v>
      </c>
      <c r="E64" s="92">
        <f>E62</f>
        <v>1139474971</v>
      </c>
      <c r="F64" s="92">
        <f>E64-D64</f>
        <v>0</v>
      </c>
    </row>
    <row r="65" spans="2:6" s="56" customFormat="1" ht="16.5" customHeight="1">
      <c r="B65" s="107"/>
      <c r="C65" s="92"/>
      <c r="D65" s="92"/>
      <c r="E65" s="92"/>
      <c r="F65" s="92"/>
    </row>
    <row r="66" spans="2:6" s="93" customFormat="1" ht="16.5" customHeight="1">
      <c r="B66" s="56" t="s">
        <v>14</v>
      </c>
      <c r="C66" s="110">
        <f>C46+C64</f>
        <v>1402086851</v>
      </c>
      <c r="D66" s="110">
        <f>D46+D64</f>
        <v>1582347295</v>
      </c>
      <c r="E66" s="110">
        <f>E46+E64</f>
        <v>1601870608</v>
      </c>
      <c r="F66" s="111">
        <f>E66-D66</f>
        <v>19523313</v>
      </c>
    </row>
    <row r="67" spans="2:6" s="93" customFormat="1" ht="16.5" customHeight="1">
      <c r="B67" s="56" t="s">
        <v>45</v>
      </c>
      <c r="C67" s="111"/>
      <c r="D67" s="111"/>
      <c r="E67" s="111"/>
      <c r="F67" s="111"/>
    </row>
    <row r="68" spans="2:6" s="93" customFormat="1" ht="16.5" customHeight="1">
      <c r="B68" s="510" t="s">
        <v>46</v>
      </c>
      <c r="C68" s="508">
        <f>C66-C69</f>
        <v>1282738867</v>
      </c>
      <c r="D68" s="508">
        <f>D66-D69</f>
        <v>1326383868</v>
      </c>
      <c r="E68" s="508">
        <f>E66-E69</f>
        <v>1328911868</v>
      </c>
      <c r="F68" s="508">
        <f>E68-D68</f>
        <v>2528000</v>
      </c>
    </row>
    <row r="69" spans="2:7" s="93" customFormat="1" ht="16.5" customHeight="1">
      <c r="B69" s="143" t="s">
        <v>44</v>
      </c>
      <c r="C69" s="142">
        <f>C37+C36+C35+C17+C51+C18+C19+C23+C20+C21+C22</f>
        <v>119347984</v>
      </c>
      <c r="D69" s="142">
        <f>D37+D36+D35+D17+D51+D18+D19+D23+D20+D21+D22</f>
        <v>255963427</v>
      </c>
      <c r="E69" s="142">
        <f>E37+E36+E35+E17+E51+E18+E19+E23+E20+E21+E22</f>
        <v>272958740</v>
      </c>
      <c r="F69" s="479">
        <f>E69-D69</f>
        <v>16995313</v>
      </c>
      <c r="G69" s="93" t="s">
        <v>262</v>
      </c>
    </row>
    <row r="70" spans="3:6" s="93" customFormat="1" ht="12.75">
      <c r="C70" s="111"/>
      <c r="D70" s="111"/>
      <c r="E70" s="111"/>
      <c r="F70" s="111"/>
    </row>
    <row r="72" spans="3:5" ht="12.75">
      <c r="C72" s="136"/>
      <c r="D72" s="136"/>
      <c r="E72" s="136"/>
    </row>
  </sheetData>
  <sheetProtection/>
  <mergeCells count="2">
    <mergeCell ref="A2:C2"/>
    <mergeCell ref="A4:F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125" style="0" bestFit="1" customWidth="1"/>
    <col min="2" max="2" width="66.125" style="0" customWidth="1"/>
    <col min="3" max="3" width="15.25390625" style="0" customWidth="1"/>
    <col min="4" max="5" width="15.625" style="0" customWidth="1"/>
    <col min="6" max="6" width="10.875" style="0" bestFit="1" customWidth="1"/>
    <col min="7" max="7" width="5.625" style="0" customWidth="1"/>
  </cols>
  <sheetData>
    <row r="1" ht="13.5">
      <c r="A1" s="167" t="s">
        <v>356</v>
      </c>
    </row>
    <row r="2" spans="1:3" s="2" customFormat="1" ht="13.5" customHeight="1">
      <c r="A2" s="576" t="s">
        <v>264</v>
      </c>
      <c r="B2" s="576"/>
      <c r="C2" s="576"/>
    </row>
    <row r="3" spans="1:6" s="2" customFormat="1" ht="15" customHeight="1">
      <c r="A3" s="577" t="s">
        <v>177</v>
      </c>
      <c r="B3" s="577"/>
      <c r="C3" s="577"/>
      <c r="D3" s="577"/>
      <c r="E3" s="577"/>
      <c r="F3" s="577"/>
    </row>
    <row r="4" spans="1:6" s="2" customFormat="1" ht="48" customHeight="1">
      <c r="A4" s="1"/>
      <c r="B4" s="1"/>
      <c r="C4" s="166" t="s">
        <v>244</v>
      </c>
      <c r="D4" s="166" t="s">
        <v>312</v>
      </c>
      <c r="E4" s="166" t="s">
        <v>337</v>
      </c>
      <c r="F4" s="166" t="s">
        <v>257</v>
      </c>
    </row>
    <row r="5" spans="1:6" s="93" customFormat="1" ht="13.5" customHeight="1">
      <c r="A5" s="56" t="s">
        <v>1</v>
      </c>
      <c r="B5" s="91" t="s">
        <v>70</v>
      </c>
      <c r="C5" s="92"/>
      <c r="D5" s="92"/>
      <c r="E5" s="92"/>
      <c r="F5" s="105"/>
    </row>
    <row r="6" spans="1:6" s="95" customFormat="1" ht="16.5" customHeight="1">
      <c r="A6" s="493">
        <v>1</v>
      </c>
      <c r="B6" s="494" t="s">
        <v>22</v>
      </c>
      <c r="C6" s="495">
        <v>6000000</v>
      </c>
      <c r="D6" s="495">
        <v>5825000</v>
      </c>
      <c r="E6" s="495">
        <v>5825000</v>
      </c>
      <c r="F6" s="154">
        <f aca="true" t="shared" si="0" ref="F6:F37">E6-D6</f>
        <v>0</v>
      </c>
    </row>
    <row r="7" spans="1:6" s="95" customFormat="1" ht="16.5" customHeight="1">
      <c r="A7" s="493">
        <v>2</v>
      </c>
      <c r="B7" s="494" t="s">
        <v>20</v>
      </c>
      <c r="C7" s="495">
        <f>5000000+707390</f>
        <v>5707390</v>
      </c>
      <c r="D7" s="495">
        <f>5000000+707390-2866390</f>
        <v>2841000</v>
      </c>
      <c r="E7" s="495">
        <f>5000000+707390-2866390</f>
        <v>2841000</v>
      </c>
      <c r="F7" s="154">
        <f t="shared" si="0"/>
        <v>0</v>
      </c>
    </row>
    <row r="8" spans="1:6" s="95" customFormat="1" ht="16.5" customHeight="1">
      <c r="A8" s="493">
        <v>3</v>
      </c>
      <c r="B8" s="480" t="s">
        <v>125</v>
      </c>
      <c r="C8" s="154">
        <v>3000000</v>
      </c>
      <c r="D8" s="154">
        <v>3175000</v>
      </c>
      <c r="E8" s="154">
        <v>3175000</v>
      </c>
      <c r="F8" s="154">
        <f t="shared" si="0"/>
        <v>0</v>
      </c>
    </row>
    <row r="9" spans="1:6" s="94" customFormat="1" ht="16.5" customHeight="1">
      <c r="A9" s="493">
        <v>4</v>
      </c>
      <c r="B9" s="480" t="s">
        <v>61</v>
      </c>
      <c r="C9" s="154">
        <v>5000000</v>
      </c>
      <c r="D9" s="154">
        <f>5000000-4500000</f>
        <v>500000</v>
      </c>
      <c r="E9" s="154">
        <f>5000000-4500000</f>
        <v>500000</v>
      </c>
      <c r="F9" s="154">
        <f t="shared" si="0"/>
        <v>0</v>
      </c>
    </row>
    <row r="10" spans="1:6" s="94" customFormat="1" ht="15" customHeight="1">
      <c r="A10" s="493">
        <v>5</v>
      </c>
      <c r="B10" s="481" t="s">
        <v>189</v>
      </c>
      <c r="C10" s="154">
        <v>2500000</v>
      </c>
      <c r="D10" s="154">
        <v>2500000</v>
      </c>
      <c r="E10" s="154">
        <v>2500000</v>
      </c>
      <c r="F10" s="154">
        <f t="shared" si="0"/>
        <v>0</v>
      </c>
    </row>
    <row r="11" spans="1:6" s="94" customFormat="1" ht="16.5" customHeight="1">
      <c r="A11" s="493">
        <v>6</v>
      </c>
      <c r="B11" s="481" t="s">
        <v>190</v>
      </c>
      <c r="C11" s="154">
        <v>14000000</v>
      </c>
      <c r="D11" s="154">
        <v>14000000</v>
      </c>
      <c r="E11" s="154">
        <v>14000000</v>
      </c>
      <c r="F11" s="154">
        <f t="shared" si="0"/>
        <v>0</v>
      </c>
    </row>
    <row r="12" spans="1:6" s="94" customFormat="1" ht="16.5" customHeight="1">
      <c r="A12" s="493">
        <v>7</v>
      </c>
      <c r="B12" s="482" t="s">
        <v>184</v>
      </c>
      <c r="C12" s="483">
        <v>1000000</v>
      </c>
      <c r="D12" s="483">
        <v>1000000</v>
      </c>
      <c r="E12" s="483">
        <v>11000000</v>
      </c>
      <c r="F12" s="154">
        <f t="shared" si="0"/>
        <v>10000000</v>
      </c>
    </row>
    <row r="13" spans="1:6" s="94" customFormat="1" ht="17.25" customHeight="1">
      <c r="A13" s="493">
        <v>8</v>
      </c>
      <c r="B13" s="484" t="s">
        <v>191</v>
      </c>
      <c r="C13" s="154">
        <v>6000000</v>
      </c>
      <c r="D13" s="154">
        <v>6000000</v>
      </c>
      <c r="E13" s="154">
        <v>6000000</v>
      </c>
      <c r="F13" s="154">
        <f t="shared" si="0"/>
        <v>0</v>
      </c>
    </row>
    <row r="14" spans="1:6" s="94" customFormat="1" ht="15" customHeight="1">
      <c r="A14" s="493">
        <v>9</v>
      </c>
      <c r="B14" s="480" t="s">
        <v>205</v>
      </c>
      <c r="C14" s="154">
        <v>5847125</v>
      </c>
      <c r="D14" s="154">
        <f>5847125-1448477</f>
        <v>4398648</v>
      </c>
      <c r="E14" s="154">
        <f>5847125-1448477</f>
        <v>4398648</v>
      </c>
      <c r="F14" s="154">
        <f t="shared" si="0"/>
        <v>0</v>
      </c>
    </row>
    <row r="15" spans="1:6" s="94" customFormat="1" ht="15" customHeight="1">
      <c r="A15" s="493">
        <v>10</v>
      </c>
      <c r="B15" s="482" t="s">
        <v>192</v>
      </c>
      <c r="C15" s="483">
        <v>285303085</v>
      </c>
      <c r="D15" s="483">
        <f>285303085-5840698</f>
        <v>279462387</v>
      </c>
      <c r="E15" s="483">
        <f>285303085-5840698</f>
        <v>279462387</v>
      </c>
      <c r="F15" s="154">
        <f t="shared" si="0"/>
        <v>0</v>
      </c>
    </row>
    <row r="16" spans="1:6" s="94" customFormat="1" ht="15" customHeight="1">
      <c r="A16" s="493">
        <v>11</v>
      </c>
      <c r="B16" s="482" t="s">
        <v>193</v>
      </c>
      <c r="C16" s="483">
        <f>137437852-2917000</f>
        <v>134520852</v>
      </c>
      <c r="D16" s="483">
        <f>137437852-2917000-1815996</f>
        <v>132704856</v>
      </c>
      <c r="E16" s="483">
        <f>137437852-2917000-1815996</f>
        <v>132704856</v>
      </c>
      <c r="F16" s="154">
        <f t="shared" si="0"/>
        <v>0</v>
      </c>
    </row>
    <row r="17" spans="1:6" s="94" customFormat="1" ht="15.75" customHeight="1">
      <c r="A17" s="493">
        <v>12</v>
      </c>
      <c r="B17" s="482" t="s">
        <v>194</v>
      </c>
      <c r="C17" s="483">
        <v>276033587</v>
      </c>
      <c r="D17" s="483">
        <f>276033587-4362988</f>
        <v>271670599</v>
      </c>
      <c r="E17" s="483">
        <f>276033587-4362988</f>
        <v>271670599</v>
      </c>
      <c r="F17" s="154">
        <f t="shared" si="0"/>
        <v>0</v>
      </c>
    </row>
    <row r="18" spans="1:6" s="94" customFormat="1" ht="15.75" customHeight="1">
      <c r="A18" s="493">
        <v>13</v>
      </c>
      <c r="B18" s="482" t="s">
        <v>195</v>
      </c>
      <c r="C18" s="483">
        <v>5795748</v>
      </c>
      <c r="D18" s="483">
        <f>5795748-2247900</f>
        <v>3547848</v>
      </c>
      <c r="E18" s="483">
        <f>5795748-2247900</f>
        <v>3547848</v>
      </c>
      <c r="F18" s="154">
        <f t="shared" si="0"/>
        <v>0</v>
      </c>
    </row>
    <row r="19" spans="1:6" s="94" customFormat="1" ht="12.75">
      <c r="A19" s="493">
        <v>14</v>
      </c>
      <c r="B19" s="482" t="s">
        <v>196</v>
      </c>
      <c r="C19" s="483">
        <v>98529302</v>
      </c>
      <c r="D19" s="483">
        <f>98529302-405000</f>
        <v>98124302</v>
      </c>
      <c r="E19" s="483">
        <v>96003402</v>
      </c>
      <c r="F19" s="154">
        <f t="shared" si="0"/>
        <v>-2120900</v>
      </c>
    </row>
    <row r="20" spans="1:6" s="94" customFormat="1" ht="12.75">
      <c r="A20" s="493">
        <v>15</v>
      </c>
      <c r="B20" s="482" t="s">
        <v>197</v>
      </c>
      <c r="C20" s="483">
        <f>81319020-1385400</f>
        <v>79933620</v>
      </c>
      <c r="D20" s="483">
        <f>81319020-1385400-1766219+4500000+1448477</f>
        <v>84115878</v>
      </c>
      <c r="E20" s="483">
        <f>81319020-1385400-1766219+4500000+1448477</f>
        <v>84115878</v>
      </c>
      <c r="F20" s="154">
        <f t="shared" si="0"/>
        <v>0</v>
      </c>
    </row>
    <row r="21" spans="1:6" s="94" customFormat="1" ht="12.75">
      <c r="A21" s="493">
        <v>16</v>
      </c>
      <c r="B21" s="482" t="s">
        <v>198</v>
      </c>
      <c r="C21" s="483">
        <f>55918496-715000</f>
        <v>55203496</v>
      </c>
      <c r="D21" s="483">
        <f>55918496-715000+8000000+10041376-1436293</f>
        <v>71808579</v>
      </c>
      <c r="E21" s="483">
        <f>55918496-715000+8000000+10041376-1436293</f>
        <v>71808579</v>
      </c>
      <c r="F21" s="154">
        <f t="shared" si="0"/>
        <v>0</v>
      </c>
    </row>
    <row r="22" spans="1:6" s="94" customFormat="1" ht="14.25" customHeight="1">
      <c r="A22" s="493">
        <v>17</v>
      </c>
      <c r="B22" s="482" t="s">
        <v>199</v>
      </c>
      <c r="C22" s="483">
        <v>9689915</v>
      </c>
      <c r="D22" s="483">
        <v>9689915</v>
      </c>
      <c r="E22" s="483">
        <v>9689915</v>
      </c>
      <c r="F22" s="154">
        <f t="shared" si="0"/>
        <v>0</v>
      </c>
    </row>
    <row r="23" spans="1:6" s="94" customFormat="1" ht="13.5" customHeight="1">
      <c r="A23" s="493">
        <v>18</v>
      </c>
      <c r="B23" s="485" t="s">
        <v>219</v>
      </c>
      <c r="C23" s="486">
        <f>11503990-2500000</f>
        <v>9003990</v>
      </c>
      <c r="D23" s="486">
        <f>11503990-2500000</f>
        <v>9003990</v>
      </c>
      <c r="E23" s="486">
        <v>0</v>
      </c>
      <c r="F23" s="154">
        <f t="shared" si="0"/>
        <v>-9003990</v>
      </c>
    </row>
    <row r="24" spans="1:6" s="94" customFormat="1" ht="13.5" customHeight="1">
      <c r="A24" s="493">
        <v>19</v>
      </c>
      <c r="B24" s="485" t="s">
        <v>221</v>
      </c>
      <c r="C24" s="486">
        <f>11153745+4430631-1379435-850000</f>
        <v>13354941</v>
      </c>
      <c r="D24" s="486">
        <f>11153745+4430631-1379435-850000-10041376+10000000</f>
        <v>13313565</v>
      </c>
      <c r="E24" s="486">
        <v>1621605</v>
      </c>
      <c r="F24" s="154">
        <f t="shared" si="0"/>
        <v>-11691960</v>
      </c>
    </row>
    <row r="25" spans="1:6" s="94" customFormat="1" ht="14.25" customHeight="1">
      <c r="A25" s="493">
        <v>20</v>
      </c>
      <c r="B25" s="485" t="s">
        <v>242</v>
      </c>
      <c r="C25" s="486">
        <v>8000000</v>
      </c>
      <c r="D25" s="486">
        <f>8000000-8000000</f>
        <v>0</v>
      </c>
      <c r="E25" s="486">
        <f>8000000-8000000</f>
        <v>0</v>
      </c>
      <c r="F25" s="154">
        <f t="shared" si="0"/>
        <v>0</v>
      </c>
    </row>
    <row r="26" spans="1:6" s="94" customFormat="1" ht="14.25" customHeight="1">
      <c r="A26" s="493">
        <v>21</v>
      </c>
      <c r="B26" s="485" t="s">
        <v>237</v>
      </c>
      <c r="C26" s="486">
        <v>4800000</v>
      </c>
      <c r="D26" s="486">
        <v>4800000</v>
      </c>
      <c r="E26" s="486">
        <v>4800000</v>
      </c>
      <c r="F26" s="154">
        <f t="shared" si="0"/>
        <v>0</v>
      </c>
    </row>
    <row r="27" spans="1:6" s="94" customFormat="1" ht="14.25" customHeight="1">
      <c r="A27" s="493">
        <v>22</v>
      </c>
      <c r="B27" s="482" t="s">
        <v>185</v>
      </c>
      <c r="C27" s="486">
        <v>1790065</v>
      </c>
      <c r="D27" s="486">
        <f>1790065-1790065</f>
        <v>0</v>
      </c>
      <c r="E27" s="486">
        <f>1790065-1790065</f>
        <v>0</v>
      </c>
      <c r="F27" s="154">
        <f t="shared" si="0"/>
        <v>0</v>
      </c>
    </row>
    <row r="28" spans="1:6" s="94" customFormat="1" ht="14.25" customHeight="1">
      <c r="A28" s="493">
        <v>23</v>
      </c>
      <c r="B28" s="482" t="s">
        <v>233</v>
      </c>
      <c r="C28" s="486">
        <v>850000</v>
      </c>
      <c r="D28" s="486">
        <v>850000</v>
      </c>
      <c r="E28" s="486">
        <v>850000</v>
      </c>
      <c r="F28" s="154">
        <f t="shared" si="0"/>
        <v>0</v>
      </c>
    </row>
    <row r="29" spans="1:6" s="94" customFormat="1" ht="14.25" customHeight="1">
      <c r="A29" s="493">
        <v>24</v>
      </c>
      <c r="B29" s="482" t="s">
        <v>178</v>
      </c>
      <c r="C29" s="486">
        <v>8000000</v>
      </c>
      <c r="D29" s="486">
        <f>8000000</f>
        <v>8000000</v>
      </c>
      <c r="E29" s="486">
        <f>8000000</f>
        <v>8000000</v>
      </c>
      <c r="F29" s="154">
        <f t="shared" si="0"/>
        <v>0</v>
      </c>
    </row>
    <row r="30" spans="1:6" s="94" customFormat="1" ht="14.25" customHeight="1">
      <c r="A30" s="493">
        <v>25</v>
      </c>
      <c r="B30" s="485" t="s">
        <v>231</v>
      </c>
      <c r="C30" s="486">
        <v>1478431</v>
      </c>
      <c r="D30" s="486">
        <v>1478431</v>
      </c>
      <c r="E30" s="486">
        <v>1478431</v>
      </c>
      <c r="F30" s="154">
        <f t="shared" si="0"/>
        <v>0</v>
      </c>
    </row>
    <row r="31" spans="1:6" s="94" customFormat="1" ht="14.25" customHeight="1">
      <c r="A31" s="493">
        <v>26</v>
      </c>
      <c r="B31" s="485" t="s">
        <v>144</v>
      </c>
      <c r="C31" s="486">
        <v>1000000</v>
      </c>
      <c r="D31" s="486">
        <v>1000000</v>
      </c>
      <c r="E31" s="486">
        <v>1000000</v>
      </c>
      <c r="F31" s="154">
        <f t="shared" si="0"/>
        <v>0</v>
      </c>
    </row>
    <row r="32" spans="1:6" s="94" customFormat="1" ht="26.25" customHeight="1">
      <c r="A32" s="493">
        <v>27</v>
      </c>
      <c r="B32" s="482" t="s">
        <v>211</v>
      </c>
      <c r="C32" s="486">
        <v>254000</v>
      </c>
      <c r="D32" s="486">
        <v>254000</v>
      </c>
      <c r="E32" s="486">
        <v>254000</v>
      </c>
      <c r="F32" s="154">
        <f t="shared" si="0"/>
        <v>0</v>
      </c>
    </row>
    <row r="33" spans="1:6" s="94" customFormat="1" ht="14.25" customHeight="1">
      <c r="A33" s="493">
        <v>28</v>
      </c>
      <c r="B33" s="485" t="s">
        <v>145</v>
      </c>
      <c r="C33" s="486">
        <v>2000000</v>
      </c>
      <c r="D33" s="486">
        <f>2000000+2714674</f>
        <v>4714674</v>
      </c>
      <c r="E33" s="486">
        <v>4484390</v>
      </c>
      <c r="F33" s="154">
        <f t="shared" si="0"/>
        <v>-230284</v>
      </c>
    </row>
    <row r="34" spans="1:6" s="94" customFormat="1" ht="14.25" customHeight="1">
      <c r="A34" s="493">
        <v>29</v>
      </c>
      <c r="B34" s="485" t="s">
        <v>222</v>
      </c>
      <c r="C34" s="486">
        <v>890000</v>
      </c>
      <c r="D34" s="486">
        <f>890000+700000</f>
        <v>1590000</v>
      </c>
      <c r="E34" s="486">
        <f>890000+700000</f>
        <v>1590000</v>
      </c>
      <c r="F34" s="154">
        <f t="shared" si="0"/>
        <v>0</v>
      </c>
    </row>
    <row r="35" spans="1:6" s="94" customFormat="1" ht="14.25" customHeight="1">
      <c r="A35" s="493">
        <v>30</v>
      </c>
      <c r="B35" s="485" t="s">
        <v>223</v>
      </c>
      <c r="C35" s="486">
        <v>550000</v>
      </c>
      <c r="D35" s="486">
        <f>550000</f>
        <v>550000</v>
      </c>
      <c r="E35" s="486">
        <f>550000</f>
        <v>550000</v>
      </c>
      <c r="F35" s="154">
        <f t="shared" si="0"/>
        <v>0</v>
      </c>
    </row>
    <row r="36" spans="1:6" s="94" customFormat="1" ht="14.25" customHeight="1">
      <c r="A36" s="493">
        <v>31</v>
      </c>
      <c r="B36" s="485" t="s">
        <v>224</v>
      </c>
      <c r="C36" s="486">
        <v>150000</v>
      </c>
      <c r="D36" s="486">
        <f>150000+65900</f>
        <v>215900</v>
      </c>
      <c r="E36" s="486">
        <f>150000+65900</f>
        <v>215900</v>
      </c>
      <c r="F36" s="154">
        <f t="shared" si="0"/>
        <v>0</v>
      </c>
    </row>
    <row r="37" spans="1:6" s="94" customFormat="1" ht="14.25" customHeight="1">
      <c r="A37" s="493">
        <v>32</v>
      </c>
      <c r="B37" s="485" t="s">
        <v>225</v>
      </c>
      <c r="C37" s="486">
        <v>1000000</v>
      </c>
      <c r="D37" s="486">
        <v>1000000</v>
      </c>
      <c r="E37" s="486">
        <v>1030531</v>
      </c>
      <c r="F37" s="154">
        <f t="shared" si="0"/>
        <v>30531</v>
      </c>
    </row>
    <row r="38" spans="1:6" s="94" customFormat="1" ht="14.25" customHeight="1">
      <c r="A38" s="493">
        <v>33</v>
      </c>
      <c r="B38" s="485" t="s">
        <v>226</v>
      </c>
      <c r="C38" s="486">
        <v>200000</v>
      </c>
      <c r="D38" s="486">
        <v>200000</v>
      </c>
      <c r="E38" s="486">
        <v>200000</v>
      </c>
      <c r="F38" s="154">
        <f aca="true" t="shared" si="1" ref="F38:F69">E38-D38</f>
        <v>0</v>
      </c>
    </row>
    <row r="39" spans="1:6" s="94" customFormat="1" ht="15" customHeight="1">
      <c r="A39" s="496">
        <v>34</v>
      </c>
      <c r="B39" s="497" t="s">
        <v>220</v>
      </c>
      <c r="C39" s="498">
        <v>3000000</v>
      </c>
      <c r="D39" s="498">
        <v>3000000</v>
      </c>
      <c r="E39" s="498">
        <v>1323600</v>
      </c>
      <c r="F39" s="156">
        <f t="shared" si="1"/>
        <v>-1676400</v>
      </c>
    </row>
    <row r="40" spans="1:6" s="94" customFormat="1" ht="15" customHeight="1">
      <c r="A40" s="496">
        <v>35</v>
      </c>
      <c r="B40" s="499" t="s">
        <v>202</v>
      </c>
      <c r="C40" s="498">
        <v>12000000</v>
      </c>
      <c r="D40" s="498">
        <v>12000000</v>
      </c>
      <c r="E40" s="498">
        <v>12000000</v>
      </c>
      <c r="F40" s="156">
        <f t="shared" si="1"/>
        <v>0</v>
      </c>
    </row>
    <row r="41" spans="1:6" s="94" customFormat="1" ht="15" customHeight="1">
      <c r="A41" s="496">
        <v>36</v>
      </c>
      <c r="B41" s="497" t="s">
        <v>143</v>
      </c>
      <c r="C41" s="498">
        <v>72619772</v>
      </c>
      <c r="D41" s="498">
        <v>72619772</v>
      </c>
      <c r="E41" s="498">
        <v>72619772</v>
      </c>
      <c r="F41" s="156">
        <f t="shared" si="1"/>
        <v>0</v>
      </c>
    </row>
    <row r="42" spans="1:6" s="94" customFormat="1" ht="15" customHeight="1">
      <c r="A42" s="496">
        <v>37</v>
      </c>
      <c r="B42" s="497" t="s">
        <v>293</v>
      </c>
      <c r="C42" s="498">
        <v>85750000</v>
      </c>
      <c r="D42" s="498">
        <f>85750000+3095865-550000-3464566-935434-670000+3084185+5346546-4863402</f>
        <v>86793194</v>
      </c>
      <c r="E42" s="498">
        <v>70053144</v>
      </c>
      <c r="F42" s="156">
        <f t="shared" si="1"/>
        <v>-16740050</v>
      </c>
    </row>
    <row r="43" spans="1:6" s="94" customFormat="1" ht="16.5" customHeight="1">
      <c r="A43" s="496">
        <v>38</v>
      </c>
      <c r="B43" s="497" t="s">
        <v>214</v>
      </c>
      <c r="C43" s="498">
        <v>22876000</v>
      </c>
      <c r="D43" s="498">
        <f>22876000-3095865-3084185</f>
        <v>16695950</v>
      </c>
      <c r="E43" s="498">
        <f>22876000-3095865-3084185</f>
        <v>16695950</v>
      </c>
      <c r="F43" s="156">
        <f t="shared" si="1"/>
        <v>0</v>
      </c>
    </row>
    <row r="44" spans="1:6" s="94" customFormat="1" ht="16.5" customHeight="1">
      <c r="A44" s="496">
        <v>39</v>
      </c>
      <c r="B44" s="137" t="s">
        <v>151</v>
      </c>
      <c r="C44" s="138">
        <v>16300000</v>
      </c>
      <c r="D44" s="138">
        <f>16300000-926619-2650000</f>
        <v>12723381</v>
      </c>
      <c r="E44" s="138">
        <f>16300000-926619-2650000</f>
        <v>12723381</v>
      </c>
      <c r="F44" s="156">
        <f t="shared" si="1"/>
        <v>0</v>
      </c>
    </row>
    <row r="45" spans="1:6" s="94" customFormat="1" ht="26.25" customHeight="1">
      <c r="A45" s="496">
        <v>40</v>
      </c>
      <c r="B45" s="137" t="s">
        <v>152</v>
      </c>
      <c r="C45" s="138">
        <v>3550000</v>
      </c>
      <c r="D45" s="138">
        <v>3550000</v>
      </c>
      <c r="E45" s="138">
        <v>3550000</v>
      </c>
      <c r="F45" s="156">
        <f t="shared" si="1"/>
        <v>0</v>
      </c>
    </row>
    <row r="46" spans="1:6" s="94" customFormat="1" ht="26.25" customHeight="1">
      <c r="A46" s="496">
        <v>41</v>
      </c>
      <c r="B46" s="137" t="s">
        <v>153</v>
      </c>
      <c r="C46" s="138">
        <v>11000000</v>
      </c>
      <c r="D46" s="138">
        <f>11000000-366618</f>
        <v>10633382</v>
      </c>
      <c r="E46" s="138">
        <f>11000000-366618</f>
        <v>10633382</v>
      </c>
      <c r="F46" s="156">
        <f t="shared" si="1"/>
        <v>0</v>
      </c>
    </row>
    <row r="47" spans="1:6" s="94" customFormat="1" ht="25.5" customHeight="1">
      <c r="A47" s="496">
        <v>42</v>
      </c>
      <c r="B47" s="137" t="s">
        <v>154</v>
      </c>
      <c r="C47" s="138">
        <v>2800000</v>
      </c>
      <c r="D47" s="138">
        <f>2800000+366618</f>
        <v>3166618</v>
      </c>
      <c r="E47" s="138">
        <f>2800000+366618</f>
        <v>3166618</v>
      </c>
      <c r="F47" s="156">
        <f t="shared" si="1"/>
        <v>0</v>
      </c>
    </row>
    <row r="48" spans="1:6" s="94" customFormat="1" ht="16.5" customHeight="1">
      <c r="A48" s="496">
        <v>43</v>
      </c>
      <c r="B48" s="137" t="s">
        <v>155</v>
      </c>
      <c r="C48" s="138">
        <v>5300000</v>
      </c>
      <c r="D48" s="138">
        <f>5300000+926619</f>
        <v>6226619</v>
      </c>
      <c r="E48" s="138">
        <f>5300000+926619</f>
        <v>6226619</v>
      </c>
      <c r="F48" s="156">
        <f t="shared" si="1"/>
        <v>0</v>
      </c>
    </row>
    <row r="49" spans="1:6" s="94" customFormat="1" ht="16.5" customHeight="1">
      <c r="A49" s="496">
        <v>44</v>
      </c>
      <c r="B49" s="137" t="s">
        <v>200</v>
      </c>
      <c r="C49" s="138">
        <v>1750000</v>
      </c>
      <c r="D49" s="138">
        <v>1750000</v>
      </c>
      <c r="E49" s="138">
        <v>1750000</v>
      </c>
      <c r="F49" s="156">
        <f t="shared" si="1"/>
        <v>0</v>
      </c>
    </row>
    <row r="50" spans="1:6" s="94" customFormat="1" ht="16.5" customHeight="1">
      <c r="A50" s="496">
        <v>45</v>
      </c>
      <c r="B50" s="137" t="s">
        <v>201</v>
      </c>
      <c r="C50" s="138">
        <v>900000</v>
      </c>
      <c r="D50" s="138">
        <v>900000</v>
      </c>
      <c r="E50" s="138">
        <v>900000</v>
      </c>
      <c r="F50" s="156">
        <f t="shared" si="1"/>
        <v>0</v>
      </c>
    </row>
    <row r="51" spans="1:6" s="94" customFormat="1" ht="16.5" customHeight="1">
      <c r="A51" s="500">
        <v>46</v>
      </c>
      <c r="B51" s="511" t="s">
        <v>335</v>
      </c>
      <c r="C51" s="159">
        <v>0</v>
      </c>
      <c r="D51" s="159">
        <v>1706450</v>
      </c>
      <c r="E51" s="159">
        <v>1706450</v>
      </c>
      <c r="F51" s="159">
        <f t="shared" si="1"/>
        <v>0</v>
      </c>
    </row>
    <row r="52" spans="1:6" s="94" customFormat="1" ht="16.5" customHeight="1">
      <c r="A52" s="500">
        <v>47</v>
      </c>
      <c r="B52" s="511" t="s">
        <v>247</v>
      </c>
      <c r="C52" s="159">
        <v>0</v>
      </c>
      <c r="D52" s="159">
        <v>11200000</v>
      </c>
      <c r="E52" s="159">
        <v>11200000</v>
      </c>
      <c r="F52" s="159">
        <f t="shared" si="1"/>
        <v>0</v>
      </c>
    </row>
    <row r="53" spans="1:6" s="94" customFormat="1" ht="16.5" customHeight="1">
      <c r="A53" s="500">
        <v>48</v>
      </c>
      <c r="B53" s="511" t="s">
        <v>248</v>
      </c>
      <c r="C53" s="159">
        <v>0</v>
      </c>
      <c r="D53" s="159">
        <v>2000000</v>
      </c>
      <c r="E53" s="159">
        <v>2000000</v>
      </c>
      <c r="F53" s="159">
        <f t="shared" si="1"/>
        <v>0</v>
      </c>
    </row>
    <row r="54" spans="1:6" s="94" customFormat="1" ht="16.5" customHeight="1">
      <c r="A54" s="500">
        <v>49</v>
      </c>
      <c r="B54" s="511" t="s">
        <v>249</v>
      </c>
      <c r="C54" s="159">
        <v>0</v>
      </c>
      <c r="D54" s="159">
        <f>2538938</f>
        <v>2538938</v>
      </c>
      <c r="E54" s="159">
        <f>2538938</f>
        <v>2538938</v>
      </c>
      <c r="F54" s="159">
        <f t="shared" si="1"/>
        <v>0</v>
      </c>
    </row>
    <row r="55" spans="1:6" s="94" customFormat="1" ht="16.5" customHeight="1">
      <c r="A55" s="500">
        <v>50</v>
      </c>
      <c r="B55" s="511" t="s">
        <v>250</v>
      </c>
      <c r="C55" s="159">
        <v>0</v>
      </c>
      <c r="D55" s="159">
        <f>7200000-7200000</f>
        <v>0</v>
      </c>
      <c r="E55" s="159">
        <f>7200000-7200000</f>
        <v>0</v>
      </c>
      <c r="F55" s="159">
        <f t="shared" si="1"/>
        <v>0</v>
      </c>
    </row>
    <row r="56" spans="1:6" s="94" customFormat="1" ht="16.5" customHeight="1">
      <c r="A56" s="500">
        <v>51</v>
      </c>
      <c r="B56" s="511" t="s">
        <v>251</v>
      </c>
      <c r="C56" s="159">
        <v>0</v>
      </c>
      <c r="D56" s="159">
        <v>600000</v>
      </c>
      <c r="E56" s="159">
        <v>600000</v>
      </c>
      <c r="F56" s="159">
        <f t="shared" si="1"/>
        <v>0</v>
      </c>
    </row>
    <row r="57" spans="1:6" s="94" customFormat="1" ht="16.5" customHeight="1">
      <c r="A57" s="500">
        <v>52</v>
      </c>
      <c r="B57" s="511" t="s">
        <v>336</v>
      </c>
      <c r="C57" s="159">
        <v>0</v>
      </c>
      <c r="D57" s="159">
        <v>200000</v>
      </c>
      <c r="E57" s="159">
        <v>200000</v>
      </c>
      <c r="F57" s="159">
        <f t="shared" si="1"/>
        <v>0</v>
      </c>
    </row>
    <row r="58" spans="1:6" s="94" customFormat="1" ht="16.5" customHeight="1">
      <c r="A58" s="500">
        <v>53</v>
      </c>
      <c r="B58" s="511" t="s">
        <v>255</v>
      </c>
      <c r="C58" s="159">
        <v>0</v>
      </c>
      <c r="D58" s="159">
        <v>3710686</v>
      </c>
      <c r="E58" s="159">
        <v>3710686</v>
      </c>
      <c r="F58" s="159">
        <f t="shared" si="1"/>
        <v>0</v>
      </c>
    </row>
    <row r="59" spans="1:6" s="94" customFormat="1" ht="16.5" customHeight="1">
      <c r="A59" s="500">
        <v>54</v>
      </c>
      <c r="B59" s="511" t="s">
        <v>256</v>
      </c>
      <c r="C59" s="159">
        <v>0</v>
      </c>
      <c r="D59" s="159">
        <v>6847423</v>
      </c>
      <c r="E59" s="159">
        <v>6847423</v>
      </c>
      <c r="F59" s="159">
        <f t="shared" si="1"/>
        <v>0</v>
      </c>
    </row>
    <row r="60" spans="1:6" s="94" customFormat="1" ht="16.5" customHeight="1">
      <c r="A60" s="501">
        <v>55</v>
      </c>
      <c r="B60" s="513" t="s">
        <v>295</v>
      </c>
      <c r="C60" s="154">
        <v>0</v>
      </c>
      <c r="D60" s="154">
        <v>189103</v>
      </c>
      <c r="E60" s="154">
        <v>239202</v>
      </c>
      <c r="F60" s="154">
        <f t="shared" si="1"/>
        <v>50099</v>
      </c>
    </row>
    <row r="61" spans="1:7" s="94" customFormat="1" ht="16.5" customHeight="1">
      <c r="A61" s="501">
        <v>56</v>
      </c>
      <c r="B61" s="513" t="s">
        <v>307</v>
      </c>
      <c r="C61" s="154">
        <v>0</v>
      </c>
      <c r="D61" s="154">
        <v>2000000</v>
      </c>
      <c r="E61" s="154">
        <v>2000000</v>
      </c>
      <c r="F61" s="154">
        <f t="shared" si="1"/>
        <v>0</v>
      </c>
      <c r="G61" s="93"/>
    </row>
    <row r="62" spans="1:6" s="94" customFormat="1" ht="16.5" customHeight="1">
      <c r="A62" s="501">
        <v>57</v>
      </c>
      <c r="B62" s="513" t="s">
        <v>297</v>
      </c>
      <c r="C62" s="154">
        <v>0</v>
      </c>
      <c r="D62" s="154">
        <v>520000</v>
      </c>
      <c r="E62" s="154">
        <v>520000</v>
      </c>
      <c r="F62" s="154">
        <f t="shared" si="1"/>
        <v>0</v>
      </c>
    </row>
    <row r="63" spans="1:7" s="94" customFormat="1" ht="16.5" customHeight="1">
      <c r="A63" s="501">
        <v>58</v>
      </c>
      <c r="B63" s="513" t="s">
        <v>308</v>
      </c>
      <c r="C63" s="154">
        <v>0</v>
      </c>
      <c r="D63" s="154">
        <v>670610</v>
      </c>
      <c r="E63" s="154">
        <v>670610</v>
      </c>
      <c r="F63" s="154">
        <f t="shared" si="1"/>
        <v>0</v>
      </c>
      <c r="G63" s="93"/>
    </row>
    <row r="64" spans="1:6" s="94" customFormat="1" ht="16.5" customHeight="1">
      <c r="A64" s="501">
        <v>59</v>
      </c>
      <c r="B64" s="513" t="s">
        <v>298</v>
      </c>
      <c r="C64" s="154">
        <v>0</v>
      </c>
      <c r="D64" s="154">
        <v>1314900</v>
      </c>
      <c r="E64" s="154">
        <v>1314900</v>
      </c>
      <c r="F64" s="154">
        <f t="shared" si="1"/>
        <v>0</v>
      </c>
    </row>
    <row r="65" spans="1:6" s="94" customFormat="1" ht="16.5" customHeight="1">
      <c r="A65" s="501">
        <v>60</v>
      </c>
      <c r="B65" s="513" t="s">
        <v>299</v>
      </c>
      <c r="C65" s="154">
        <v>0</v>
      </c>
      <c r="D65" s="154">
        <f>1779992-165100</f>
        <v>1614892</v>
      </c>
      <c r="E65" s="154">
        <f>1779992-165100</f>
        <v>1614892</v>
      </c>
      <c r="F65" s="154">
        <f t="shared" si="1"/>
        <v>0</v>
      </c>
    </row>
    <row r="66" spans="1:6" s="94" customFormat="1" ht="16.5" customHeight="1">
      <c r="A66" s="501">
        <v>61</v>
      </c>
      <c r="B66" s="513" t="s">
        <v>301</v>
      </c>
      <c r="C66" s="154">
        <v>0</v>
      </c>
      <c r="D66" s="154">
        <f>20000000-1676400</f>
        <v>18323600</v>
      </c>
      <c r="E66" s="154">
        <v>19500000</v>
      </c>
      <c r="F66" s="154">
        <f t="shared" si="1"/>
        <v>1176400</v>
      </c>
    </row>
    <row r="67" spans="1:6" s="94" customFormat="1" ht="16.5" customHeight="1">
      <c r="A67" s="501">
        <v>62</v>
      </c>
      <c r="B67" s="494" t="s">
        <v>317</v>
      </c>
      <c r="C67" s="154">
        <v>0</v>
      </c>
      <c r="D67" s="154">
        <v>0</v>
      </c>
      <c r="E67" s="154">
        <v>0</v>
      </c>
      <c r="F67" s="154">
        <f t="shared" si="1"/>
        <v>0</v>
      </c>
    </row>
    <row r="68" spans="1:6" s="94" customFormat="1" ht="16.5" customHeight="1">
      <c r="A68" s="501">
        <v>63</v>
      </c>
      <c r="B68" s="494" t="s">
        <v>318</v>
      </c>
      <c r="C68" s="154">
        <v>0</v>
      </c>
      <c r="D68" s="154">
        <v>12478385</v>
      </c>
      <c r="E68" s="154">
        <v>12478385</v>
      </c>
      <c r="F68" s="154">
        <f t="shared" si="1"/>
        <v>0</v>
      </c>
    </row>
    <row r="69" spans="1:6" s="94" customFormat="1" ht="16.5" customHeight="1">
      <c r="A69" s="501">
        <v>64</v>
      </c>
      <c r="B69" s="494" t="s">
        <v>319</v>
      </c>
      <c r="C69" s="154">
        <v>0</v>
      </c>
      <c r="D69" s="154">
        <v>1900000</v>
      </c>
      <c r="E69" s="154">
        <v>2382847</v>
      </c>
      <c r="F69" s="154">
        <f t="shared" si="1"/>
        <v>482847</v>
      </c>
    </row>
    <row r="70" spans="1:6" s="94" customFormat="1" ht="16.5" customHeight="1">
      <c r="A70" s="501">
        <v>65</v>
      </c>
      <c r="B70" s="494" t="s">
        <v>320</v>
      </c>
      <c r="C70" s="154">
        <v>0</v>
      </c>
      <c r="D70" s="154">
        <v>150000</v>
      </c>
      <c r="E70" s="154">
        <v>150000</v>
      </c>
      <c r="F70" s="154">
        <f>E70-D70</f>
        <v>0</v>
      </c>
    </row>
    <row r="71" spans="1:6" s="94" customFormat="1" ht="16.5" customHeight="1">
      <c r="A71" s="501">
        <v>66</v>
      </c>
      <c r="B71" s="494" t="s">
        <v>321</v>
      </c>
      <c r="C71" s="154">
        <v>0</v>
      </c>
      <c r="D71" s="154">
        <v>3626264</v>
      </c>
      <c r="E71" s="154">
        <v>3626264</v>
      </c>
      <c r="F71" s="154">
        <f>E71-D71</f>
        <v>0</v>
      </c>
    </row>
    <row r="72" spans="1:6" s="94" customFormat="1" ht="16.5" customHeight="1">
      <c r="A72" s="501">
        <v>67</v>
      </c>
      <c r="B72" s="485" t="s">
        <v>322</v>
      </c>
      <c r="C72" s="154">
        <v>0</v>
      </c>
      <c r="D72" s="154">
        <v>150324</v>
      </c>
      <c r="E72" s="154">
        <v>150324</v>
      </c>
      <c r="F72" s="154">
        <f>E72-D72</f>
        <v>0</v>
      </c>
    </row>
    <row r="73" spans="1:6" s="94" customFormat="1" ht="16.5" customHeight="1">
      <c r="A73" s="501">
        <v>68</v>
      </c>
      <c r="B73" s="485" t="s">
        <v>323</v>
      </c>
      <c r="C73" s="154">
        <v>0</v>
      </c>
      <c r="D73" s="154">
        <v>54864</v>
      </c>
      <c r="E73" s="154">
        <v>54864</v>
      </c>
      <c r="F73" s="154">
        <f>E73-D73</f>
        <v>0</v>
      </c>
    </row>
    <row r="74" spans="1:6" s="94" customFormat="1" ht="16.5" customHeight="1">
      <c r="A74" s="501">
        <v>69</v>
      </c>
      <c r="B74" s="485" t="s">
        <v>353</v>
      </c>
      <c r="C74" s="154">
        <v>0</v>
      </c>
      <c r="D74" s="154">
        <v>0</v>
      </c>
      <c r="E74" s="154">
        <v>1780000</v>
      </c>
      <c r="F74" s="154">
        <f>E74-D74</f>
        <v>1780000</v>
      </c>
    </row>
    <row r="75" spans="1:6" s="94" customFormat="1" ht="12.75">
      <c r="A75" s="502"/>
      <c r="B75" s="56" t="s">
        <v>3</v>
      </c>
      <c r="C75" s="96">
        <f>SUM(C6:C74)</f>
        <v>1285231319</v>
      </c>
      <c r="D75" s="96">
        <f>SUM(D6:D74)</f>
        <v>1340189927</v>
      </c>
      <c r="E75" s="96">
        <f>SUM(E6:E74)</f>
        <v>1312246220</v>
      </c>
      <c r="F75" s="92">
        <f>E75-D75</f>
        <v>-27943707</v>
      </c>
    </row>
    <row r="76" spans="1:6" s="94" customFormat="1" ht="12.75">
      <c r="A76" s="502"/>
      <c r="B76" s="56"/>
      <c r="C76" s="96"/>
      <c r="D76" s="96"/>
      <c r="E76" s="96"/>
      <c r="F76" s="105"/>
    </row>
    <row r="77" spans="1:6" s="94" customFormat="1" ht="12.75">
      <c r="A77" s="502"/>
      <c r="B77" s="56"/>
      <c r="C77" s="96"/>
      <c r="D77" s="96"/>
      <c r="E77" s="96"/>
      <c r="F77" s="105"/>
    </row>
    <row r="78" spans="1:6" s="94" customFormat="1" ht="12.75">
      <c r="A78" s="502"/>
      <c r="B78" s="56"/>
      <c r="C78" s="96"/>
      <c r="D78" s="96"/>
      <c r="E78" s="96"/>
      <c r="F78" s="105"/>
    </row>
    <row r="79" spans="1:6" s="94" customFormat="1" ht="12.75">
      <c r="A79" s="502"/>
      <c r="B79" s="56"/>
      <c r="C79" s="96"/>
      <c r="D79" s="96"/>
      <c r="E79" s="96"/>
      <c r="F79" s="105"/>
    </row>
    <row r="80" spans="1:6" s="94" customFormat="1" ht="12.75">
      <c r="A80" s="502"/>
      <c r="B80" s="56"/>
      <c r="C80" s="96"/>
      <c r="D80" s="96"/>
      <c r="E80" s="96"/>
      <c r="F80" s="105"/>
    </row>
    <row r="81" spans="1:6" s="95" customFormat="1" ht="15.75">
      <c r="A81" s="56" t="s">
        <v>2</v>
      </c>
      <c r="B81" s="56" t="s">
        <v>71</v>
      </c>
      <c r="C81" s="92"/>
      <c r="D81" s="92"/>
      <c r="E81" s="92"/>
      <c r="F81" s="490"/>
    </row>
    <row r="82" spans="1:6" s="94" customFormat="1" ht="16.5" customHeight="1">
      <c r="A82" s="501">
        <v>1</v>
      </c>
      <c r="B82" s="494" t="s">
        <v>204</v>
      </c>
      <c r="C82" s="495">
        <v>85119976</v>
      </c>
      <c r="D82" s="495">
        <f>85119976-930000-100000-10398114</f>
        <v>73691862</v>
      </c>
      <c r="E82" s="495">
        <f>85119976-930000-100000-10398114</f>
        <v>73691862</v>
      </c>
      <c r="F82" s="154">
        <f aca="true" t="shared" si="2" ref="F82:F104">E82-D82</f>
        <v>0</v>
      </c>
    </row>
    <row r="83" spans="1:6" s="94" customFormat="1" ht="16.5" customHeight="1">
      <c r="A83" s="501">
        <v>2</v>
      </c>
      <c r="B83" s="484" t="s">
        <v>146</v>
      </c>
      <c r="C83" s="495">
        <v>5335793</v>
      </c>
      <c r="D83" s="495">
        <f>5335793+3000000+96746</f>
        <v>8432539</v>
      </c>
      <c r="E83" s="495">
        <f>5335793+3000000+96746</f>
        <v>8432539</v>
      </c>
      <c r="F83" s="154">
        <f t="shared" si="2"/>
        <v>0</v>
      </c>
    </row>
    <row r="84" spans="1:6" s="56" customFormat="1" ht="12.75">
      <c r="A84" s="501">
        <v>3</v>
      </c>
      <c r="B84" s="482" t="s">
        <v>217</v>
      </c>
      <c r="C84" s="486">
        <v>7500000</v>
      </c>
      <c r="D84" s="486">
        <v>7500000</v>
      </c>
      <c r="E84" s="486">
        <v>12700000</v>
      </c>
      <c r="F84" s="154">
        <f t="shared" si="2"/>
        <v>5200000</v>
      </c>
    </row>
    <row r="85" spans="1:6" s="56" customFormat="1" ht="12.75">
      <c r="A85" s="501">
        <v>4</v>
      </c>
      <c r="B85" s="485" t="s">
        <v>238</v>
      </c>
      <c r="C85" s="486">
        <v>190500</v>
      </c>
      <c r="D85" s="486">
        <v>190500</v>
      </c>
      <c r="E85" s="486">
        <v>190500</v>
      </c>
      <c r="F85" s="154">
        <f t="shared" si="2"/>
        <v>0</v>
      </c>
    </row>
    <row r="86" spans="1:6" s="56" customFormat="1" ht="12.75">
      <c r="A86" s="501">
        <v>5</v>
      </c>
      <c r="B86" s="485" t="s">
        <v>243</v>
      </c>
      <c r="C86" s="486">
        <v>381000</v>
      </c>
      <c r="D86" s="486">
        <v>381000</v>
      </c>
      <c r="E86" s="486">
        <v>227177</v>
      </c>
      <c r="F86" s="154">
        <f t="shared" si="2"/>
        <v>-153823</v>
      </c>
    </row>
    <row r="87" spans="1:6" s="56" customFormat="1" ht="12.75">
      <c r="A87" s="501">
        <v>6</v>
      </c>
      <c r="B87" s="485" t="s">
        <v>239</v>
      </c>
      <c r="C87" s="486">
        <v>127000</v>
      </c>
      <c r="D87" s="486">
        <v>127000</v>
      </c>
      <c r="E87" s="486">
        <v>96469</v>
      </c>
      <c r="F87" s="154">
        <f t="shared" si="2"/>
        <v>-30531</v>
      </c>
    </row>
    <row r="88" spans="1:6" s="56" customFormat="1" ht="25.5">
      <c r="A88" s="501">
        <v>7</v>
      </c>
      <c r="B88" s="482" t="s">
        <v>203</v>
      </c>
      <c r="C88" s="486">
        <v>1267206</v>
      </c>
      <c r="D88" s="486">
        <v>1267206</v>
      </c>
      <c r="E88" s="486">
        <v>1267206</v>
      </c>
      <c r="F88" s="154">
        <f t="shared" si="2"/>
        <v>0</v>
      </c>
    </row>
    <row r="89" spans="1:6" s="56" customFormat="1" ht="12.75">
      <c r="A89" s="501">
        <v>8</v>
      </c>
      <c r="B89" s="485" t="s">
        <v>303</v>
      </c>
      <c r="C89" s="486">
        <v>4500000</v>
      </c>
      <c r="D89" s="486">
        <f>4500000+10551000+60730</f>
        <v>15111730</v>
      </c>
      <c r="E89" s="486">
        <f>4500000+10551000+60730</f>
        <v>15111730</v>
      </c>
      <c r="F89" s="154">
        <f t="shared" si="2"/>
        <v>0</v>
      </c>
    </row>
    <row r="90" spans="1:6" s="56" customFormat="1" ht="12.75">
      <c r="A90" s="500">
        <v>9</v>
      </c>
      <c r="B90" s="511" t="s">
        <v>246</v>
      </c>
      <c r="C90" s="160">
        <v>0</v>
      </c>
      <c r="D90" s="160">
        <f>15594805-198935</f>
        <v>15395870</v>
      </c>
      <c r="E90" s="160">
        <f>15594805-198935</f>
        <v>15395870</v>
      </c>
      <c r="F90" s="159">
        <f t="shared" si="2"/>
        <v>0</v>
      </c>
    </row>
    <row r="91" spans="1:6" s="56" customFormat="1" ht="12.75">
      <c r="A91" s="500">
        <v>10</v>
      </c>
      <c r="B91" s="511" t="s">
        <v>180</v>
      </c>
      <c r="C91" s="160">
        <v>0</v>
      </c>
      <c r="D91" s="160">
        <v>1500000</v>
      </c>
      <c r="E91" s="160">
        <v>1500000</v>
      </c>
      <c r="F91" s="159">
        <f t="shared" si="2"/>
        <v>0</v>
      </c>
    </row>
    <row r="92" spans="1:6" s="56" customFormat="1" ht="12.75">
      <c r="A92" s="500">
        <v>11</v>
      </c>
      <c r="B92" s="511" t="s">
        <v>252</v>
      </c>
      <c r="C92" s="160">
        <v>0</v>
      </c>
      <c r="D92" s="160">
        <v>1000000</v>
      </c>
      <c r="E92" s="160">
        <v>1000000</v>
      </c>
      <c r="F92" s="159">
        <f t="shared" si="2"/>
        <v>0</v>
      </c>
    </row>
    <row r="93" spans="1:6" s="56" customFormat="1" ht="12.75">
      <c r="A93" s="500">
        <v>12</v>
      </c>
      <c r="B93" s="511" t="s">
        <v>183</v>
      </c>
      <c r="C93" s="160">
        <v>0</v>
      </c>
      <c r="D93" s="160">
        <v>900000</v>
      </c>
      <c r="E93" s="160">
        <v>900000</v>
      </c>
      <c r="F93" s="159">
        <f t="shared" si="2"/>
        <v>0</v>
      </c>
    </row>
    <row r="94" spans="1:6" s="56" customFormat="1" ht="12.75">
      <c r="A94" s="500">
        <v>13</v>
      </c>
      <c r="B94" s="511" t="s">
        <v>253</v>
      </c>
      <c r="C94" s="160">
        <v>0</v>
      </c>
      <c r="D94" s="160">
        <f>1750000</f>
        <v>1750000</v>
      </c>
      <c r="E94" s="160">
        <f>1750000</f>
        <v>1750000</v>
      </c>
      <c r="F94" s="159">
        <f t="shared" si="2"/>
        <v>0</v>
      </c>
    </row>
    <row r="95" spans="1:6" s="56" customFormat="1" ht="12.75">
      <c r="A95" s="500">
        <v>14</v>
      </c>
      <c r="B95" s="511" t="s">
        <v>254</v>
      </c>
      <c r="C95" s="160">
        <v>0</v>
      </c>
      <c r="D95" s="160">
        <v>2000000</v>
      </c>
      <c r="E95" s="160">
        <v>2000000</v>
      </c>
      <c r="F95" s="159">
        <f t="shared" si="2"/>
        <v>0</v>
      </c>
    </row>
    <row r="96" spans="1:6" s="56" customFormat="1" ht="15" customHeight="1">
      <c r="A96" s="500">
        <v>15</v>
      </c>
      <c r="B96" s="512" t="s">
        <v>334</v>
      </c>
      <c r="C96" s="160">
        <v>0</v>
      </c>
      <c r="D96" s="160">
        <f>14300000+10050000</f>
        <v>24350000</v>
      </c>
      <c r="E96" s="160">
        <v>31878000</v>
      </c>
      <c r="F96" s="159">
        <f t="shared" si="2"/>
        <v>7528000</v>
      </c>
    </row>
    <row r="97" spans="1:6" s="56" customFormat="1" ht="12.75">
      <c r="A97" s="500">
        <v>16</v>
      </c>
      <c r="B97" s="511" t="s">
        <v>294</v>
      </c>
      <c r="C97" s="160">
        <v>0</v>
      </c>
      <c r="D97" s="160">
        <f>10001698+30000000</f>
        <v>40001698</v>
      </c>
      <c r="E97" s="160">
        <f>10001698+30000000</f>
        <v>40001698</v>
      </c>
      <c r="F97" s="159">
        <f t="shared" si="2"/>
        <v>0</v>
      </c>
    </row>
    <row r="98" spans="1:6" s="56" customFormat="1" ht="12.75">
      <c r="A98" s="501">
        <v>17</v>
      </c>
      <c r="B98" s="513" t="s">
        <v>296</v>
      </c>
      <c r="C98" s="486">
        <v>0</v>
      </c>
      <c r="D98" s="486">
        <v>2698000</v>
      </c>
      <c r="E98" s="486">
        <v>2698000</v>
      </c>
      <c r="F98" s="154">
        <f t="shared" si="2"/>
        <v>0</v>
      </c>
    </row>
    <row r="99" spans="1:6" s="56" customFormat="1" ht="25.5">
      <c r="A99" s="501">
        <v>18</v>
      </c>
      <c r="B99" s="514" t="s">
        <v>324</v>
      </c>
      <c r="C99" s="486">
        <v>0</v>
      </c>
      <c r="D99" s="486">
        <f>1920000+388475</f>
        <v>2308475</v>
      </c>
      <c r="E99" s="486">
        <f>1920000+388475</f>
        <v>2308475</v>
      </c>
      <c r="F99" s="154">
        <f t="shared" si="2"/>
        <v>0</v>
      </c>
    </row>
    <row r="100" spans="1:6" s="56" customFormat="1" ht="12.75">
      <c r="A100" s="501">
        <v>19</v>
      </c>
      <c r="B100" s="513" t="s">
        <v>302</v>
      </c>
      <c r="C100" s="486">
        <v>0</v>
      </c>
      <c r="D100" s="486">
        <f>707390</f>
        <v>707390</v>
      </c>
      <c r="E100" s="486">
        <f>707390</f>
        <v>707390</v>
      </c>
      <c r="F100" s="154">
        <f t="shared" si="2"/>
        <v>0</v>
      </c>
    </row>
    <row r="101" spans="1:6" s="56" customFormat="1" ht="12.75">
      <c r="A101" s="501">
        <v>20</v>
      </c>
      <c r="B101" s="513" t="s">
        <v>304</v>
      </c>
      <c r="C101" s="486">
        <v>0</v>
      </c>
      <c r="D101" s="486">
        <f>289000+400000</f>
        <v>689000</v>
      </c>
      <c r="E101" s="486">
        <f>289000+400000</f>
        <v>689000</v>
      </c>
      <c r="F101" s="154">
        <f t="shared" si="2"/>
        <v>0</v>
      </c>
    </row>
    <row r="102" spans="1:6" s="56" customFormat="1" ht="12.75">
      <c r="A102" s="501">
        <v>21</v>
      </c>
      <c r="B102" s="494" t="s">
        <v>318</v>
      </c>
      <c r="C102" s="486">
        <v>0</v>
      </c>
      <c r="D102" s="486">
        <v>19999889</v>
      </c>
      <c r="E102" s="486">
        <v>19999889</v>
      </c>
      <c r="F102" s="154">
        <f t="shared" si="2"/>
        <v>0</v>
      </c>
    </row>
    <row r="103" spans="1:6" s="56" customFormat="1" ht="12.75">
      <c r="A103" s="501">
        <v>22</v>
      </c>
      <c r="B103" s="513" t="s">
        <v>299</v>
      </c>
      <c r="C103" s="486">
        <v>0</v>
      </c>
      <c r="D103" s="486">
        <v>165100</v>
      </c>
      <c r="E103" s="486">
        <v>165100</v>
      </c>
      <c r="F103" s="154">
        <f t="shared" si="2"/>
        <v>0</v>
      </c>
    </row>
    <row r="104" spans="1:6" s="56" customFormat="1" ht="16.5" customHeight="1">
      <c r="A104" s="93"/>
      <c r="B104" s="91" t="s">
        <v>3</v>
      </c>
      <c r="C104" s="96">
        <f>SUM(C82:C103)</f>
        <v>104421475</v>
      </c>
      <c r="D104" s="96">
        <f>SUM(D82:D103)</f>
        <v>220167259</v>
      </c>
      <c r="E104" s="96">
        <f>SUM(E82:E103)</f>
        <v>232710905</v>
      </c>
      <c r="F104" s="92">
        <f t="shared" si="2"/>
        <v>12543646</v>
      </c>
    </row>
    <row r="105" spans="1:6" s="56" customFormat="1" ht="13.5" customHeight="1">
      <c r="A105" s="93"/>
      <c r="B105" s="91"/>
      <c r="C105" s="96"/>
      <c r="D105" s="96"/>
      <c r="E105" s="96"/>
      <c r="F105" s="92"/>
    </row>
    <row r="106" spans="1:6" s="93" customFormat="1" ht="16.5" customHeight="1">
      <c r="A106" s="56" t="s">
        <v>10</v>
      </c>
      <c r="B106" s="56" t="s">
        <v>87</v>
      </c>
      <c r="C106" s="92"/>
      <c r="D106" s="92"/>
      <c r="E106" s="92"/>
      <c r="F106" s="105"/>
    </row>
    <row r="107" spans="1:6" s="56" customFormat="1" ht="16.5" customHeight="1">
      <c r="A107" s="57" t="s">
        <v>4</v>
      </c>
      <c r="B107" s="57" t="s">
        <v>88</v>
      </c>
      <c r="C107" s="97"/>
      <c r="D107" s="97"/>
      <c r="E107" s="97"/>
      <c r="F107" s="92"/>
    </row>
    <row r="108" spans="1:6" s="56" customFormat="1" ht="16.5" customHeight="1">
      <c r="A108" s="153">
        <v>1</v>
      </c>
      <c r="B108" s="140" t="s">
        <v>12</v>
      </c>
      <c r="C108" s="141">
        <v>1165207</v>
      </c>
      <c r="D108" s="141">
        <v>1165207</v>
      </c>
      <c r="E108" s="141">
        <v>1165207</v>
      </c>
      <c r="F108" s="491">
        <f>E108-D108</f>
        <v>0</v>
      </c>
    </row>
    <row r="109" spans="1:6" s="93" customFormat="1" ht="16.5" customHeight="1">
      <c r="A109" s="153">
        <v>2</v>
      </c>
      <c r="B109" s="140" t="s">
        <v>43</v>
      </c>
      <c r="C109" s="141">
        <v>0</v>
      </c>
      <c r="D109" s="141">
        <v>0</v>
      </c>
      <c r="E109" s="141">
        <v>0</v>
      </c>
      <c r="F109" s="156">
        <f>E109-D109</f>
        <v>0</v>
      </c>
    </row>
    <row r="110" spans="1:6" s="93" customFormat="1" ht="16.5" customHeight="1">
      <c r="A110" s="56"/>
      <c r="B110" s="57" t="s">
        <v>3</v>
      </c>
      <c r="C110" s="97">
        <f>SUM(C108:C109)</f>
        <v>1165207</v>
      </c>
      <c r="D110" s="97">
        <f>SUM(D108:D109)</f>
        <v>1165207</v>
      </c>
      <c r="E110" s="97">
        <f>SUM(E108:E109)</f>
        <v>1165207</v>
      </c>
      <c r="F110" s="105">
        <f>E110-D110</f>
        <v>0</v>
      </c>
    </row>
    <row r="111" spans="1:6" s="93" customFormat="1" ht="16.5" customHeight="1">
      <c r="A111" s="57" t="s">
        <v>5</v>
      </c>
      <c r="B111" s="57" t="s">
        <v>89</v>
      </c>
      <c r="C111" s="92"/>
      <c r="D111" s="92"/>
      <c r="E111" s="92"/>
      <c r="F111" s="105"/>
    </row>
    <row r="112" spans="1:6" s="56" customFormat="1" ht="16.5" customHeight="1">
      <c r="A112" s="487">
        <v>1</v>
      </c>
      <c r="B112" s="485" t="s">
        <v>216</v>
      </c>
      <c r="C112" s="483">
        <v>5802000</v>
      </c>
      <c r="D112" s="483">
        <v>5802000</v>
      </c>
      <c r="E112" s="483">
        <v>5802000</v>
      </c>
      <c r="F112" s="489">
        <f>E112-D112</f>
        <v>0</v>
      </c>
    </row>
    <row r="113" spans="2:6" s="56" customFormat="1" ht="16.5" customHeight="1">
      <c r="B113" s="57" t="s">
        <v>3</v>
      </c>
      <c r="C113" s="97">
        <f>SUM(C112:C112)</f>
        <v>5802000</v>
      </c>
      <c r="D113" s="97">
        <f>SUM(D112:D112)</f>
        <v>5802000</v>
      </c>
      <c r="E113" s="97">
        <f>SUM(E112:E112)</f>
        <v>5802000</v>
      </c>
      <c r="F113" s="92">
        <f>E113-D113</f>
        <v>0</v>
      </c>
    </row>
    <row r="114" spans="1:6" s="93" customFormat="1" ht="16.5" customHeight="1">
      <c r="A114" s="109" t="s">
        <v>6</v>
      </c>
      <c r="B114" s="57" t="s">
        <v>90</v>
      </c>
      <c r="C114" s="92"/>
      <c r="D114" s="92"/>
      <c r="E114" s="92"/>
      <c r="F114" s="105"/>
    </row>
    <row r="115" spans="1:6" s="95" customFormat="1" ht="25.5">
      <c r="A115" s="153">
        <v>1</v>
      </c>
      <c r="B115" s="158" t="s">
        <v>236</v>
      </c>
      <c r="C115" s="141">
        <v>1466850</v>
      </c>
      <c r="D115" s="141">
        <v>1466850</v>
      </c>
      <c r="E115" s="141">
        <v>1466850</v>
      </c>
      <c r="F115" s="492">
        <f>E115-D115</f>
        <v>0</v>
      </c>
    </row>
    <row r="116" spans="1:6" s="93" customFormat="1" ht="12.75">
      <c r="A116" s="153">
        <v>2</v>
      </c>
      <c r="B116" s="140" t="s">
        <v>179</v>
      </c>
      <c r="C116" s="141">
        <v>4000000</v>
      </c>
      <c r="D116" s="141">
        <v>4000000</v>
      </c>
      <c r="E116" s="141">
        <v>4000000</v>
      </c>
      <c r="F116" s="156">
        <f>E116-D116</f>
        <v>0</v>
      </c>
    </row>
    <row r="117" spans="1:6" s="93" customFormat="1" ht="12.75">
      <c r="A117" s="153">
        <v>3</v>
      </c>
      <c r="B117" s="140" t="s">
        <v>354</v>
      </c>
      <c r="C117" s="141">
        <v>0</v>
      </c>
      <c r="D117" s="141">
        <v>0</v>
      </c>
      <c r="E117" s="141">
        <v>6442654</v>
      </c>
      <c r="F117" s="156">
        <f>E117-D117</f>
        <v>6442654</v>
      </c>
    </row>
    <row r="118" spans="2:6" s="56" customFormat="1" ht="12.75">
      <c r="B118" s="57" t="s">
        <v>3</v>
      </c>
      <c r="C118" s="97">
        <f>SUM(C115:C117)</f>
        <v>5466850</v>
      </c>
      <c r="D118" s="97">
        <f>SUM(D115:D117)</f>
        <v>5466850</v>
      </c>
      <c r="E118" s="97">
        <f>SUM(E115:E117)</f>
        <v>11909504</v>
      </c>
      <c r="F118" s="92">
        <f>E118-D118</f>
        <v>6442654</v>
      </c>
    </row>
    <row r="119" spans="1:6" s="56" customFormat="1" ht="16.5" customHeight="1">
      <c r="A119" s="98" t="s">
        <v>7</v>
      </c>
      <c r="B119" s="99" t="s">
        <v>91</v>
      </c>
      <c r="C119" s="100"/>
      <c r="D119" s="100"/>
      <c r="E119" s="100"/>
      <c r="F119" s="92"/>
    </row>
    <row r="120" spans="1:6" s="56" customFormat="1" ht="16.5" customHeight="1">
      <c r="A120" s="503">
        <v>1</v>
      </c>
      <c r="B120" s="504" t="s">
        <v>300</v>
      </c>
      <c r="C120" s="505"/>
      <c r="D120" s="505">
        <v>20314443</v>
      </c>
      <c r="E120" s="505">
        <v>0</v>
      </c>
      <c r="F120" s="156">
        <f>E120-D120</f>
        <v>-20314443</v>
      </c>
    </row>
    <row r="121" spans="1:6" s="56" customFormat="1" ht="16.5" customHeight="1">
      <c r="A121" s="101"/>
      <c r="B121" s="99" t="s">
        <v>3</v>
      </c>
      <c r="C121" s="102">
        <f>SUM(C120:C120)</f>
        <v>0</v>
      </c>
      <c r="D121" s="102">
        <f>SUM(D120:D120)</f>
        <v>20314443</v>
      </c>
      <c r="E121" s="102">
        <f>SUM(E120:E120)</f>
        <v>0</v>
      </c>
      <c r="F121" s="97">
        <f>E121-D121</f>
        <v>-20314443</v>
      </c>
    </row>
    <row r="122" spans="1:6" s="56" customFormat="1" ht="16.5" customHeight="1">
      <c r="A122" s="93"/>
      <c r="B122" s="91" t="s">
        <v>3</v>
      </c>
      <c r="C122" s="96">
        <f>C121+C118+C113+C110</f>
        <v>12434057</v>
      </c>
      <c r="D122" s="96">
        <f>D121+D118+D113+D110</f>
        <v>32748500</v>
      </c>
      <c r="E122" s="96">
        <f>E121+E118+E113+E110</f>
        <v>18876711</v>
      </c>
      <c r="F122" s="92">
        <f>E122-D122</f>
        <v>-13871789</v>
      </c>
    </row>
    <row r="123" spans="1:6" s="104" customFormat="1" ht="9.75" customHeight="1">
      <c r="A123" s="56"/>
      <c r="B123" s="56"/>
      <c r="C123" s="92"/>
      <c r="D123" s="92"/>
      <c r="E123" s="92"/>
      <c r="F123" s="161"/>
    </row>
    <row r="124" spans="2:6" s="56" customFormat="1" ht="16.5" customHeight="1">
      <c r="B124" s="91" t="s">
        <v>92</v>
      </c>
      <c r="C124" s="92">
        <f>C122+C104+C75</f>
        <v>1402086851</v>
      </c>
      <c r="D124" s="92">
        <f>D122+D104+D75</f>
        <v>1593105686</v>
      </c>
      <c r="E124" s="92">
        <f>E122+E104+E75</f>
        <v>1563833836</v>
      </c>
      <c r="F124" s="92">
        <f>E124-D124</f>
        <v>-29271850</v>
      </c>
    </row>
    <row r="125" spans="1:6" s="104" customFormat="1" ht="10.5" customHeight="1">
      <c r="A125" s="56"/>
      <c r="B125" s="91"/>
      <c r="C125" s="92"/>
      <c r="D125" s="92"/>
      <c r="E125" s="92"/>
      <c r="F125" s="161"/>
    </row>
    <row r="126" spans="1:6" s="56" customFormat="1" ht="16.5" customHeight="1">
      <c r="A126" s="56" t="s">
        <v>13</v>
      </c>
      <c r="B126" s="103" t="s">
        <v>95</v>
      </c>
      <c r="C126" s="92"/>
      <c r="D126" s="92"/>
      <c r="E126" s="92"/>
      <c r="F126" s="92"/>
    </row>
    <row r="127" spans="1:6" s="56" customFormat="1" ht="16.5" customHeight="1">
      <c r="A127" s="487">
        <v>1</v>
      </c>
      <c r="B127" s="480" t="s">
        <v>94</v>
      </c>
      <c r="C127" s="154">
        <v>0</v>
      </c>
      <c r="D127" s="154">
        <v>0</v>
      </c>
      <c r="E127" s="154">
        <v>0</v>
      </c>
      <c r="F127" s="489">
        <f>E127-D127</f>
        <v>0</v>
      </c>
    </row>
    <row r="128" spans="2:6" s="56" customFormat="1" ht="16.5" customHeight="1">
      <c r="B128" s="103" t="s">
        <v>3</v>
      </c>
      <c r="C128" s="92">
        <f>SUM(C127:C127)</f>
        <v>0</v>
      </c>
      <c r="D128" s="92">
        <f>SUM(D127:D127)</f>
        <v>0</v>
      </c>
      <c r="E128" s="92">
        <f>SUM(E127:E127)</f>
        <v>0</v>
      </c>
      <c r="F128" s="92">
        <f>E128-D128</f>
        <v>0</v>
      </c>
    </row>
    <row r="129" spans="1:6" s="93" customFormat="1" ht="16.5" customHeight="1">
      <c r="A129" s="104"/>
      <c r="B129" s="103" t="s">
        <v>93</v>
      </c>
      <c r="C129" s="92">
        <v>0</v>
      </c>
      <c r="D129" s="92">
        <v>0</v>
      </c>
      <c r="E129" s="92">
        <v>0</v>
      </c>
      <c r="F129" s="105">
        <f>E129-D129</f>
        <v>0</v>
      </c>
    </row>
    <row r="130" spans="2:6" s="93" customFormat="1" ht="8.25" customHeight="1">
      <c r="B130" s="56"/>
      <c r="C130" s="92"/>
      <c r="D130" s="92"/>
      <c r="E130" s="92"/>
      <c r="F130" s="105"/>
    </row>
    <row r="131" spans="2:6" s="93" customFormat="1" ht="11.25" customHeight="1">
      <c r="B131" s="56" t="s">
        <v>14</v>
      </c>
      <c r="C131" s="92">
        <f>C124+C129</f>
        <v>1402086851</v>
      </c>
      <c r="D131" s="92">
        <f>D124+D129</f>
        <v>1593105686</v>
      </c>
      <c r="E131" s="92">
        <f>E124+E129</f>
        <v>1563833836</v>
      </c>
      <c r="F131" s="92">
        <f>E131-D131</f>
        <v>-29271850</v>
      </c>
    </row>
    <row r="132" spans="2:6" s="93" customFormat="1" ht="11.25" customHeight="1">
      <c r="B132" s="56" t="s">
        <v>45</v>
      </c>
      <c r="C132" s="92"/>
      <c r="D132" s="92"/>
      <c r="E132" s="92"/>
      <c r="F132" s="105">
        <f>E132-D132</f>
        <v>0</v>
      </c>
    </row>
    <row r="133" spans="2:6" s="93" customFormat="1" ht="23.25" customHeight="1">
      <c r="B133" s="488" t="s">
        <v>46</v>
      </c>
      <c r="C133" s="489">
        <f>C131-C134</f>
        <v>1157609022</v>
      </c>
      <c r="D133" s="489">
        <f>D131-D134</f>
        <v>1336100270</v>
      </c>
      <c r="E133" s="489">
        <f>E131-E134</f>
        <v>1339116659</v>
      </c>
      <c r="F133" s="489">
        <f>E133-D133</f>
        <v>3016389</v>
      </c>
    </row>
    <row r="134" spans="1:6" s="93" customFormat="1" ht="11.25" customHeight="1">
      <c r="A134" s="93" t="s">
        <v>305</v>
      </c>
      <c r="B134" s="143" t="s">
        <v>44</v>
      </c>
      <c r="C134" s="144">
        <f>C120+C109+C108+C44+C45+C46+C47+C115+C49+C48+C43+C41+C117+C39+C40+C42+C50+C116</f>
        <v>244477829</v>
      </c>
      <c r="D134" s="144">
        <f>D120+D109+D108+D44+D45+D46+D47+D115+D49+D48+D43+D41+D117+D39+D40+D42+D50+D116</f>
        <v>257005416</v>
      </c>
      <c r="E134" s="144">
        <f>E120+E109+E108+E44+E45+E46+E47+E115+E49+E48+E43+E41+E117+E39+E40+E42+E50+E116</f>
        <v>224717177</v>
      </c>
      <c r="F134" s="144">
        <f>E134-D134</f>
        <v>-32288239</v>
      </c>
    </row>
    <row r="135" spans="3:6" s="93" customFormat="1" ht="11.25" customHeight="1">
      <c r="C135" s="105"/>
      <c r="D135" s="105"/>
      <c r="E135" s="105"/>
      <c r="F135" s="105"/>
    </row>
    <row r="136" spans="1:6" s="106" customFormat="1" ht="12.75">
      <c r="A136" s="93"/>
      <c r="B136" s="56" t="s">
        <v>63</v>
      </c>
      <c r="C136" s="92">
        <f>'[1]4. melléklet'!C64-C131</f>
        <v>0</v>
      </c>
      <c r="D136" s="92">
        <f>'[1]4. melléklet'!D64-D131</f>
        <v>-77647665</v>
      </c>
      <c r="E136" s="92">
        <f>'[1]4. melléklet'!E64-E131</f>
        <v>18513459</v>
      </c>
      <c r="F136" s="157"/>
    </row>
    <row r="137" spans="2:6" s="93" customFormat="1" ht="12.75">
      <c r="B137" s="56"/>
      <c r="C137" s="92"/>
      <c r="D137" s="92"/>
      <c r="E137" s="92"/>
      <c r="F137" s="105"/>
    </row>
    <row r="138" spans="1:6" s="106" customFormat="1" ht="12.75">
      <c r="A138" s="93" t="s">
        <v>120</v>
      </c>
      <c r="B138" s="56" t="s">
        <v>62</v>
      </c>
      <c r="C138" s="105"/>
      <c r="D138" s="105"/>
      <c r="E138" s="105"/>
      <c r="F138" s="157"/>
    </row>
    <row r="139" spans="1:6" s="106" customFormat="1" ht="12.75">
      <c r="A139" s="93"/>
      <c r="B139" s="135" t="s">
        <v>206</v>
      </c>
      <c r="C139" s="105">
        <v>10000000</v>
      </c>
      <c r="D139" s="105"/>
      <c r="E139" s="105"/>
      <c r="F139" s="157"/>
    </row>
    <row r="140" spans="1:6" s="106" customFormat="1" ht="12.75">
      <c r="A140" s="93"/>
      <c r="B140" s="135" t="s">
        <v>186</v>
      </c>
      <c r="C140" s="105">
        <v>6608779</v>
      </c>
      <c r="D140" s="105"/>
      <c r="E140" s="105"/>
      <c r="F140" s="157"/>
    </row>
    <row r="141" spans="1:6" s="106" customFormat="1" ht="12.75">
      <c r="A141" s="93"/>
      <c r="B141" s="135" t="s">
        <v>156</v>
      </c>
      <c r="C141" s="105">
        <v>8000000</v>
      </c>
      <c r="D141" s="105"/>
      <c r="E141" s="105"/>
      <c r="F141" s="157"/>
    </row>
    <row r="142" spans="1:7" ht="12.75">
      <c r="A142" s="93"/>
      <c r="B142" s="135" t="s">
        <v>147</v>
      </c>
      <c r="C142" s="105">
        <v>2490000</v>
      </c>
      <c r="D142" s="105"/>
      <c r="E142" s="105"/>
      <c r="F142" s="162"/>
      <c r="G142" s="132"/>
    </row>
    <row r="143" spans="1:7" ht="12.75">
      <c r="A143" s="93"/>
      <c r="B143" s="135" t="s">
        <v>149</v>
      </c>
      <c r="C143" s="134">
        <v>8636000</v>
      </c>
      <c r="D143" s="134"/>
      <c r="E143" s="134"/>
      <c r="F143" s="162"/>
      <c r="G143" s="132"/>
    </row>
    <row r="144" spans="1:7" ht="12.75">
      <c r="A144" s="93"/>
      <c r="B144" s="133" t="s">
        <v>148</v>
      </c>
      <c r="C144" s="111">
        <v>2230000</v>
      </c>
      <c r="D144" s="111"/>
      <c r="E144" s="111"/>
      <c r="F144" s="162"/>
      <c r="G144" s="132"/>
    </row>
    <row r="145" spans="1:7" ht="12.75">
      <c r="A145" s="93"/>
      <c r="B145" s="93" t="s">
        <v>181</v>
      </c>
      <c r="C145" s="111">
        <v>3810000</v>
      </c>
      <c r="D145" s="111"/>
      <c r="E145" s="111"/>
      <c r="F145" s="162"/>
      <c r="G145" s="132"/>
    </row>
    <row r="146" spans="1:7" ht="12.75">
      <c r="A146" s="93"/>
      <c r="B146" s="135" t="s">
        <v>182</v>
      </c>
      <c r="C146" s="111">
        <v>41000000</v>
      </c>
      <c r="D146" s="111"/>
      <c r="E146" s="111"/>
      <c r="F146" s="162"/>
      <c r="G146" s="132"/>
    </row>
    <row r="147" spans="1:6" ht="12.75">
      <c r="A147" s="93"/>
      <c r="B147" s="133" t="s">
        <v>234</v>
      </c>
      <c r="C147" s="134">
        <v>350000</v>
      </c>
      <c r="D147" s="134"/>
      <c r="E147" s="134"/>
      <c r="F147" s="136"/>
    </row>
    <row r="148" spans="1:6" ht="12.75">
      <c r="A148" s="93"/>
      <c r="B148" s="133" t="s">
        <v>207</v>
      </c>
      <c r="C148" s="134">
        <v>550000</v>
      </c>
      <c r="D148" s="134"/>
      <c r="E148" s="134"/>
      <c r="F148" s="136"/>
    </row>
    <row r="149" spans="1:6" ht="12.75">
      <c r="A149" s="93"/>
      <c r="B149" s="133" t="s">
        <v>215</v>
      </c>
      <c r="C149" s="134">
        <v>23707655</v>
      </c>
      <c r="D149" s="134"/>
      <c r="E149" s="134"/>
      <c r="F149" s="136"/>
    </row>
    <row r="150" spans="1:6" ht="12.75">
      <c r="A150" s="93"/>
      <c r="B150" s="133" t="s">
        <v>232</v>
      </c>
      <c r="C150" s="134">
        <v>90542364</v>
      </c>
      <c r="D150" s="134"/>
      <c r="E150" s="134"/>
      <c r="F150" s="136"/>
    </row>
    <row r="151" spans="1:7" ht="12.75">
      <c r="A151" s="56"/>
      <c r="B151" s="103" t="s">
        <v>3</v>
      </c>
      <c r="C151" s="92">
        <f>SUM(C139:C150)</f>
        <v>197924798</v>
      </c>
      <c r="D151" s="92"/>
      <c r="E151" s="92"/>
      <c r="F151" s="136"/>
      <c r="G151" t="s">
        <v>262</v>
      </c>
    </row>
  </sheetData>
  <sheetProtection/>
  <mergeCells count="2">
    <mergeCell ref="A2:C2"/>
    <mergeCell ref="A3:F3"/>
  </mergeCells>
  <printOptions/>
  <pageMargins left="0.7874015748031497" right="0.5905511811023623" top="0.35433070866141736" bottom="0.35433070866141736" header="0.31496062992125984" footer="0.31496062992125984"/>
  <pageSetup horizontalDpi="600" verticalDpi="600" orientation="portrait" paperSize="9" scale="64" r:id="rId1"/>
  <rowBreaks count="2" manualBreakCount="2">
    <brk id="77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user</cp:lastModifiedBy>
  <cp:lastPrinted>2019-05-27T06:21:35Z</cp:lastPrinted>
  <dcterms:created xsi:type="dcterms:W3CDTF">2007-11-15T07:32:30Z</dcterms:created>
  <dcterms:modified xsi:type="dcterms:W3CDTF">2019-05-30T14:01:52Z</dcterms:modified>
  <cp:category/>
  <cp:version/>
  <cp:contentType/>
  <cp:contentStatus/>
</cp:coreProperties>
</file>