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tabRatio="601" firstSheet="7" activeTab="20"/>
  </bookViews>
  <sheets>
    <sheet name="1_mell" sheetId="1" r:id="rId1"/>
    <sheet name="2_mell" sheetId="2" r:id="rId2"/>
    <sheet name="3_mell" sheetId="3" r:id="rId3"/>
    <sheet name="4_mell" sheetId="4" r:id="rId4"/>
    <sheet name="4 1_mell" sheetId="5" r:id="rId5"/>
    <sheet name="5_mell" sheetId="6" r:id="rId6"/>
    <sheet name="6_mell" sheetId="7" r:id="rId7"/>
    <sheet name="7_mell" sheetId="8" r:id="rId8"/>
    <sheet name="8_mell" sheetId="9" r:id="rId9"/>
    <sheet name="9_mell" sheetId="10" r:id="rId10"/>
    <sheet name="10_mell" sheetId="11" r:id="rId11"/>
    <sheet name="11_mell" sheetId="12" r:id="rId12"/>
    <sheet name="11 1_mell" sheetId="13" r:id="rId13"/>
    <sheet name="12_mell" sheetId="14" r:id="rId14"/>
    <sheet name="13_mell" sheetId="15" r:id="rId15"/>
    <sheet name="14_mell" sheetId="16" r:id="rId16"/>
    <sheet name="15 1_mell" sheetId="17" r:id="rId17"/>
    <sheet name="15_mell" sheetId="18" r:id="rId18"/>
    <sheet name="16_mell" sheetId="19" r:id="rId19"/>
    <sheet name="17_mell" sheetId="20" r:id="rId20"/>
    <sheet name="18_mell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0">'1_mell'!$A$1:$G$124</definedName>
    <definedName name="_xlnm.Print_Area" localSheetId="10">'10_mell'!$A$1:$L$51</definedName>
    <definedName name="_xlnm.Print_Area" localSheetId="12">'11 1_mell'!$A$1:$K$25</definedName>
    <definedName name="_xlnm.Print_Area" localSheetId="11">'11_mell'!$A$1:$N$23</definedName>
    <definedName name="_xlnm.Print_Area" localSheetId="13">'12_mell'!$A$1:$Z$79</definedName>
    <definedName name="_xlnm.Print_Area" localSheetId="14">'13_mell'!$A$1:$I$75</definedName>
    <definedName name="_xlnm.Print_Area" localSheetId="15">'14_mell'!$A$1:$D$13</definedName>
    <definedName name="_xlnm.Print_Area" localSheetId="1">'2_mell'!$A$1:$G$40</definedName>
    <definedName name="_xlnm.Print_Area" localSheetId="2">'3_mell'!$A$1:$S$39</definedName>
    <definedName name="_xlnm.Print_Area" localSheetId="3">'4_mell'!$A$1:$S$38</definedName>
    <definedName name="_xlnm.Print_Area" localSheetId="5">'5_mell'!$A$1:$E$34</definedName>
    <definedName name="_xlnm.Print_Area" localSheetId="6">'6_mell'!$A$1:$O$39</definedName>
    <definedName name="_xlnm.Print_Area" localSheetId="7">'7_mell'!$A$1:$E$55</definedName>
    <definedName name="_xlnm.Print_Area" localSheetId="8">'8_mell'!$A$1:$E$18</definedName>
    <definedName name="_xlnm.Print_Area" localSheetId="9">'9_mell'!$A$1:$I$26</definedName>
  </definedNames>
  <calcPr fullCalcOnLoad="1"/>
</workbook>
</file>

<file path=xl/sharedStrings.xml><?xml version="1.0" encoding="utf-8"?>
<sst xmlns="http://schemas.openxmlformats.org/spreadsheetml/2006/main" count="1507" uniqueCount="737">
  <si>
    <t>Intézmény/ jogcím</t>
  </si>
  <si>
    <t>Int.bev.</t>
  </si>
  <si>
    <t>Pénzm.</t>
  </si>
  <si>
    <t>Átvett pénzeszköz</t>
  </si>
  <si>
    <t>Összesen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</si>
  <si>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</si>
  <si>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</si>
  <si>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</si>
  <si>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</si>
  <si>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</si>
  <si>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</si>
  <si>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</si>
  <si>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</si>
  <si>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</si>
  <si>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</si>
  <si>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</si>
  <si>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</si>
  <si>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</si>
  <si>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</si>
  <si>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2012.er.ei.</t>
  </si>
  <si>
    <t>2.</t>
  </si>
  <si>
    <t>2012.mód.ei.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</si>
  <si>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</si>
  <si>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</si>
  <si>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</si>
  <si>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</si>
  <si>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</si>
  <si>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</si>
  <si>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</si>
  <si>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</si>
  <si>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</si>
  <si>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</si>
  <si>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</si>
  <si>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</si>
  <si>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</si>
  <si>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</si>
  <si>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</si>
  <si>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</si>
  <si>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</si>
  <si>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</si>
  <si>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</si>
  <si>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</si>
  <si>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2012. er.ei.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</si>
  <si>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</si>
  <si>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</si>
  <si>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</si>
  <si>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</si>
  <si>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</si>
  <si>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</si>
  <si>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</si>
  <si>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</si>
  <si>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</si>
  <si>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</si>
  <si>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</si>
  <si>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</si>
  <si>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</si>
  <si>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</si>
  <si>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</si>
  <si>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</si>
  <si>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</si>
  <si>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</si>
  <si>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</si>
  <si>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</si>
  <si>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</si>
  <si>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</si>
  <si>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</si>
  <si>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</si>
  <si>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</si>
  <si>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</si>
  <si>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</si>
  <si>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</si>
  <si>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</si>
  <si>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</si>
  <si>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</si>
  <si>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</si>
  <si>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 xml:space="preserve">2013. </t>
  </si>
  <si>
    <t>Iskolai étkeztetés támogatása</t>
  </si>
  <si>
    <t>Társadalom- és szociálpolitikai juttatások (eFt-ban)</t>
  </si>
  <si>
    <t>2012. évi költségvetés</t>
  </si>
  <si>
    <t>Saját forr.</t>
  </si>
  <si>
    <t>Külső forr.</t>
  </si>
  <si>
    <t>Polghiv.</t>
  </si>
  <si>
    <t>Önk.</t>
  </si>
  <si>
    <t>Rendszeres szociális segély</t>
  </si>
  <si>
    <t>Egészségkárosodottak</t>
  </si>
  <si>
    <t>FHT</t>
  </si>
  <si>
    <t xml:space="preserve">Időskorúak járadéka </t>
  </si>
  <si>
    <t>Ápolási dij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</si>
  <si>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</si>
  <si>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</si>
  <si>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</si>
  <si>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</si>
  <si>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</si>
  <si>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</si>
  <si>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</si>
  <si>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Átmeneti segély utalvány</t>
  </si>
  <si>
    <t>Szoc.étkeztetés(zsíroskenyér)</t>
  </si>
  <si>
    <t>Rendkívüli gyermekvédelmi utalvány</t>
  </si>
  <si>
    <t>Köztemetés</t>
  </si>
  <si>
    <t>Közgyógyellátás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</si>
  <si>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</si>
  <si>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</si>
  <si>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</si>
  <si>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</si>
  <si>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</si>
  <si>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Szociális segélyezés összesen</t>
  </si>
  <si>
    <t>Felhalmozási kiadások eft-ban</t>
  </si>
  <si>
    <t>Beruházási kiadás</t>
  </si>
  <si>
    <t>Battonya Város Önkormányzata felhalmozási tartalék</t>
  </si>
  <si>
    <t>Felújítási kiadás</t>
  </si>
  <si>
    <t>Beruházás</t>
  </si>
  <si>
    <t>Felújítás</t>
  </si>
  <si>
    <t>Mindösszesen</t>
  </si>
  <si>
    <t>2013.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</si>
  <si>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</si>
  <si>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</si>
  <si>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</si>
  <si>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</si>
  <si>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</si>
  <si>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</si>
  <si>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</si>
  <si>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</si>
  <si>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</si>
  <si>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</si>
  <si>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</si>
  <si>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</si>
  <si>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</si>
  <si>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</si>
  <si>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</si>
  <si>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</si>
  <si>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</si>
  <si>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</si>
  <si>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</si>
  <si>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</si>
  <si>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</si>
  <si>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</si>
  <si>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Felhalmozásra átvett</t>
  </si>
  <si>
    <t>V. Kölcsön visszatérülés</t>
  </si>
  <si>
    <t>Önkormányzati dolgozóknak nyújtott kölcsönök</t>
  </si>
  <si>
    <t>Költségvetési bevételek összesen</t>
  </si>
  <si>
    <t>Kiadások</t>
  </si>
  <si>
    <t>2.számú melléklet a 2012. évi CCIV. törvényhez</t>
  </si>
  <si>
    <t>mennyiségi egység</t>
  </si>
  <si>
    <t>új mutató</t>
  </si>
  <si>
    <t>új ft</t>
  </si>
  <si>
    <t>I.</t>
  </si>
  <si>
    <t>I.1.a)</t>
  </si>
  <si>
    <t>Önkormányzati hivatal működésének támogatása</t>
  </si>
  <si>
    <t>fő</t>
  </si>
  <si>
    <t>I.1.ab) 2013. május  1-jétől 8 havi időarányos támogatása- elismert hivatali létszám alapján</t>
  </si>
  <si>
    <t>I.1.b)</t>
  </si>
  <si>
    <t>Település-üzemeltetéshez kapcsolódó feladatellátás támogatása összesen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</si>
  <si>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</si>
  <si>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</si>
  <si>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</si>
  <si>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</t>
  </si>
  <si>
    <t>Beszámítás összege</t>
  </si>
  <si>
    <t>I.1.a)-c)(1) 2013. április 30-áig az I.1.a-c) jogcímen nyújtott éves támogatás összesen</t>
  </si>
  <si>
    <t>I.1.a)-c)(1) 2013. május 1-jétől  az I.1.a-c) jogcímen nyújtott éves támogatás összesen</t>
  </si>
  <si>
    <t xml:space="preserve">I.1.d) </t>
  </si>
  <si>
    <t>Egyéb kötelező önkormányzati feladatok támogatása</t>
  </si>
  <si>
    <t>Mindösszesen I. :</t>
  </si>
  <si>
    <t>III.</t>
  </si>
  <si>
    <t>Települési önkormányzatok szociális és gyermekjóléti feladatainak támogatása</t>
  </si>
  <si>
    <t>III.2.</t>
  </si>
  <si>
    <t>Hozzájárulás a pénzbeni szociális ellátásokhoz</t>
  </si>
  <si>
    <t>III.3.</t>
  </si>
  <si>
    <t>Egyes szociális és gyermekjóléti feladatok támogatása</t>
  </si>
  <si>
    <t>III.3.ab(1) 70000fő lakosságszámig működési engedéllyel családsegítés</t>
  </si>
  <si>
    <t>III.3.ab(1) 70000fő lakosságszámig működési engedéllyel gyermekjóléti szolgálat</t>
  </si>
  <si>
    <t>III.3.c(1) szociális étkeztetés</t>
  </si>
  <si>
    <t>III.3.d(1) házi segítségnyújtás</t>
  </si>
  <si>
    <t>III.3.f(1) időskorúak nappali intézményi ellátása</t>
  </si>
  <si>
    <t>III.3.g(1) fogyatékos személyek nappali intézményi ellátása</t>
  </si>
  <si>
    <t>Mindösszesen  III  :</t>
  </si>
  <si>
    <t>IV.</t>
  </si>
  <si>
    <t>Könyvtári, közművelődési és múzeumi feladatok támogatása</t>
  </si>
  <si>
    <t>fö</t>
  </si>
  <si>
    <t>Mindösszesen 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</si>
  <si>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</si>
  <si>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</si>
  <si>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</si>
  <si>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</si>
  <si>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</si>
  <si>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</si>
  <si>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</si>
  <si>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</si>
  <si>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</si>
  <si>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</si>
  <si>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</si>
  <si>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</si>
  <si>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</si>
  <si>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</si>
  <si>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</si>
  <si>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</si>
  <si>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Pénzügyi befektetés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</si>
  <si>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</si>
  <si>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</si>
  <si>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</si>
  <si>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</si>
  <si>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</si>
  <si>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</si>
  <si>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</si>
  <si>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</si>
  <si>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</si>
  <si>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</si>
  <si>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</si>
  <si>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</si>
  <si>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</si>
  <si>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</si>
  <si>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</si>
  <si>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</si>
  <si>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</si>
  <si>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</si>
  <si>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</si>
  <si>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</si>
  <si>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</si>
  <si>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</si>
  <si>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</si>
  <si>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</si>
  <si>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</si>
  <si>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Felhalmozási célú kötvény törlesztése</t>
  </si>
  <si>
    <t>Felhalmozási c.hitel törlesztése</t>
  </si>
  <si>
    <t>Finanszírozási műveletek</t>
  </si>
  <si>
    <t>Felhalmozási c. hitel törlesztése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</si>
  <si>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</si>
  <si>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</si>
  <si>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</si>
  <si>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</si>
  <si>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</si>
  <si>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</si>
  <si>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 xml:space="preserve">2011. dec.havi alapill. </t>
  </si>
  <si>
    <t>ft*1 hó</t>
  </si>
  <si>
    <t>Ft*11 hó</t>
  </si>
  <si>
    <t>Nem rendszeres személyi juttatás</t>
  </si>
  <si>
    <t>munkábajárás ktsg-e</t>
  </si>
  <si>
    <t>21 nap*36 km*9Ft/km*12 hó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</si>
  <si>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</si>
  <si>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</si>
  <si>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</si>
  <si>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</si>
  <si>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</si>
  <si>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Járulék összesen</t>
  </si>
  <si>
    <t>Dologi kiadás</t>
  </si>
  <si>
    <t>irodaszer</t>
  </si>
  <si>
    <t>Könyv, folyóirat, egyéb inf.hord.</t>
  </si>
  <si>
    <t>szakmai lapok, DVD, CD</t>
  </si>
  <si>
    <t>Szakmai anyag</t>
  </si>
  <si>
    <t>Kisértékű TE</t>
  </si>
  <si>
    <t>telefon</t>
  </si>
  <si>
    <t xml:space="preserve">mobil </t>
  </si>
  <si>
    <t>3*2000Ft/hó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</si>
  <si>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</si>
  <si>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</si>
  <si>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</si>
  <si>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</si>
  <si>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</si>
  <si>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</si>
  <si>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</si>
  <si>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</si>
  <si>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</si>
  <si>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50000ft/hó</t>
  </si>
  <si>
    <t>pszichológus 40000Ft/hó</t>
  </si>
  <si>
    <t>továbbképzés</t>
  </si>
  <si>
    <t>előadók díja</t>
  </si>
  <si>
    <t>belföldi kiküldetés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</si>
  <si>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</si>
  <si>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</si>
  <si>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</si>
  <si>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</si>
  <si>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</si>
  <si>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</si>
  <si>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Önkormányzat</t>
  </si>
  <si>
    <t>Battonya Város Polgármesteri Hivatala és Battonya Város Önkormányzata kiadásai szakfeladatonként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</si>
  <si>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</si>
  <si>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</si>
  <si>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</si>
  <si>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</si>
  <si>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</si>
  <si>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</si>
  <si>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</si>
  <si>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</si>
  <si>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</si>
  <si>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</si>
  <si>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</si>
  <si>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</si>
  <si>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</si>
  <si>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</si>
  <si>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</si>
  <si>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</si>
  <si>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</si>
  <si>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( tájékoztató adat)</t>
  </si>
  <si>
    <t>Gyerekház támogatása</t>
  </si>
  <si>
    <t>2012-ben 8950 eft. Előtörlesztés</t>
  </si>
  <si>
    <t>Folyószámla hitel átváltás hosszú lejáratú hitelnek</t>
  </si>
  <si>
    <t>10 éves futamidőre</t>
  </si>
  <si>
    <t>Strandfürdő működési támogatás</t>
  </si>
  <si>
    <t>Sportegyesület támogatása</t>
  </si>
  <si>
    <t xml:space="preserve">  -ingatlan értékesítés</t>
  </si>
  <si>
    <t>Ingatlan értékesítés, vagyon hasznosítása</t>
  </si>
  <si>
    <t>Egészségügyi és Szociális Ellátó Szervezet</t>
  </si>
  <si>
    <t>2012. ÉVI SZÖVEGES KÖLTSÉGVETÉS ÖSSZESÍTŐ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</si>
  <si>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</si>
  <si>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</si>
  <si>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</si>
  <si>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</si>
  <si>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</si>
  <si>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</si>
  <si>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</si>
  <si>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</si>
  <si>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</si>
  <si>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</si>
  <si>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</si>
  <si>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</si>
  <si>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</si>
  <si>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</si>
  <si>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</si>
  <si>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</si>
  <si>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</si>
  <si>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</si>
  <si>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</si>
  <si>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</si>
  <si>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</si>
  <si>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</si>
  <si>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</si>
  <si>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</si>
  <si>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</si>
  <si>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</si>
  <si>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</si>
  <si>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</si>
  <si>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</si>
  <si>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</si>
  <si>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</si>
  <si>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</si>
  <si>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</si>
  <si>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</si>
  <si>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</si>
  <si>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Járulék alap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</si>
  <si>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</si>
  <si>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</si>
  <si>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</si>
  <si>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</si>
  <si>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</si>
  <si>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</si>
  <si>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</si>
  <si>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Közfoglalkoztatás saját forrás</t>
  </si>
  <si>
    <t>átadott peszk.műk.</t>
  </si>
  <si>
    <t>átadott peszk. felhalm..</t>
  </si>
  <si>
    <t>hitel törl.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</si>
  <si>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</si>
  <si>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</si>
  <si>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</si>
  <si>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</si>
  <si>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</si>
  <si>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</si>
  <si>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</si>
  <si>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</si>
  <si>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</si>
  <si>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</si>
  <si>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</si>
  <si>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</si>
  <si>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</si>
  <si>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</si>
  <si>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</si>
  <si>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</si>
  <si>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</si>
  <si>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</si>
  <si>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</si>
  <si>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Sor-szám</t>
  </si>
  <si>
    <t>Állami támogatás ft-ban</t>
  </si>
  <si>
    <t>Battonyai Polgármesteri Hivatal</t>
  </si>
  <si>
    <t>Strandfürdő támogatás</t>
  </si>
  <si>
    <t>intézmény</t>
  </si>
  <si>
    <t>mindösszesen</t>
  </si>
  <si>
    <t>2013. évi er.ei.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</si>
  <si>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</si>
  <si>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</si>
  <si>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</si>
  <si>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</si>
  <si>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</si>
  <si>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</si>
  <si>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</si>
  <si>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</si>
  <si>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</si>
  <si>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</si>
  <si>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</si>
  <si>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</si>
  <si>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</si>
  <si>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</si>
  <si>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2013. évi előirányzat</t>
  </si>
  <si>
    <t>Felhalmozási és tőkejellegű bevételek( saját bevételek)</t>
  </si>
  <si>
    <t>Dologi kiadások, és mg-i ügyintéző</t>
  </si>
  <si>
    <t>Technikai szakfeladat</t>
  </si>
  <si>
    <t xml:space="preserve">Fizikoterápia </t>
  </si>
  <si>
    <t xml:space="preserve">B </t>
  </si>
  <si>
    <t>32.</t>
  </si>
  <si>
    <t>33.</t>
  </si>
  <si>
    <t>34.</t>
  </si>
  <si>
    <t>K</t>
  </si>
  <si>
    <t>L</t>
  </si>
  <si>
    <t xml:space="preserve">A </t>
  </si>
  <si>
    <t>M</t>
  </si>
  <si>
    <t>jogcím/ intézmény</t>
  </si>
  <si>
    <t>Üdülőhelyi feladatok</t>
  </si>
  <si>
    <t>Mindösszesen ft-ban</t>
  </si>
  <si>
    <t xml:space="preserve">I </t>
  </si>
  <si>
    <t>mód.ei.</t>
  </si>
  <si>
    <t>Szennyvízberuházáshoz EU forrás (KEOP-7.1.0/11)</t>
  </si>
  <si>
    <t>mód. ei.</t>
  </si>
  <si>
    <t>Felhalmozási c. kötvény törl. első félévi</t>
  </si>
  <si>
    <t>Felhalmozási c. kötvény törl. második félévi 50%</t>
  </si>
  <si>
    <t>35.</t>
  </si>
  <si>
    <t>Battonyai Polgárőr Egyesület</t>
  </si>
  <si>
    <t>Battonyai Önkéntes Tűzoltó Egyesület</t>
  </si>
  <si>
    <t>Költségvetési szervtől támogatás</t>
  </si>
  <si>
    <t>XI.</t>
  </si>
  <si>
    <t>Kölcsön nyújtás</t>
  </si>
  <si>
    <t>2013.mód.ei</t>
  </si>
  <si>
    <t>2013.évi mód.ei.</t>
  </si>
  <si>
    <t>2013. évi felhalmozási bevételek és kiadások bemutatása mérlegszerűen, eft-ban</t>
  </si>
  <si>
    <t>Térfigyelő kamera saját forrás ( 54/2013.(IV.05.) Kt.h.</t>
  </si>
  <si>
    <t xml:space="preserve">6. </t>
  </si>
  <si>
    <t>Intézményi alulfinanszírozás</t>
  </si>
  <si>
    <t>2012. évi pénzmaradvány ( felzárkóztató támogatás)</t>
  </si>
  <si>
    <t>36.</t>
  </si>
  <si>
    <t>Pénzmaradvány</t>
  </si>
  <si>
    <t>Orvosi ügyelet</t>
  </si>
  <si>
    <t>MAZSIHISZ támogatása</t>
  </si>
  <si>
    <t>Közmunka pályázat</t>
  </si>
  <si>
    <t>TÁMOP okt.int.vez. Támogatás visszaut.</t>
  </si>
  <si>
    <t>Központosított támogatás</t>
  </si>
  <si>
    <t xml:space="preserve">  - gyerekházak támogatása</t>
  </si>
  <si>
    <t xml:space="preserve">  - határátkelőhelyek támogatása</t>
  </si>
  <si>
    <t>Egyes jövpótló támogatás</t>
  </si>
  <si>
    <t>Számítógépek felújítása</t>
  </si>
  <si>
    <t>Kollégium konyha felújítása bérbeszámításból</t>
  </si>
  <si>
    <t>Egészségügyi és Szoc.Ell.Szerv. Pályázati elszámolás</t>
  </si>
  <si>
    <t>Egészségügyi és Szoc.Ell.Szervezet pályázat</t>
  </si>
  <si>
    <t xml:space="preserve">  - érdekeltségnövelő támogatás</t>
  </si>
  <si>
    <t xml:space="preserve">  - ingyenes nyári gyermekétkeztetés</t>
  </si>
  <si>
    <t>Egyház nyári gyermekétkeztetés támogatása</t>
  </si>
  <si>
    <t xml:space="preserve">  - szociális segélyezés</t>
  </si>
  <si>
    <t xml:space="preserve">  - bérkompenzáció</t>
  </si>
  <si>
    <t>TANODA pályázat TÁMOP-3.3.7-09/1-2009-0002 pályázat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</si>
  <si>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</si>
  <si>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</si>
  <si>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</si>
  <si>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</si>
  <si>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</si>
  <si>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</si>
  <si>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</si>
  <si>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</si>
  <si>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</si>
  <si>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</si>
  <si>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</si>
  <si>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</si>
  <si>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</si>
  <si>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</si>
  <si>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</si>
  <si>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</si>
  <si>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</si>
  <si>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Szerkezetátalakítási tartalék</t>
  </si>
  <si>
    <t>Egyéb működési célú központi támogatás</t>
  </si>
  <si>
    <t>Működési célú támogatás</t>
  </si>
  <si>
    <t>Felhalmozási célú támogatás</t>
  </si>
  <si>
    <t xml:space="preserve">  - könyvtári érdekeltségnövelő támogatás</t>
  </si>
  <si>
    <t xml:space="preserve">  - a./ beszámítás</t>
  </si>
  <si>
    <t xml:space="preserve">  - d./ szoc. és gyem.jóléti alapell.kieg</t>
  </si>
  <si>
    <t xml:space="preserve">  - létszámcsökkentési támogatás</t>
  </si>
  <si>
    <t>Érdekeltségnövelő támogatás</t>
  </si>
  <si>
    <t xml:space="preserve">Természetbeni juttatás ( Erzsébet utalvány) </t>
  </si>
  <si>
    <t>Erzsébet utalvány</t>
  </si>
  <si>
    <t>Mentortanári pályázat elszámolása</t>
  </si>
  <si>
    <t>MÁV közmunka önerő</t>
  </si>
  <si>
    <t>56.</t>
  </si>
  <si>
    <t>57.</t>
  </si>
  <si>
    <t>58.</t>
  </si>
  <si>
    <t>59.</t>
  </si>
  <si>
    <t>60.</t>
  </si>
  <si>
    <t>61.</t>
  </si>
  <si>
    <t>62.</t>
  </si>
  <si>
    <t>Battonya, Fő u. 52. szolgálati lakás szennyvízbekötés 129/2013.(IX.12.) Kt.határozat</t>
  </si>
  <si>
    <t>Battonya, Fő u. 58. szolgálati lakás szennyvízbekötés 130/2013.(IX.12.) Kt.határozat</t>
  </si>
  <si>
    <t>Pannon Holt-tenger Kft.</t>
  </si>
  <si>
    <t>Városi Műv.Központ és Könyvtár pályázat</t>
  </si>
  <si>
    <t>Pályázat</t>
  </si>
  <si>
    <t>Battonya, Fő u. 62. szolgálati lakás szennyvízbekötés .../2013.(IX.16.) Kt.határozat</t>
  </si>
  <si>
    <t xml:space="preserve">  - múzeális intézmények</t>
  </si>
  <si>
    <t>Szennyvízberuházás pályázati előleg</t>
  </si>
  <si>
    <t>63.</t>
  </si>
  <si>
    <t>64.</t>
  </si>
  <si>
    <t>65.</t>
  </si>
  <si>
    <t>66.</t>
  </si>
  <si>
    <t>Önkormányzat KEOP-7.1.0./11 pályázat szennyvízberuházás saját forrás és pályázati előleg</t>
  </si>
  <si>
    <t>Városi Műv.Központ és Könyvtár diákmunka</t>
  </si>
  <si>
    <t>Városi Műv.Központ és Könyvtár idegen nyelvi oktatás pályázat</t>
  </si>
  <si>
    <t>Városi Művelődési Központ és Könyvtár pályázati támogatás megelőlegezése</t>
  </si>
  <si>
    <t>Városellátó Szervezet diákmunka</t>
  </si>
  <si>
    <t>Városellátó Szervezet étkeztetésre adomány</t>
  </si>
  <si>
    <t>Számítógép</t>
  </si>
  <si>
    <t>Polgármesteri Hivatalnak pályázati megelőlegezés</t>
  </si>
  <si>
    <t>Polgármesteri Hivatal diákmunka</t>
  </si>
  <si>
    <t>Számítástechnikai eszközök</t>
  </si>
  <si>
    <t>Számítástechnikai eszközök felújítása</t>
  </si>
  <si>
    <t>Rendszeres pénzbeni szociális segély</t>
  </si>
  <si>
    <t>Egyéb bírság</t>
  </si>
  <si>
    <t xml:space="preserve"> -váll.kommunális adó</t>
  </si>
  <si>
    <t>Vízmű felújítása</t>
  </si>
  <si>
    <t>Működési célú</t>
  </si>
  <si>
    <t>Felhalmozási célú</t>
  </si>
  <si>
    <t xml:space="preserve">  - Erzsébet utalvány</t>
  </si>
  <si>
    <t>TANODA pályázat TÁMOP-3.3.7-09/1-2009-0002 pályázat 2013. évi előleg rendezése</t>
  </si>
  <si>
    <t>Magánszemély támogatása</t>
  </si>
  <si>
    <t>ÖNHIKI pályázat</t>
  </si>
  <si>
    <t xml:space="preserve">  - EU önerő szennyvíz beruházás</t>
  </si>
  <si>
    <t xml:space="preserve">  - átmeneti ivóvíz ellátás támogatása</t>
  </si>
  <si>
    <t xml:space="preserve">  - folyékony hulladék ártalmatlanítása</t>
  </si>
  <si>
    <t xml:space="preserve">  - 2012. december havi bérkompenzáció</t>
  </si>
  <si>
    <t xml:space="preserve">  - üdülőhelyi feladatok</t>
  </si>
  <si>
    <t>37.</t>
  </si>
  <si>
    <t>38.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</si>
  <si>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</si>
  <si>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</si>
  <si>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</si>
  <si>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</si>
  <si>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</si>
  <si>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</si>
  <si>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</si>
  <si>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</si>
  <si>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</si>
  <si>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</si>
  <si>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</si>
  <si>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</si>
  <si>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</si>
  <si>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</si>
  <si>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</si>
  <si>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</si>
  <si>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</si>
  <si>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</si>
  <si>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</si>
  <si>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  - óvodáztatási támogatás</t>
  </si>
  <si>
    <t>30</t>
  </si>
  <si>
    <t>2013. évi mód.ei.</t>
  </si>
  <si>
    <t>pályázat</t>
  </si>
  <si>
    <t>felh.átvett p.</t>
  </si>
  <si>
    <t>kölcsönny</t>
  </si>
  <si>
    <t>Város és községgazd.</t>
  </si>
  <si>
    <t>KEOP pályázat</t>
  </si>
  <si>
    <t>Technikai finansz,</t>
  </si>
  <si>
    <t>Segélyek</t>
  </si>
  <si>
    <t>Pályázatok</t>
  </si>
  <si>
    <t>költ.besz.</t>
  </si>
  <si>
    <t>2013. évi besz.</t>
  </si>
  <si>
    <t>besz.</t>
  </si>
  <si>
    <t>2013.évi költ.besz.</t>
  </si>
  <si>
    <t>ei.</t>
  </si>
  <si>
    <t>telj.</t>
  </si>
  <si>
    <t>2013. évi telj.</t>
  </si>
  <si>
    <t>Pénzmaradvány kimutatás eft-ban</t>
  </si>
  <si>
    <t>Polgármesteri Hivatala</t>
  </si>
  <si>
    <t>Battonya Városi Önkormányzat Városellátó Szervezet</t>
  </si>
  <si>
    <t>Battonya Városi Önk. Egészségügyi és Szociális Ellátó Szervezet</t>
  </si>
  <si>
    <t>jogcímek</t>
  </si>
  <si>
    <t>tárgyév</t>
  </si>
  <si>
    <t>előző év</t>
  </si>
  <si>
    <t>tárgy év</t>
  </si>
  <si>
    <t>Hosszú lejáratú kv-i betétszámlák záró egyenlege</t>
  </si>
  <si>
    <t>Bankszámlák záró pénzkészlet</t>
  </si>
  <si>
    <t>A.  Záró pénzkészlet</t>
  </si>
  <si>
    <t>Forgatási c.értékpapír záró egyenlege</t>
  </si>
  <si>
    <t>Rövid lejáratú likvid hitelek záró állománya</t>
  </si>
  <si>
    <t>B. Forgatási célú finanszírozási műveletek egyenlege</t>
  </si>
  <si>
    <t>aktív függő</t>
  </si>
  <si>
    <t>aktív átfutó</t>
  </si>
  <si>
    <t>aktív kiegyenlítő</t>
  </si>
  <si>
    <t>aktív elszámolások záró egyenlege</t>
  </si>
  <si>
    <t>passzív függő</t>
  </si>
  <si>
    <t>passzív átfutó</t>
  </si>
  <si>
    <t>passzív elszámolások záró egyenlege</t>
  </si>
  <si>
    <t>C. Egyéb aktív és passzív pénzügyi elszámolások összesen</t>
  </si>
  <si>
    <t>előző években képzett tart. maradv.</t>
  </si>
  <si>
    <t>D. Előző években képzett tartalékok maradványa</t>
  </si>
  <si>
    <t>E. Vállalkozási tevékenység pénzforgalmi váll.maradványa</t>
  </si>
  <si>
    <t>F. Tárgyévi helyesbített pénzmaradvány</t>
  </si>
  <si>
    <t>int. kv-i befiz.többltám. miatt</t>
  </si>
  <si>
    <t>kv-i befizetés többltám. miatt</t>
  </si>
  <si>
    <t>kiutalás kiutalatlan int. tám.miatt</t>
  </si>
  <si>
    <t>kv-i kiutalás kiutalatlan tám. miatt</t>
  </si>
  <si>
    <t>G. Finanszírozásból származó korrekciók</t>
  </si>
  <si>
    <t>H. Pénzmaradványt terhelő elvonások</t>
  </si>
  <si>
    <t>I. Költségvetési pénzmaradvány</t>
  </si>
  <si>
    <t>külön jogszabály alapján módosító</t>
  </si>
  <si>
    <t>J. Módosított pénzmaradvány</t>
  </si>
  <si>
    <t>a 31. sorból   - MEP maradvány</t>
  </si>
  <si>
    <t>Kötelezettséggel terhelt pm.</t>
  </si>
  <si>
    <t xml:space="preserve">   ebből működési célú</t>
  </si>
  <si>
    <t xml:space="preserve">             felhalmozási célú</t>
  </si>
  <si>
    <t>Szabad pénzmaradvány</t>
  </si>
  <si>
    <t>Pénzkészlet változása eft-ban</t>
  </si>
  <si>
    <t>Nyitó pénzkészlet bankszámlán</t>
  </si>
  <si>
    <t>Devizabetét számlák egyenlege</t>
  </si>
  <si>
    <t>Nyitó pénzkészlet pénztárban</t>
  </si>
  <si>
    <t>Nyitó pénzkészlet összesen</t>
  </si>
  <si>
    <t>Záró pénzkészlet bankszámlán</t>
  </si>
  <si>
    <t>Záró pénzkészlet pénztárban</t>
  </si>
  <si>
    <t>Záró pénzkészlet összesen</t>
  </si>
  <si>
    <t>1./</t>
  </si>
  <si>
    <t>2./</t>
  </si>
  <si>
    <t>3/</t>
  </si>
  <si>
    <t>TÁMOP-3.3.7-09/1-2009-0008</t>
  </si>
  <si>
    <t>Mentortanári munkacsoport létrehozás a Battonyai Szent István Általános Iskolában</t>
  </si>
  <si>
    <t>TÁMOP-3.3.7-09/1-2009-0002</t>
  </si>
  <si>
    <t>Tanoda létrehozása a minőségi és esélyteremtő közoktatás megteremtése érdekében</t>
  </si>
  <si>
    <t>a mezőkovácsházi kistérségben</t>
  </si>
  <si>
    <t>TÁMOP-5.2.5.B-10/02-2010-0163</t>
  </si>
  <si>
    <t>Gyermekek és fiatalok társadalmi integrációját segítő programok a leghátrányosabb helyzetű mezőkovácsházi kistérségben</t>
  </si>
  <si>
    <t>Mérlegben kimutatott követelések eft-ban</t>
  </si>
  <si>
    <t>ref.</t>
  </si>
  <si>
    <t>Vevők</t>
  </si>
  <si>
    <t>Adósok</t>
  </si>
  <si>
    <t>Rövid lejáratra adott kölcsönök</t>
  </si>
  <si>
    <t>Egyéb követelések</t>
  </si>
  <si>
    <t>Tartósan adott kölcsön</t>
  </si>
  <si>
    <t>jogcímek/intézmény</t>
  </si>
  <si>
    <t>Városi Önkormányzat</t>
  </si>
  <si>
    <t>ESZKÖZÖK</t>
  </si>
  <si>
    <t>Immateriális javak</t>
  </si>
  <si>
    <t>Tárgyi eszközök</t>
  </si>
  <si>
    <t>Befektetett pénzügyi eszközök</t>
  </si>
  <si>
    <t>Üzemeltetésre átadott</t>
  </si>
  <si>
    <t>Befektetett eszközök összesen</t>
  </si>
  <si>
    <t>Készletek összesen</t>
  </si>
  <si>
    <t>Követelések összesen</t>
  </si>
  <si>
    <t>Értékpapírok összesen</t>
  </si>
  <si>
    <t>Pénzeszközök összesen</t>
  </si>
  <si>
    <t>Egyéb aktív pénzügyi elszámolások összesen</t>
  </si>
  <si>
    <t>Forgóeszközök összesen</t>
  </si>
  <si>
    <t>ESZKÖZÖK ÖSSZESEN</t>
  </si>
  <si>
    <t>FORRÁSOK</t>
  </si>
  <si>
    <t>Tartós tőke</t>
  </si>
  <si>
    <t>Tőkeváltozás</t>
  </si>
  <si>
    <t>Saját tőke összesen</t>
  </si>
  <si>
    <t>Ktgvetési tartalék</t>
  </si>
  <si>
    <t>Vállalkozási tartalék</t>
  </si>
  <si>
    <t>Tartalékok összesen</t>
  </si>
  <si>
    <t>Hosszú lejáratú köt.összesen</t>
  </si>
  <si>
    <t>Rövidlejáratú kötelezettségek összesen</t>
  </si>
  <si>
    <t>Egyéb passzív pénzügyi elszámolások</t>
  </si>
  <si>
    <t>Kötelezettségek összesen</t>
  </si>
  <si>
    <t>FORRÁSOK ÖSSZESEN</t>
  </si>
  <si>
    <t>Konszolidáció</t>
  </si>
  <si>
    <t>Rövid-lej.hitel törlesztése</t>
  </si>
  <si>
    <t>2013. évben érkezett támogatás</t>
  </si>
  <si>
    <t>sajátos</t>
  </si>
  <si>
    <t>közhatalmi</t>
  </si>
  <si>
    <t>állami tám.</t>
  </si>
  <si>
    <t>finansz. bev.</t>
  </si>
  <si>
    <t>int.finansz</t>
  </si>
  <si>
    <t>kezdő pénzk.</t>
  </si>
  <si>
    <t>záró pk.</t>
  </si>
  <si>
    <t>kiad.össz</t>
  </si>
  <si>
    <t>finansz.kiadás</t>
  </si>
  <si>
    <t>függő kiadás</t>
  </si>
  <si>
    <t>kölcsön ny.</t>
  </si>
  <si>
    <t>Int. finansz.</t>
  </si>
  <si>
    <t>függő bev.</t>
  </si>
  <si>
    <t>Bev. Össz.</t>
  </si>
  <si>
    <t>Függő, átfutó, kiegyenlítő bevétel</t>
  </si>
  <si>
    <t>Függő, átfutó, kiegyenlítő kiadás</t>
  </si>
  <si>
    <t>Záró pénzkészlet</t>
  </si>
  <si>
    <t xml:space="preserve">  -egyéb pénzügyi befektetés ( osztalék )</t>
  </si>
  <si>
    <t>Egészségügyi és Szoc.Ell. Diákmunka</t>
  </si>
  <si>
    <t>Pótlék, bírság ( adópótlék, adóbírság)</t>
  </si>
  <si>
    <t>Igazgatásszolgáltatási díj</t>
  </si>
  <si>
    <t>Egyéb közhatalmi bevétel</t>
  </si>
  <si>
    <t>2013. költ.besz források</t>
  </si>
  <si>
    <t>Bevétel mindösszesen</t>
  </si>
  <si>
    <t>Kiadás mindösszesen</t>
  </si>
  <si>
    <t>Rövid-lej.hitel felvétele</t>
  </si>
  <si>
    <t>Belvízvédelmi terv</t>
  </si>
  <si>
    <t>Könyvelési program</t>
  </si>
  <si>
    <t>Polgármesteri Hivatal TÁMOP-5.2.5/B-10/2-2010-0163 Gyermekek és fiatalok pályázat</t>
  </si>
  <si>
    <t>Polgármesteri Hivatal TÁMOP-5.2.5/B-10/2-2010-0163 Gyermekek és fiatalok pályázathoz támogatás megelőlegezése</t>
  </si>
  <si>
    <t>Pályázati önerő DBKTT</t>
  </si>
  <si>
    <t>2012 és 2013. évi tagdíj DBKTT</t>
  </si>
  <si>
    <t>DBKTT belső ellenőrzési díj</t>
  </si>
  <si>
    <t>KEOP-7.1.1.1 önerő DAREH</t>
  </si>
  <si>
    <t>Felhalmozási célú pénzmaradvány igénybevétele</t>
  </si>
  <si>
    <t>Könyvtári érdekeltségnövelő támogatás</t>
  </si>
  <si>
    <t>Múzeális intézmények központosított támogatás</t>
  </si>
  <si>
    <t>Felhalmozási célú kamat (80milió hitel)</t>
  </si>
  <si>
    <t>Európai Uniós forrásból megvalósult pályázatok eft-ban 2013.évi pénzforgalom</t>
  </si>
  <si>
    <t>Kiadás</t>
  </si>
  <si>
    <t>Kiadás ( támogatás elszámolása, visszafizetés )</t>
  </si>
  <si>
    <t>2013. évi mérleg összesen eft-ban</t>
  </si>
  <si>
    <t>Elszámolás</t>
  </si>
  <si>
    <t>Elszámolás  mindösszesen ( pótigény)</t>
  </si>
  <si>
    <r>
      <t>I.1.aa) 2013. év</t>
    </r>
    <r>
      <rPr>
        <sz val="10"/>
        <rFont val="Arial"/>
        <family val="0"/>
      </rPr>
      <t xml:space="preserve"> első négy hónapjának átmeneti támogatása- elismert hivatali létszám alapján</t>
    </r>
  </si>
  <si>
    <t>Beszámoló összesen</t>
  </si>
  <si>
    <t xml:space="preserve">Városi Műv.Központ és Könyvtár </t>
  </si>
  <si>
    <t>Pénzmaradvány átvétel összesen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</si>
  <si>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</si>
  <si>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</si>
  <si>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</si>
  <si>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</si>
  <si>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</si>
  <si>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</si>
  <si>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</si>
  <si>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</si>
  <si>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</si>
  <si>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</si>
  <si>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</si>
  <si>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</si>
  <si>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</si>
  <si>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Önk.mindösszesen 2013.év</t>
  </si>
  <si>
    <t>Önk.mindösszesen 2012. év</t>
  </si>
  <si>
    <t>telj%</t>
  </si>
  <si>
    <t>telj.%</t>
  </si>
  <si>
    <t>Karbantartási anyag</t>
  </si>
  <si>
    <t>Készlet</t>
  </si>
  <si>
    <t>Egyéb komunikációs szolg.</t>
  </si>
  <si>
    <t>Vásárolt élelmezés</t>
  </si>
  <si>
    <t>Bérlet és lízingdíj</t>
  </si>
  <si>
    <t>Egyéb üzemeltetési szolg.</t>
  </si>
  <si>
    <t>Egyéb dologi kiadás</t>
  </si>
  <si>
    <t>Egyéb díjak, befizetések</t>
  </si>
  <si>
    <t xml:space="preserve"> -egyéb sajátos ( vagyonhasznosítás,vízmű bérleti díj áfa nélkül)</t>
  </si>
  <si>
    <t>Kezdő pénzkészlet</t>
  </si>
  <si>
    <t>Helyi Önkormányzatok működésének általános támogatása</t>
  </si>
  <si>
    <t>I.1.ba) A zöldterület-gazdálkodással kapcsolatos feladatok ellátásának támogatása</t>
  </si>
  <si>
    <t>2013. április 01-től félévente 0,0333 CHF -2027. október 01-ig</t>
  </si>
  <si>
    <t>2010. és 2011. évben megvalósult beruházásokhoz kapcsolódó önk.saját erő finanszírozása</t>
  </si>
  <si>
    <t xml:space="preserve"> Külsős megbízási díj,és további jogviszony</t>
  </si>
  <si>
    <t>Pénztárak és betétkönyvek</t>
  </si>
  <si>
    <t>passzív kiegyenlítő</t>
  </si>
  <si>
    <t>vállakozás pénzforgalmi eredménye</t>
  </si>
  <si>
    <t xml:space="preserve"> vállalkozási tevékenység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</si>
</sst>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2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CE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2"/>
      <color indexed="10"/>
      <name val="Times New Roman"/>
      <family val="1"/>
    </font>
    <font>
      <b/>
      <i/>
      <sz val="12"/>
      <name val="Arial"/>
      <family val="2"/>
    </font>
    <font>
      <b/>
      <u val="single"/>
      <sz val="12"/>
      <name val="Arial"/>
      <family val="0"/>
    </font>
    <font>
      <u val="single"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>
        <color indexed="8"/>
      </top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65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17" borderId="7" applyNumberFormat="0" applyFont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21" borderId="0" applyNumberFormat="0" applyBorder="0" applyAlignment="0" applyProtection="0"/>
    <xf numFmtId="0" fontId="62" fillId="4" borderId="0" applyNumberFormat="0" applyBorder="0" applyAlignment="0" applyProtection="0"/>
    <xf numFmtId="0" fontId="66" fillId="22" borderId="8" applyNumberFormat="0" applyAlignment="0" applyProtection="0"/>
    <xf numFmtId="0" fontId="7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" borderId="0" applyNumberFormat="0" applyBorder="0" applyAlignment="0" applyProtection="0"/>
    <xf numFmtId="0" fontId="64" fillId="23" borderId="0" applyNumberFormat="0" applyBorder="0" applyAlignment="0" applyProtection="0"/>
    <xf numFmtId="0" fontId="67" fillId="22" borderId="1" applyNumberFormat="0" applyAlignment="0" applyProtection="0"/>
    <xf numFmtId="9" fontId="0" fillId="0" borderId="0" applyFont="0" applyFill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21" xfId="0" applyFont="1" applyFill="1" applyBorder="1" applyAlignment="1">
      <alignment horizontal="left" wrapText="1"/>
    </xf>
    <xf numFmtId="3" fontId="13" fillId="0" borderId="2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12" fillId="0" borderId="21" xfId="0" applyFont="1" applyFill="1" applyBorder="1" applyAlignment="1">
      <alignment wrapText="1"/>
    </xf>
    <xf numFmtId="3" fontId="10" fillId="0" borderId="24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Alignment="1">
      <alignment horizontal="left" vertical="top"/>
    </xf>
    <xf numFmtId="0" fontId="14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31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31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31" xfId="0" applyFont="1" applyBorder="1" applyAlignment="1">
      <alignment/>
    </xf>
    <xf numFmtId="0" fontId="27" fillId="0" borderId="31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31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1" fontId="2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/>
    </xf>
    <xf numFmtId="1" fontId="3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9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2" fillId="0" borderId="32" xfId="0" applyFont="1" applyBorder="1" applyAlignment="1">
      <alignment vertical="top" wrapText="1"/>
    </xf>
    <xf numFmtId="0" fontId="43" fillId="0" borderId="32" xfId="0" applyFont="1" applyBorder="1" applyAlignment="1">
      <alignment horizontal="right" vertical="top" wrapText="1"/>
    </xf>
    <xf numFmtId="0" fontId="43" fillId="0" borderId="33" xfId="0" applyFont="1" applyBorder="1" applyAlignment="1">
      <alignment horizontal="right" vertical="top" wrapText="1"/>
    </xf>
    <xf numFmtId="0" fontId="43" fillId="0" borderId="32" xfId="0" applyFont="1" applyBorder="1" applyAlignment="1">
      <alignment horizontal="right" vertical="center" wrapText="1"/>
    </xf>
    <xf numFmtId="3" fontId="42" fillId="0" borderId="34" xfId="0" applyNumberFormat="1" applyFont="1" applyBorder="1" applyAlignment="1">
      <alignment horizontal="right" vertical="top" wrapText="1"/>
    </xf>
    <xf numFmtId="3" fontId="42" fillId="0" borderId="32" xfId="0" applyNumberFormat="1" applyFont="1" applyBorder="1" applyAlignment="1">
      <alignment horizontal="right" vertical="top" wrapText="1"/>
    </xf>
    <xf numFmtId="0" fontId="43" fillId="0" borderId="35" xfId="0" applyFont="1" applyBorder="1" applyAlignment="1">
      <alignment vertical="top" wrapText="1"/>
    </xf>
    <xf numFmtId="3" fontId="43" fillId="0" borderId="36" xfId="0" applyNumberFormat="1" applyFont="1" applyBorder="1" applyAlignment="1">
      <alignment horizontal="right" vertical="top" wrapText="1"/>
    </xf>
    <xf numFmtId="3" fontId="43" fillId="0" borderId="35" xfId="0" applyNumberFormat="1" applyFont="1" applyBorder="1" applyAlignment="1">
      <alignment horizontal="right" vertical="top" wrapText="1"/>
    </xf>
    <xf numFmtId="3" fontId="43" fillId="0" borderId="37" xfId="0" applyNumberFormat="1" applyFont="1" applyBorder="1" applyAlignment="1">
      <alignment horizontal="right" vertical="top" wrapText="1"/>
    </xf>
    <xf numFmtId="3" fontId="43" fillId="0" borderId="38" xfId="0" applyNumberFormat="1" applyFont="1" applyBorder="1" applyAlignment="1">
      <alignment horizontal="right" vertical="top" wrapText="1"/>
    </xf>
    <xf numFmtId="3" fontId="43" fillId="0" borderId="39" xfId="0" applyNumberFormat="1" applyFont="1" applyBorder="1" applyAlignment="1">
      <alignment horizontal="right" vertical="top" wrapText="1"/>
    </xf>
    <xf numFmtId="3" fontId="42" fillId="0" borderId="35" xfId="0" applyNumberFormat="1" applyFont="1" applyBorder="1" applyAlignment="1">
      <alignment horizontal="right" vertical="top" wrapText="1"/>
    </xf>
    <xf numFmtId="0" fontId="43" fillId="0" borderId="40" xfId="0" applyFont="1" applyBorder="1" applyAlignment="1">
      <alignment vertical="top" wrapText="1"/>
    </xf>
    <xf numFmtId="3" fontId="43" fillId="0" borderId="40" xfId="0" applyNumberFormat="1" applyFont="1" applyBorder="1" applyAlignment="1">
      <alignment horizontal="right" vertical="top" wrapText="1"/>
    </xf>
    <xf numFmtId="3" fontId="43" fillId="0" borderId="41" xfId="0" applyNumberFormat="1" applyFont="1" applyBorder="1" applyAlignment="1">
      <alignment horizontal="right" vertical="top" wrapText="1"/>
    </xf>
    <xf numFmtId="4" fontId="43" fillId="0" borderId="40" xfId="0" applyNumberFormat="1" applyFont="1" applyBorder="1" applyAlignment="1">
      <alignment horizontal="right" vertical="top" wrapText="1"/>
    </xf>
    <xf numFmtId="4" fontId="43" fillId="0" borderId="42" xfId="0" applyNumberFormat="1" applyFont="1" applyBorder="1" applyAlignment="1">
      <alignment horizontal="right" vertical="top" wrapText="1"/>
    </xf>
    <xf numFmtId="4" fontId="43" fillId="0" borderId="43" xfId="0" applyNumberFormat="1" applyFont="1" applyBorder="1" applyAlignment="1">
      <alignment horizontal="right" vertical="top" wrapText="1"/>
    </xf>
    <xf numFmtId="3" fontId="43" fillId="0" borderId="44" xfId="0" applyNumberFormat="1" applyFont="1" applyBorder="1" applyAlignment="1">
      <alignment horizontal="right" vertical="top" wrapText="1"/>
    </xf>
    <xf numFmtId="0" fontId="42" fillId="0" borderId="28" xfId="0" applyFont="1" applyBorder="1" applyAlignment="1">
      <alignment vertical="top" wrapText="1"/>
    </xf>
    <xf numFmtId="3" fontId="42" fillId="0" borderId="28" xfId="0" applyNumberFormat="1" applyFont="1" applyBorder="1" applyAlignment="1">
      <alignment horizontal="right" vertical="top" wrapText="1"/>
    </xf>
    <xf numFmtId="3" fontId="42" fillId="0" borderId="33" xfId="0" applyNumberFormat="1" applyFont="1" applyBorder="1" applyAlignment="1">
      <alignment horizontal="right" vertical="top" wrapText="1"/>
    </xf>
    <xf numFmtId="4" fontId="43" fillId="0" borderId="35" xfId="0" applyNumberFormat="1" applyFont="1" applyBorder="1" applyAlignment="1">
      <alignment horizontal="right" vertical="top" wrapText="1"/>
    </xf>
    <xf numFmtId="4" fontId="43" fillId="0" borderId="37" xfId="0" applyNumberFormat="1" applyFont="1" applyBorder="1" applyAlignment="1">
      <alignment horizontal="right" vertical="top" wrapText="1"/>
    </xf>
    <xf numFmtId="4" fontId="43" fillId="0" borderId="38" xfId="0" applyNumberFormat="1" applyFont="1" applyBorder="1" applyAlignment="1">
      <alignment horizontal="right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43" fillId="0" borderId="42" xfId="0" applyNumberFormat="1" applyFont="1" applyBorder="1" applyAlignment="1">
      <alignment horizontal="right" vertical="top" wrapText="1"/>
    </xf>
    <xf numFmtId="3" fontId="43" fillId="0" borderId="43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46" fillId="0" borderId="0" xfId="0" applyNumberFormat="1" applyFont="1" applyFill="1" applyAlignment="1">
      <alignment/>
    </xf>
    <xf numFmtId="164" fontId="45" fillId="0" borderId="0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3" fontId="28" fillId="0" borderId="14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3" fontId="28" fillId="0" borderId="45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3" fontId="29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28" fillId="0" borderId="1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3" fontId="29" fillId="0" borderId="0" xfId="0" applyNumberFormat="1" applyFont="1" applyBorder="1" applyAlignment="1">
      <alignment wrapText="1"/>
    </xf>
    <xf numFmtId="3" fontId="29" fillId="0" borderId="27" xfId="0" applyNumberFormat="1" applyFont="1" applyBorder="1" applyAlignment="1">
      <alignment wrapText="1"/>
    </xf>
    <xf numFmtId="0" fontId="28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8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1" fontId="4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46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4" fontId="28" fillId="0" borderId="15" xfId="0" applyNumberFormat="1" applyFont="1" applyBorder="1" applyAlignment="1">
      <alignment/>
    </xf>
    <xf numFmtId="1" fontId="47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3" fontId="16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27" xfId="0" applyNumberFormat="1" applyFont="1" applyFill="1" applyBorder="1" applyAlignment="1">
      <alignment/>
    </xf>
    <xf numFmtId="0" fontId="48" fillId="0" borderId="27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7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46" fillId="0" borderId="20" xfId="0" applyFont="1" applyFill="1" applyBorder="1" applyAlignment="1">
      <alignment horizontal="center" wrapText="1"/>
    </xf>
    <xf numFmtId="3" fontId="11" fillId="0" borderId="20" xfId="0" applyNumberFormat="1" applyFont="1" applyFill="1" applyBorder="1" applyAlignment="1">
      <alignment/>
    </xf>
    <xf numFmtId="3" fontId="47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28" xfId="0" applyFont="1" applyFill="1" applyBorder="1" applyAlignment="1">
      <alignment wrapText="1"/>
    </xf>
    <xf numFmtId="0" fontId="46" fillId="0" borderId="30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wrapText="1"/>
    </xf>
    <xf numFmtId="0" fontId="46" fillId="0" borderId="28" xfId="0" applyFont="1" applyFill="1" applyBorder="1" applyAlignment="1">
      <alignment horizontal="center" wrapText="1"/>
    </xf>
    <xf numFmtId="0" fontId="47" fillId="0" borderId="30" xfId="0" applyFont="1" applyFill="1" applyBorder="1" applyAlignment="1">
      <alignment horizontal="center" wrapText="1"/>
    </xf>
    <xf numFmtId="0" fontId="48" fillId="0" borderId="30" xfId="0" applyFont="1" applyFill="1" applyBorder="1" applyAlignment="1">
      <alignment/>
    </xf>
    <xf numFmtId="0" fontId="48" fillId="0" borderId="3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9" fillId="0" borderId="28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3" fontId="47" fillId="0" borderId="30" xfId="0" applyNumberFormat="1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0" fontId="48" fillId="0" borderId="45" xfId="0" applyFont="1" applyFill="1" applyBorder="1" applyAlignment="1">
      <alignment wrapText="1"/>
    </xf>
    <xf numFmtId="0" fontId="46" fillId="0" borderId="21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47" fillId="0" borderId="21" xfId="0" applyNumberFormat="1" applyFont="1" applyFill="1" applyBorder="1" applyAlignment="1">
      <alignment/>
    </xf>
    <xf numFmtId="3" fontId="47" fillId="0" borderId="29" xfId="0" applyNumberFormat="1" applyFont="1" applyFill="1" applyBorder="1" applyAlignment="1">
      <alignment/>
    </xf>
    <xf numFmtId="1" fontId="45" fillId="0" borderId="20" xfId="0" applyNumberFormat="1" applyFont="1" applyFill="1" applyBorder="1" applyAlignment="1">
      <alignment horizontal="left" wrapText="1"/>
    </xf>
    <xf numFmtId="164" fontId="45" fillId="0" borderId="20" xfId="0" applyNumberFormat="1" applyFont="1" applyFill="1" applyBorder="1" applyAlignment="1">
      <alignment horizontal="left" wrapText="1"/>
    </xf>
    <xf numFmtId="164" fontId="45" fillId="0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45" fillId="0" borderId="20" xfId="0" applyNumberFormat="1" applyFont="1" applyFill="1" applyBorder="1" applyAlignment="1">
      <alignment/>
    </xf>
    <xf numFmtId="164" fontId="44" fillId="0" borderId="20" xfId="0" applyNumberFormat="1" applyFont="1" applyFill="1" applyBorder="1" applyAlignment="1">
      <alignment horizontal="right"/>
    </xf>
    <xf numFmtId="0" fontId="48" fillId="0" borderId="27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164" fontId="22" fillId="0" borderId="21" xfId="0" applyNumberFormat="1" applyFont="1" applyFill="1" applyBorder="1" applyAlignment="1">
      <alignment horizontal="right"/>
    </xf>
    <xf numFmtId="164" fontId="46" fillId="0" borderId="28" xfId="0" applyNumberFormat="1" applyFont="1" applyFill="1" applyBorder="1" applyAlignment="1">
      <alignment/>
    </xf>
    <xf numFmtId="164" fontId="46" fillId="0" borderId="30" xfId="0" applyNumberFormat="1" applyFont="1" applyFill="1" applyBorder="1" applyAlignment="1">
      <alignment horizontal="right"/>
    </xf>
    <xf numFmtId="164" fontId="46" fillId="0" borderId="28" xfId="0" applyNumberFormat="1" applyFont="1" applyFill="1" applyBorder="1" applyAlignment="1">
      <alignment horizontal="right"/>
    </xf>
    <xf numFmtId="164" fontId="46" fillId="0" borderId="29" xfId="0" applyNumberFormat="1" applyFont="1" applyFill="1" applyBorder="1" applyAlignment="1">
      <alignment horizontal="right"/>
    </xf>
    <xf numFmtId="164" fontId="46" fillId="0" borderId="45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/>
    </xf>
    <xf numFmtId="0" fontId="48" fillId="0" borderId="14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46" fillId="0" borderId="21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164" fontId="47" fillId="0" borderId="27" xfId="0" applyNumberFormat="1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46" fillId="0" borderId="20" xfId="0" applyNumberFormat="1" applyFont="1" applyFill="1" applyBorder="1" applyAlignment="1">
      <alignment wrapText="1"/>
    </xf>
    <xf numFmtId="164" fontId="46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46" fillId="0" borderId="27" xfId="0" applyFont="1" applyFill="1" applyBorder="1" applyAlignment="1">
      <alignment horizontal="center" wrapText="1"/>
    </xf>
    <xf numFmtId="164" fontId="45" fillId="0" borderId="21" xfId="0" applyNumberFormat="1" applyFont="1" applyFill="1" applyBorder="1" applyAlignment="1">
      <alignment/>
    </xf>
    <xf numFmtId="164" fontId="45" fillId="0" borderId="27" xfId="0" applyNumberFormat="1" applyFont="1" applyFill="1" applyBorder="1" applyAlignment="1">
      <alignment/>
    </xf>
    <xf numFmtId="164" fontId="47" fillId="0" borderId="21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7" fillId="0" borderId="2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 wrapText="1"/>
    </xf>
    <xf numFmtId="0" fontId="29" fillId="0" borderId="0" xfId="56" applyFont="1" applyFill="1">
      <alignment/>
      <protection/>
    </xf>
    <xf numFmtId="168" fontId="28" fillId="0" borderId="0" xfId="56" applyNumberFormat="1" applyFont="1" applyFill="1" applyBorder="1" applyAlignment="1" applyProtection="1">
      <alignment horizontal="centerContinuous" vertical="center"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50" fillId="0" borderId="46" xfId="56" applyFont="1" applyFill="1" applyBorder="1" applyAlignment="1" applyProtection="1">
      <alignment horizontal="center" vertical="center" wrapText="1"/>
      <protection/>
    </xf>
    <xf numFmtId="0" fontId="50" fillId="0" borderId="47" xfId="56" applyFont="1" applyFill="1" applyBorder="1" applyAlignment="1" applyProtection="1">
      <alignment horizontal="center" vertical="center" wrapText="1"/>
      <protection/>
    </xf>
    <xf numFmtId="0" fontId="50" fillId="0" borderId="48" xfId="56" applyFont="1" applyFill="1" applyBorder="1" applyAlignment="1" applyProtection="1">
      <alignment horizontal="center" vertical="center" wrapText="1"/>
      <protection/>
    </xf>
    <xf numFmtId="0" fontId="51" fillId="0" borderId="49" xfId="56" applyFont="1" applyFill="1" applyBorder="1" applyAlignment="1" applyProtection="1">
      <alignment horizontal="center" vertical="center"/>
      <protection/>
    </xf>
    <xf numFmtId="0" fontId="51" fillId="0" borderId="50" xfId="56" applyFont="1" applyFill="1" applyBorder="1" applyAlignment="1" applyProtection="1">
      <alignment horizontal="center" vertical="center"/>
      <protection/>
    </xf>
    <xf numFmtId="0" fontId="51" fillId="0" borderId="51" xfId="56" applyFont="1" applyFill="1" applyBorder="1" applyAlignment="1" applyProtection="1">
      <alignment horizontal="center" vertical="center"/>
      <protection/>
    </xf>
    <xf numFmtId="0" fontId="51" fillId="0" borderId="47" xfId="56" applyFont="1" applyFill="1" applyBorder="1" applyProtection="1">
      <alignment/>
      <protection/>
    </xf>
    <xf numFmtId="3" fontId="19" fillId="0" borderId="48" xfId="0" applyNumberFormat="1" applyFont="1" applyBorder="1" applyAlignment="1">
      <alignment horizontal="right" vertical="center" wrapText="1"/>
    </xf>
    <xf numFmtId="0" fontId="51" fillId="0" borderId="38" xfId="56" applyFont="1" applyFill="1" applyBorder="1" applyProtection="1">
      <alignment/>
      <protection/>
    </xf>
    <xf numFmtId="3" fontId="19" fillId="0" borderId="52" xfId="0" applyNumberFormat="1" applyFont="1" applyBorder="1" applyAlignment="1">
      <alignment horizontal="right" vertical="center" wrapText="1"/>
    </xf>
    <xf numFmtId="0" fontId="51" fillId="0" borderId="38" xfId="56" applyFont="1" applyFill="1" applyBorder="1" applyAlignment="1" applyProtection="1">
      <alignment wrapText="1"/>
      <protection/>
    </xf>
    <xf numFmtId="0" fontId="51" fillId="0" borderId="43" xfId="56" applyFont="1" applyFill="1" applyBorder="1" applyProtection="1">
      <alignment/>
      <protection/>
    </xf>
    <xf numFmtId="3" fontId="24" fillId="0" borderId="51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0" fontId="50" fillId="0" borderId="29" xfId="56" applyFont="1" applyFill="1" applyBorder="1" applyAlignment="1" applyProtection="1">
      <alignment/>
      <protection/>
    </xf>
    <xf numFmtId="3" fontId="19" fillId="0" borderId="53" xfId="0" applyNumberFormat="1" applyFont="1" applyBorder="1" applyAlignment="1">
      <alignment horizontal="right" vertical="center" wrapText="1"/>
    </xf>
    <xf numFmtId="0" fontId="25" fillId="0" borderId="46" xfId="56" applyFont="1" applyFill="1" applyBorder="1" applyAlignment="1" applyProtection="1">
      <alignment horizontal="right" vertical="center"/>
      <protection/>
    </xf>
    <xf numFmtId="0" fontId="25" fillId="0" borderId="54" xfId="56" applyFont="1" applyFill="1" applyBorder="1" applyAlignment="1" applyProtection="1">
      <alignment horizontal="right" vertical="center"/>
      <protection/>
    </xf>
    <xf numFmtId="0" fontId="25" fillId="0" borderId="55" xfId="56" applyFont="1" applyFill="1" applyBorder="1" applyAlignment="1" applyProtection="1">
      <alignment horizontal="right" vertical="center"/>
      <protection/>
    </xf>
    <xf numFmtId="0" fontId="55" fillId="0" borderId="29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3" fontId="7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0" fontId="43" fillId="0" borderId="0" xfId="0" applyFont="1" applyFill="1" applyBorder="1" applyAlignment="1">
      <alignment wrapText="1"/>
    </xf>
    <xf numFmtId="3" fontId="28" fillId="0" borderId="28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3" fontId="76" fillId="0" borderId="0" xfId="0" applyNumberFormat="1" applyFont="1" applyFill="1" applyBorder="1" applyAlignment="1">
      <alignment horizontal="right"/>
    </xf>
    <xf numFmtId="1" fontId="76" fillId="0" borderId="0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47" fillId="0" borderId="28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3" fontId="11" fillId="0" borderId="60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11" fillId="0" borderId="63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164" fontId="46" fillId="0" borderId="66" xfId="0" applyNumberFormat="1" applyFont="1" applyFill="1" applyBorder="1" applyAlignment="1">
      <alignment/>
    </xf>
    <xf numFmtId="0" fontId="0" fillId="0" borderId="66" xfId="0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45" xfId="0" applyFont="1" applyFill="1" applyBorder="1" applyAlignment="1">
      <alignment horizontal="center" wrapText="1"/>
    </xf>
    <xf numFmtId="0" fontId="47" fillId="0" borderId="6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43" fillId="0" borderId="41" xfId="0" applyNumberFormat="1" applyFont="1" applyBorder="1" applyAlignment="1">
      <alignment vertical="top" wrapText="1"/>
    </xf>
    <xf numFmtId="3" fontId="43" fillId="0" borderId="40" xfId="0" applyNumberFormat="1" applyFont="1" applyBorder="1" applyAlignment="1">
      <alignment vertical="top" wrapText="1"/>
    </xf>
    <xf numFmtId="3" fontId="0" fillId="0" borderId="35" xfId="0" applyNumberFormat="1" applyBorder="1" applyAlignment="1">
      <alignment/>
    </xf>
    <xf numFmtId="0" fontId="11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28" fillId="0" borderId="65" xfId="0" applyFont="1" applyBorder="1" applyAlignment="1">
      <alignment horizontal="center"/>
    </xf>
    <xf numFmtId="3" fontId="28" fillId="0" borderId="68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0" fontId="12" fillId="0" borderId="69" xfId="0" applyFont="1" applyBorder="1" applyAlignment="1">
      <alignment/>
    </xf>
    <xf numFmtId="0" fontId="28" fillId="0" borderId="70" xfId="0" applyFont="1" applyBorder="1" applyAlignment="1">
      <alignment horizontal="center"/>
    </xf>
    <xf numFmtId="3" fontId="28" fillId="0" borderId="58" xfId="0" applyNumberFormat="1" applyFont="1" applyBorder="1" applyAlignment="1">
      <alignment/>
    </xf>
    <xf numFmtId="3" fontId="28" fillId="0" borderId="71" xfId="0" applyNumberFormat="1" applyFont="1" applyBorder="1" applyAlignment="1">
      <alignment/>
    </xf>
    <xf numFmtId="0" fontId="38" fillId="0" borderId="5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35" fillId="0" borderId="5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0" fontId="29" fillId="0" borderId="28" xfId="56" applyFont="1" applyFill="1" applyBorder="1">
      <alignment/>
      <protection/>
    </xf>
    <xf numFmtId="0" fontId="29" fillId="0" borderId="20" xfId="56" applyFont="1" applyFill="1" applyBorder="1">
      <alignment/>
      <protection/>
    </xf>
    <xf numFmtId="0" fontId="29" fillId="0" borderId="12" xfId="56" applyFont="1" applyFill="1" applyBorder="1">
      <alignment/>
      <protection/>
    </xf>
    <xf numFmtId="0" fontId="28" fillId="0" borderId="28" xfId="56" applyFont="1" applyFill="1" applyBorder="1" applyAlignment="1">
      <alignment wrapText="1"/>
      <protection/>
    </xf>
    <xf numFmtId="3" fontId="29" fillId="0" borderId="20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0" fontId="16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59" xfId="0" applyFont="1" applyBorder="1" applyAlignment="1">
      <alignment/>
    </xf>
    <xf numFmtId="0" fontId="14" fillId="0" borderId="30" xfId="0" applyFont="1" applyBorder="1" applyAlignment="1">
      <alignment/>
    </xf>
    <xf numFmtId="3" fontId="11" fillId="0" borderId="28" xfId="0" applyNumberFormat="1" applyFont="1" applyBorder="1" applyAlignment="1">
      <alignment textRotation="90" wrapText="1"/>
    </xf>
    <xf numFmtId="49" fontId="15" fillId="0" borderId="28" xfId="0" applyNumberFormat="1" applyFont="1" applyFill="1" applyBorder="1" applyAlignment="1">
      <alignment horizontal="right" vertical="center" textRotation="90" wrapText="1"/>
    </xf>
    <xf numFmtId="0" fontId="0" fillId="0" borderId="72" xfId="0" applyFont="1" applyBorder="1" applyAlignment="1">
      <alignment textRotation="90" wrapText="1"/>
    </xf>
    <xf numFmtId="49" fontId="15" fillId="0" borderId="28" xfId="0" applyNumberFormat="1" applyFont="1" applyFill="1" applyBorder="1" applyAlignment="1">
      <alignment horizontal="center" vertical="center" textRotation="90" wrapText="1"/>
    </xf>
    <xf numFmtId="1" fontId="34" fillId="0" borderId="28" xfId="0" applyNumberFormat="1" applyFont="1" applyFill="1" applyBorder="1" applyAlignment="1">
      <alignment horizontal="center" textRotation="90" wrapText="1"/>
    </xf>
    <xf numFmtId="3" fontId="16" fillId="0" borderId="10" xfId="0" applyNumberFormat="1" applyFont="1" applyFill="1" applyBorder="1" applyAlignment="1">
      <alignment horizontal="right"/>
    </xf>
    <xf numFmtId="3" fontId="16" fillId="0" borderId="61" xfId="0" applyNumberFormat="1" applyFont="1" applyFill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16" fillId="0" borderId="28" xfId="0" applyNumberFormat="1" applyFont="1" applyFill="1" applyBorder="1" applyAlignment="1">
      <alignment horizontal="right"/>
    </xf>
    <xf numFmtId="3" fontId="16" fillId="0" borderId="59" xfId="0" applyNumberFormat="1" applyFont="1" applyFill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16" fillId="0" borderId="28" xfId="0" applyFont="1" applyBorder="1" applyAlignment="1">
      <alignment horizontal="center"/>
    </xf>
    <xf numFmtId="3" fontId="11" fillId="0" borderId="59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3" fontId="16" fillId="0" borderId="20" xfId="0" applyNumberFormat="1" applyFont="1" applyFill="1" applyBorder="1" applyAlignment="1">
      <alignment horizontal="right"/>
    </xf>
    <xf numFmtId="3" fontId="16" fillId="0" borderId="73" xfId="0" applyNumberFormat="1" applyFont="1" applyFill="1" applyBorder="1" applyAlignment="1">
      <alignment horizontal="left"/>
    </xf>
    <xf numFmtId="0" fontId="16" fillId="0" borderId="20" xfId="0" applyFont="1" applyBorder="1" applyAlignment="1">
      <alignment/>
    </xf>
    <xf numFmtId="3" fontId="11" fillId="0" borderId="73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3" fontId="16" fillId="0" borderId="74" xfId="0" applyNumberFormat="1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right"/>
    </xf>
    <xf numFmtId="3" fontId="16" fillId="0" borderId="74" xfId="0" applyNumberFormat="1" applyFont="1" applyFill="1" applyBorder="1" applyAlignment="1">
      <alignment/>
    </xf>
    <xf numFmtId="3" fontId="16" fillId="0" borderId="28" xfId="0" applyNumberFormat="1" applyFont="1" applyBorder="1" applyAlignment="1">
      <alignment/>
    </xf>
    <xf numFmtId="3" fontId="16" fillId="0" borderId="59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49" fillId="0" borderId="20" xfId="0" applyNumberFormat="1" applyFont="1" applyFill="1" applyBorder="1" applyAlignment="1">
      <alignment horizontal="right"/>
    </xf>
    <xf numFmtId="3" fontId="16" fillId="0" borderId="73" xfId="0" applyNumberFormat="1" applyFont="1" applyFill="1" applyBorder="1" applyAlignment="1">
      <alignment/>
    </xf>
    <xf numFmtId="3" fontId="16" fillId="0" borderId="2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49" fillId="0" borderId="28" xfId="0" applyNumberFormat="1" applyFont="1" applyFill="1" applyBorder="1" applyAlignment="1">
      <alignment horizontal="right"/>
    </xf>
    <xf numFmtId="3" fontId="16" fillId="0" borderId="59" xfId="0" applyNumberFormat="1" applyFont="1" applyFill="1" applyBorder="1" applyAlignment="1">
      <alignment/>
    </xf>
    <xf numFmtId="3" fontId="49" fillId="0" borderId="20" xfId="0" applyNumberFormat="1" applyFont="1" applyFill="1" applyBorder="1" applyAlignment="1">
      <alignment horizontal="right"/>
    </xf>
    <xf numFmtId="3" fontId="49" fillId="0" borderId="73" xfId="0" applyNumberFormat="1" applyFont="1" applyFill="1" applyBorder="1" applyAlignment="1">
      <alignment horizontal="left"/>
    </xf>
    <xf numFmtId="3" fontId="49" fillId="0" borderId="73" xfId="0" applyNumberFormat="1" applyFont="1" applyFill="1" applyBorder="1" applyAlignment="1">
      <alignment horizontal="right"/>
    </xf>
    <xf numFmtId="3" fontId="77" fillId="0" borderId="2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3" fontId="16" fillId="0" borderId="73" xfId="0" applyNumberFormat="1" applyFont="1" applyFill="1" applyBorder="1" applyAlignment="1">
      <alignment horizontal="left"/>
    </xf>
    <xf numFmtId="3" fontId="16" fillId="0" borderId="28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 horizontal="right"/>
    </xf>
    <xf numFmtId="3" fontId="15" fillId="0" borderId="28" xfId="0" applyNumberFormat="1" applyFont="1" applyFill="1" applyBorder="1" applyAlignment="1">
      <alignment horizontal="right"/>
    </xf>
    <xf numFmtId="3" fontId="16" fillId="0" borderId="74" xfId="0" applyNumberFormat="1" applyFont="1" applyFill="1" applyBorder="1" applyAlignment="1">
      <alignment horizontal="right"/>
    </xf>
    <xf numFmtId="3" fontId="16" fillId="0" borderId="59" xfId="0" applyNumberFormat="1" applyFont="1" applyFill="1" applyBorder="1" applyAlignment="1">
      <alignment horizontal="left"/>
    </xf>
    <xf numFmtId="3" fontId="16" fillId="0" borderId="61" xfId="0" applyNumberFormat="1" applyFont="1" applyFill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74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1" fillId="0" borderId="73" xfId="0" applyFont="1" applyBorder="1" applyAlignment="1">
      <alignment/>
    </xf>
    <xf numFmtId="0" fontId="16" fillId="0" borderId="73" xfId="0" applyFont="1" applyBorder="1" applyAlignment="1">
      <alignment/>
    </xf>
    <xf numFmtId="3" fontId="16" fillId="0" borderId="69" xfId="0" applyNumberFormat="1" applyFont="1" applyBorder="1" applyAlignment="1">
      <alignment/>
    </xf>
    <xf numFmtId="0" fontId="11" fillId="0" borderId="74" xfId="0" applyFont="1" applyBorder="1" applyAlignment="1">
      <alignment/>
    </xf>
    <xf numFmtId="0" fontId="16" fillId="0" borderId="74" xfId="0" applyFont="1" applyBorder="1" applyAlignment="1">
      <alignment/>
    </xf>
    <xf numFmtId="3" fontId="16" fillId="0" borderId="68" xfId="0" applyNumberFormat="1" applyFont="1" applyBorder="1" applyAlignment="1">
      <alignment/>
    </xf>
    <xf numFmtId="0" fontId="16" fillId="0" borderId="73" xfId="0" applyFont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6" fillId="0" borderId="59" xfId="0" applyFont="1" applyBorder="1" applyAlignment="1">
      <alignment horizontal="right"/>
    </xf>
    <xf numFmtId="3" fontId="16" fillId="0" borderId="75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3" fontId="11" fillId="0" borderId="28" xfId="0" applyNumberFormat="1" applyFont="1" applyBorder="1" applyAlignment="1">
      <alignment horizontal="right"/>
    </xf>
    <xf numFmtId="3" fontId="16" fillId="0" borderId="61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right"/>
    </xf>
    <xf numFmtId="3" fontId="11" fillId="0" borderId="28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6" fillId="0" borderId="61" xfId="0" applyFont="1" applyBorder="1" applyAlignment="1">
      <alignment/>
    </xf>
    <xf numFmtId="3" fontId="16" fillId="0" borderId="65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57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24" fillId="0" borderId="0" xfId="57" applyFont="1" applyFill="1" applyBorder="1" applyAlignment="1">
      <alignment horizontal="right" vertical="center" wrapText="1"/>
      <protection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4" fillId="0" borderId="0" xfId="57" applyFont="1" applyFill="1" applyBorder="1" applyAlignment="1">
      <alignment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57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/>
    </xf>
    <xf numFmtId="0" fontId="24" fillId="0" borderId="0" xfId="57" applyFont="1" applyFill="1" applyBorder="1" applyAlignment="1">
      <alignment vertical="center" wrapText="1"/>
      <protection/>
    </xf>
    <xf numFmtId="0" fontId="7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right"/>
    </xf>
    <xf numFmtId="49" fontId="15" fillId="0" borderId="50" xfId="0" applyNumberFormat="1" applyFont="1" applyFill="1" applyBorder="1" applyAlignment="1">
      <alignment horizontal="right" vertical="center" wrapText="1"/>
    </xf>
    <xf numFmtId="0" fontId="16" fillId="0" borderId="50" xfId="0" applyFont="1" applyFill="1" applyBorder="1" applyAlignment="1">
      <alignment wrapText="1"/>
    </xf>
    <xf numFmtId="1" fontId="34" fillId="0" borderId="75" xfId="0" applyNumberFormat="1" applyFont="1" applyFill="1" applyBorder="1" applyAlignment="1">
      <alignment horizont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right"/>
    </xf>
    <xf numFmtId="41" fontId="16" fillId="0" borderId="77" xfId="0" applyNumberFormat="1" applyFont="1" applyFill="1" applyBorder="1" applyAlignment="1">
      <alignment horizontal="right" wrapText="1"/>
    </xf>
    <xf numFmtId="3" fontId="16" fillId="0" borderId="77" xfId="0" applyNumberFormat="1" applyFont="1" applyFill="1" applyBorder="1" applyAlignment="1">
      <alignment horizontal="right" wrapText="1"/>
    </xf>
    <xf numFmtId="3" fontId="15" fillId="0" borderId="77" xfId="0" applyNumberFormat="1" applyFont="1" applyFill="1" applyBorder="1" applyAlignment="1">
      <alignment horizontal="right" wrapText="1"/>
    </xf>
    <xf numFmtId="3" fontId="15" fillId="0" borderId="77" xfId="0" applyNumberFormat="1" applyFont="1" applyFill="1" applyBorder="1" applyAlignment="1">
      <alignment horizontal="right"/>
    </xf>
    <xf numFmtId="0" fontId="15" fillId="0" borderId="54" xfId="0" applyFont="1" applyFill="1" applyBorder="1" applyAlignment="1">
      <alignment horizontal="right"/>
    </xf>
    <xf numFmtId="3" fontId="16" fillId="0" borderId="38" xfId="0" applyNumberFormat="1" applyFont="1" applyFill="1" applyBorder="1" applyAlignment="1">
      <alignment horizontal="right" wrapText="1"/>
    </xf>
    <xf numFmtId="3" fontId="15" fillId="0" borderId="38" xfId="0" applyNumberFormat="1" applyFont="1" applyFill="1" applyBorder="1" applyAlignment="1">
      <alignment horizontal="right" wrapText="1"/>
    </xf>
    <xf numFmtId="3" fontId="15" fillId="0" borderId="38" xfId="0" applyNumberFormat="1" applyFont="1" applyFill="1" applyBorder="1" applyAlignment="1">
      <alignment horizontal="right"/>
    </xf>
    <xf numFmtId="3" fontId="16" fillId="0" borderId="43" xfId="0" applyNumberFormat="1" applyFont="1" applyFill="1" applyBorder="1" applyAlignment="1">
      <alignment horizontal="right" wrapText="1"/>
    </xf>
    <xf numFmtId="3" fontId="16" fillId="0" borderId="50" xfId="0" applyNumberFormat="1" applyFont="1" applyFill="1" applyBorder="1" applyAlignment="1">
      <alignment horizontal="right" wrapText="1"/>
    </xf>
    <xf numFmtId="0" fontId="16" fillId="0" borderId="49" xfId="0" applyFont="1" applyFill="1" applyBorder="1" applyAlignment="1">
      <alignment horizontal="right"/>
    </xf>
    <xf numFmtId="41" fontId="16" fillId="0" borderId="50" xfId="0" applyNumberFormat="1" applyFont="1" applyFill="1" applyBorder="1" applyAlignment="1">
      <alignment horizontal="right" wrapText="1"/>
    </xf>
    <xf numFmtId="3" fontId="16" fillId="0" borderId="50" xfId="0" applyNumberFormat="1" applyFont="1" applyFill="1" applyBorder="1" applyAlignment="1">
      <alignment horizontal="right" wrapText="1"/>
    </xf>
    <xf numFmtId="3" fontId="16" fillId="0" borderId="51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4" fillId="0" borderId="61" xfId="0" applyNumberFormat="1" applyFont="1" applyFill="1" applyBorder="1" applyAlignment="1">
      <alignment horizontal="right"/>
    </xf>
    <xf numFmtId="3" fontId="12" fillId="0" borderId="73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 horizontal="right"/>
    </xf>
    <xf numFmtId="3" fontId="12" fillId="0" borderId="69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10" fillId="0" borderId="68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73" xfId="0" applyNumberFormat="1" applyFont="1" applyFill="1" applyBorder="1" applyAlignment="1">
      <alignment/>
    </xf>
    <xf numFmtId="3" fontId="13" fillId="0" borderId="69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0" fontId="4" fillId="0" borderId="73" xfId="0" applyFont="1" applyFill="1" applyBorder="1" applyAlignment="1">
      <alignment/>
    </xf>
    <xf numFmtId="3" fontId="13" fillId="0" borderId="74" xfId="0" applyNumberFormat="1" applyFont="1" applyFill="1" applyBorder="1" applyAlignment="1">
      <alignment/>
    </xf>
    <xf numFmtId="0" fontId="12" fillId="0" borderId="69" xfId="0" applyFont="1" applyFill="1" applyBorder="1" applyAlignment="1">
      <alignment/>
    </xf>
    <xf numFmtId="3" fontId="13" fillId="0" borderId="68" xfId="0" applyNumberFormat="1" applyFont="1" applyFill="1" applyBorder="1" applyAlignment="1">
      <alignment/>
    </xf>
    <xf numFmtId="0" fontId="4" fillId="0" borderId="69" xfId="0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 horizontal="center" wrapText="1"/>
    </xf>
    <xf numFmtId="3" fontId="4" fillId="0" borderId="68" xfId="0" applyNumberFormat="1" applyFont="1" applyFill="1" applyBorder="1" applyAlignment="1">
      <alignment horizontal="center"/>
    </xf>
    <xf numFmtId="0" fontId="12" fillId="0" borderId="81" xfId="0" applyFont="1" applyFill="1" applyBorder="1" applyAlignment="1">
      <alignment/>
    </xf>
    <xf numFmtId="0" fontId="12" fillId="0" borderId="8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3" fontId="43" fillId="0" borderId="83" xfId="0" applyNumberFormat="1" applyFont="1" applyBorder="1" applyAlignment="1">
      <alignment horizontal="right" vertical="top" wrapText="1"/>
    </xf>
    <xf numFmtId="3" fontId="42" fillId="0" borderId="83" xfId="0" applyNumberFormat="1" applyFont="1" applyBorder="1" applyAlignment="1">
      <alignment horizontal="right" vertical="top" wrapText="1"/>
    </xf>
    <xf numFmtId="3" fontId="42" fillId="0" borderId="77" xfId="0" applyNumberFormat="1" applyFont="1" applyBorder="1" applyAlignment="1">
      <alignment horizontal="right" vertical="top" wrapText="1"/>
    </xf>
    <xf numFmtId="3" fontId="0" fillId="0" borderId="84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43" fillId="0" borderId="86" xfId="0" applyFont="1" applyBorder="1" applyAlignment="1">
      <alignment horizontal="right" vertical="top" wrapText="1"/>
    </xf>
    <xf numFmtId="3" fontId="43" fillId="0" borderId="86" xfId="0" applyNumberFormat="1" applyFont="1" applyBorder="1" applyAlignment="1">
      <alignment horizontal="right" vertical="top" wrapText="1"/>
    </xf>
    <xf numFmtId="3" fontId="0" fillId="0" borderId="3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20" xfId="0" applyFont="1" applyBorder="1" applyAlignment="1">
      <alignment/>
    </xf>
    <xf numFmtId="0" fontId="0" fillId="0" borderId="3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11" fillId="0" borderId="0" xfId="0" applyNumberFormat="1" applyFont="1" applyAlignment="1">
      <alignment/>
    </xf>
    <xf numFmtId="0" fontId="0" fillId="0" borderId="65" xfId="0" applyFont="1" applyBorder="1" applyAlignment="1">
      <alignment/>
    </xf>
    <xf numFmtId="0" fontId="0" fillId="0" borderId="68" xfId="0" applyFont="1" applyBorder="1" applyAlignment="1">
      <alignment/>
    </xf>
    <xf numFmtId="0" fontId="14" fillId="0" borderId="0" xfId="0" applyFont="1" applyFill="1" applyAlignment="1">
      <alignment/>
    </xf>
    <xf numFmtId="49" fontId="15" fillId="0" borderId="51" xfId="0" applyNumberFormat="1" applyFont="1" applyFill="1" applyBorder="1" applyAlignment="1">
      <alignment horizontal="center" vertical="center" wrapText="1"/>
    </xf>
    <xf numFmtId="3" fontId="15" fillId="0" borderId="87" xfId="0" applyNumberFormat="1" applyFont="1" applyFill="1" applyBorder="1" applyAlignment="1">
      <alignment horizontal="right"/>
    </xf>
    <xf numFmtId="3" fontId="15" fillId="0" borderId="52" xfId="0" applyNumberFormat="1" applyFont="1" applyFill="1" applyBorder="1" applyAlignment="1">
      <alignment horizontal="right"/>
    </xf>
    <xf numFmtId="3" fontId="15" fillId="0" borderId="52" xfId="0" applyNumberFormat="1" applyFont="1" applyFill="1" applyBorder="1" applyAlignment="1">
      <alignment horizontal="right" wrapText="1"/>
    </xf>
    <xf numFmtId="0" fontId="8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4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55" xfId="0" applyFont="1" applyFill="1" applyBorder="1" applyAlignment="1">
      <alignment horizontal="right"/>
    </xf>
    <xf numFmtId="41" fontId="15" fillId="0" borderId="43" xfId="0" applyNumberFormat="1" applyFont="1" applyFill="1" applyBorder="1" applyAlignment="1">
      <alignment horizontal="right" wrapText="1"/>
    </xf>
    <xf numFmtId="3" fontId="15" fillId="0" borderId="43" xfId="0" applyNumberFormat="1" applyFont="1" applyFill="1" applyBorder="1" applyAlignment="1">
      <alignment horizontal="right" wrapText="1"/>
    </xf>
    <xf numFmtId="3" fontId="15" fillId="0" borderId="53" xfId="0" applyNumberFormat="1" applyFont="1" applyFill="1" applyBorder="1" applyAlignment="1">
      <alignment horizontal="right" wrapText="1"/>
    </xf>
    <xf numFmtId="3" fontId="16" fillId="0" borderId="51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3" fontId="75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3" fontId="0" fillId="0" borderId="28" xfId="0" applyNumberFormat="1" applyFont="1" applyBorder="1" applyAlignment="1">
      <alignment textRotation="90" wrapText="1"/>
    </xf>
    <xf numFmtId="0" fontId="15" fillId="0" borderId="10" xfId="0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0" xfId="0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74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174" fontId="2" fillId="0" borderId="0" xfId="0" applyNumberFormat="1" applyFont="1" applyFill="1" applyBorder="1" applyAlignment="1">
      <alignment/>
    </xf>
    <xf numFmtId="174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174" fontId="8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4" fillId="0" borderId="74" xfId="0" applyNumberFormat="1" applyFont="1" applyFill="1" applyBorder="1" applyAlignment="1">
      <alignment/>
    </xf>
    <xf numFmtId="0" fontId="29" fillId="0" borderId="88" xfId="0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4" xfId="0" applyNumberFormat="1" applyFont="1" applyBorder="1" applyAlignment="1">
      <alignment/>
    </xf>
    <xf numFmtId="3" fontId="29" fillId="0" borderId="88" xfId="0" applyNumberFormat="1" applyFont="1" applyBorder="1" applyAlignment="1">
      <alignment/>
    </xf>
    <xf numFmtId="3" fontId="29" fillId="0" borderId="65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14" xfId="0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38" fillId="0" borderId="75" xfId="0" applyNumberFormat="1" applyFont="1" applyFill="1" applyBorder="1" applyAlignment="1">
      <alignment/>
    </xf>
    <xf numFmtId="3" fontId="35" fillId="0" borderId="75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1" fontId="15" fillId="0" borderId="38" xfId="0" applyNumberFormat="1" applyFont="1" applyFill="1" applyBorder="1" applyAlignment="1">
      <alignment horizontal="left" wrapText="1"/>
    </xf>
    <xf numFmtId="0" fontId="42" fillId="0" borderId="42" xfId="0" applyFont="1" applyBorder="1" applyAlignment="1">
      <alignment horizontal="center" vertical="top" wrapText="1"/>
    </xf>
    <xf numFmtId="0" fontId="42" fillId="0" borderId="89" xfId="0" applyFont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/>
    </xf>
    <xf numFmtId="0" fontId="42" fillId="0" borderId="14" xfId="0" applyFont="1" applyBorder="1" applyAlignment="1">
      <alignment horizontal="center" vertical="top" wrapText="1"/>
    </xf>
    <xf numFmtId="0" fontId="20" fillId="0" borderId="90" xfId="0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91" xfId="0" applyNumberFormat="1" applyFont="1" applyFill="1" applyBorder="1" applyAlignment="1">
      <alignment horizontal="center"/>
    </xf>
    <xf numFmtId="3" fontId="4" fillId="0" borderId="92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93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42" fillId="0" borderId="43" xfId="0" applyFont="1" applyBorder="1" applyAlignment="1">
      <alignment horizontal="center" vertical="top" wrapText="1"/>
    </xf>
    <xf numFmtId="0" fontId="42" fillId="0" borderId="94" xfId="0" applyFont="1" applyBorder="1" applyAlignment="1">
      <alignment horizontal="center" vertical="top" wrapText="1"/>
    </xf>
    <xf numFmtId="0" fontId="42" fillId="0" borderId="44" xfId="0" applyFont="1" applyBorder="1" applyAlignment="1">
      <alignment horizontal="center" vertical="top" wrapText="1"/>
    </xf>
    <xf numFmtId="0" fontId="11" fillId="0" borderId="95" xfId="0" applyFont="1" applyBorder="1" applyAlignment="1">
      <alignment/>
    </xf>
    <xf numFmtId="0" fontId="4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0" fontId="46" fillId="0" borderId="96" xfId="0" applyFont="1" applyFill="1" applyBorder="1" applyAlignment="1">
      <alignment horizontal="center"/>
    </xf>
    <xf numFmtId="0" fontId="46" fillId="0" borderId="64" xfId="0" applyFont="1" applyFill="1" applyBorder="1" applyAlignment="1">
      <alignment horizontal="center"/>
    </xf>
    <xf numFmtId="0" fontId="46" fillId="0" borderId="63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14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2" fillId="0" borderId="18" xfId="56" applyFont="1" applyFill="1" applyBorder="1" applyAlignment="1">
      <alignment horizontal="justify" vertical="center" wrapText="1"/>
      <protection/>
    </xf>
    <xf numFmtId="168" fontId="53" fillId="0" borderId="0" xfId="56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reszletezes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08\k&#246;ltm&#243;d08\k&#246;ltbesz08\k&#246;ltbesz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16">
          <cell r="M16">
            <v>217827</v>
          </cell>
        </row>
        <row r="17">
          <cell r="M17">
            <v>221832</v>
          </cell>
        </row>
        <row r="20">
          <cell r="M20">
            <v>113251</v>
          </cell>
        </row>
        <row r="21">
          <cell r="M21">
            <v>147351</v>
          </cell>
        </row>
        <row r="24">
          <cell r="B24" t="str">
            <v>Városi Művelődési Központ és Könyvtár</v>
          </cell>
          <cell r="M24">
            <v>22630</v>
          </cell>
        </row>
        <row r="25">
          <cell r="M25">
            <v>26305</v>
          </cell>
        </row>
        <row r="35">
          <cell r="M35">
            <v>252973</v>
          </cell>
        </row>
        <row r="37">
          <cell r="M37">
            <v>252973</v>
          </cell>
        </row>
        <row r="40">
          <cell r="M40">
            <v>226809</v>
          </cell>
        </row>
        <row r="42">
          <cell r="M42">
            <v>462276</v>
          </cell>
        </row>
      </sheetData>
      <sheetData sheetId="4">
        <row r="34">
          <cell r="B34" t="str">
            <v>Battonya Város Önkormányzata</v>
          </cell>
        </row>
      </sheetData>
      <sheetData sheetId="20">
        <row r="5">
          <cell r="H5">
            <v>244430</v>
          </cell>
          <cell r="I5">
            <v>244430</v>
          </cell>
        </row>
        <row r="6">
          <cell r="H6">
            <v>94564</v>
          </cell>
          <cell r="I6">
            <v>93646</v>
          </cell>
        </row>
        <row r="22">
          <cell r="H22">
            <v>201456</v>
          </cell>
          <cell r="I22">
            <v>201456</v>
          </cell>
        </row>
        <row r="29">
          <cell r="H29">
            <v>274385</v>
          </cell>
          <cell r="I29">
            <v>406820</v>
          </cell>
        </row>
        <row r="60">
          <cell r="H60">
            <v>234009</v>
          </cell>
        </row>
        <row r="61">
          <cell r="H61">
            <v>34000</v>
          </cell>
        </row>
        <row r="67">
          <cell r="H67">
            <v>630</v>
          </cell>
        </row>
        <row r="71">
          <cell r="H71">
            <v>7108</v>
          </cell>
        </row>
        <row r="99">
          <cell r="H99">
            <v>17610</v>
          </cell>
        </row>
        <row r="100">
          <cell r="H100">
            <v>8788</v>
          </cell>
        </row>
        <row r="101">
          <cell r="H101">
            <v>5739</v>
          </cell>
        </row>
      </sheetData>
      <sheetData sheetId="24">
        <row r="26">
          <cell r="V26">
            <v>7650</v>
          </cell>
        </row>
        <row r="30">
          <cell r="V30">
            <v>1300</v>
          </cell>
          <cell r="Y30">
            <v>2441</v>
          </cell>
        </row>
      </sheetData>
      <sheetData sheetId="25">
        <row r="36">
          <cell r="T36">
            <v>207479</v>
          </cell>
          <cell r="X36">
            <v>219394</v>
          </cell>
          <cell r="Y36">
            <v>13204</v>
          </cell>
        </row>
        <row r="40">
          <cell r="X40">
            <v>630</v>
          </cell>
        </row>
      </sheetData>
      <sheetData sheetId="26">
        <row r="18">
          <cell r="S18">
            <v>17610</v>
          </cell>
        </row>
        <row r="34">
          <cell r="S34">
            <v>7138</v>
          </cell>
        </row>
        <row r="38">
          <cell r="S38">
            <v>3330</v>
          </cell>
        </row>
        <row r="50">
          <cell r="S50">
            <v>12898</v>
          </cell>
        </row>
        <row r="62">
          <cell r="S62">
            <v>7922</v>
          </cell>
        </row>
        <row r="70">
          <cell r="P70">
            <v>17610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_2"/>
      <sheetName val="2mell_1"/>
      <sheetName val="dbktt"/>
      <sheetName val="létszám jó"/>
      <sheetName val="felhbesz"/>
      <sheetName val="er.ei.felhalmozás"/>
      <sheetName val="felhalmozás"/>
      <sheetName val="szoc_06"/>
      <sheetName val="szoc jó"/>
      <sheetName val="önhiki elsz."/>
      <sheetName val="Kincstár29-es"/>
      <sheetName val="Munka2"/>
      <sheetName val="követelések"/>
      <sheetName val="előző évek PM"/>
      <sheetName val="PM ei"/>
      <sheetName val="PM könyvelés"/>
      <sheetName val="nem"/>
      <sheetName val="PHés pénzkészlet"/>
      <sheetName val="felh_mérleg"/>
      <sheetName val="felh bev"/>
      <sheetName val="átadott"/>
      <sheetName val="int_norm kimut_"/>
      <sheetName val="norm08"/>
      <sheetName val="több  éves kötelezettség"/>
      <sheetName val="polg_hiv_"/>
      <sheetName val="kincstár fin_terv"/>
      <sheetName val="_PH_ei_felh_terv_"/>
      <sheetName val="köz.ellátás"/>
      <sheetName val="likviditási terv"/>
      <sheetName val="mérleg"/>
      <sheetName val="1mell1"/>
      <sheetName val="3 éves terv"/>
      <sheetName val="1mell2"/>
    </sheetNames>
    <sheetDataSet>
      <sheetData sheetId="28">
        <row r="16">
          <cell r="X16">
            <v>0</v>
          </cell>
          <cell r="Y16">
            <v>0</v>
          </cell>
        </row>
        <row r="18">
          <cell r="X18">
            <v>0</v>
          </cell>
          <cell r="Y18">
            <v>0</v>
          </cell>
        </row>
        <row r="20">
          <cell r="X20">
            <v>0</v>
          </cell>
          <cell r="Y20">
            <v>0</v>
          </cell>
        </row>
        <row r="24">
          <cell r="X24">
            <v>0</v>
          </cell>
          <cell r="Y24">
            <v>0</v>
          </cell>
        </row>
        <row r="25">
          <cell r="X25">
            <v>0</v>
          </cell>
          <cell r="Y25">
            <v>0</v>
          </cell>
        </row>
        <row r="27">
          <cell r="X27">
            <v>0</v>
          </cell>
          <cell r="Y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55"/>
  <sheetViews>
    <sheetView view="pageBreakPreview" zoomScale="60" zoomScalePageLayoutView="0" workbookViewId="0" topLeftCell="A97">
      <selection activeCell="E25" sqref="E25"/>
    </sheetView>
  </sheetViews>
  <sheetFormatPr defaultColWidth="9.140625" defaultRowHeight="15" customHeight="1"/>
  <cols>
    <col min="1" max="1" width="5.00390625" style="770" customWidth="1"/>
    <col min="2" max="2" width="3.28125" style="30" customWidth="1"/>
    <col min="3" max="3" width="46.28125" style="139" customWidth="1"/>
    <col min="4" max="4" width="11.28125" style="138" bestFit="1" customWidth="1"/>
    <col min="5" max="5" width="15.00390625" style="138" customWidth="1"/>
    <col min="6" max="6" width="14.421875" style="136" customWidth="1"/>
    <col min="7" max="7" width="10.421875" style="136" customWidth="1"/>
    <col min="8" max="16384" width="9.140625" style="30" customWidth="1"/>
  </cols>
  <sheetData>
    <row r="1" spans="1:7" ht="15" customHeight="1">
      <c r="A1" s="7" t="s">
        <v>333</v>
      </c>
      <c r="C1" s="19"/>
      <c r="D1" s="4" t="s">
        <v>113</v>
      </c>
      <c r="E1" s="4" t="s">
        <v>113</v>
      </c>
      <c r="F1" s="2" t="s">
        <v>113</v>
      </c>
      <c r="G1" s="2" t="s">
        <v>113</v>
      </c>
    </row>
    <row r="2" spans="1:7" ht="15" customHeight="1">
      <c r="A2" s="769" t="s">
        <v>227</v>
      </c>
      <c r="C2" s="137"/>
      <c r="D2" s="4" t="s">
        <v>70</v>
      </c>
      <c r="E2" s="4" t="s">
        <v>406</v>
      </c>
      <c r="F2" s="2" t="s">
        <v>551</v>
      </c>
      <c r="G2" s="2" t="s">
        <v>716</v>
      </c>
    </row>
    <row r="3" spans="1:7" ht="6" customHeight="1">
      <c r="A3" s="771"/>
      <c r="C3" s="137"/>
      <c r="D3" s="4"/>
      <c r="E3" s="4"/>
      <c r="F3" s="2"/>
      <c r="G3" s="2"/>
    </row>
    <row r="4" spans="1:7" s="136" customFormat="1" ht="15" customHeight="1">
      <c r="A4" s="772" t="s">
        <v>9</v>
      </c>
      <c r="B4" s="2" t="s">
        <v>10</v>
      </c>
      <c r="C4" s="18" t="s">
        <v>11</v>
      </c>
      <c r="D4" s="4" t="s">
        <v>12</v>
      </c>
      <c r="E4" s="4" t="s">
        <v>13</v>
      </c>
      <c r="F4" s="2" t="s">
        <v>14</v>
      </c>
      <c r="G4" s="2" t="s">
        <v>15</v>
      </c>
    </row>
    <row r="5" spans="4:5" ht="5.25" customHeight="1">
      <c r="D5" s="4"/>
      <c r="E5" s="4"/>
    </row>
    <row r="6" spans="1:9" s="6" customFormat="1" ht="15" customHeight="1">
      <c r="A6" s="770" t="s">
        <v>18</v>
      </c>
      <c r="B6" s="6" t="s">
        <v>115</v>
      </c>
      <c r="C6" s="19"/>
      <c r="D6" s="8">
        <f>SUM(D7:D21)-D7-D11-D17</f>
        <v>307125</v>
      </c>
      <c r="E6" s="8">
        <f>+E7+E11+E14+E15+E16+E17+E21+E22+E23+E24</f>
        <v>326694</v>
      </c>
      <c r="F6" s="8">
        <f>+F7+F11+F14+F15+F16+F17+F21+F22+F23+F24</f>
        <v>292061</v>
      </c>
      <c r="G6" s="788">
        <f>+F6/E6*100</f>
        <v>89.39894825126878</v>
      </c>
      <c r="I6" s="8">
        <f>326694-E6</f>
        <v>0</v>
      </c>
    </row>
    <row r="7" spans="1:7" ht="15" customHeight="1">
      <c r="A7" s="770" t="s">
        <v>20</v>
      </c>
      <c r="C7" s="139" t="s">
        <v>116</v>
      </c>
      <c r="D7" s="138">
        <f>SUM(D8:D10)</f>
        <v>114297</v>
      </c>
      <c r="E7" s="138">
        <f>SUM(E8:E10)</f>
        <v>129999</v>
      </c>
      <c r="F7" s="138">
        <f>SUM(F8:F10)</f>
        <v>129998</v>
      </c>
      <c r="G7" s="788">
        <f aca="true" t="shared" si="0" ref="G7:G70">+F7/E7*100</f>
        <v>99.99923076331356</v>
      </c>
    </row>
    <row r="8" spans="1:7" ht="15" customHeight="1">
      <c r="A8" s="770" t="s">
        <v>22</v>
      </c>
      <c r="C8" s="140" t="s">
        <v>117</v>
      </c>
      <c r="D8" s="138">
        <f>+3_mell!D36-2100-500</f>
        <v>111697</v>
      </c>
      <c r="E8" s="138">
        <v>129877</v>
      </c>
      <c r="F8" s="136">
        <f>129998-123</f>
        <v>129875</v>
      </c>
      <c r="G8" s="788">
        <f t="shared" si="0"/>
        <v>99.99846008146169</v>
      </c>
    </row>
    <row r="9" spans="1:7" ht="15" customHeight="1">
      <c r="A9" s="770" t="s">
        <v>23</v>
      </c>
      <c r="C9" s="140" t="s">
        <v>118</v>
      </c>
      <c r="D9" s="138">
        <v>2100</v>
      </c>
      <c r="E9" s="138">
        <v>0</v>
      </c>
      <c r="F9" s="136">
        <v>0</v>
      </c>
      <c r="G9" s="788"/>
    </row>
    <row r="10" spans="1:7" ht="15.75" customHeight="1">
      <c r="A10" s="770" t="s">
        <v>24</v>
      </c>
      <c r="C10" s="140" t="s">
        <v>119</v>
      </c>
      <c r="D10" s="138">
        <v>500</v>
      </c>
      <c r="E10" s="138">
        <v>122</v>
      </c>
      <c r="F10" s="136">
        <v>123</v>
      </c>
      <c r="G10" s="788">
        <f t="shared" si="0"/>
        <v>100.81967213114753</v>
      </c>
    </row>
    <row r="11" spans="1:7" ht="15" customHeight="1">
      <c r="A11" s="770" t="s">
        <v>25</v>
      </c>
      <c r="C11" s="139" t="s">
        <v>120</v>
      </c>
      <c r="D11" s="138">
        <f>SUM(D13:D13)</f>
        <v>15214</v>
      </c>
      <c r="E11" s="138">
        <f>SUM(E12:E13)</f>
        <v>15183</v>
      </c>
      <c r="F11" s="138">
        <f>SUM(F12:F13)</f>
        <v>15183</v>
      </c>
      <c r="G11" s="788">
        <f t="shared" si="0"/>
        <v>100</v>
      </c>
    </row>
    <row r="12" spans="1:7" ht="15" customHeight="1">
      <c r="A12" s="770" t="s">
        <v>26</v>
      </c>
      <c r="C12" s="140" t="s">
        <v>506</v>
      </c>
      <c r="E12" s="138">
        <v>7</v>
      </c>
      <c r="F12" s="138">
        <f>+E12</f>
        <v>7</v>
      </c>
      <c r="G12" s="788">
        <f t="shared" si="0"/>
        <v>100</v>
      </c>
    </row>
    <row r="13" spans="1:7" ht="15" customHeight="1">
      <c r="A13" s="770" t="s">
        <v>27</v>
      </c>
      <c r="C13" s="140" t="s">
        <v>121</v>
      </c>
      <c r="D13" s="138">
        <v>15214</v>
      </c>
      <c r="E13" s="138">
        <v>15176</v>
      </c>
      <c r="F13" s="138">
        <f>+E13</f>
        <v>15176</v>
      </c>
      <c r="G13" s="788">
        <f t="shared" si="0"/>
        <v>100</v>
      </c>
    </row>
    <row r="14" spans="1:7" ht="15" customHeight="1">
      <c r="A14" s="770" t="s">
        <v>28</v>
      </c>
      <c r="C14" s="139" t="s">
        <v>122</v>
      </c>
      <c r="D14" s="138">
        <v>125000</v>
      </c>
      <c r="E14" s="138">
        <v>124757</v>
      </c>
      <c r="F14" s="138">
        <f>+E14</f>
        <v>124757</v>
      </c>
      <c r="G14" s="788">
        <f t="shared" si="0"/>
        <v>100</v>
      </c>
    </row>
    <row r="15" spans="1:7" ht="15" customHeight="1">
      <c r="A15" s="770" t="s">
        <v>29</v>
      </c>
      <c r="C15" s="139" t="s">
        <v>123</v>
      </c>
      <c r="D15" s="138">
        <v>3</v>
      </c>
      <c r="E15" s="138">
        <v>15</v>
      </c>
      <c r="F15" s="138">
        <v>16</v>
      </c>
      <c r="G15" s="788">
        <f t="shared" si="0"/>
        <v>106.66666666666667</v>
      </c>
    </row>
    <row r="16" spans="1:7" ht="15" customHeight="1">
      <c r="A16" s="770" t="s">
        <v>30</v>
      </c>
      <c r="C16" s="139" t="s">
        <v>124</v>
      </c>
      <c r="D16" s="138">
        <v>2561</v>
      </c>
      <c r="E16" s="138">
        <v>7383</v>
      </c>
      <c r="F16" s="138">
        <f>+E16</f>
        <v>7383</v>
      </c>
      <c r="G16" s="788">
        <f t="shared" si="0"/>
        <v>100</v>
      </c>
    </row>
    <row r="17" spans="1:10" ht="29.25" customHeight="1">
      <c r="A17" s="770" t="s">
        <v>31</v>
      </c>
      <c r="C17" s="145" t="s">
        <v>390</v>
      </c>
      <c r="D17" s="138">
        <f>SUM(D18:D19)</f>
        <v>47550</v>
      </c>
      <c r="E17" s="138">
        <f>SUM(E18:E20)</f>
        <v>46890</v>
      </c>
      <c r="F17" s="138">
        <f>SUM(F18:F20)</f>
        <v>12259</v>
      </c>
      <c r="G17" s="788">
        <f t="shared" si="0"/>
        <v>26.144167199829386</v>
      </c>
      <c r="J17" s="30">
        <f>SUM(J18:J20)</f>
        <v>46890</v>
      </c>
    </row>
    <row r="18" spans="1:10" ht="36.75" customHeight="1">
      <c r="A18" s="770" t="s">
        <v>32</v>
      </c>
      <c r="C18" s="151" t="s">
        <v>726</v>
      </c>
      <c r="D18" s="138">
        <v>10061</v>
      </c>
      <c r="E18" s="138">
        <v>41966</v>
      </c>
      <c r="F18" s="30">
        <v>7335</v>
      </c>
      <c r="G18" s="788">
        <f t="shared" si="0"/>
        <v>17.478434923509507</v>
      </c>
      <c r="J18" s="30">
        <v>41966</v>
      </c>
    </row>
    <row r="19" spans="1:10" ht="15.75">
      <c r="A19" s="770" t="s">
        <v>33</v>
      </c>
      <c r="C19" s="151" t="s">
        <v>298</v>
      </c>
      <c r="D19" s="138">
        <f>42000-69-1-8096-1-2000-2092+400+6500+2057+1+4029+235-718+1500-4000-4000+1816-72</f>
        <v>37489</v>
      </c>
      <c r="E19" s="138">
        <v>4915</v>
      </c>
      <c r="F19" s="30">
        <v>4915</v>
      </c>
      <c r="G19" s="788">
        <f t="shared" si="0"/>
        <v>100</v>
      </c>
      <c r="J19" s="30">
        <v>4915</v>
      </c>
    </row>
    <row r="20" spans="1:10" ht="15.75">
      <c r="A20" s="770" t="s">
        <v>34</v>
      </c>
      <c r="C20" s="151" t="s">
        <v>670</v>
      </c>
      <c r="E20" s="138">
        <v>9</v>
      </c>
      <c r="F20" s="30">
        <v>9</v>
      </c>
      <c r="G20" s="788">
        <f t="shared" si="0"/>
        <v>100</v>
      </c>
      <c r="J20" s="30">
        <v>9</v>
      </c>
    </row>
    <row r="21" spans="1:10" ht="15" customHeight="1">
      <c r="A21" s="770" t="s">
        <v>35</v>
      </c>
      <c r="C21" s="139" t="s">
        <v>672</v>
      </c>
      <c r="D21" s="138">
        <v>2500</v>
      </c>
      <c r="E21" s="138">
        <v>1813</v>
      </c>
      <c r="F21" s="33">
        <v>1812</v>
      </c>
      <c r="G21" s="788">
        <f t="shared" si="0"/>
        <v>99.94484280198566</v>
      </c>
      <c r="J21" s="30">
        <v>1813</v>
      </c>
    </row>
    <row r="22" spans="1:10" ht="15" customHeight="1">
      <c r="A22" s="770" t="s">
        <v>36</v>
      </c>
      <c r="C22" s="139" t="s">
        <v>505</v>
      </c>
      <c r="E22" s="138">
        <v>223</v>
      </c>
      <c r="F22" s="30">
        <v>222</v>
      </c>
      <c r="G22" s="788">
        <f t="shared" si="0"/>
        <v>99.55156950672645</v>
      </c>
      <c r="J22" s="30">
        <v>223</v>
      </c>
    </row>
    <row r="23" spans="1:10" ht="15" customHeight="1">
      <c r="A23" s="770" t="s">
        <v>37</v>
      </c>
      <c r="C23" s="139" t="s">
        <v>673</v>
      </c>
      <c r="E23" s="138">
        <v>387</v>
      </c>
      <c r="F23" s="30">
        <v>387</v>
      </c>
      <c r="G23" s="788">
        <f t="shared" si="0"/>
        <v>100</v>
      </c>
      <c r="J23" s="30">
        <v>387</v>
      </c>
    </row>
    <row r="24" spans="1:10" ht="15" customHeight="1">
      <c r="A24" s="770" t="s">
        <v>40</v>
      </c>
      <c r="C24" s="139" t="s">
        <v>674</v>
      </c>
      <c r="E24" s="138">
        <v>44</v>
      </c>
      <c r="F24" s="30">
        <v>44</v>
      </c>
      <c r="G24" s="788">
        <f t="shared" si="0"/>
        <v>100</v>
      </c>
      <c r="J24" s="30">
        <v>44</v>
      </c>
    </row>
    <row r="25" spans="6:7" ht="3" customHeight="1">
      <c r="F25" s="30"/>
      <c r="G25" s="788" t="e">
        <f t="shared" si="0"/>
        <v>#DIV/0!</v>
      </c>
    </row>
    <row r="26" spans="1:7" s="6" customFormat="1" ht="15" customHeight="1">
      <c r="A26" s="770" t="s">
        <v>43</v>
      </c>
      <c r="B26" s="6" t="s">
        <v>125</v>
      </c>
      <c r="C26" s="19"/>
      <c r="D26" s="8">
        <f>+D27+D28</f>
        <v>9964</v>
      </c>
      <c r="E26" s="8">
        <f>+E27+E28</f>
        <v>9917</v>
      </c>
      <c r="F26" s="8">
        <f>+F27+F28</f>
        <v>9917</v>
      </c>
      <c r="G26" s="788">
        <f t="shared" si="0"/>
        <v>100</v>
      </c>
    </row>
    <row r="27" spans="1:7" ht="15" customHeight="1">
      <c r="A27" s="770" t="s">
        <v>44</v>
      </c>
      <c r="C27" s="139" t="s">
        <v>126</v>
      </c>
      <c r="D27" s="30">
        <v>9814</v>
      </c>
      <c r="E27" s="30">
        <v>9712</v>
      </c>
      <c r="F27" s="136">
        <f>+E27</f>
        <v>9712</v>
      </c>
      <c r="G27" s="788">
        <f t="shared" si="0"/>
        <v>100</v>
      </c>
    </row>
    <row r="28" spans="1:7" ht="15" customHeight="1">
      <c r="A28" s="770" t="s">
        <v>45</v>
      </c>
      <c r="C28" s="139" t="s">
        <v>127</v>
      </c>
      <c r="D28" s="138">
        <v>150</v>
      </c>
      <c r="E28" s="138">
        <v>205</v>
      </c>
      <c r="F28" s="138">
        <f>+E28</f>
        <v>205</v>
      </c>
      <c r="G28" s="788">
        <f t="shared" si="0"/>
        <v>100</v>
      </c>
    </row>
    <row r="29" ht="5.25" customHeight="1">
      <c r="G29" s="788"/>
    </row>
    <row r="30" spans="1:7" s="6" customFormat="1" ht="15" customHeight="1">
      <c r="A30" s="770" t="s">
        <v>46</v>
      </c>
      <c r="B30" s="6" t="s">
        <v>128</v>
      </c>
      <c r="C30" s="19"/>
      <c r="D30" s="8">
        <f>SUM(D31:D31)</f>
        <v>251962</v>
      </c>
      <c r="E30" s="8">
        <f>SUM(E31:E63)-E33-E42-E47-E50-E60-E32</f>
        <v>503180</v>
      </c>
      <c r="F30" s="8">
        <f>SUM(F31:F63)-F33-F42-F47-F50-F60-F32</f>
        <v>592260</v>
      </c>
      <c r="G30" s="788">
        <f t="shared" si="0"/>
        <v>117.70340633570491</v>
      </c>
    </row>
    <row r="31" spans="1:7" ht="15" customHeight="1">
      <c r="A31" s="770" t="s">
        <v>47</v>
      </c>
      <c r="C31" s="139" t="s">
        <v>8</v>
      </c>
      <c r="D31" s="138">
        <v>251962</v>
      </c>
      <c r="E31" s="138">
        <v>251890</v>
      </c>
      <c r="F31" s="138">
        <f>+E31</f>
        <v>251890</v>
      </c>
      <c r="G31" s="788">
        <f t="shared" si="0"/>
        <v>100</v>
      </c>
    </row>
    <row r="32" spans="1:7" ht="15" customHeight="1">
      <c r="A32" s="770" t="s">
        <v>48</v>
      </c>
      <c r="C32" s="139" t="s">
        <v>430</v>
      </c>
      <c r="D32" s="464"/>
      <c r="E32" s="138">
        <f>+E33+E42</f>
        <v>21600</v>
      </c>
      <c r="F32" s="138">
        <f>+E32</f>
        <v>21600</v>
      </c>
      <c r="G32" s="788">
        <f t="shared" si="0"/>
        <v>100</v>
      </c>
    </row>
    <row r="33" spans="1:7" ht="15" customHeight="1">
      <c r="A33" s="770" t="s">
        <v>49</v>
      </c>
      <c r="C33" s="465" t="s">
        <v>463</v>
      </c>
      <c r="D33" s="464"/>
      <c r="E33" s="469">
        <f>SUM(E34:E41)</f>
        <v>17514</v>
      </c>
      <c r="F33" s="469">
        <f>SUM(F34:F41)</f>
        <v>17514</v>
      </c>
      <c r="G33" s="788">
        <f t="shared" si="0"/>
        <v>100</v>
      </c>
    </row>
    <row r="34" spans="1:7" ht="15" customHeight="1">
      <c r="A34" s="770" t="s">
        <v>50</v>
      </c>
      <c r="C34" s="139" t="s">
        <v>431</v>
      </c>
      <c r="E34" s="138">
        <v>7345</v>
      </c>
      <c r="F34" s="138">
        <f>+E34</f>
        <v>7345</v>
      </c>
      <c r="G34" s="788">
        <f t="shared" si="0"/>
        <v>100</v>
      </c>
    </row>
    <row r="35" spans="1:7" ht="15" customHeight="1">
      <c r="A35" s="770" t="s">
        <v>51</v>
      </c>
      <c r="C35" s="139" t="s">
        <v>432</v>
      </c>
      <c r="E35" s="138">
        <v>1063</v>
      </c>
      <c r="F35" s="138">
        <f aca="true" t="shared" si="1" ref="F35:F41">+E35</f>
        <v>1063</v>
      </c>
      <c r="G35" s="788">
        <f t="shared" si="0"/>
        <v>100</v>
      </c>
    </row>
    <row r="36" spans="1:7" ht="15" customHeight="1">
      <c r="A36" s="770" t="s">
        <v>52</v>
      </c>
      <c r="C36" s="139" t="s">
        <v>439</v>
      </c>
      <c r="E36" s="138">
        <f>7366-114</f>
        <v>7252</v>
      </c>
      <c r="F36" s="138">
        <f t="shared" si="1"/>
        <v>7252</v>
      </c>
      <c r="G36" s="788">
        <f t="shared" si="0"/>
        <v>100</v>
      </c>
    </row>
    <row r="37" spans="1:7" ht="15" customHeight="1">
      <c r="A37" s="770" t="s">
        <v>53</v>
      </c>
      <c r="C37" s="139" t="s">
        <v>468</v>
      </c>
      <c r="E37" s="138">
        <v>826</v>
      </c>
      <c r="F37" s="138">
        <f t="shared" si="1"/>
        <v>826</v>
      </c>
      <c r="G37" s="788">
        <f t="shared" si="0"/>
        <v>100</v>
      </c>
    </row>
    <row r="38" spans="1:7" ht="15" customHeight="1">
      <c r="A38" s="770" t="s">
        <v>54</v>
      </c>
      <c r="C38" s="139" t="s">
        <v>515</v>
      </c>
      <c r="E38" s="138">
        <v>165</v>
      </c>
      <c r="F38" s="138">
        <f t="shared" si="1"/>
        <v>165</v>
      </c>
      <c r="G38" s="788">
        <f t="shared" si="0"/>
        <v>100</v>
      </c>
    </row>
    <row r="39" spans="1:7" ht="15" customHeight="1">
      <c r="A39" s="770" t="s">
        <v>395</v>
      </c>
      <c r="C39" s="139" t="s">
        <v>516</v>
      </c>
      <c r="E39" s="138">
        <v>15</v>
      </c>
      <c r="F39" s="138">
        <f t="shared" si="1"/>
        <v>15</v>
      </c>
      <c r="G39" s="788">
        <f t="shared" si="0"/>
        <v>100</v>
      </c>
    </row>
    <row r="40" spans="1:7" ht="15" customHeight="1">
      <c r="A40" s="770" t="s">
        <v>396</v>
      </c>
      <c r="C40" s="139" t="s">
        <v>518</v>
      </c>
      <c r="E40" s="138">
        <v>72</v>
      </c>
      <c r="F40" s="138">
        <f t="shared" si="1"/>
        <v>72</v>
      </c>
      <c r="G40" s="788">
        <f t="shared" si="0"/>
        <v>100</v>
      </c>
    </row>
    <row r="41" spans="1:7" ht="15" customHeight="1">
      <c r="A41" s="770" t="s">
        <v>397</v>
      </c>
      <c r="C41" s="139" t="s">
        <v>517</v>
      </c>
      <c r="E41" s="138">
        <v>776</v>
      </c>
      <c r="F41" s="138">
        <f t="shared" si="1"/>
        <v>776</v>
      </c>
      <c r="G41" s="788">
        <f t="shared" si="0"/>
        <v>100</v>
      </c>
    </row>
    <row r="42" spans="1:7" ht="15" customHeight="1">
      <c r="A42" s="770" t="s">
        <v>411</v>
      </c>
      <c r="C42" s="465" t="s">
        <v>464</v>
      </c>
      <c r="E42" s="4">
        <f>SUM(E43:E46)</f>
        <v>4086</v>
      </c>
      <c r="F42" s="4">
        <f>SUM(F43:F46)</f>
        <v>4086</v>
      </c>
      <c r="G42" s="788">
        <f t="shared" si="0"/>
        <v>100</v>
      </c>
    </row>
    <row r="43" spans="1:7" ht="15" customHeight="1">
      <c r="A43" s="770" t="s">
        <v>424</v>
      </c>
      <c r="C43" s="139" t="s">
        <v>438</v>
      </c>
      <c r="E43" s="138">
        <v>408</v>
      </c>
      <c r="F43" s="138">
        <f>+E43</f>
        <v>408</v>
      </c>
      <c r="G43" s="788">
        <f t="shared" si="0"/>
        <v>100</v>
      </c>
    </row>
    <row r="44" spans="1:7" ht="15" customHeight="1">
      <c r="A44" s="770" t="s">
        <v>519</v>
      </c>
      <c r="C44" s="139" t="s">
        <v>514</v>
      </c>
      <c r="E44" s="138">
        <v>2499</v>
      </c>
      <c r="F44" s="138">
        <f>+E44</f>
        <v>2499</v>
      </c>
      <c r="G44" s="788">
        <f t="shared" si="0"/>
        <v>100</v>
      </c>
    </row>
    <row r="45" spans="1:7" ht="15" customHeight="1">
      <c r="A45" s="770" t="s">
        <v>520</v>
      </c>
      <c r="C45" s="139" t="s">
        <v>465</v>
      </c>
      <c r="E45" s="138">
        <v>179</v>
      </c>
      <c r="F45" s="138">
        <f>+E45</f>
        <v>179</v>
      </c>
      <c r="G45" s="788">
        <f t="shared" si="0"/>
        <v>100</v>
      </c>
    </row>
    <row r="46" spans="1:7" ht="15" customHeight="1">
      <c r="A46" s="770" t="s">
        <v>444</v>
      </c>
      <c r="C46" s="139" t="s">
        <v>487</v>
      </c>
      <c r="E46" s="138">
        <v>1000</v>
      </c>
      <c r="F46" s="138">
        <f>+E46</f>
        <v>1000</v>
      </c>
      <c r="G46" s="788">
        <f t="shared" si="0"/>
        <v>100</v>
      </c>
    </row>
    <row r="47" spans="1:7" ht="15" customHeight="1">
      <c r="A47" s="770" t="s">
        <v>445</v>
      </c>
      <c r="C47" s="139" t="s">
        <v>433</v>
      </c>
      <c r="D47" s="464"/>
      <c r="E47" s="469">
        <f>SUM(E48:E49)</f>
        <v>128309</v>
      </c>
      <c r="F47" s="469">
        <f>SUM(F48:F49)</f>
        <v>128309</v>
      </c>
      <c r="G47" s="788">
        <f t="shared" si="0"/>
        <v>100</v>
      </c>
    </row>
    <row r="48" spans="1:7" ht="15" customHeight="1">
      <c r="A48" s="770" t="s">
        <v>446</v>
      </c>
      <c r="C48" s="139" t="s">
        <v>441</v>
      </c>
      <c r="E48" s="138">
        <f>84005+26912+16962</f>
        <v>127879</v>
      </c>
      <c r="F48" s="138">
        <f>+E48</f>
        <v>127879</v>
      </c>
      <c r="G48" s="788">
        <f t="shared" si="0"/>
        <v>100</v>
      </c>
    </row>
    <row r="49" spans="1:7" ht="15" customHeight="1">
      <c r="A49" s="770" t="s">
        <v>447</v>
      </c>
      <c r="C49" s="139" t="s">
        <v>540</v>
      </c>
      <c r="E49" s="138">
        <v>430</v>
      </c>
      <c r="F49" s="138">
        <f>+E49</f>
        <v>430</v>
      </c>
      <c r="G49" s="788">
        <f t="shared" si="0"/>
        <v>100</v>
      </c>
    </row>
    <row r="50" spans="1:7" ht="15" customHeight="1">
      <c r="A50" s="770" t="s">
        <v>448</v>
      </c>
      <c r="C50" s="139" t="s">
        <v>461</v>
      </c>
      <c r="E50" s="4">
        <f>SUM(E51:E52)</f>
        <v>10068</v>
      </c>
      <c r="F50" s="4">
        <f>SUM(F51:F52)</f>
        <v>10068</v>
      </c>
      <c r="G50" s="788">
        <f t="shared" si="0"/>
        <v>100</v>
      </c>
    </row>
    <row r="51" spans="1:7" ht="15" customHeight="1">
      <c r="A51" s="770" t="s">
        <v>449</v>
      </c>
      <c r="C51" s="139" t="s">
        <v>466</v>
      </c>
      <c r="E51" s="138">
        <f>5781+1156</f>
        <v>6937</v>
      </c>
      <c r="F51" s="138">
        <f>+E51</f>
        <v>6937</v>
      </c>
      <c r="G51" s="788">
        <f t="shared" si="0"/>
        <v>100</v>
      </c>
    </row>
    <row r="52" spans="1:7" ht="15" customHeight="1">
      <c r="A52" s="770" t="s">
        <v>450</v>
      </c>
      <c r="C52" s="139" t="s">
        <v>467</v>
      </c>
      <c r="E52" s="138">
        <f>2348+783</f>
        <v>3131</v>
      </c>
      <c r="F52" s="138">
        <f>+E52</f>
        <v>3131</v>
      </c>
      <c r="G52" s="788">
        <f t="shared" si="0"/>
        <v>100</v>
      </c>
    </row>
    <row r="53" spans="1:7" ht="15" customHeight="1">
      <c r="A53" s="770" t="s">
        <v>451</v>
      </c>
      <c r="C53" s="139" t="s">
        <v>650</v>
      </c>
      <c r="F53" s="138">
        <v>89080</v>
      </c>
      <c r="G53" s="788"/>
    </row>
    <row r="54" spans="6:7" ht="15" customHeight="1">
      <c r="F54" s="138"/>
      <c r="G54" s="788"/>
    </row>
    <row r="55" spans="1:7" ht="15" customHeight="1">
      <c r="A55" s="7" t="s">
        <v>333</v>
      </c>
      <c r="C55" s="19"/>
      <c r="D55" s="4" t="s">
        <v>113</v>
      </c>
      <c r="E55" s="4" t="s">
        <v>113</v>
      </c>
      <c r="F55" s="2" t="s">
        <v>113</v>
      </c>
      <c r="G55" s="2" t="s">
        <v>113</v>
      </c>
    </row>
    <row r="56" spans="1:7" ht="15" customHeight="1">
      <c r="A56" s="769" t="s">
        <v>227</v>
      </c>
      <c r="C56" s="137"/>
      <c r="D56" s="4" t="s">
        <v>70</v>
      </c>
      <c r="E56" s="4" t="s">
        <v>406</v>
      </c>
      <c r="F56" s="2" t="s">
        <v>551</v>
      </c>
      <c r="G56" s="2" t="s">
        <v>716</v>
      </c>
    </row>
    <row r="57" spans="1:7" ht="15" customHeight="1">
      <c r="A57" s="771"/>
      <c r="C57" s="137"/>
      <c r="D57" s="4"/>
      <c r="E57" s="4"/>
      <c r="F57" s="2"/>
      <c r="G57" s="2"/>
    </row>
    <row r="58" spans="1:7" ht="15" customHeight="1">
      <c r="A58" s="772" t="s">
        <v>9</v>
      </c>
      <c r="B58" s="2" t="s">
        <v>10</v>
      </c>
      <c r="C58" s="18" t="s">
        <v>11</v>
      </c>
      <c r="D58" s="4" t="s">
        <v>12</v>
      </c>
      <c r="E58" s="4" t="s">
        <v>13</v>
      </c>
      <c r="F58" s="2" t="s">
        <v>14</v>
      </c>
      <c r="G58" s="2" t="s">
        <v>15</v>
      </c>
    </row>
    <row r="59" ht="15" customHeight="1">
      <c r="G59" s="788"/>
    </row>
    <row r="60" spans="1:7" ht="15.75">
      <c r="A60" s="770" t="s">
        <v>452</v>
      </c>
      <c r="C60" s="139" t="s">
        <v>462</v>
      </c>
      <c r="E60" s="4">
        <f>+E61+E62</f>
        <v>12517</v>
      </c>
      <c r="F60" s="4">
        <f>+F61+F62</f>
        <v>12517</v>
      </c>
      <c r="G60" s="788">
        <f t="shared" si="0"/>
        <v>100</v>
      </c>
    </row>
    <row r="61" spans="1:7" ht="15.75">
      <c r="A61" s="770" t="s">
        <v>453</v>
      </c>
      <c r="C61" s="139" t="s">
        <v>510</v>
      </c>
      <c r="E61" s="138">
        <f>3248+3039</f>
        <v>6287</v>
      </c>
      <c r="F61" s="138">
        <f>+E61</f>
        <v>6287</v>
      </c>
      <c r="G61" s="788">
        <f t="shared" si="0"/>
        <v>100</v>
      </c>
    </row>
    <row r="62" spans="1:7" ht="15.75">
      <c r="A62" s="770" t="s">
        <v>454</v>
      </c>
      <c r="C62" s="139" t="s">
        <v>442</v>
      </c>
      <c r="E62" s="138">
        <f>3186+1144+1874+802-776</f>
        <v>6230</v>
      </c>
      <c r="F62" s="138">
        <f>+E62</f>
        <v>6230</v>
      </c>
      <c r="G62" s="788">
        <f t="shared" si="0"/>
        <v>100</v>
      </c>
    </row>
    <row r="63" spans="1:7" ht="15.75">
      <c r="A63" s="770" t="s">
        <v>455</v>
      </c>
      <c r="C63" s="30" t="s">
        <v>513</v>
      </c>
      <c r="E63" s="30">
        <f>29654+49142</f>
        <v>78796</v>
      </c>
      <c r="F63" s="136">
        <f>+E63</f>
        <v>78796</v>
      </c>
      <c r="G63" s="788">
        <f t="shared" si="0"/>
        <v>100</v>
      </c>
    </row>
    <row r="64" ht="6.75" customHeight="1">
      <c r="G64" s="788"/>
    </row>
    <row r="65" spans="1:7" ht="15.75">
      <c r="A65" s="770" t="s">
        <v>456</v>
      </c>
      <c r="B65" s="6" t="s">
        <v>129</v>
      </c>
      <c r="C65" s="19"/>
      <c r="D65" s="8">
        <f>+D67+D99</f>
        <v>198097</v>
      </c>
      <c r="E65" s="8">
        <f>+E67+E99</f>
        <v>414924</v>
      </c>
      <c r="F65" s="8">
        <f>+F67+F99</f>
        <v>401157</v>
      </c>
      <c r="G65" s="788">
        <f t="shared" si="0"/>
        <v>96.6820429765451</v>
      </c>
    </row>
    <row r="66" spans="2:7" ht="11.25" customHeight="1">
      <c r="B66" s="6"/>
      <c r="C66" s="19"/>
      <c r="D66" s="8"/>
      <c r="E66" s="8"/>
      <c r="G66" s="788"/>
    </row>
    <row r="67" spans="1:7" ht="15" customHeight="1">
      <c r="A67" s="770" t="s">
        <v>457</v>
      </c>
      <c r="B67" s="6"/>
      <c r="C67" s="143" t="s">
        <v>130</v>
      </c>
      <c r="D67" s="141">
        <f>SUM(D68:D74)</f>
        <v>198097</v>
      </c>
      <c r="E67" s="141">
        <f>SUM(E68:E98)</f>
        <v>375159</v>
      </c>
      <c r="F67" s="141">
        <f>SUM(F68:F98)-F75</f>
        <v>370593</v>
      </c>
      <c r="G67" s="788">
        <f t="shared" si="0"/>
        <v>98.78291604359751</v>
      </c>
    </row>
    <row r="68" spans="1:7" ht="15" customHeight="1">
      <c r="A68" s="770" t="s">
        <v>458</v>
      </c>
      <c r="C68" s="139" t="s">
        <v>131</v>
      </c>
      <c r="D68" s="138">
        <v>34000</v>
      </c>
      <c r="E68" s="138">
        <f>+D68-1603</f>
        <v>32397</v>
      </c>
      <c r="F68" s="136">
        <v>32397</v>
      </c>
      <c r="G68" s="788">
        <f t="shared" si="0"/>
        <v>100</v>
      </c>
    </row>
    <row r="69" spans="1:7" ht="15" customHeight="1">
      <c r="A69" s="770" t="s">
        <v>459</v>
      </c>
      <c r="C69" s="139" t="s">
        <v>132</v>
      </c>
      <c r="D69" s="138">
        <v>146826</v>
      </c>
      <c r="E69" s="138">
        <f>+D69-84005-26912-16962-18947</f>
        <v>0</v>
      </c>
      <c r="F69" s="136">
        <v>0</v>
      </c>
      <c r="G69" s="788"/>
    </row>
    <row r="70" spans="1:7" ht="15" customHeight="1">
      <c r="A70" s="770" t="s">
        <v>460</v>
      </c>
      <c r="C70" s="139" t="s">
        <v>133</v>
      </c>
      <c r="D70" s="138">
        <v>600</v>
      </c>
      <c r="E70" s="138">
        <f>+D70+150</f>
        <v>750</v>
      </c>
      <c r="F70" s="136">
        <f>146+150+150+4+150+150</f>
        <v>750</v>
      </c>
      <c r="G70" s="788">
        <f t="shared" si="0"/>
        <v>100</v>
      </c>
    </row>
    <row r="71" spans="1:7" ht="15" customHeight="1">
      <c r="A71" s="770" t="s">
        <v>474</v>
      </c>
      <c r="C71" s="139" t="s">
        <v>134</v>
      </c>
      <c r="D71" s="138">
        <v>3000</v>
      </c>
      <c r="E71" s="138">
        <f>+D71+1825</f>
        <v>4825</v>
      </c>
      <c r="F71" s="138">
        <f>+E71</f>
        <v>4825</v>
      </c>
      <c r="G71" s="788">
        <f aca="true" t="shared" si="2" ref="G71:G116">+F71/E71*100</f>
        <v>100</v>
      </c>
    </row>
    <row r="72" spans="1:7" ht="15" customHeight="1">
      <c r="A72" s="770" t="s">
        <v>475</v>
      </c>
      <c r="C72" s="139" t="s">
        <v>135</v>
      </c>
      <c r="D72" s="138">
        <v>8000</v>
      </c>
      <c r="E72" s="138">
        <f>+D72</f>
        <v>8000</v>
      </c>
      <c r="F72" s="138">
        <f>+E72</f>
        <v>8000</v>
      </c>
      <c r="G72" s="788">
        <f t="shared" si="2"/>
        <v>100</v>
      </c>
    </row>
    <row r="73" spans="1:7" ht="15" customHeight="1">
      <c r="A73" s="770" t="s">
        <v>476</v>
      </c>
      <c r="C73" s="139" t="s">
        <v>292</v>
      </c>
      <c r="D73" s="138">
        <v>5671</v>
      </c>
      <c r="E73" s="138">
        <f>+D73-5671</f>
        <v>0</v>
      </c>
      <c r="G73" s="788"/>
    </row>
    <row r="74" spans="1:7" ht="15" customHeight="1">
      <c r="A74" s="770" t="s">
        <v>477</v>
      </c>
      <c r="C74" s="145" t="s">
        <v>414</v>
      </c>
      <c r="E74" s="138">
        <f>20+400-420</f>
        <v>0</v>
      </c>
      <c r="G74" s="788"/>
    </row>
    <row r="75" spans="1:7" ht="15" customHeight="1">
      <c r="A75" s="770" t="s">
        <v>478</v>
      </c>
      <c r="C75" s="145" t="s">
        <v>700</v>
      </c>
      <c r="E75" s="138">
        <f>+3_mell!J37</f>
        <v>3726</v>
      </c>
      <c r="F75" s="138">
        <f>+E75</f>
        <v>3726</v>
      </c>
      <c r="G75" s="788">
        <f t="shared" si="2"/>
        <v>100</v>
      </c>
    </row>
    <row r="76" spans="1:7" s="765" customFormat="1" ht="15" customHeight="1">
      <c r="A76" s="765" t="s">
        <v>479</v>
      </c>
      <c r="C76" s="766" t="s">
        <v>74</v>
      </c>
      <c r="D76" s="767"/>
      <c r="E76" s="767"/>
      <c r="F76" s="767">
        <f>+3_mell!J32</f>
        <v>225</v>
      </c>
      <c r="G76" s="788"/>
    </row>
    <row r="77" spans="1:7" s="765" customFormat="1" ht="15" customHeight="1">
      <c r="A77" s="770" t="s">
        <v>480</v>
      </c>
      <c r="C77" s="766" t="s">
        <v>300</v>
      </c>
      <c r="D77" s="767"/>
      <c r="E77" s="767"/>
      <c r="F77" s="767">
        <f>+3_mell!J14</f>
        <v>1349</v>
      </c>
      <c r="G77" s="788"/>
    </row>
    <row r="78" spans="1:7" s="765" customFormat="1" ht="15" customHeight="1">
      <c r="A78" s="770" t="s">
        <v>489</v>
      </c>
      <c r="C78" s="766" t="s">
        <v>699</v>
      </c>
      <c r="D78" s="767"/>
      <c r="E78" s="767"/>
      <c r="F78" s="767">
        <f>+3_mell!J8</f>
        <v>1346</v>
      </c>
      <c r="G78" s="788"/>
    </row>
    <row r="79" spans="1:7" s="765" customFormat="1" ht="15" customHeight="1">
      <c r="A79" s="770" t="s">
        <v>490</v>
      </c>
      <c r="C79" s="766" t="s">
        <v>74</v>
      </c>
      <c r="D79" s="767"/>
      <c r="E79" s="767"/>
      <c r="F79" s="768">
        <f>+3_mell!J20</f>
        <v>806</v>
      </c>
      <c r="G79" s="788"/>
    </row>
    <row r="80" spans="1:7" ht="15" customHeight="1">
      <c r="A80" s="770" t="s">
        <v>491</v>
      </c>
      <c r="C80" s="145" t="s">
        <v>288</v>
      </c>
      <c r="E80" s="138">
        <f>93588-6500+66445+129114</f>
        <v>282647</v>
      </c>
      <c r="F80" s="138">
        <f>+E80</f>
        <v>282647</v>
      </c>
      <c r="G80" s="788">
        <f t="shared" si="2"/>
        <v>100</v>
      </c>
    </row>
    <row r="81" spans="1:7" ht="33" customHeight="1">
      <c r="A81" s="770" t="s">
        <v>492</v>
      </c>
      <c r="C81" s="145" t="s">
        <v>443</v>
      </c>
      <c r="E81" s="138">
        <v>384</v>
      </c>
      <c r="F81" s="136">
        <v>384</v>
      </c>
      <c r="G81" s="788">
        <f t="shared" si="2"/>
        <v>100</v>
      </c>
    </row>
    <row r="82" spans="1:7" ht="33" customHeight="1">
      <c r="A82" s="770" t="s">
        <v>521</v>
      </c>
      <c r="C82" s="145" t="s">
        <v>681</v>
      </c>
      <c r="E82" s="138">
        <f>9981+11548+3861</f>
        <v>25390</v>
      </c>
      <c r="F82" s="138">
        <f>+E82</f>
        <v>25390</v>
      </c>
      <c r="G82" s="788">
        <f t="shared" si="2"/>
        <v>100</v>
      </c>
    </row>
    <row r="83" spans="1:7" ht="43.5">
      <c r="A83" s="770" t="s">
        <v>522</v>
      </c>
      <c r="C83" s="145" t="s">
        <v>682</v>
      </c>
      <c r="E83" s="138">
        <v>2397</v>
      </c>
      <c r="F83" s="138">
        <f>+E83</f>
        <v>2397</v>
      </c>
      <c r="G83" s="788">
        <f t="shared" si="2"/>
        <v>100</v>
      </c>
    </row>
    <row r="84" spans="1:7" ht="15" customHeight="1">
      <c r="A84" s="770" t="s">
        <v>523</v>
      </c>
      <c r="C84" s="145" t="s">
        <v>427</v>
      </c>
      <c r="E84" s="138">
        <f>39+19+21</f>
        <v>79</v>
      </c>
      <c r="F84" s="136">
        <v>78</v>
      </c>
      <c r="G84" s="788">
        <f t="shared" si="2"/>
        <v>98.73417721518987</v>
      </c>
    </row>
    <row r="85" spans="1:7" ht="15.75">
      <c r="A85" s="770" t="s">
        <v>524</v>
      </c>
      <c r="C85" s="145" t="s">
        <v>437</v>
      </c>
      <c r="E85" s="138">
        <v>1054</v>
      </c>
      <c r="F85" s="138">
        <v>1054</v>
      </c>
      <c r="G85" s="788">
        <f t="shared" si="2"/>
        <v>100</v>
      </c>
    </row>
    <row r="86" spans="1:7" ht="15.75">
      <c r="A86" s="770" t="s">
        <v>525</v>
      </c>
      <c r="C86" s="145" t="s">
        <v>671</v>
      </c>
      <c r="E86" s="138">
        <v>1397</v>
      </c>
      <c r="F86" s="138">
        <v>1397</v>
      </c>
      <c r="G86" s="788">
        <f t="shared" si="2"/>
        <v>100</v>
      </c>
    </row>
    <row r="87" spans="1:7" ht="13.5" customHeight="1">
      <c r="A87" s="770" t="s">
        <v>526</v>
      </c>
      <c r="C87" s="145" t="s">
        <v>440</v>
      </c>
      <c r="E87" s="138">
        <v>2000</v>
      </c>
      <c r="F87" s="136">
        <f>2000</f>
        <v>2000</v>
      </c>
      <c r="G87" s="788">
        <f t="shared" si="2"/>
        <v>100</v>
      </c>
    </row>
    <row r="88" spans="1:7" ht="15.75">
      <c r="A88" s="770" t="s">
        <v>527</v>
      </c>
      <c r="C88" s="145" t="s">
        <v>498</v>
      </c>
      <c r="E88" s="138">
        <v>250</v>
      </c>
      <c r="F88" s="138">
        <f>+E88</f>
        <v>250</v>
      </c>
      <c r="G88" s="788">
        <f t="shared" si="2"/>
        <v>100</v>
      </c>
    </row>
    <row r="89" spans="1:7" ht="15.75">
      <c r="A89" s="770" t="s">
        <v>528</v>
      </c>
      <c r="C89" s="145" t="s">
        <v>470</v>
      </c>
      <c r="E89" s="138">
        <f>3248-3248</f>
        <v>0</v>
      </c>
      <c r="F89" s="136">
        <v>0</v>
      </c>
      <c r="G89" s="788"/>
    </row>
    <row r="90" spans="1:7" ht="15.75">
      <c r="A90" s="770" t="s">
        <v>529</v>
      </c>
      <c r="C90" s="145" t="s">
        <v>484</v>
      </c>
      <c r="E90" s="138">
        <v>4878</v>
      </c>
      <c r="F90" s="136">
        <v>313</v>
      </c>
      <c r="G90" s="788">
        <f t="shared" si="2"/>
        <v>6.416564165641657</v>
      </c>
    </row>
    <row r="91" spans="1:7" ht="15.75">
      <c r="A91" s="770" t="s">
        <v>530</v>
      </c>
      <c r="C91" s="145" t="s">
        <v>494</v>
      </c>
      <c r="E91" s="138">
        <v>744</v>
      </c>
      <c r="F91" s="138">
        <f>+E91</f>
        <v>744</v>
      </c>
      <c r="G91" s="788">
        <f t="shared" si="2"/>
        <v>100</v>
      </c>
    </row>
    <row r="92" spans="1:7" ht="29.25">
      <c r="A92" s="770" t="s">
        <v>531</v>
      </c>
      <c r="C92" s="145" t="s">
        <v>495</v>
      </c>
      <c r="E92" s="138">
        <v>395</v>
      </c>
      <c r="F92" s="138">
        <f>+E92</f>
        <v>395</v>
      </c>
      <c r="G92" s="788">
        <f t="shared" si="2"/>
        <v>100</v>
      </c>
    </row>
    <row r="93" spans="1:7" ht="30.75">
      <c r="A93" s="770" t="s">
        <v>532</v>
      </c>
      <c r="C93" s="35" t="s">
        <v>496</v>
      </c>
      <c r="E93" s="138">
        <v>454</v>
      </c>
      <c r="F93" s="138">
        <f>+E93</f>
        <v>454</v>
      </c>
      <c r="G93" s="788">
        <f t="shared" si="2"/>
        <v>100</v>
      </c>
    </row>
    <row r="94" spans="1:7" ht="15.75">
      <c r="A94" s="770" t="s">
        <v>533</v>
      </c>
      <c r="C94" s="145" t="s">
        <v>497</v>
      </c>
      <c r="E94" s="138">
        <v>1787</v>
      </c>
      <c r="F94" s="138">
        <f>+E94</f>
        <v>1787</v>
      </c>
      <c r="G94" s="788">
        <f t="shared" si="2"/>
        <v>100</v>
      </c>
    </row>
    <row r="95" spans="1:7" ht="15.75">
      <c r="A95" s="770" t="s">
        <v>534</v>
      </c>
      <c r="C95" s="145" t="s">
        <v>501</v>
      </c>
      <c r="E95" s="138">
        <v>744</v>
      </c>
      <c r="F95" s="138">
        <f>+E95</f>
        <v>744</v>
      </c>
      <c r="G95" s="788">
        <f t="shared" si="2"/>
        <v>100</v>
      </c>
    </row>
    <row r="96" spans="1:7" ht="29.25">
      <c r="A96" s="770" t="s">
        <v>535</v>
      </c>
      <c r="C96" s="145" t="s">
        <v>511</v>
      </c>
      <c r="E96" s="138">
        <v>858</v>
      </c>
      <c r="F96" s="138">
        <v>858</v>
      </c>
      <c r="G96" s="788">
        <f t="shared" si="2"/>
        <v>100</v>
      </c>
    </row>
    <row r="97" spans="1:7" ht="15.75">
      <c r="A97" s="770" t="s">
        <v>536</v>
      </c>
      <c r="C97" s="145" t="s">
        <v>512</v>
      </c>
      <c r="E97" s="138">
        <v>3</v>
      </c>
      <c r="F97" s="138">
        <f>+E97</f>
        <v>3</v>
      </c>
      <c r="G97" s="788">
        <f t="shared" si="2"/>
        <v>100</v>
      </c>
    </row>
    <row r="98" spans="3:7" ht="15.75">
      <c r="C98" s="145"/>
      <c r="F98" s="138"/>
      <c r="G98" s="788"/>
    </row>
    <row r="99" spans="1:7" ht="15" customHeight="1">
      <c r="A99" s="770" t="s">
        <v>537</v>
      </c>
      <c r="C99" s="143" t="s">
        <v>136</v>
      </c>
      <c r="D99" s="141">
        <f>SUM(D108:D108)</f>
        <v>0</v>
      </c>
      <c r="E99" s="8">
        <f>SUM(E100:E103)</f>
        <v>39765</v>
      </c>
      <c r="F99" s="8">
        <f>SUM(F100:F103)</f>
        <v>30564</v>
      </c>
      <c r="G99" s="788">
        <f t="shared" si="2"/>
        <v>76.86156167483969</v>
      </c>
    </row>
    <row r="100" spans="1:7" ht="15" customHeight="1">
      <c r="A100" s="770" t="s">
        <v>538</v>
      </c>
      <c r="C100" s="139" t="str">
        <f>+8_mell!B9</f>
        <v>Szennyvízberuházáshoz EU forrás (KEOP-7.1.0/11)</v>
      </c>
      <c r="D100" s="141"/>
      <c r="E100" s="33">
        <f>11700-2499</f>
        <v>9201</v>
      </c>
      <c r="F100" s="141">
        <v>0</v>
      </c>
      <c r="G100" s="788">
        <f t="shared" si="2"/>
        <v>0</v>
      </c>
    </row>
    <row r="101" spans="1:7" ht="15" customHeight="1">
      <c r="A101" s="770" t="s">
        <v>539</v>
      </c>
      <c r="C101" s="139" t="s">
        <v>488</v>
      </c>
      <c r="D101" s="141"/>
      <c r="E101" s="33">
        <f>16575+2295</f>
        <v>18870</v>
      </c>
      <c r="F101" s="142">
        <v>18870</v>
      </c>
      <c r="G101" s="788">
        <f t="shared" si="2"/>
        <v>100</v>
      </c>
    </row>
    <row r="102" spans="1:7" ht="15" customHeight="1">
      <c r="A102" s="770" t="s">
        <v>701</v>
      </c>
      <c r="C102" s="145" t="s">
        <v>288</v>
      </c>
      <c r="D102" s="141"/>
      <c r="E102" s="33">
        <f>6500+2000+72</f>
        <v>8572</v>
      </c>
      <c r="F102" s="141">
        <v>8572</v>
      </c>
      <c r="G102" s="788">
        <f t="shared" si="2"/>
        <v>100</v>
      </c>
    </row>
    <row r="103" spans="1:7" ht="15" customHeight="1">
      <c r="A103" s="770" t="s">
        <v>702</v>
      </c>
      <c r="C103" s="145" t="s">
        <v>484</v>
      </c>
      <c r="D103" s="141"/>
      <c r="E103" s="33">
        <v>3122</v>
      </c>
      <c r="F103" s="141">
        <f>+E103</f>
        <v>3122</v>
      </c>
      <c r="G103" s="788">
        <f t="shared" si="2"/>
        <v>100</v>
      </c>
    </row>
    <row r="104" spans="1:7" ht="15" customHeight="1">
      <c r="A104" s="7" t="s">
        <v>333</v>
      </c>
      <c r="C104" s="19"/>
      <c r="D104" s="4" t="s">
        <v>113</v>
      </c>
      <c r="E104" s="4" t="s">
        <v>113</v>
      </c>
      <c r="F104" s="2" t="s">
        <v>113</v>
      </c>
      <c r="G104" s="2" t="s">
        <v>113</v>
      </c>
    </row>
    <row r="105" spans="1:7" ht="15" customHeight="1">
      <c r="A105" s="769" t="s">
        <v>227</v>
      </c>
      <c r="C105" s="137"/>
      <c r="D105" s="4" t="s">
        <v>70</v>
      </c>
      <c r="E105" s="4" t="s">
        <v>406</v>
      </c>
      <c r="F105" s="2" t="s">
        <v>551</v>
      </c>
      <c r="G105" s="2" t="s">
        <v>716</v>
      </c>
    </row>
    <row r="106" spans="1:7" ht="15" customHeight="1">
      <c r="A106" s="771"/>
      <c r="C106" s="137"/>
      <c r="D106" s="4"/>
      <c r="E106" s="4"/>
      <c r="F106" s="2"/>
      <c r="G106" s="2"/>
    </row>
    <row r="107" spans="1:7" ht="15" customHeight="1">
      <c r="A107" s="772" t="s">
        <v>9</v>
      </c>
      <c r="B107" s="2" t="s">
        <v>10</v>
      </c>
      <c r="C107" s="18" t="s">
        <v>11</v>
      </c>
      <c r="D107" s="4" t="s">
        <v>12</v>
      </c>
      <c r="E107" s="4" t="s">
        <v>13</v>
      </c>
      <c r="F107" s="2" t="s">
        <v>14</v>
      </c>
      <c r="G107" s="2" t="s">
        <v>15</v>
      </c>
    </row>
    <row r="108" ht="15" customHeight="1">
      <c r="G108" s="788"/>
    </row>
    <row r="109" spans="1:7" ht="15" customHeight="1">
      <c r="A109" s="770" t="s">
        <v>703</v>
      </c>
      <c r="B109" s="6" t="s">
        <v>137</v>
      </c>
      <c r="C109" s="19"/>
      <c r="D109" s="4">
        <f>SUM(D110:D110)</f>
        <v>150</v>
      </c>
      <c r="E109" s="4">
        <f>SUM(E110:E110)</f>
        <v>144</v>
      </c>
      <c r="F109" s="4">
        <f>SUM(F110:F110)</f>
        <v>144</v>
      </c>
      <c r="G109" s="788">
        <f t="shared" si="2"/>
        <v>100</v>
      </c>
    </row>
    <row r="110" spans="1:7" ht="15" customHeight="1">
      <c r="A110" s="770" t="s">
        <v>704</v>
      </c>
      <c r="B110" s="6"/>
      <c r="C110" s="139" t="s">
        <v>138</v>
      </c>
      <c r="D110" s="138">
        <v>150</v>
      </c>
      <c r="E110" s="138">
        <f>+D110-6</f>
        <v>144</v>
      </c>
      <c r="F110" s="4">
        <f>+E110</f>
        <v>144</v>
      </c>
      <c r="G110" s="788">
        <f t="shared" si="2"/>
        <v>100</v>
      </c>
    </row>
    <row r="111" spans="2:7" ht="15" customHeight="1">
      <c r="B111" s="6"/>
      <c r="F111" s="2"/>
      <c r="G111" s="788"/>
    </row>
    <row r="112" spans="1:7" ht="15" customHeight="1">
      <c r="A112" s="770" t="s">
        <v>705</v>
      </c>
      <c r="B112" s="6" t="s">
        <v>182</v>
      </c>
      <c r="C112" s="19" t="s">
        <v>425</v>
      </c>
      <c r="D112" s="4"/>
      <c r="E112" s="4">
        <f>+3_mell!E37</f>
        <v>52782</v>
      </c>
      <c r="F112" s="4">
        <f>SUM(F113:F114)</f>
        <v>49760</v>
      </c>
      <c r="G112" s="788">
        <f t="shared" si="2"/>
        <v>94.27456329809405</v>
      </c>
    </row>
    <row r="113" spans="1:7" ht="15" customHeight="1">
      <c r="A113" s="770" t="s">
        <v>706</v>
      </c>
      <c r="B113" s="6"/>
      <c r="C113" s="139" t="s">
        <v>508</v>
      </c>
      <c r="D113" s="4"/>
      <c r="E113" s="138">
        <f>52782-12898</f>
        <v>39884</v>
      </c>
      <c r="F113" s="2">
        <v>36862</v>
      </c>
      <c r="G113" s="788">
        <f t="shared" si="2"/>
        <v>92.42302677765521</v>
      </c>
    </row>
    <row r="114" spans="1:7" ht="15" customHeight="1">
      <c r="A114" s="770" t="s">
        <v>707</v>
      </c>
      <c r="B114" s="6"/>
      <c r="C114" s="139" t="s">
        <v>509</v>
      </c>
      <c r="D114" s="4"/>
      <c r="E114" s="138">
        <v>12898</v>
      </c>
      <c r="F114" s="2">
        <v>12898</v>
      </c>
      <c r="G114" s="788">
        <f t="shared" si="2"/>
        <v>100</v>
      </c>
    </row>
    <row r="115" spans="2:7" ht="15" customHeight="1">
      <c r="B115" s="6"/>
      <c r="F115" s="2"/>
      <c r="G115" s="788"/>
    </row>
    <row r="116" spans="1:7" ht="15" customHeight="1">
      <c r="A116" s="770" t="s">
        <v>708</v>
      </c>
      <c r="B116" s="6" t="s">
        <v>139</v>
      </c>
      <c r="D116" s="4">
        <f>+D109+D65+D30+D26+D6</f>
        <v>767298</v>
      </c>
      <c r="E116" s="4">
        <f>+E109+E65+E30+E26+E6+E112</f>
        <v>1307641</v>
      </c>
      <c r="F116" s="4">
        <f>+F109+F65+F30+F26+F6+F112</f>
        <v>1345299</v>
      </c>
      <c r="G116" s="788">
        <f t="shared" si="2"/>
        <v>102.87984240322841</v>
      </c>
    </row>
    <row r="117" spans="2:7" ht="15" customHeight="1">
      <c r="B117" s="6"/>
      <c r="F117" s="2"/>
      <c r="G117" s="2"/>
    </row>
    <row r="118" spans="1:7" ht="15" customHeight="1">
      <c r="A118" s="770" t="s">
        <v>709</v>
      </c>
      <c r="C118" s="153" t="s">
        <v>678</v>
      </c>
      <c r="F118" s="138">
        <v>89080</v>
      </c>
      <c r="G118" s="138"/>
    </row>
    <row r="119" spans="1:7" ht="15" customHeight="1">
      <c r="A119" s="770" t="s">
        <v>710</v>
      </c>
      <c r="C119" s="139" t="s">
        <v>667</v>
      </c>
      <c r="F119" s="138">
        <f>+3_mell!P38</f>
        <v>-4538</v>
      </c>
      <c r="G119" s="138"/>
    </row>
    <row r="120" spans="1:7" s="6" customFormat="1" ht="15" customHeight="1">
      <c r="A120" s="770" t="s">
        <v>711</v>
      </c>
      <c r="B120" s="30"/>
      <c r="C120" s="139" t="s">
        <v>727</v>
      </c>
      <c r="D120" s="33"/>
      <c r="E120" s="33"/>
      <c r="F120" s="30">
        <f>+3_mell!R38</f>
        <v>52214</v>
      </c>
      <c r="G120" s="30"/>
    </row>
    <row r="121" spans="6:7" ht="15" customHeight="1">
      <c r="F121" s="6"/>
      <c r="G121" s="6"/>
    </row>
    <row r="122" spans="1:7" ht="15" customHeight="1">
      <c r="A122" s="770" t="s">
        <v>712</v>
      </c>
      <c r="C122" s="139" t="s">
        <v>676</v>
      </c>
      <c r="F122" s="138">
        <f>SUM(F116:F121)-F112</f>
        <v>1432295</v>
      </c>
      <c r="G122" s="138"/>
    </row>
    <row r="123" spans="1:7" ht="15" customHeight="1">
      <c r="A123" s="770" t="s">
        <v>713</v>
      </c>
      <c r="B123" s="6"/>
      <c r="C123" s="139" t="s">
        <v>677</v>
      </c>
      <c r="F123" s="33">
        <f>+2_mell!F39</f>
        <v>1432295</v>
      </c>
      <c r="G123" s="33"/>
    </row>
    <row r="124" spans="4:7" ht="15" customHeight="1">
      <c r="D124" s="146"/>
      <c r="E124" s="146"/>
      <c r="F124" s="33">
        <f>+F122-F123</f>
        <v>0</v>
      </c>
      <c r="G124" s="33"/>
    </row>
    <row r="125" spans="4:7" ht="15" customHeight="1">
      <c r="D125" s="33"/>
      <c r="E125" s="33"/>
      <c r="F125" s="30"/>
      <c r="G125" s="30"/>
    </row>
    <row r="126" spans="4:7" ht="15" customHeight="1">
      <c r="D126" s="146"/>
      <c r="E126" s="146"/>
      <c r="F126" s="146"/>
      <c r="G126" s="146"/>
    </row>
    <row r="127" ht="15" customHeight="1">
      <c r="B127" s="147"/>
    </row>
    <row r="128" spans="2:7" ht="15" customHeight="1">
      <c r="B128" s="147"/>
      <c r="F128" s="148"/>
      <c r="G128" s="148"/>
    </row>
    <row r="129" spans="6:7" ht="15" customHeight="1">
      <c r="F129" s="148"/>
      <c r="G129" s="148"/>
    </row>
    <row r="131" spans="6:7" ht="15" customHeight="1">
      <c r="F131" s="144"/>
      <c r="G131" s="144"/>
    </row>
    <row r="134" spans="6:7" ht="15" customHeight="1">
      <c r="F134" s="148"/>
      <c r="G134" s="148"/>
    </row>
    <row r="148" ht="15" customHeight="1">
      <c r="C148" s="149"/>
    </row>
    <row r="149" ht="15" customHeight="1">
      <c r="C149" s="149"/>
    </row>
    <row r="153" ht="15" customHeight="1">
      <c r="C153" s="150"/>
    </row>
    <row r="154" ht="15" customHeight="1">
      <c r="C154" s="150"/>
    </row>
    <row r="155" ht="15" customHeight="1">
      <c r="C155" s="150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&amp;L1. melléklet a 2013. évi költségvetési beszámoló  rendelethez&amp;R&amp;D</oddHeader>
  </headerFooter>
  <rowBreaks count="2" manualBreakCount="2">
    <brk id="54" max="6" man="1"/>
    <brk id="10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view="pageBreakPreview" zoomScale="60" zoomScalePageLayoutView="0" workbookViewId="0" topLeftCell="A1">
      <selection activeCell="H46" sqref="H46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3.57421875" style="0" customWidth="1"/>
    <col min="5" max="5" width="17.57421875" style="0" customWidth="1"/>
    <col min="6" max="6" width="38.421875" style="0" customWidth="1"/>
    <col min="7" max="7" width="8.140625" style="0" bestFit="1" customWidth="1"/>
    <col min="8" max="8" width="9.28125" style="0" bestFit="1" customWidth="1"/>
    <col min="9" max="9" width="17.421875" style="0" customWidth="1"/>
  </cols>
  <sheetData>
    <row r="1" spans="1:9" ht="15.75">
      <c r="A1" s="831" t="s">
        <v>419</v>
      </c>
      <c r="B1" s="831"/>
      <c r="C1" s="831"/>
      <c r="D1" s="831"/>
      <c r="E1" s="831"/>
      <c r="F1" s="831"/>
      <c r="G1" s="831"/>
      <c r="H1" s="831"/>
      <c r="I1" s="452"/>
    </row>
    <row r="2" spans="1:9" ht="15.75">
      <c r="A2" t="s">
        <v>9</v>
      </c>
      <c r="B2" s="452" t="s">
        <v>394</v>
      </c>
      <c r="C2" s="452" t="s">
        <v>11</v>
      </c>
      <c r="D2" s="452" t="s">
        <v>12</v>
      </c>
      <c r="E2" s="452" t="s">
        <v>13</v>
      </c>
      <c r="F2" s="452" t="s">
        <v>14</v>
      </c>
      <c r="G2" s="454" t="s">
        <v>15</v>
      </c>
      <c r="H2" s="454" t="s">
        <v>16</v>
      </c>
      <c r="I2" s="454" t="s">
        <v>65</v>
      </c>
    </row>
    <row r="3" spans="1:9" ht="16.5" thickBot="1">
      <c r="A3" t="s">
        <v>18</v>
      </c>
      <c r="B3" s="163" t="s">
        <v>202</v>
      </c>
      <c r="C3" s="163"/>
      <c r="D3" s="163"/>
      <c r="E3" s="163"/>
      <c r="F3" s="163" t="s">
        <v>203</v>
      </c>
      <c r="G3" s="164"/>
      <c r="H3" s="164"/>
      <c r="I3" s="164"/>
    </row>
    <row r="4" spans="1:9" ht="15.75">
      <c r="A4" t="s">
        <v>20</v>
      </c>
      <c r="B4" s="165" t="s">
        <v>204</v>
      </c>
      <c r="C4" s="166" t="s">
        <v>75</v>
      </c>
      <c r="D4" s="166" t="s">
        <v>113</v>
      </c>
      <c r="E4" s="166" t="s">
        <v>113</v>
      </c>
      <c r="F4" s="167" t="s">
        <v>204</v>
      </c>
      <c r="G4" s="127" t="s">
        <v>113</v>
      </c>
      <c r="H4" s="168" t="s">
        <v>113</v>
      </c>
      <c r="I4" s="168" t="s">
        <v>113</v>
      </c>
    </row>
    <row r="5" spans="1:9" ht="15.75">
      <c r="A5" t="s">
        <v>22</v>
      </c>
      <c r="B5" s="166"/>
      <c r="C5" s="166" t="s">
        <v>70</v>
      </c>
      <c r="D5" s="166" t="s">
        <v>406</v>
      </c>
      <c r="E5" s="166" t="s">
        <v>551</v>
      </c>
      <c r="F5" s="167"/>
      <c r="G5" s="168" t="s">
        <v>70</v>
      </c>
      <c r="H5" s="168" t="s">
        <v>406</v>
      </c>
      <c r="I5" s="168" t="s">
        <v>551</v>
      </c>
    </row>
    <row r="6" spans="2:6" ht="15.75">
      <c r="B6" s="169"/>
      <c r="C6" s="169"/>
      <c r="D6" s="169"/>
      <c r="E6" s="169"/>
      <c r="F6" s="170"/>
    </row>
    <row r="7" spans="1:12" ht="15.75">
      <c r="A7" t="s">
        <v>23</v>
      </c>
      <c r="B7" s="169" t="str">
        <f>+'[1]felh bev'!A35</f>
        <v>Felhalmozási bevételek összesen</v>
      </c>
      <c r="C7" s="171">
        <f>+8_mell!C18</f>
        <v>47700</v>
      </c>
      <c r="D7" s="171">
        <f>+8_mell!D18</f>
        <v>103789</v>
      </c>
      <c r="E7" s="171">
        <f>+8_mell!E18</f>
        <v>59951</v>
      </c>
      <c r="F7" s="170" t="s">
        <v>205</v>
      </c>
      <c r="G7" s="152">
        <f>+7_mell!C53</f>
        <v>0</v>
      </c>
      <c r="H7" s="152">
        <f>+7_mell!D53</f>
        <v>56738</v>
      </c>
      <c r="I7" s="152">
        <f>+7_mell!E53</f>
        <v>35342</v>
      </c>
      <c r="J7" s="179"/>
      <c r="L7" s="152"/>
    </row>
    <row r="8" spans="1:10" ht="15.75">
      <c r="A8" t="s">
        <v>24</v>
      </c>
      <c r="B8" s="169"/>
      <c r="C8" s="171"/>
      <c r="D8" s="171"/>
      <c r="E8" s="171"/>
      <c r="F8" s="170" t="s">
        <v>206</v>
      </c>
      <c r="G8">
        <f>+7_mell!C54</f>
        <v>0</v>
      </c>
      <c r="H8" s="152">
        <f>+7_mell!D54</f>
        <v>9806</v>
      </c>
      <c r="I8" s="152">
        <f>+7_mell!E54</f>
        <v>9806</v>
      </c>
      <c r="J8" s="179"/>
    </row>
    <row r="9" spans="2:6" ht="15.75">
      <c r="B9" s="169"/>
      <c r="C9" s="171"/>
      <c r="D9" s="171"/>
      <c r="E9" s="171"/>
      <c r="F9" s="170"/>
    </row>
    <row r="10" spans="1:9" ht="15.75">
      <c r="A10" t="s">
        <v>25</v>
      </c>
      <c r="B10" s="169"/>
      <c r="C10" s="171"/>
      <c r="D10" s="171"/>
      <c r="E10" s="171"/>
      <c r="F10" s="170" t="s">
        <v>72</v>
      </c>
      <c r="G10" s="152">
        <f>+5_mell!C31</f>
        <v>3000</v>
      </c>
      <c r="H10" s="152">
        <f>+5_mell!D31</f>
        <v>3000</v>
      </c>
      <c r="I10" s="152">
        <f>+5_mell!E31</f>
        <v>3000</v>
      </c>
    </row>
    <row r="11" spans="2:6" ht="15.75">
      <c r="B11" s="169"/>
      <c r="C11" s="171"/>
      <c r="D11" s="171"/>
      <c r="E11" s="171"/>
      <c r="F11" s="170"/>
    </row>
    <row r="12" spans="2:6" ht="15.75" hidden="1">
      <c r="B12" s="169"/>
      <c r="C12" s="171"/>
      <c r="D12" s="171"/>
      <c r="E12" s="171"/>
      <c r="F12" s="170" t="s">
        <v>195</v>
      </c>
    </row>
    <row r="13" spans="2:6" ht="15.75">
      <c r="B13" s="169"/>
      <c r="C13" s="171"/>
      <c r="D13" s="171"/>
      <c r="E13" s="171"/>
      <c r="F13" s="170"/>
    </row>
    <row r="14" spans="1:9" ht="15.75">
      <c r="A14" t="s">
        <v>26</v>
      </c>
      <c r="B14" s="169"/>
      <c r="C14" s="171"/>
      <c r="D14" s="171"/>
      <c r="E14" s="171"/>
      <c r="F14" s="172" t="s">
        <v>690</v>
      </c>
      <c r="G14" s="152">
        <f>+'11_mell'!G18</f>
        <v>7309</v>
      </c>
      <c r="H14" s="152">
        <f>+G14</f>
        <v>7309</v>
      </c>
      <c r="I14" s="152">
        <v>7309</v>
      </c>
    </row>
    <row r="15" spans="1:9" ht="15.75">
      <c r="A15" t="s">
        <v>27</v>
      </c>
      <c r="B15" s="169"/>
      <c r="C15" s="171"/>
      <c r="D15" s="171"/>
      <c r="E15" s="171"/>
      <c r="F15" s="170" t="s">
        <v>207</v>
      </c>
      <c r="G15" s="152">
        <f>+'11_mell'!G16</f>
        <v>10665</v>
      </c>
      <c r="H15" s="152">
        <f>+G15</f>
        <v>10665</v>
      </c>
      <c r="I15" s="152">
        <v>10665</v>
      </c>
    </row>
    <row r="16" spans="2:6" ht="15.75">
      <c r="B16" s="169"/>
      <c r="C16" s="171"/>
      <c r="D16" s="171"/>
      <c r="E16" s="171"/>
      <c r="F16" s="172"/>
    </row>
    <row r="17" spans="1:9" ht="15.75">
      <c r="A17" t="s">
        <v>28</v>
      </c>
      <c r="B17" s="169"/>
      <c r="C17" s="171"/>
      <c r="D17" s="171"/>
      <c r="E17" s="171"/>
      <c r="F17" s="170" t="s">
        <v>222</v>
      </c>
      <c r="G17" s="152">
        <f>+2_mell!D28</f>
        <v>1050</v>
      </c>
      <c r="H17" s="152">
        <f>+G17</f>
        <v>1050</v>
      </c>
      <c r="I17" s="152">
        <f>+2_mell!F28</f>
        <v>1050</v>
      </c>
    </row>
    <row r="18" spans="2:6" ht="15.75">
      <c r="B18" s="169"/>
      <c r="C18" s="171"/>
      <c r="D18" s="171"/>
      <c r="E18" s="171"/>
      <c r="F18" s="170"/>
    </row>
    <row r="19" spans="1:9" ht="15.75">
      <c r="A19" t="s">
        <v>29</v>
      </c>
      <c r="B19" s="169"/>
      <c r="C19" s="171"/>
      <c r="D19" s="171"/>
      <c r="E19" s="171"/>
      <c r="F19" s="170" t="s">
        <v>221</v>
      </c>
      <c r="G19" s="152">
        <f>+2_mell!D29+2_mell!D30</f>
        <v>24408</v>
      </c>
      <c r="H19" s="152">
        <f>+G19</f>
        <v>24408</v>
      </c>
      <c r="I19" s="152">
        <f>+2_mell!F29+2_mell!F30</f>
        <v>22550</v>
      </c>
    </row>
    <row r="20" spans="2:6" ht="15.75">
      <c r="B20" s="169"/>
      <c r="C20" s="171"/>
      <c r="D20" s="171"/>
      <c r="E20" s="171"/>
      <c r="F20" s="173"/>
    </row>
    <row r="21" spans="2:6" ht="15.75">
      <c r="B21" s="169"/>
      <c r="C21" s="171"/>
      <c r="D21" s="171"/>
      <c r="E21" s="171"/>
      <c r="F21" s="173"/>
    </row>
    <row r="22" spans="2:6" ht="15.75">
      <c r="B22" s="169"/>
      <c r="C22" s="171"/>
      <c r="D22" s="171"/>
      <c r="E22" s="171"/>
      <c r="F22" s="173"/>
    </row>
    <row r="23" spans="2:6" ht="15.75">
      <c r="B23" s="169"/>
      <c r="C23" s="171"/>
      <c r="D23" s="171"/>
      <c r="E23" s="171"/>
      <c r="F23" s="173"/>
    </row>
    <row r="24" spans="1:9" ht="15.75">
      <c r="A24" t="s">
        <v>30</v>
      </c>
      <c r="B24" s="165" t="s">
        <v>201</v>
      </c>
      <c r="C24" s="174">
        <f>SUM(C7:C23)</f>
        <v>47700</v>
      </c>
      <c r="D24" s="174">
        <f>SUM(D7:D23)</f>
        <v>103789</v>
      </c>
      <c r="E24" s="174">
        <f>SUM(E7:E23)</f>
        <v>59951</v>
      </c>
      <c r="F24" s="175" t="s">
        <v>208</v>
      </c>
      <c r="G24" s="176">
        <f>SUM(G7:G23)</f>
        <v>46432</v>
      </c>
      <c r="H24" s="176">
        <f>SUM(H7:H23)</f>
        <v>112976</v>
      </c>
      <c r="I24" s="176">
        <f>SUM(I7:I23)</f>
        <v>89722</v>
      </c>
    </row>
    <row r="25" spans="1:6" ht="15.75">
      <c r="A25" t="s">
        <v>31</v>
      </c>
      <c r="B25" s="177" t="s">
        <v>209</v>
      </c>
      <c r="C25" s="178">
        <f>+C24-G24</f>
        <v>1268</v>
      </c>
      <c r="D25" s="178">
        <f>+D24-H24</f>
        <v>-9187</v>
      </c>
      <c r="E25" s="178">
        <f>+E24-I24</f>
        <v>-29771</v>
      </c>
      <c r="F25" s="175"/>
    </row>
    <row r="27" spans="3:5" ht="12.75">
      <c r="C27" s="179"/>
      <c r="D27" s="179"/>
      <c r="E27" s="17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Header>&amp;L9. melléklet a 2013. évi költségvetési beszámoló  rendelethez&amp;R&amp;D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L50"/>
  <sheetViews>
    <sheetView view="pageBreakPreview" zoomScale="60" zoomScalePageLayoutView="0" workbookViewId="0" topLeftCell="A16">
      <selection activeCell="Q62" sqref="Q62"/>
    </sheetView>
  </sheetViews>
  <sheetFormatPr defaultColWidth="9.140625" defaultRowHeight="12.75"/>
  <cols>
    <col min="1" max="1" width="5.421875" style="729" customWidth="1"/>
    <col min="2" max="2" width="3.28125" style="729" customWidth="1"/>
    <col min="3" max="3" width="7.140625" style="729" customWidth="1"/>
    <col min="4" max="8" width="9.140625" style="729" customWidth="1"/>
    <col min="9" max="9" width="21.7109375" style="729" customWidth="1"/>
    <col min="10" max="10" width="11.7109375" style="729" customWidth="1"/>
    <col min="11" max="11" width="7.00390625" style="729" customWidth="1"/>
    <col min="12" max="12" width="18.00390625" style="752" customWidth="1"/>
    <col min="13" max="16384" width="9.140625" style="729" customWidth="1"/>
  </cols>
  <sheetData>
    <row r="2" spans="1:12" s="744" customFormat="1" ht="15.75">
      <c r="A2" s="720"/>
      <c r="B2" s="743" t="s">
        <v>369</v>
      </c>
      <c r="L2" s="745"/>
    </row>
    <row r="3" spans="1:12" ht="15">
      <c r="A3" s="744" t="s">
        <v>9</v>
      </c>
      <c r="B3" s="24" t="s">
        <v>10</v>
      </c>
      <c r="C3" s="729" t="s">
        <v>11</v>
      </c>
      <c r="D3" s="729" t="s">
        <v>12</v>
      </c>
      <c r="J3" s="746" t="s">
        <v>13</v>
      </c>
      <c r="K3" s="746" t="s">
        <v>14</v>
      </c>
      <c r="L3" s="747" t="s">
        <v>15</v>
      </c>
    </row>
    <row r="4" spans="1:12" s="749" customFormat="1" ht="25.5">
      <c r="A4" s="729" t="s">
        <v>18</v>
      </c>
      <c r="B4" s="748" t="s">
        <v>141</v>
      </c>
      <c r="I4" s="749">
        <v>5992</v>
      </c>
      <c r="J4" s="750" t="s">
        <v>142</v>
      </c>
      <c r="K4" s="750" t="s">
        <v>143</v>
      </c>
      <c r="L4" s="751" t="s">
        <v>144</v>
      </c>
    </row>
    <row r="5" spans="1:9" ht="12.75">
      <c r="A5" s="749" t="s">
        <v>20</v>
      </c>
      <c r="B5" s="622" t="s">
        <v>145</v>
      </c>
      <c r="C5" s="622" t="s">
        <v>728</v>
      </c>
      <c r="D5" s="622"/>
      <c r="E5" s="622"/>
      <c r="F5" s="622"/>
      <c r="G5" s="622"/>
      <c r="H5" s="622"/>
      <c r="I5" s="622"/>
    </row>
    <row r="6" spans="1:12" ht="12.75">
      <c r="A6" s="729" t="s">
        <v>22</v>
      </c>
      <c r="C6" s="622" t="s">
        <v>146</v>
      </c>
      <c r="D6" s="622" t="s">
        <v>147</v>
      </c>
      <c r="E6" s="622"/>
      <c r="F6" s="622"/>
      <c r="G6" s="622"/>
      <c r="H6" s="622"/>
      <c r="I6" s="622"/>
      <c r="J6" s="622" t="s">
        <v>148</v>
      </c>
      <c r="K6" s="622"/>
      <c r="L6" s="623">
        <f>+L7</f>
        <v>105294200</v>
      </c>
    </row>
    <row r="7" spans="1:12" ht="27.75" customHeight="1">
      <c r="A7" s="729" t="s">
        <v>23</v>
      </c>
      <c r="D7" s="832" t="s">
        <v>697</v>
      </c>
      <c r="E7" s="832"/>
      <c r="F7" s="832"/>
      <c r="G7" s="832"/>
      <c r="H7" s="832"/>
      <c r="I7" s="832"/>
      <c r="J7" s="729" t="s">
        <v>148</v>
      </c>
      <c r="K7" s="729">
        <v>22.99</v>
      </c>
      <c r="L7" s="752">
        <v>105294200</v>
      </c>
    </row>
    <row r="8" spans="1:10" ht="27.75" customHeight="1">
      <c r="A8" s="729" t="s">
        <v>24</v>
      </c>
      <c r="D8" s="832" t="s">
        <v>149</v>
      </c>
      <c r="E8" s="832"/>
      <c r="F8" s="832"/>
      <c r="G8" s="832"/>
      <c r="H8" s="832"/>
      <c r="I8" s="832"/>
      <c r="J8" s="729" t="s">
        <v>148</v>
      </c>
    </row>
    <row r="9" spans="1:12" ht="35.25" customHeight="1">
      <c r="A9" s="729" t="s">
        <v>25</v>
      </c>
      <c r="B9" s="622"/>
      <c r="C9" s="622" t="s">
        <v>150</v>
      </c>
      <c r="D9" s="833" t="s">
        <v>151</v>
      </c>
      <c r="E9" s="833"/>
      <c r="F9" s="833"/>
      <c r="G9" s="833"/>
      <c r="H9" s="833"/>
      <c r="I9" s="833"/>
      <c r="J9" s="622" t="s">
        <v>148</v>
      </c>
      <c r="K9" s="622"/>
      <c r="L9" s="623">
        <f>+L10+L11+L12+L13</f>
        <v>46151979</v>
      </c>
    </row>
    <row r="10" spans="1:12" ht="27" customHeight="1">
      <c r="A10" s="729" t="s">
        <v>26</v>
      </c>
      <c r="D10" s="832" t="s">
        <v>729</v>
      </c>
      <c r="E10" s="832"/>
      <c r="F10" s="832"/>
      <c r="G10" s="832"/>
      <c r="H10" s="832"/>
      <c r="I10" s="832"/>
      <c r="J10" s="729" t="s">
        <v>148</v>
      </c>
      <c r="L10" s="752">
        <v>18930754</v>
      </c>
    </row>
    <row r="11" spans="1:12" ht="12.75">
      <c r="A11" s="729" t="s">
        <v>27</v>
      </c>
      <c r="D11" s="729" t="s">
        <v>152</v>
      </c>
      <c r="J11" s="729" t="s">
        <v>148</v>
      </c>
      <c r="L11" s="752">
        <v>24026765</v>
      </c>
    </row>
    <row r="12" spans="1:12" ht="27" customHeight="1">
      <c r="A12" s="729" t="s">
        <v>28</v>
      </c>
      <c r="D12" s="832" t="s">
        <v>153</v>
      </c>
      <c r="E12" s="832"/>
      <c r="F12" s="832"/>
      <c r="G12" s="832"/>
      <c r="H12" s="832"/>
      <c r="I12" s="832"/>
      <c r="J12" s="729" t="s">
        <v>148</v>
      </c>
      <c r="L12" s="752">
        <v>2825960</v>
      </c>
    </row>
    <row r="13" spans="1:12" ht="12.75">
      <c r="A13" s="729" t="s">
        <v>29</v>
      </c>
      <c r="D13" s="729" t="s">
        <v>154</v>
      </c>
      <c r="J13" s="729" t="s">
        <v>148</v>
      </c>
      <c r="L13" s="752">
        <v>368500</v>
      </c>
    </row>
    <row r="14" spans="1:12" ht="12.75">
      <c r="A14" s="729" t="s">
        <v>30</v>
      </c>
      <c r="C14" s="622" t="s">
        <v>155</v>
      </c>
      <c r="D14" s="622" t="s">
        <v>156</v>
      </c>
      <c r="E14" s="622"/>
      <c r="F14" s="622"/>
      <c r="G14" s="622" t="s">
        <v>291</v>
      </c>
      <c r="H14" s="622"/>
      <c r="I14" s="622"/>
      <c r="J14" s="622" t="s">
        <v>148</v>
      </c>
      <c r="K14" s="622"/>
      <c r="L14" s="623">
        <v>27748525</v>
      </c>
    </row>
    <row r="15" spans="1:12" ht="27" customHeight="1">
      <c r="A15" s="729" t="s">
        <v>31</v>
      </c>
      <c r="D15" s="833" t="s">
        <v>157</v>
      </c>
      <c r="E15" s="833"/>
      <c r="F15" s="833"/>
      <c r="G15" s="833"/>
      <c r="H15" s="833"/>
      <c r="I15" s="833"/>
      <c r="J15" s="622" t="s">
        <v>148</v>
      </c>
      <c r="K15" s="622"/>
      <c r="L15" s="753">
        <f>+L7+L9-L14</f>
        <v>123697654</v>
      </c>
    </row>
    <row r="16" spans="1:10" ht="33.75" customHeight="1">
      <c r="A16" s="729" t="s">
        <v>32</v>
      </c>
      <c r="D16" s="832" t="s">
        <v>158</v>
      </c>
      <c r="E16" s="832"/>
      <c r="F16" s="832"/>
      <c r="G16" s="832"/>
      <c r="H16" s="832"/>
      <c r="I16" s="832"/>
      <c r="J16" s="729" t="s">
        <v>148</v>
      </c>
    </row>
    <row r="17" spans="1:12" ht="12.75">
      <c r="A17" s="729" t="s">
        <v>33</v>
      </c>
      <c r="C17" s="729" t="s">
        <v>159</v>
      </c>
      <c r="D17" s="729" t="s">
        <v>160</v>
      </c>
      <c r="J17" s="729" t="s">
        <v>148</v>
      </c>
      <c r="L17" s="752">
        <v>16178400</v>
      </c>
    </row>
    <row r="19" spans="1:12" ht="15.75">
      <c r="A19" s="729" t="s">
        <v>34</v>
      </c>
      <c r="E19" s="1" t="s">
        <v>161</v>
      </c>
      <c r="F19" s="1"/>
      <c r="G19" s="1"/>
      <c r="H19" s="1"/>
      <c r="I19" s="1"/>
      <c r="J19" s="1"/>
      <c r="K19" s="1"/>
      <c r="L19" s="13">
        <f>+L15+L17</f>
        <v>139876054</v>
      </c>
    </row>
    <row r="20" ht="12.75">
      <c r="L20" s="752">
        <v>139876</v>
      </c>
    </row>
    <row r="22" spans="1:12" ht="12.75">
      <c r="A22" s="729" t="s">
        <v>35</v>
      </c>
      <c r="B22" s="622" t="s">
        <v>162</v>
      </c>
      <c r="C22" s="622" t="s">
        <v>163</v>
      </c>
      <c r="D22" s="622"/>
      <c r="E22" s="622"/>
      <c r="F22" s="622"/>
      <c r="G22" s="622"/>
      <c r="H22" s="622"/>
      <c r="I22" s="622"/>
      <c r="J22" s="622"/>
      <c r="K22" s="622"/>
      <c r="L22" s="623">
        <f>+L23+L24</f>
        <v>105182590</v>
      </c>
    </row>
    <row r="23" spans="1:12" ht="12.75">
      <c r="A23" s="729" t="s">
        <v>36</v>
      </c>
      <c r="C23" s="622" t="s">
        <v>164</v>
      </c>
      <c r="D23" s="622" t="s">
        <v>165</v>
      </c>
      <c r="E23" s="622"/>
      <c r="F23" s="622"/>
      <c r="G23" s="622"/>
      <c r="H23" s="622"/>
      <c r="I23" s="622"/>
      <c r="J23" s="622" t="s">
        <v>148</v>
      </c>
      <c r="K23" s="622"/>
      <c r="L23" s="623">
        <v>74837870</v>
      </c>
    </row>
    <row r="24" spans="1:12" ht="12.75">
      <c r="A24" s="729" t="s">
        <v>37</v>
      </c>
      <c r="C24" s="622" t="s">
        <v>166</v>
      </c>
      <c r="D24" s="622" t="s">
        <v>167</v>
      </c>
      <c r="E24" s="622"/>
      <c r="F24" s="622"/>
      <c r="G24" s="622"/>
      <c r="H24" s="622"/>
      <c r="I24" s="622"/>
      <c r="J24" s="622"/>
      <c r="K24" s="622"/>
      <c r="L24" s="623">
        <f>+L25+L26+L27+L29+L31+L33</f>
        <v>30344720</v>
      </c>
    </row>
    <row r="25" spans="1:12" ht="26.25" customHeight="1">
      <c r="A25" s="729" t="s">
        <v>40</v>
      </c>
      <c r="D25" s="832" t="s">
        <v>168</v>
      </c>
      <c r="E25" s="832"/>
      <c r="F25" s="832"/>
      <c r="G25" s="832"/>
      <c r="H25" s="832"/>
      <c r="I25" s="832"/>
      <c r="J25" s="729" t="s">
        <v>148</v>
      </c>
      <c r="K25" s="729">
        <v>1.1984</v>
      </c>
      <c r="L25" s="752">
        <v>2366840</v>
      </c>
    </row>
    <row r="26" spans="1:12" ht="29.25" customHeight="1">
      <c r="A26" s="729" t="s">
        <v>43</v>
      </c>
      <c r="D26" s="832" t="s">
        <v>169</v>
      </c>
      <c r="E26" s="832"/>
      <c r="F26" s="832"/>
      <c r="G26" s="832"/>
      <c r="H26" s="832"/>
      <c r="I26" s="832"/>
      <c r="J26" s="729" t="s">
        <v>148</v>
      </c>
      <c r="K26" s="729">
        <v>1.1984</v>
      </c>
      <c r="L26" s="752">
        <v>2366840</v>
      </c>
    </row>
    <row r="27" spans="1:12" ht="12.75">
      <c r="A27" s="729" t="s">
        <v>44</v>
      </c>
      <c r="D27" s="729" t="s">
        <v>170</v>
      </c>
      <c r="J27" s="729" t="s">
        <v>148</v>
      </c>
      <c r="K27" s="729">
        <v>89</v>
      </c>
      <c r="L27" s="752">
        <v>4927040</v>
      </c>
    </row>
    <row r="28" spans="1:12" s="317" customFormat="1" ht="12.75">
      <c r="A28" s="729" t="s">
        <v>45</v>
      </c>
      <c r="E28" s="317" t="s">
        <v>695</v>
      </c>
      <c r="J28" s="317" t="s">
        <v>148</v>
      </c>
      <c r="K28" s="317">
        <v>-14</v>
      </c>
      <c r="L28" s="757">
        <f>+K28*55360</f>
        <v>-775040</v>
      </c>
    </row>
    <row r="29" spans="1:12" ht="12.75">
      <c r="A29" s="729" t="s">
        <v>46</v>
      </c>
      <c r="D29" s="729" t="s">
        <v>171</v>
      </c>
      <c r="J29" s="729" t="s">
        <v>148</v>
      </c>
      <c r="K29" s="729">
        <v>30</v>
      </c>
      <c r="L29" s="752">
        <v>4350000</v>
      </c>
    </row>
    <row r="30" spans="1:12" s="317" customFormat="1" ht="12.75">
      <c r="A30" s="729" t="s">
        <v>47</v>
      </c>
      <c r="E30" s="317" t="s">
        <v>695</v>
      </c>
      <c r="J30" s="317" t="s">
        <v>148</v>
      </c>
      <c r="K30" s="317">
        <v>9</v>
      </c>
      <c r="L30" s="757">
        <f>+K30*145000</f>
        <v>1305000</v>
      </c>
    </row>
    <row r="31" spans="1:12" ht="12.75">
      <c r="A31" s="729" t="s">
        <v>48</v>
      </c>
      <c r="D31" s="729" t="s">
        <v>172</v>
      </c>
      <c r="J31" s="729" t="s">
        <v>148</v>
      </c>
      <c r="K31" s="729">
        <v>26</v>
      </c>
      <c r="L31" s="752">
        <v>2834000</v>
      </c>
    </row>
    <row r="32" spans="1:12" s="317" customFormat="1" ht="12.75">
      <c r="A32" s="317" t="s">
        <v>49</v>
      </c>
      <c r="E32" s="317" t="s">
        <v>695</v>
      </c>
      <c r="J32" s="317" t="s">
        <v>148</v>
      </c>
      <c r="K32" s="317">
        <v>2</v>
      </c>
      <c r="L32" s="757">
        <f>+K32*109000</f>
        <v>218000</v>
      </c>
    </row>
    <row r="33" spans="1:12" ht="12.75">
      <c r="A33" s="729" t="s">
        <v>50</v>
      </c>
      <c r="D33" s="729" t="s">
        <v>173</v>
      </c>
      <c r="J33" s="729" t="s">
        <v>148</v>
      </c>
      <c r="K33" s="729">
        <v>27</v>
      </c>
      <c r="L33" s="752">
        <v>13500000</v>
      </c>
    </row>
    <row r="34" spans="1:12" s="317" customFormat="1" ht="12.75">
      <c r="A34" s="317" t="s">
        <v>51</v>
      </c>
      <c r="E34" s="317" t="s">
        <v>695</v>
      </c>
      <c r="J34" s="317" t="s">
        <v>148</v>
      </c>
      <c r="K34" s="317">
        <v>1</v>
      </c>
      <c r="L34" s="757">
        <v>500000</v>
      </c>
    </row>
    <row r="36" spans="1:12" s="317" customFormat="1" ht="12.75">
      <c r="A36" s="317" t="s">
        <v>52</v>
      </c>
      <c r="E36" s="317" t="s">
        <v>696</v>
      </c>
      <c r="L36" s="757">
        <f>+L34+L32+L30+L28</f>
        <v>1247960</v>
      </c>
    </row>
    <row r="38" spans="1:12" s="1" customFormat="1" ht="15.75">
      <c r="A38" s="1" t="s">
        <v>53</v>
      </c>
      <c r="E38" s="1" t="s">
        <v>174</v>
      </c>
      <c r="L38" s="13">
        <f>+L22+L36</f>
        <v>106430550</v>
      </c>
    </row>
    <row r="39" ht="12.75">
      <c r="L39" s="752">
        <v>106431</v>
      </c>
    </row>
    <row r="42" spans="1:12" ht="18.75" customHeight="1">
      <c r="A42" s="729" t="s">
        <v>54</v>
      </c>
      <c r="B42" s="729" t="s">
        <v>175</v>
      </c>
      <c r="C42" s="729" t="s">
        <v>176</v>
      </c>
      <c r="J42" s="729" t="s">
        <v>177</v>
      </c>
      <c r="K42" s="729">
        <v>1140</v>
      </c>
      <c r="L42" s="752">
        <f>+K42*I4</f>
        <v>6830880</v>
      </c>
    </row>
    <row r="44" spans="1:12" ht="12.75">
      <c r="A44" s="729" t="s">
        <v>395</v>
      </c>
      <c r="C44" s="729" t="s">
        <v>403</v>
      </c>
      <c r="L44" s="752">
        <v>72000</v>
      </c>
    </row>
    <row r="46" spans="1:12" ht="12.75">
      <c r="A46" s="729" t="s">
        <v>396</v>
      </c>
      <c r="E46" s="729" t="s">
        <v>178</v>
      </c>
      <c r="L46" s="752">
        <f>SUM(L42:L45)</f>
        <v>6902880</v>
      </c>
    </row>
    <row r="47" ht="12.75">
      <c r="L47" s="752">
        <v>6903</v>
      </c>
    </row>
    <row r="48" spans="1:12" ht="12.75">
      <c r="A48" s="729" t="s">
        <v>397</v>
      </c>
      <c r="E48" s="729" t="s">
        <v>404</v>
      </c>
      <c r="L48" s="752">
        <f>+L46+L38+L19</f>
        <v>253209484</v>
      </c>
    </row>
    <row r="49" ht="13.5" thickBot="1"/>
    <row r="50" spans="1:12" ht="16.5" thickBot="1">
      <c r="A50" s="729" t="s">
        <v>411</v>
      </c>
      <c r="E50" s="754" t="s">
        <v>112</v>
      </c>
      <c r="F50" s="755"/>
      <c r="G50" s="755"/>
      <c r="H50" s="755"/>
      <c r="I50" s="755"/>
      <c r="J50" s="755"/>
      <c r="K50" s="755"/>
      <c r="L50" s="756">
        <f>+L47+L39+L20</f>
        <v>253210</v>
      </c>
    </row>
  </sheetData>
  <sheetProtection/>
  <mergeCells count="9">
    <mergeCell ref="D7:I7"/>
    <mergeCell ref="D8:I8"/>
    <mergeCell ref="D9:I9"/>
    <mergeCell ref="D10:I10"/>
    <mergeCell ref="D26:I26"/>
    <mergeCell ref="D12:I12"/>
    <mergeCell ref="D15:I15"/>
    <mergeCell ref="D16:I16"/>
    <mergeCell ref="D25:I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&amp;L10. melléklet a 2013. évi költségvetési beszámoló  rendelethez&amp;R&amp;D</oddHeader>
  </headerFooter>
  <rowBreaks count="1" manualBreakCount="1">
    <brk id="2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25"/>
  <sheetViews>
    <sheetView view="pageBreakPreview" zoomScale="60" zoomScalePageLayoutView="0" workbookViewId="0" topLeftCell="A1">
      <selection activeCell="K18" sqref="K18"/>
    </sheetView>
  </sheetViews>
  <sheetFormatPr defaultColWidth="9.140625" defaultRowHeight="12.75"/>
  <cols>
    <col min="1" max="1" width="6.28125" style="180" customWidth="1"/>
    <col min="2" max="2" width="4.00390625" style="180" customWidth="1"/>
    <col min="3" max="3" width="23.421875" style="180" customWidth="1"/>
    <col min="4" max="4" width="17.57421875" style="180" customWidth="1"/>
    <col min="5" max="5" width="9.57421875" style="180" bestFit="1" customWidth="1"/>
    <col min="6" max="6" width="14.7109375" style="180" customWidth="1"/>
    <col min="7" max="7" width="9.421875" style="180" bestFit="1" customWidth="1"/>
    <col min="8" max="10" width="9.421875" style="180" customWidth="1"/>
    <col min="11" max="12" width="9.421875" style="180" bestFit="1" customWidth="1"/>
    <col min="13" max="14" width="9.28125" style="180" bestFit="1" customWidth="1"/>
    <col min="15" max="16384" width="9.140625" style="180" customWidth="1"/>
  </cols>
  <sheetData>
    <row r="1" spans="1:14" ht="14.25">
      <c r="A1" s="834" t="s">
        <v>210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</row>
    <row r="2" spans="1:14" ht="31.5" customHeight="1" thickBot="1">
      <c r="A2" s="180" t="s">
        <v>9</v>
      </c>
      <c r="B2" s="181" t="s">
        <v>10</v>
      </c>
      <c r="C2" s="181" t="s">
        <v>11</v>
      </c>
      <c r="D2" s="181" t="s">
        <v>12</v>
      </c>
      <c r="E2" s="181" t="s">
        <v>13</v>
      </c>
      <c r="F2" s="181" t="s">
        <v>14</v>
      </c>
      <c r="G2" s="181" t="s">
        <v>15</v>
      </c>
      <c r="H2" s="181" t="s">
        <v>16</v>
      </c>
      <c r="I2" s="181" t="s">
        <v>405</v>
      </c>
      <c r="J2" s="181"/>
      <c r="K2" s="181" t="s">
        <v>17</v>
      </c>
      <c r="L2" s="181" t="s">
        <v>398</v>
      </c>
      <c r="M2" s="180" t="s">
        <v>399</v>
      </c>
      <c r="N2" s="180" t="s">
        <v>401</v>
      </c>
    </row>
    <row r="3" spans="1:14" ht="18" customHeight="1" thickBot="1">
      <c r="A3" s="180" t="s">
        <v>18</v>
      </c>
      <c r="B3" s="302" t="s">
        <v>211</v>
      </c>
      <c r="C3" s="303"/>
      <c r="D3" s="303"/>
      <c r="E3" s="303"/>
      <c r="F3" s="519"/>
      <c r="G3" s="835">
        <v>2013</v>
      </c>
      <c r="H3" s="836"/>
      <c r="I3" s="836"/>
      <c r="J3" s="837"/>
      <c r="K3" s="515">
        <v>2014</v>
      </c>
      <c r="L3" s="296">
        <v>2015</v>
      </c>
      <c r="M3" s="296">
        <v>2016</v>
      </c>
      <c r="N3" s="296">
        <v>2017</v>
      </c>
    </row>
    <row r="4" spans="1:14" ht="15" thickBot="1">
      <c r="A4" s="180" t="s">
        <v>20</v>
      </c>
      <c r="B4" s="312"/>
      <c r="C4" s="311"/>
      <c r="D4" s="311"/>
      <c r="E4" s="290"/>
      <c r="F4" s="324">
        <v>241.06</v>
      </c>
      <c r="G4" s="520" t="s">
        <v>63</v>
      </c>
      <c r="H4" s="290" t="s">
        <v>335</v>
      </c>
      <c r="I4" s="521" t="s">
        <v>334</v>
      </c>
      <c r="J4" s="516" t="s">
        <v>553</v>
      </c>
      <c r="K4" s="299"/>
      <c r="L4" s="299"/>
      <c r="M4" s="301"/>
      <c r="N4" s="301"/>
    </row>
    <row r="5" spans="2:14" ht="15">
      <c r="B5" s="796"/>
      <c r="C5" s="797"/>
      <c r="D5" s="797"/>
      <c r="E5" s="798"/>
      <c r="F5" s="292"/>
      <c r="G5" s="799"/>
      <c r="H5" s="291"/>
      <c r="I5" s="292"/>
      <c r="J5" s="800"/>
      <c r="K5" s="801"/>
      <c r="L5" s="801"/>
      <c r="M5" s="802"/>
      <c r="N5" s="802"/>
    </row>
    <row r="6" spans="1:14" ht="60">
      <c r="A6" s="180" t="s">
        <v>22</v>
      </c>
      <c r="B6" s="304"/>
      <c r="C6" s="306" t="s">
        <v>212</v>
      </c>
      <c r="D6" s="306" t="s">
        <v>730</v>
      </c>
      <c r="E6" s="307" t="s">
        <v>213</v>
      </c>
      <c r="F6" s="308" t="s">
        <v>214</v>
      </c>
      <c r="G6" s="285">
        <f>+H6+I6</f>
        <v>22550</v>
      </c>
      <c r="H6" s="285">
        <f>+2_mell!F29</f>
        <v>16632</v>
      </c>
      <c r="I6" s="287">
        <f>+2_mell!F30</f>
        <v>5918</v>
      </c>
      <c r="J6" s="517">
        <f>+2_mell!F29+2_mell!F30</f>
        <v>22550</v>
      </c>
      <c r="K6" s="297">
        <v>16272</v>
      </c>
      <c r="L6" s="297">
        <f>+K6</f>
        <v>16272</v>
      </c>
      <c r="M6" s="300">
        <f>+L6</f>
        <v>16272</v>
      </c>
      <c r="N6" s="300">
        <f>+M6</f>
        <v>16272</v>
      </c>
    </row>
    <row r="7" spans="2:14" ht="7.5" customHeight="1">
      <c r="B7" s="304"/>
      <c r="C7" s="306"/>
      <c r="D7" s="306"/>
      <c r="E7" s="307"/>
      <c r="F7" s="308"/>
      <c r="G7" s="285"/>
      <c r="H7" s="285"/>
      <c r="I7" s="287"/>
      <c r="J7" s="517"/>
      <c r="K7" s="297"/>
      <c r="L7" s="297"/>
      <c r="M7" s="300"/>
      <c r="N7" s="300"/>
    </row>
    <row r="8" spans="1:14" ht="78" customHeight="1">
      <c r="A8" s="180" t="s">
        <v>23</v>
      </c>
      <c r="B8" s="304"/>
      <c r="C8" s="306" t="s">
        <v>731</v>
      </c>
      <c r="D8" s="306" t="s">
        <v>216</v>
      </c>
      <c r="E8" s="286">
        <v>80000</v>
      </c>
      <c r="F8" s="308" t="s">
        <v>293</v>
      </c>
      <c r="G8" s="285">
        <f>+H8+I8</f>
        <v>1050</v>
      </c>
      <c r="H8" s="285">
        <v>0</v>
      </c>
      <c r="I8" s="287">
        <f>+2_mell!F28</f>
        <v>1050</v>
      </c>
      <c r="J8" s="517">
        <f>+2_mell!F28</f>
        <v>1050</v>
      </c>
      <c r="K8" s="297">
        <v>5000</v>
      </c>
      <c r="L8" s="297">
        <v>5000</v>
      </c>
      <c r="M8" s="300">
        <v>5000</v>
      </c>
      <c r="N8" s="300">
        <v>5000</v>
      </c>
    </row>
    <row r="9" spans="2:14" ht="10.5" customHeight="1">
      <c r="B9" s="304"/>
      <c r="C9" s="306"/>
      <c r="D9" s="306"/>
      <c r="E9" s="286"/>
      <c r="F9" s="287"/>
      <c r="G9" s="285"/>
      <c r="H9" s="285"/>
      <c r="I9" s="287"/>
      <c r="J9" s="517"/>
      <c r="K9" s="297"/>
      <c r="L9" s="297"/>
      <c r="M9" s="300"/>
      <c r="N9" s="300"/>
    </row>
    <row r="10" spans="1:14" ht="30">
      <c r="A10" s="180" t="s">
        <v>24</v>
      </c>
      <c r="B10" s="304"/>
      <c r="C10" s="306" t="s">
        <v>294</v>
      </c>
      <c r="D10" s="306" t="s">
        <v>295</v>
      </c>
      <c r="E10" s="286">
        <v>96000</v>
      </c>
      <c r="F10" s="287"/>
      <c r="G10" s="285"/>
      <c r="H10" s="285"/>
      <c r="I10" s="287"/>
      <c r="J10" s="517"/>
      <c r="K10" s="297">
        <v>4800</v>
      </c>
      <c r="L10" s="297">
        <v>4800</v>
      </c>
      <c r="M10" s="300">
        <v>4800</v>
      </c>
      <c r="N10" s="300">
        <v>4800</v>
      </c>
    </row>
    <row r="11" spans="2:14" ht="7.5" customHeight="1" thickBot="1">
      <c r="B11" s="803"/>
      <c r="C11" s="804"/>
      <c r="D11" s="804"/>
      <c r="E11" s="805"/>
      <c r="F11" s="806"/>
      <c r="G11" s="807"/>
      <c r="H11" s="807"/>
      <c r="I11" s="806"/>
      <c r="J11" s="808"/>
      <c r="K11" s="809"/>
      <c r="L11" s="809"/>
      <c r="M11" s="301"/>
      <c r="N11" s="301"/>
    </row>
    <row r="12" spans="1:14" ht="15" thickBot="1">
      <c r="A12" s="180" t="s">
        <v>25</v>
      </c>
      <c r="B12" s="313" t="s">
        <v>217</v>
      </c>
      <c r="C12" s="314"/>
      <c r="D12" s="314"/>
      <c r="E12" s="294"/>
      <c r="F12" s="295"/>
      <c r="G12" s="293">
        <f aca="true" t="shared" si="0" ref="G12:N12">SUM(G6:G11)</f>
        <v>23600</v>
      </c>
      <c r="H12" s="293">
        <f t="shared" si="0"/>
        <v>16632</v>
      </c>
      <c r="I12" s="293">
        <f t="shared" si="0"/>
        <v>6968</v>
      </c>
      <c r="J12" s="293">
        <f t="shared" si="0"/>
        <v>23600</v>
      </c>
      <c r="K12" s="293">
        <f t="shared" si="0"/>
        <v>26072</v>
      </c>
      <c r="L12" s="293">
        <f t="shared" si="0"/>
        <v>26072</v>
      </c>
      <c r="M12" s="293">
        <f t="shared" si="0"/>
        <v>26072</v>
      </c>
      <c r="N12" s="468">
        <f t="shared" si="0"/>
        <v>26072</v>
      </c>
    </row>
    <row r="13" spans="2:14" ht="6" customHeight="1">
      <c r="B13" s="304"/>
      <c r="C13" s="305"/>
      <c r="D13" s="305"/>
      <c r="E13" s="286"/>
      <c r="F13" s="287"/>
      <c r="G13" s="285"/>
      <c r="H13" s="285"/>
      <c r="I13" s="287"/>
      <c r="J13" s="517"/>
      <c r="K13" s="297"/>
      <c r="L13" s="297"/>
      <c r="M13" s="300"/>
      <c r="N13" s="300"/>
    </row>
    <row r="14" spans="1:14" ht="15">
      <c r="A14" s="180" t="s">
        <v>26</v>
      </c>
      <c r="B14" s="310" t="s">
        <v>218</v>
      </c>
      <c r="C14" s="305"/>
      <c r="D14" s="305"/>
      <c r="E14" s="286"/>
      <c r="F14" s="287"/>
      <c r="G14" s="285"/>
      <c r="H14" s="285"/>
      <c r="I14" s="287"/>
      <c r="J14" s="517"/>
      <c r="K14" s="297"/>
      <c r="L14" s="297"/>
      <c r="M14" s="300"/>
      <c r="N14" s="300"/>
    </row>
    <row r="15" spans="2:14" ht="15">
      <c r="B15" s="309"/>
      <c r="C15" s="305"/>
      <c r="D15" s="305"/>
      <c r="E15" s="286"/>
      <c r="F15" s="287"/>
      <c r="G15" s="285"/>
      <c r="H15" s="285"/>
      <c r="I15" s="287"/>
      <c r="J15" s="517"/>
      <c r="K15" s="297"/>
      <c r="L15" s="297"/>
      <c r="M15" s="300"/>
      <c r="N15" s="300"/>
    </row>
    <row r="16" spans="1:14" ht="30">
      <c r="A16" s="180" t="s">
        <v>27</v>
      </c>
      <c r="B16" s="304"/>
      <c r="C16" s="306" t="str">
        <f>+C6</f>
        <v>"BATTONYA 2027" kötvény</v>
      </c>
      <c r="D16" s="305"/>
      <c r="E16" s="286"/>
      <c r="F16" s="287"/>
      <c r="G16" s="285">
        <f>+H16+I16</f>
        <v>10665</v>
      </c>
      <c r="H16" s="285">
        <v>7971</v>
      </c>
      <c r="I16" s="287">
        <v>2694</v>
      </c>
      <c r="J16" s="517">
        <f>+9_mell!I15</f>
        <v>10665</v>
      </c>
      <c r="K16" s="297">
        <v>5096</v>
      </c>
      <c r="L16" s="297">
        <f>+K16</f>
        <v>5096</v>
      </c>
      <c r="M16" s="297">
        <f>+L16</f>
        <v>5096</v>
      </c>
      <c r="N16" s="297">
        <f>+M16</f>
        <v>5096</v>
      </c>
    </row>
    <row r="17" spans="2:14" ht="9" customHeight="1">
      <c r="B17" s="304"/>
      <c r="C17" s="306"/>
      <c r="D17" s="305"/>
      <c r="E17" s="286"/>
      <c r="F17" s="287"/>
      <c r="G17" s="285"/>
      <c r="H17" s="285"/>
      <c r="I17" s="287"/>
      <c r="J17" s="517"/>
      <c r="K17" s="297"/>
      <c r="L17" s="297"/>
      <c r="M17" s="297"/>
      <c r="N17" s="297"/>
    </row>
    <row r="18" spans="1:14" ht="75">
      <c r="A18" s="180" t="s">
        <v>28</v>
      </c>
      <c r="B18" s="304"/>
      <c r="C18" s="306" t="s">
        <v>215</v>
      </c>
      <c r="D18" s="306" t="s">
        <v>216</v>
      </c>
      <c r="E18" s="286"/>
      <c r="F18" s="287"/>
      <c r="G18" s="285">
        <f>+H18+I18</f>
        <v>7309</v>
      </c>
      <c r="H18" s="285">
        <v>3880</v>
      </c>
      <c r="I18" s="287">
        <v>3429</v>
      </c>
      <c r="J18" s="517">
        <f>+9_mell!I14</f>
        <v>7309</v>
      </c>
      <c r="K18" s="297">
        <v>4300</v>
      </c>
      <c r="L18" s="297">
        <v>4500</v>
      </c>
      <c r="M18" s="300">
        <v>3500</v>
      </c>
      <c r="N18" s="300">
        <v>1500</v>
      </c>
    </row>
    <row r="19" spans="2:14" ht="7.5" customHeight="1">
      <c r="B19" s="304"/>
      <c r="C19" s="306"/>
      <c r="D19" s="306"/>
      <c r="E19" s="286"/>
      <c r="F19" s="287"/>
      <c r="G19" s="285"/>
      <c r="H19" s="285"/>
      <c r="I19" s="287"/>
      <c r="J19" s="517"/>
      <c r="K19" s="297"/>
      <c r="L19" s="297"/>
      <c r="M19" s="300"/>
      <c r="N19" s="300"/>
    </row>
    <row r="20" spans="1:14" ht="30.75" thickBot="1">
      <c r="A20" s="180" t="s">
        <v>29</v>
      </c>
      <c r="B20" s="304"/>
      <c r="C20" s="306" t="s">
        <v>294</v>
      </c>
      <c r="D20" s="306" t="s">
        <v>295</v>
      </c>
      <c r="E20" s="286"/>
      <c r="F20" s="287"/>
      <c r="G20" s="288">
        <f>+H20+I20</f>
        <v>0</v>
      </c>
      <c r="H20" s="288"/>
      <c r="I20" s="289"/>
      <c r="J20" s="518"/>
      <c r="K20" s="298">
        <v>3600</v>
      </c>
      <c r="L20" s="298">
        <v>3100</v>
      </c>
      <c r="M20" s="298">
        <v>2800</v>
      </c>
      <c r="N20" s="298">
        <v>2650</v>
      </c>
    </row>
    <row r="21" spans="1:14" ht="15" thickBot="1">
      <c r="A21" s="180" t="s">
        <v>30</v>
      </c>
      <c r="B21" s="313" t="s">
        <v>219</v>
      </c>
      <c r="C21" s="314"/>
      <c r="D21" s="314"/>
      <c r="E21" s="294"/>
      <c r="F21" s="295"/>
      <c r="G21" s="293">
        <f aca="true" t="shared" si="1" ref="G21:N21">SUM(G16:G20)</f>
        <v>17974</v>
      </c>
      <c r="H21" s="293">
        <f t="shared" si="1"/>
        <v>11851</v>
      </c>
      <c r="I21" s="293">
        <f t="shared" si="1"/>
        <v>6123</v>
      </c>
      <c r="J21" s="293">
        <f t="shared" si="1"/>
        <v>17974</v>
      </c>
      <c r="K21" s="293">
        <f t="shared" si="1"/>
        <v>12996</v>
      </c>
      <c r="L21" s="293">
        <f t="shared" si="1"/>
        <v>12696</v>
      </c>
      <c r="M21" s="293">
        <f t="shared" si="1"/>
        <v>11396</v>
      </c>
      <c r="N21" s="468">
        <f t="shared" si="1"/>
        <v>9246</v>
      </c>
    </row>
    <row r="22" spans="2:14" ht="9" customHeight="1" thickBot="1">
      <c r="B22" s="304"/>
      <c r="C22" s="305"/>
      <c r="D22" s="305"/>
      <c r="E22" s="286"/>
      <c r="F22" s="287"/>
      <c r="G22" s="285"/>
      <c r="H22" s="285"/>
      <c r="I22" s="287"/>
      <c r="J22" s="517"/>
      <c r="K22" s="297"/>
      <c r="L22" s="297"/>
      <c r="M22" s="300"/>
      <c r="N22" s="300"/>
    </row>
    <row r="23" spans="1:14" ht="15" thickBot="1">
      <c r="A23" s="180" t="s">
        <v>31</v>
      </c>
      <c r="B23" s="313" t="s">
        <v>220</v>
      </c>
      <c r="C23" s="314"/>
      <c r="D23" s="314"/>
      <c r="E23" s="294"/>
      <c r="F23" s="295"/>
      <c r="G23" s="293">
        <f aca="true" t="shared" si="2" ref="G23:N23">G21+G12</f>
        <v>41574</v>
      </c>
      <c r="H23" s="293">
        <f t="shared" si="2"/>
        <v>28483</v>
      </c>
      <c r="I23" s="293">
        <f t="shared" si="2"/>
        <v>13091</v>
      </c>
      <c r="J23" s="293">
        <f t="shared" si="2"/>
        <v>41574</v>
      </c>
      <c r="K23" s="293">
        <f t="shared" si="2"/>
        <v>39068</v>
      </c>
      <c r="L23" s="293">
        <f t="shared" si="2"/>
        <v>38768</v>
      </c>
      <c r="M23" s="293">
        <f t="shared" si="2"/>
        <v>37468</v>
      </c>
      <c r="N23" s="468">
        <f t="shared" si="2"/>
        <v>35318</v>
      </c>
    </row>
    <row r="24" spans="2:14" ht="15">
      <c r="B24" s="181"/>
      <c r="C24" s="181"/>
      <c r="D24" s="181"/>
      <c r="E24" s="183"/>
      <c r="F24" s="183"/>
      <c r="G24" s="183"/>
      <c r="H24" s="183"/>
      <c r="I24" s="183"/>
      <c r="J24" s="183"/>
      <c r="K24" s="183"/>
      <c r="L24" s="183"/>
      <c r="M24" s="182"/>
      <c r="N24" s="182"/>
    </row>
    <row r="25" spans="5:14" ht="14.25"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</sheetData>
  <sheetProtection/>
  <mergeCells count="2">
    <mergeCell ref="A1:N1"/>
    <mergeCell ref="G3:J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1"/>
  <headerFooter alignWithMargins="0">
    <oddHeader>&amp;L11. melléklet a 2013. évi költségvetési beszámoló  rendelethez&amp;R&amp;D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K62"/>
  <sheetViews>
    <sheetView view="pageBreakPreview" zoomScale="60" zoomScalePageLayoutView="0" workbookViewId="0" topLeftCell="A4">
      <selection activeCell="N23" sqref="N23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2.0039062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2.421875" style="0" bestFit="1" customWidth="1"/>
  </cols>
  <sheetData>
    <row r="2" spans="2:11" ht="18.75" customHeight="1">
      <c r="B2" s="843" t="s">
        <v>273</v>
      </c>
      <c r="C2" s="843"/>
      <c r="D2" s="843"/>
      <c r="E2" s="843"/>
      <c r="F2" s="843"/>
      <c r="G2" s="843"/>
      <c r="H2" s="843"/>
      <c r="I2" s="843"/>
      <c r="J2" s="843"/>
      <c r="K2" s="843"/>
    </row>
    <row r="3" spans="2:11" ht="18.75" customHeight="1">
      <c r="B3" s="229"/>
      <c r="C3" s="229"/>
      <c r="D3" s="229"/>
      <c r="E3" s="229"/>
      <c r="F3" s="229"/>
      <c r="G3" s="229"/>
      <c r="H3" s="229"/>
      <c r="I3" s="229"/>
      <c r="J3" s="229"/>
      <c r="K3" s="230" t="s">
        <v>274</v>
      </c>
    </row>
    <row r="4" spans="1:11" ht="18.75" customHeight="1" thickBot="1">
      <c r="A4" t="s">
        <v>9</v>
      </c>
      <c r="B4" s="229" t="s">
        <v>10</v>
      </c>
      <c r="C4" s="229" t="s">
        <v>11</v>
      </c>
      <c r="D4" s="229" t="s">
        <v>12</v>
      </c>
      <c r="E4" s="229" t="s">
        <v>13</v>
      </c>
      <c r="F4" s="229" t="s">
        <v>14</v>
      </c>
      <c r="G4" s="229" t="s">
        <v>15</v>
      </c>
      <c r="H4" s="229" t="s">
        <v>16</v>
      </c>
      <c r="I4" s="229" t="s">
        <v>65</v>
      </c>
      <c r="J4" s="229" t="s">
        <v>17</v>
      </c>
      <c r="K4" s="229" t="s">
        <v>398</v>
      </c>
    </row>
    <row r="5" spans="1:11" ht="18.75" customHeight="1">
      <c r="A5" t="s">
        <v>18</v>
      </c>
      <c r="B5" s="844" t="s">
        <v>275</v>
      </c>
      <c r="C5" s="844" t="s">
        <v>276</v>
      </c>
      <c r="D5" s="847" t="s">
        <v>277</v>
      </c>
      <c r="E5" s="844" t="s">
        <v>278</v>
      </c>
      <c r="F5" s="844" t="s">
        <v>279</v>
      </c>
      <c r="G5" s="819" t="s">
        <v>280</v>
      </c>
      <c r="H5" s="819"/>
      <c r="I5" s="819"/>
      <c r="J5" s="819"/>
      <c r="K5" s="844" t="s">
        <v>4</v>
      </c>
    </row>
    <row r="6" spans="2:11" ht="18.75" customHeight="1">
      <c r="B6" s="845"/>
      <c r="C6" s="845"/>
      <c r="D6" s="848"/>
      <c r="E6" s="845"/>
      <c r="F6" s="845"/>
      <c r="G6" s="815" t="s">
        <v>281</v>
      </c>
      <c r="H6" s="838" t="s">
        <v>282</v>
      </c>
      <c r="I6" s="838" t="s">
        <v>72</v>
      </c>
      <c r="J6" s="840" t="s">
        <v>283</v>
      </c>
      <c r="K6" s="845"/>
    </row>
    <row r="7" spans="2:11" ht="51" customHeight="1" thickBot="1">
      <c r="B7" s="846"/>
      <c r="C7" s="846"/>
      <c r="D7" s="818"/>
      <c r="E7" s="846"/>
      <c r="F7" s="846"/>
      <c r="G7" s="816"/>
      <c r="H7" s="839"/>
      <c r="I7" s="839"/>
      <c r="J7" s="841"/>
      <c r="K7" s="846"/>
    </row>
    <row r="8" spans="1:11" ht="18.75" customHeight="1">
      <c r="A8" t="s">
        <v>20</v>
      </c>
      <c r="B8" s="231" t="s">
        <v>74</v>
      </c>
      <c r="C8" s="232"/>
      <c r="D8" s="233"/>
      <c r="E8" s="234"/>
      <c r="F8" s="232"/>
      <c r="G8" s="712"/>
      <c r="H8" s="717"/>
      <c r="I8" s="717"/>
      <c r="J8" s="235"/>
      <c r="K8" s="236"/>
    </row>
    <row r="9" spans="1:11" ht="29.25" customHeight="1">
      <c r="A9" t="s">
        <v>22</v>
      </c>
      <c r="B9" s="237" t="s">
        <v>338</v>
      </c>
      <c r="C9" s="510">
        <f>+4_mell!D32-16035-1911</f>
        <v>96312</v>
      </c>
      <c r="D9" s="510">
        <f>+4_mell!E32-3990-516</f>
        <v>24820</v>
      </c>
      <c r="E9" s="510">
        <f>+4_mell!F32-11721</f>
        <v>25413</v>
      </c>
      <c r="F9" s="510">
        <f>+4_mell!M32</f>
        <v>2879</v>
      </c>
      <c r="G9" s="715">
        <f>+4_mell!I32</f>
        <v>154481</v>
      </c>
      <c r="H9" s="719"/>
      <c r="I9" s="719"/>
      <c r="J9" s="716"/>
      <c r="K9" s="243">
        <f>SUM(C9:J9)</f>
        <v>303905</v>
      </c>
    </row>
    <row r="10" spans="2:11" ht="29.25" customHeight="1">
      <c r="B10" s="244" t="s">
        <v>550</v>
      </c>
      <c r="C10" s="315">
        <v>16035</v>
      </c>
      <c r="D10" s="508">
        <v>3990</v>
      </c>
      <c r="E10" s="509">
        <v>11721</v>
      </c>
      <c r="F10" s="245"/>
      <c r="G10" s="263"/>
      <c r="H10" s="718"/>
      <c r="I10" s="718"/>
      <c r="J10" s="250"/>
      <c r="K10" s="243">
        <f>SUM(C10:J10)</f>
        <v>31746</v>
      </c>
    </row>
    <row r="11" spans="1:11" ht="18.75" customHeight="1" thickBot="1">
      <c r="A11" t="s">
        <v>23</v>
      </c>
      <c r="B11" s="244" t="s">
        <v>284</v>
      </c>
      <c r="C11" s="245">
        <v>1911</v>
      </c>
      <c r="D11" s="246">
        <v>516</v>
      </c>
      <c r="E11" s="245"/>
      <c r="F11" s="247"/>
      <c r="G11" s="248"/>
      <c r="H11" s="249"/>
      <c r="I11" s="249"/>
      <c r="J11" s="250"/>
      <c r="K11" s="243">
        <f>SUM(C11:J11)</f>
        <v>2427</v>
      </c>
    </row>
    <row r="12" spans="1:11" ht="18.75" customHeight="1" thickBot="1">
      <c r="A12" t="s">
        <v>24</v>
      </c>
      <c r="B12" s="251" t="s">
        <v>285</v>
      </c>
      <c r="C12" s="252">
        <f>SUM(C9:C11)</f>
        <v>114258</v>
      </c>
      <c r="D12" s="252">
        <f aca="true" t="shared" si="0" ref="D12:J12">SUM(D9:D11)</f>
        <v>29326</v>
      </c>
      <c r="E12" s="252">
        <f t="shared" si="0"/>
        <v>37134</v>
      </c>
      <c r="F12" s="252">
        <f t="shared" si="0"/>
        <v>2879</v>
      </c>
      <c r="G12" s="252">
        <f t="shared" si="0"/>
        <v>154481</v>
      </c>
      <c r="H12" s="252">
        <f t="shared" si="0"/>
        <v>0</v>
      </c>
      <c r="I12" s="252">
        <f t="shared" si="0"/>
        <v>0</v>
      </c>
      <c r="J12" s="252">
        <f t="shared" si="0"/>
        <v>0</v>
      </c>
      <c r="K12" s="252">
        <f>SUM(C12:J12)</f>
        <v>338078</v>
      </c>
    </row>
    <row r="13" spans="1:11" ht="30" customHeight="1">
      <c r="A13" t="s">
        <v>25</v>
      </c>
      <c r="B13" s="231" t="s">
        <v>286</v>
      </c>
      <c r="C13" s="236"/>
      <c r="D13" s="253"/>
      <c r="E13" s="236"/>
      <c r="F13" s="236"/>
      <c r="G13" s="713"/>
      <c r="H13" s="714"/>
      <c r="I13" s="714"/>
      <c r="J13" s="235"/>
      <c r="K13" s="236"/>
    </row>
    <row r="14" spans="1:11" ht="18.75" customHeight="1">
      <c r="A14" t="s">
        <v>26</v>
      </c>
      <c r="B14" s="237" t="s">
        <v>287</v>
      </c>
      <c r="C14" s="239">
        <v>1468</v>
      </c>
      <c r="D14" s="238">
        <v>397</v>
      </c>
      <c r="E14" s="239">
        <v>2475</v>
      </c>
      <c r="F14" s="254"/>
      <c r="G14" s="255"/>
      <c r="H14" s="256"/>
      <c r="I14" s="256"/>
      <c r="J14" s="242"/>
      <c r="K14" s="243">
        <f>SUM(C14:J14)</f>
        <v>4340</v>
      </c>
    </row>
    <row r="15" spans="1:11" ht="18.75" customHeight="1">
      <c r="A15" t="s">
        <v>27</v>
      </c>
      <c r="B15" s="237" t="s">
        <v>288</v>
      </c>
      <c r="C15" s="239">
        <f>26417+143120+17896</f>
        <v>187433</v>
      </c>
      <c r="D15" s="238">
        <f>3927+19594+2420</f>
        <v>25941</v>
      </c>
      <c r="E15" s="239">
        <f>125+25038+14457</f>
        <v>39620</v>
      </c>
      <c r="F15" s="239">
        <v>8573</v>
      </c>
      <c r="G15" s="240"/>
      <c r="H15" s="241"/>
      <c r="I15" s="241"/>
      <c r="J15" s="242"/>
      <c r="K15" s="243">
        <f aca="true" t="shared" si="1" ref="K15:K22">SUM(C15:J15)</f>
        <v>261567</v>
      </c>
    </row>
    <row r="16" spans="1:11" ht="18.75" customHeight="1">
      <c r="A16" t="s">
        <v>28</v>
      </c>
      <c r="B16" s="237" t="s">
        <v>281</v>
      </c>
      <c r="C16" s="239"/>
      <c r="D16" s="238"/>
      <c r="E16" s="239"/>
      <c r="F16" s="239"/>
      <c r="G16" s="240">
        <f>+4_mell!I26</f>
        <v>20281</v>
      </c>
      <c r="H16" s="241"/>
      <c r="I16" s="241"/>
      <c r="J16" s="242"/>
      <c r="K16" s="243">
        <f t="shared" si="1"/>
        <v>20281</v>
      </c>
    </row>
    <row r="17" spans="1:11" ht="15">
      <c r="A17" t="s">
        <v>29</v>
      </c>
      <c r="B17" s="237" t="s">
        <v>289</v>
      </c>
      <c r="C17" s="239"/>
      <c r="D17" s="238"/>
      <c r="E17" s="239"/>
      <c r="F17" s="254"/>
      <c r="G17" s="255"/>
      <c r="H17" s="241">
        <f>+4_mell!H26+4_mell!J26-4807</f>
        <v>40563</v>
      </c>
      <c r="I17" s="241">
        <f>+4_mell!K26</f>
        <v>3000</v>
      </c>
      <c r="J17" s="242">
        <f>+4_mell!N26</f>
        <v>530400</v>
      </c>
      <c r="K17" s="243">
        <f t="shared" si="1"/>
        <v>573963</v>
      </c>
    </row>
    <row r="18" spans="1:11" ht="15">
      <c r="A18" t="s">
        <v>30</v>
      </c>
      <c r="B18" s="237" t="s">
        <v>339</v>
      </c>
      <c r="C18" s="239"/>
      <c r="D18" s="238"/>
      <c r="E18" s="239"/>
      <c r="F18" s="254"/>
      <c r="G18" s="255"/>
      <c r="H18" s="241"/>
      <c r="I18" s="241"/>
      <c r="J18" s="242"/>
      <c r="K18" s="243">
        <f t="shared" si="1"/>
        <v>0</v>
      </c>
    </row>
    <row r="19" spans="1:11" ht="18.75" customHeight="1">
      <c r="A19" t="s">
        <v>31</v>
      </c>
      <c r="B19" s="237" t="s">
        <v>391</v>
      </c>
      <c r="C19" s="257">
        <v>2168</v>
      </c>
      <c r="D19" s="258">
        <v>547</v>
      </c>
      <c r="E19" s="259">
        <v>67744</v>
      </c>
      <c r="F19" s="259"/>
      <c r="G19" s="260"/>
      <c r="H19" s="261"/>
      <c r="I19" s="261"/>
      <c r="J19" s="262"/>
      <c r="K19" s="243">
        <f t="shared" si="1"/>
        <v>70459</v>
      </c>
    </row>
    <row r="20" spans="1:11" ht="18.75" customHeight="1">
      <c r="A20" t="s">
        <v>32</v>
      </c>
      <c r="B20" s="237" t="s">
        <v>392</v>
      </c>
      <c r="C20" s="257"/>
      <c r="D20" s="258"/>
      <c r="E20" s="257"/>
      <c r="F20" s="257"/>
      <c r="G20" s="260"/>
      <c r="H20" s="261"/>
      <c r="I20" s="261"/>
      <c r="J20" s="262"/>
      <c r="K20" s="243">
        <f t="shared" si="1"/>
        <v>0</v>
      </c>
    </row>
    <row r="21" spans="1:11" ht="18.75" customHeight="1">
      <c r="A21" t="s">
        <v>33</v>
      </c>
      <c r="B21" s="244" t="s">
        <v>550</v>
      </c>
      <c r="C21" s="503">
        <v>409</v>
      </c>
      <c r="D21" s="504">
        <v>102</v>
      </c>
      <c r="E21" s="503">
        <v>472</v>
      </c>
      <c r="F21" s="503"/>
      <c r="G21" s="505"/>
      <c r="H21" s="506">
        <v>4807</v>
      </c>
      <c r="I21" s="506"/>
      <c r="J21" s="507"/>
      <c r="K21" s="243">
        <f t="shared" si="1"/>
        <v>5790</v>
      </c>
    </row>
    <row r="22" spans="1:11" ht="18.75" customHeight="1" thickBot="1">
      <c r="A22" t="s">
        <v>34</v>
      </c>
      <c r="B22" s="244" t="s">
        <v>192</v>
      </c>
      <c r="C22" s="245"/>
      <c r="D22" s="246"/>
      <c r="E22" s="245"/>
      <c r="F22" s="259">
        <f>9261+20815+400</f>
        <v>30476</v>
      </c>
      <c r="G22" s="263"/>
      <c r="H22" s="264"/>
      <c r="I22" s="264"/>
      <c r="J22" s="250"/>
      <c r="K22" s="243">
        <f t="shared" si="1"/>
        <v>30476</v>
      </c>
    </row>
    <row r="23" spans="1:11" ht="18.75" customHeight="1" thickBot="1">
      <c r="A23" t="s">
        <v>35</v>
      </c>
      <c r="B23" s="251" t="s">
        <v>290</v>
      </c>
      <c r="C23" s="252">
        <f>SUM(C14:C22)</f>
        <v>191478</v>
      </c>
      <c r="D23" s="252">
        <f aca="true" t="shared" si="2" ref="D23:J23">SUM(D14:D22)</f>
        <v>26987</v>
      </c>
      <c r="E23" s="252">
        <f t="shared" si="2"/>
        <v>110311</v>
      </c>
      <c r="F23" s="252">
        <f t="shared" si="2"/>
        <v>39049</v>
      </c>
      <c r="G23" s="252">
        <f t="shared" si="2"/>
        <v>20281</v>
      </c>
      <c r="H23" s="252">
        <f>SUM(H14:H22)</f>
        <v>45370</v>
      </c>
      <c r="I23" s="252">
        <f t="shared" si="2"/>
        <v>3000</v>
      </c>
      <c r="J23" s="252">
        <f t="shared" si="2"/>
        <v>530400</v>
      </c>
      <c r="K23" s="252">
        <f>SUM(K14:K22)</f>
        <v>966876</v>
      </c>
    </row>
    <row r="24" spans="2:11" ht="18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7"/>
    </row>
    <row r="25" spans="2:11" ht="18.75" customHeight="1">
      <c r="B25" s="265"/>
      <c r="C25" s="266"/>
      <c r="D25" s="266"/>
      <c r="E25" s="266"/>
      <c r="F25" s="266"/>
      <c r="G25" s="266"/>
      <c r="H25" s="266"/>
      <c r="I25" s="266"/>
      <c r="J25" s="266"/>
      <c r="K25" s="267"/>
    </row>
    <row r="26" spans="2:11" ht="18.75" customHeight="1">
      <c r="B26" s="265"/>
      <c r="C26" s="266"/>
      <c r="D26" s="266"/>
      <c r="E26" s="266"/>
      <c r="F26" s="266"/>
      <c r="G26" s="266"/>
      <c r="H26" s="266"/>
      <c r="I26" s="266"/>
      <c r="J26" s="266"/>
      <c r="K26" s="267"/>
    </row>
    <row r="27" spans="2:11" ht="18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7"/>
    </row>
    <row r="28" spans="2:11" ht="18.75" customHeight="1">
      <c r="B28" s="265"/>
      <c r="C28" s="266"/>
      <c r="D28" s="266"/>
      <c r="E28" s="266"/>
      <c r="F28" s="266"/>
      <c r="G28" s="266"/>
      <c r="H28" s="266"/>
      <c r="I28" s="266"/>
      <c r="J28" s="266"/>
      <c r="K28" s="267"/>
    </row>
    <row r="29" spans="2:11" ht="18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7"/>
    </row>
    <row r="30" spans="2:11" ht="18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7"/>
    </row>
    <row r="31" spans="2:11" ht="30.75" customHeight="1">
      <c r="B31" s="265"/>
      <c r="C31" s="266"/>
      <c r="D31" s="266"/>
      <c r="E31" s="266"/>
      <c r="F31" s="266"/>
      <c r="G31" s="266"/>
      <c r="H31" s="266"/>
      <c r="I31" s="266"/>
      <c r="J31" s="266"/>
      <c r="K31" s="267"/>
    </row>
    <row r="32" spans="2:11" ht="18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7"/>
    </row>
    <row r="33" spans="2:11" ht="18.75" customHeight="1">
      <c r="B33" s="265"/>
      <c r="C33" s="266"/>
      <c r="D33" s="266"/>
      <c r="E33" s="266"/>
      <c r="F33" s="266"/>
      <c r="G33" s="266"/>
      <c r="H33" s="266"/>
      <c r="I33" s="266"/>
      <c r="J33" s="266"/>
      <c r="K33" s="267"/>
    </row>
    <row r="34" spans="2:11" ht="18.75" customHeight="1">
      <c r="B34" s="268"/>
      <c r="C34" s="269"/>
      <c r="D34" s="269"/>
      <c r="E34" s="266"/>
      <c r="F34" s="266"/>
      <c r="G34" s="266"/>
      <c r="H34" s="266"/>
      <c r="I34" s="266"/>
      <c r="J34" s="266"/>
      <c r="K34" s="267"/>
    </row>
    <row r="35" spans="2:11" ht="18.75" customHeight="1">
      <c r="B35" s="268"/>
      <c r="C35" s="269"/>
      <c r="D35" s="269"/>
      <c r="E35" s="266"/>
      <c r="F35" s="266"/>
      <c r="G35" s="266"/>
      <c r="H35" s="266"/>
      <c r="I35" s="266"/>
      <c r="J35" s="266"/>
      <c r="K35" s="267"/>
    </row>
    <row r="36" spans="2:11" ht="18.75" customHeight="1">
      <c r="B36" s="270"/>
      <c r="C36" s="266"/>
      <c r="D36" s="266"/>
      <c r="E36" s="266"/>
      <c r="F36" s="266"/>
      <c r="G36" s="266"/>
      <c r="H36" s="266"/>
      <c r="I36" s="266"/>
      <c r="J36" s="266"/>
      <c r="K36" s="267"/>
    </row>
    <row r="37" spans="2:11" ht="18.75" customHeight="1">
      <c r="B37" s="265"/>
      <c r="C37" s="266"/>
      <c r="D37" s="266"/>
      <c r="E37" s="266"/>
      <c r="F37" s="266"/>
      <c r="G37" s="266"/>
      <c r="H37" s="266"/>
      <c r="I37" s="266"/>
      <c r="J37" s="266"/>
      <c r="K37" s="267"/>
    </row>
    <row r="38" spans="2:11" ht="18.75" customHeight="1">
      <c r="B38" s="265"/>
      <c r="C38" s="266"/>
      <c r="D38" s="266"/>
      <c r="E38" s="266"/>
      <c r="F38" s="266"/>
      <c r="G38" s="266"/>
      <c r="H38" s="266"/>
      <c r="I38" s="266"/>
      <c r="J38" s="266"/>
      <c r="K38" s="267"/>
    </row>
    <row r="39" spans="2:11" ht="18.75" customHeight="1">
      <c r="B39" s="228"/>
      <c r="C39" s="228"/>
      <c r="D39" s="228"/>
      <c r="E39" s="228"/>
      <c r="F39" s="228"/>
      <c r="G39" s="228"/>
      <c r="H39" s="228"/>
      <c r="I39" s="228"/>
      <c r="J39" s="228"/>
      <c r="K39" s="228"/>
    </row>
    <row r="40" spans="2:11" ht="18.75" customHeight="1"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54" spans="2:11" ht="18.75" customHeight="1">
      <c r="B54" s="842"/>
      <c r="C54" s="842"/>
      <c r="D54" s="842"/>
      <c r="E54" s="842"/>
      <c r="F54" s="842"/>
      <c r="G54" s="842"/>
      <c r="H54" s="842"/>
      <c r="I54" s="842"/>
      <c r="J54" s="842"/>
      <c r="K54" s="842"/>
    </row>
    <row r="55" spans="2:11" ht="18.75" customHeight="1">
      <c r="B55" s="272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2:11" ht="18.75" customHeight="1">
      <c r="B56" s="272"/>
      <c r="C56" s="228"/>
      <c r="D56" s="228"/>
      <c r="E56" s="228"/>
      <c r="F56" s="228"/>
      <c r="G56" s="228"/>
      <c r="H56" s="228"/>
      <c r="I56" s="228"/>
      <c r="J56" s="228"/>
      <c r="K56" s="228"/>
    </row>
    <row r="57" spans="2:11" ht="18.75" customHeight="1">
      <c r="B57" s="272"/>
      <c r="C57" s="228"/>
      <c r="D57" s="228"/>
      <c r="E57" s="228"/>
      <c r="F57" s="228"/>
      <c r="G57" s="228"/>
      <c r="H57" s="228"/>
      <c r="I57" s="228"/>
      <c r="J57" s="228"/>
      <c r="K57" s="228"/>
    </row>
    <row r="59" ht="18.75" customHeight="1">
      <c r="B59" s="271"/>
    </row>
    <row r="61" ht="18.75" customHeight="1">
      <c r="B61" s="271"/>
    </row>
    <row r="62" ht="18.75" customHeight="1">
      <c r="B62" s="271"/>
    </row>
  </sheetData>
  <sheetProtection/>
  <mergeCells count="13">
    <mergeCell ref="K5:K7"/>
    <mergeCell ref="G6:G7"/>
    <mergeCell ref="H6:H7"/>
    <mergeCell ref="I6:I7"/>
    <mergeCell ref="J6:J7"/>
    <mergeCell ref="B54:K54"/>
    <mergeCell ref="B2:K2"/>
    <mergeCell ref="B5:B7"/>
    <mergeCell ref="C5:C7"/>
    <mergeCell ref="D5:D7"/>
    <mergeCell ref="E5:E7"/>
    <mergeCell ref="F5:F7"/>
    <mergeCell ref="G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7" r:id="rId1"/>
  <headerFooter alignWithMargins="0">
    <oddHeader>&amp;L11/1.melléklet a 2013. évi költségvetési beszámoló  rendelethez&amp;R&amp;D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2:AA81"/>
  <sheetViews>
    <sheetView view="pageBreakPreview" zoomScaleSheetLayoutView="100" zoomScalePageLayoutView="0" workbookViewId="0" topLeftCell="J54">
      <selection activeCell="AC68" sqref="AC68"/>
    </sheetView>
  </sheetViews>
  <sheetFormatPr defaultColWidth="9.140625" defaultRowHeight="12.75"/>
  <cols>
    <col min="1" max="1" width="0.2890625" style="273" customWidth="1"/>
    <col min="2" max="2" width="19.28125" style="273" customWidth="1"/>
    <col min="3" max="3" width="9.7109375" style="273" bestFit="1" customWidth="1"/>
    <col min="4" max="4" width="10.140625" style="273" bestFit="1" customWidth="1"/>
    <col min="5" max="5" width="8.28125" style="273" bestFit="1" customWidth="1"/>
    <col min="6" max="6" width="9.57421875" style="273" bestFit="1" customWidth="1"/>
    <col min="7" max="7" width="8.421875" style="273" customWidth="1"/>
    <col min="8" max="8" width="6.421875" style="273" customWidth="1"/>
    <col min="9" max="9" width="8.140625" style="273" bestFit="1" customWidth="1"/>
    <col min="10" max="11" width="8.140625" style="273" customWidth="1"/>
    <col min="12" max="12" width="7.7109375" style="273" customWidth="1"/>
    <col min="13" max="13" width="9.57421875" style="273" customWidth="1"/>
    <col min="14" max="14" width="8.8515625" style="273" bestFit="1" customWidth="1"/>
    <col min="15" max="17" width="7.8515625" style="273" customWidth="1"/>
    <col min="18" max="18" width="10.7109375" style="273" customWidth="1"/>
    <col min="19" max="19" width="10.140625" style="273" bestFit="1" customWidth="1"/>
    <col min="20" max="22" width="8.421875" style="273" customWidth="1"/>
    <col min="23" max="23" width="10.7109375" style="273" customWidth="1"/>
    <col min="24" max="24" width="7.421875" style="273" customWidth="1"/>
    <col min="25" max="26" width="10.00390625" style="273" customWidth="1"/>
    <col min="27" max="16384" width="9.140625" style="273" customWidth="1"/>
  </cols>
  <sheetData>
    <row r="2" spans="2:17" ht="12.75">
      <c r="B2" s="323" t="s">
        <v>301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</row>
    <row r="3" ht="13.5" thickBot="1"/>
    <row r="4" spans="2:26" ht="13.5" thickBot="1">
      <c r="B4" s="328" t="s">
        <v>366</v>
      </c>
      <c r="C4" s="851" t="s">
        <v>225</v>
      </c>
      <c r="D4" s="851"/>
      <c r="E4" s="851"/>
      <c r="F4" s="851"/>
      <c r="G4" s="851"/>
      <c r="H4" s="851"/>
      <c r="I4" s="851"/>
      <c r="J4" s="851"/>
      <c r="K4" s="851"/>
      <c r="L4" s="851"/>
      <c r="M4" s="852"/>
      <c r="N4" s="853" t="s">
        <v>367</v>
      </c>
      <c r="O4" s="851"/>
      <c r="P4" s="851"/>
      <c r="Q4" s="851"/>
      <c r="R4" s="851"/>
      <c r="S4" s="851"/>
      <c r="T4" s="851"/>
      <c r="U4" s="851"/>
      <c r="V4" s="851"/>
      <c r="W4" s="851"/>
      <c r="X4" s="851"/>
      <c r="Y4" s="851"/>
      <c r="Z4" s="852"/>
    </row>
    <row r="5" spans="2:26" ht="13.5" thickBot="1">
      <c r="B5" s="345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5"/>
      <c r="N5" s="344"/>
      <c r="O5" s="344"/>
      <c r="P5" s="474"/>
      <c r="Q5" s="474"/>
      <c r="R5" s="331"/>
      <c r="S5" s="817" t="s">
        <v>351</v>
      </c>
      <c r="T5" s="849"/>
      <c r="U5" s="849"/>
      <c r="V5" s="849"/>
      <c r="W5" s="849"/>
      <c r="X5" s="849"/>
      <c r="Y5" s="850"/>
      <c r="Z5" s="363"/>
    </row>
    <row r="6" spans="2:26" s="317" customFormat="1" ht="77.25" thickBot="1">
      <c r="B6" s="356" t="s">
        <v>300</v>
      </c>
      <c r="C6" s="357" t="s">
        <v>58</v>
      </c>
      <c r="D6" s="357" t="s">
        <v>302</v>
      </c>
      <c r="E6" s="357" t="s">
        <v>303</v>
      </c>
      <c r="F6" s="357" t="s">
        <v>63</v>
      </c>
      <c r="G6" s="358" t="s">
        <v>346</v>
      </c>
      <c r="H6" s="358" t="s">
        <v>347</v>
      </c>
      <c r="I6" s="358" t="s">
        <v>64</v>
      </c>
      <c r="J6" s="358" t="s">
        <v>7</v>
      </c>
      <c r="K6" s="358"/>
      <c r="L6" s="358" t="s">
        <v>348</v>
      </c>
      <c r="M6" s="359" t="s">
        <v>349</v>
      </c>
      <c r="N6" s="357" t="s">
        <v>318</v>
      </c>
      <c r="O6" s="357" t="s">
        <v>317</v>
      </c>
      <c r="P6" s="357" t="s">
        <v>6</v>
      </c>
      <c r="Q6" s="358" t="s">
        <v>544</v>
      </c>
      <c r="R6" s="360" t="s">
        <v>316</v>
      </c>
      <c r="S6" s="369" t="s">
        <v>332</v>
      </c>
      <c r="T6" s="361" t="s">
        <v>359</v>
      </c>
      <c r="U6" s="361" t="s">
        <v>360</v>
      </c>
      <c r="V6" s="362" t="s">
        <v>361</v>
      </c>
      <c r="W6" s="361" t="s">
        <v>363</v>
      </c>
      <c r="X6" s="362" t="s">
        <v>364</v>
      </c>
      <c r="Y6" s="370" t="s">
        <v>362</v>
      </c>
      <c r="Z6" s="356" t="s">
        <v>365</v>
      </c>
    </row>
    <row r="7" spans="2:26" s="317" customFormat="1" ht="12.75">
      <c r="B7" s="346"/>
      <c r="C7" s="319"/>
      <c r="D7" s="319"/>
      <c r="E7" s="319"/>
      <c r="F7" s="319"/>
      <c r="G7" s="322"/>
      <c r="H7" s="322"/>
      <c r="I7" s="322"/>
      <c r="J7" s="322"/>
      <c r="K7" s="322"/>
      <c r="L7" s="322"/>
      <c r="M7" s="351"/>
      <c r="N7" s="319"/>
      <c r="O7" s="319"/>
      <c r="P7" s="319"/>
      <c r="Q7" s="319"/>
      <c r="R7" s="333"/>
      <c r="S7" s="371"/>
      <c r="T7" s="334"/>
      <c r="U7" s="334"/>
      <c r="V7" s="334"/>
      <c r="W7" s="334"/>
      <c r="X7" s="334"/>
      <c r="Y7" s="342"/>
      <c r="Z7" s="364"/>
    </row>
    <row r="8" spans="2:26" ht="12.75">
      <c r="B8" s="347" t="s">
        <v>352</v>
      </c>
      <c r="C8" s="337">
        <v>3683</v>
      </c>
      <c r="D8" s="337">
        <v>995</v>
      </c>
      <c r="E8" s="337">
        <v>16374</v>
      </c>
      <c r="F8" s="284">
        <f>SUM(C8:E8)</f>
        <v>21052</v>
      </c>
      <c r="G8" s="284"/>
      <c r="H8" s="284"/>
      <c r="I8" s="284"/>
      <c r="J8" s="284"/>
      <c r="K8" s="284"/>
      <c r="L8" s="284"/>
      <c r="M8" s="352">
        <f>SUM(F8:L8)</f>
        <v>21052</v>
      </c>
      <c r="N8" s="478">
        <v>7359</v>
      </c>
      <c r="O8" s="331"/>
      <c r="P8" s="331"/>
      <c r="Q8" s="331"/>
      <c r="R8" s="331"/>
      <c r="S8" s="372">
        <v>4927</v>
      </c>
      <c r="T8" s="331"/>
      <c r="U8" s="331">
        <v>8766</v>
      </c>
      <c r="V8" s="331"/>
      <c r="W8" s="331"/>
      <c r="X8" s="331"/>
      <c r="Y8" s="332"/>
      <c r="Z8" s="352">
        <f>SUM(N8:Y8)</f>
        <v>21052</v>
      </c>
    </row>
    <row r="9" spans="2:26" ht="12.75">
      <c r="B9" s="347" t="s">
        <v>304</v>
      </c>
      <c r="C9" s="337">
        <v>4035</v>
      </c>
      <c r="D9" s="337">
        <v>1082</v>
      </c>
      <c r="E9" s="337">
        <v>3333</v>
      </c>
      <c r="F9" s="284">
        <f>SUM(C9:E9)</f>
        <v>8450</v>
      </c>
      <c r="G9" s="284"/>
      <c r="H9" s="284"/>
      <c r="I9" s="284"/>
      <c r="J9" s="284"/>
      <c r="K9" s="284"/>
      <c r="L9" s="284"/>
      <c r="M9" s="352">
        <f aca="true" t="shared" si="0" ref="M9:M21">SUM(F9:L9)</f>
        <v>8450</v>
      </c>
      <c r="N9" s="331"/>
      <c r="O9" s="331"/>
      <c r="P9" s="331"/>
      <c r="Q9" s="331"/>
      <c r="R9" s="337"/>
      <c r="S9" s="336"/>
      <c r="T9" s="331"/>
      <c r="U9" s="331">
        <v>8450</v>
      </c>
      <c r="V9" s="331"/>
      <c r="W9" s="331"/>
      <c r="X9" s="331"/>
      <c r="Y9" s="332"/>
      <c r="Z9" s="352">
        <f aca="true" t="shared" si="1" ref="Z9:Z21">SUM(N9:Y9)</f>
        <v>8450</v>
      </c>
    </row>
    <row r="10" spans="2:26" ht="12.75">
      <c r="B10" s="347" t="s">
        <v>305</v>
      </c>
      <c r="C10" s="337">
        <v>4876</v>
      </c>
      <c r="D10" s="337">
        <v>1079</v>
      </c>
      <c r="E10" s="337">
        <v>2460</v>
      </c>
      <c r="F10" s="284">
        <f aca="true" t="shared" si="2" ref="F10:F21">SUM(C10:E10)</f>
        <v>8415</v>
      </c>
      <c r="G10" s="284"/>
      <c r="H10" s="284"/>
      <c r="I10" s="284"/>
      <c r="J10" s="284"/>
      <c r="K10" s="284"/>
      <c r="L10" s="284"/>
      <c r="M10" s="352">
        <f t="shared" si="0"/>
        <v>8415</v>
      </c>
      <c r="N10" s="331"/>
      <c r="O10" s="331"/>
      <c r="P10" s="331"/>
      <c r="Q10" s="331"/>
      <c r="R10" s="339"/>
      <c r="S10" s="336"/>
      <c r="T10" s="331"/>
      <c r="U10" s="331">
        <v>8415</v>
      </c>
      <c r="V10" s="331"/>
      <c r="W10" s="331"/>
      <c r="X10" s="331"/>
      <c r="Y10" s="332"/>
      <c r="Z10" s="352">
        <f t="shared" si="1"/>
        <v>8415</v>
      </c>
    </row>
    <row r="11" spans="2:26" ht="12.75">
      <c r="B11" s="347" t="s">
        <v>306</v>
      </c>
      <c r="C11" s="337">
        <v>1334</v>
      </c>
      <c r="D11" s="337">
        <v>360</v>
      </c>
      <c r="E11" s="337">
        <v>1322</v>
      </c>
      <c r="F11" s="284">
        <f t="shared" si="2"/>
        <v>3016</v>
      </c>
      <c r="G11" s="284"/>
      <c r="H11" s="284"/>
      <c r="I11" s="284"/>
      <c r="J11" s="284"/>
      <c r="K11" s="284"/>
      <c r="L11" s="284"/>
      <c r="M11" s="352">
        <f t="shared" si="0"/>
        <v>3016</v>
      </c>
      <c r="N11" s="476">
        <v>1587</v>
      </c>
      <c r="O11" s="477"/>
      <c r="P11" s="331"/>
      <c r="Q11" s="331"/>
      <c r="R11" s="339"/>
      <c r="S11" s="372">
        <v>2834</v>
      </c>
      <c r="T11" s="331"/>
      <c r="U11" s="331"/>
      <c r="V11" s="331"/>
      <c r="W11" s="331"/>
      <c r="X11" s="331"/>
      <c r="Y11" s="332">
        <v>-1405</v>
      </c>
      <c r="Z11" s="352">
        <f t="shared" si="1"/>
        <v>3016</v>
      </c>
    </row>
    <row r="12" spans="2:26" ht="12.75">
      <c r="B12" s="347" t="s">
        <v>307</v>
      </c>
      <c r="C12" s="337">
        <v>7873</v>
      </c>
      <c r="D12" s="337">
        <v>1647</v>
      </c>
      <c r="E12" s="337">
        <v>1052</v>
      </c>
      <c r="F12" s="284">
        <f>SUM(C12:E12)</f>
        <v>10572</v>
      </c>
      <c r="G12" s="284"/>
      <c r="H12" s="284"/>
      <c r="I12" s="284"/>
      <c r="J12" s="284"/>
      <c r="K12" s="284"/>
      <c r="L12" s="284"/>
      <c r="M12" s="352">
        <f t="shared" si="0"/>
        <v>10572</v>
      </c>
      <c r="N12" s="476">
        <v>759</v>
      </c>
      <c r="O12" s="331"/>
      <c r="P12" s="331"/>
      <c r="Q12" s="331"/>
      <c r="R12" s="339"/>
      <c r="S12" s="372">
        <v>13500</v>
      </c>
      <c r="T12" s="331"/>
      <c r="U12" s="331"/>
      <c r="V12" s="331"/>
      <c r="W12" s="331"/>
      <c r="X12" s="331"/>
      <c r="Y12" s="332">
        <v>-3687</v>
      </c>
      <c r="Z12" s="352">
        <f t="shared" si="1"/>
        <v>10572</v>
      </c>
    </row>
    <row r="13" spans="2:26" ht="12.75">
      <c r="B13" s="347" t="s">
        <v>308</v>
      </c>
      <c r="C13" s="337">
        <v>3216</v>
      </c>
      <c r="D13" s="337">
        <v>783</v>
      </c>
      <c r="E13" s="337">
        <v>1119</v>
      </c>
      <c r="F13" s="284">
        <f t="shared" si="2"/>
        <v>5118</v>
      </c>
      <c r="G13" s="284"/>
      <c r="H13" s="284"/>
      <c r="I13" s="284"/>
      <c r="J13" s="284"/>
      <c r="K13" s="284"/>
      <c r="L13" s="284"/>
      <c r="M13" s="352">
        <f t="shared" si="0"/>
        <v>5118</v>
      </c>
      <c r="N13" s="331"/>
      <c r="O13" s="331"/>
      <c r="P13" s="331"/>
      <c r="Q13" s="331"/>
      <c r="R13" s="339"/>
      <c r="S13" s="372">
        <v>2367</v>
      </c>
      <c r="T13" s="331"/>
      <c r="U13" s="331"/>
      <c r="V13" s="331"/>
      <c r="W13" s="331"/>
      <c r="X13" s="331"/>
      <c r="Y13" s="332">
        <v>2751</v>
      </c>
      <c r="Z13" s="352">
        <f t="shared" si="1"/>
        <v>5118</v>
      </c>
    </row>
    <row r="14" spans="2:26" ht="12.75">
      <c r="B14" s="347" t="s">
        <v>309</v>
      </c>
      <c r="C14" s="337">
        <v>11176</v>
      </c>
      <c r="D14" s="337">
        <v>3760</v>
      </c>
      <c r="E14" s="337">
        <v>8285</v>
      </c>
      <c r="F14" s="284">
        <f t="shared" si="2"/>
        <v>23221</v>
      </c>
      <c r="G14" s="284"/>
      <c r="H14" s="284"/>
      <c r="I14" s="284"/>
      <c r="J14" s="284"/>
      <c r="K14" s="284"/>
      <c r="L14" s="284"/>
      <c r="M14" s="352">
        <f t="shared" si="0"/>
        <v>23221</v>
      </c>
      <c r="N14" s="477">
        <v>1573</v>
      </c>
      <c r="O14" s="331"/>
      <c r="P14" s="477">
        <v>4065</v>
      </c>
      <c r="Q14" s="477"/>
      <c r="R14" s="479">
        <f>224+2227+1349</f>
        <v>3800</v>
      </c>
      <c r="S14" s="372">
        <v>2367</v>
      </c>
      <c r="T14" s="331"/>
      <c r="U14" s="331">
        <v>11416</v>
      </c>
      <c r="V14" s="331"/>
      <c r="W14" s="331"/>
      <c r="X14" s="331"/>
      <c r="Y14" s="332"/>
      <c r="Z14" s="352">
        <f t="shared" si="1"/>
        <v>23221</v>
      </c>
    </row>
    <row r="15" spans="2:26" ht="12.75">
      <c r="B15" s="347" t="s">
        <v>310</v>
      </c>
      <c r="C15" s="337">
        <v>7457</v>
      </c>
      <c r="D15" s="337">
        <v>1896</v>
      </c>
      <c r="E15" s="337">
        <v>1156</v>
      </c>
      <c r="F15" s="284">
        <f>SUM(C15:E15)</f>
        <v>10509</v>
      </c>
      <c r="G15" s="284"/>
      <c r="H15" s="284"/>
      <c r="I15" s="284"/>
      <c r="J15" s="284"/>
      <c r="K15" s="284"/>
      <c r="L15" s="284"/>
      <c r="M15" s="352">
        <f t="shared" si="0"/>
        <v>10509</v>
      </c>
      <c r="N15" s="476">
        <v>79</v>
      </c>
      <c r="O15" s="331"/>
      <c r="P15" s="331"/>
      <c r="Q15" s="331"/>
      <c r="R15" s="339"/>
      <c r="S15" s="372">
        <v>4350</v>
      </c>
      <c r="T15" s="331"/>
      <c r="U15" s="331">
        <v>6080</v>
      </c>
      <c r="V15" s="331"/>
      <c r="W15" s="331"/>
      <c r="X15" s="331"/>
      <c r="Y15" s="332"/>
      <c r="Z15" s="352">
        <f t="shared" si="1"/>
        <v>10509</v>
      </c>
    </row>
    <row r="16" spans="2:26" ht="12.75">
      <c r="B16" s="347" t="s">
        <v>311</v>
      </c>
      <c r="C16" s="337">
        <v>6348</v>
      </c>
      <c r="D16" s="337">
        <v>1885</v>
      </c>
      <c r="E16" s="337">
        <v>2857</v>
      </c>
      <c r="F16" s="284">
        <f t="shared" si="2"/>
        <v>11090</v>
      </c>
      <c r="G16" s="284"/>
      <c r="H16" s="284"/>
      <c r="I16" s="284"/>
      <c r="J16" s="284"/>
      <c r="K16" s="284"/>
      <c r="L16" s="284"/>
      <c r="M16" s="352">
        <f t="shared" si="0"/>
        <v>11090</v>
      </c>
      <c r="N16" s="331"/>
      <c r="O16" s="476">
        <v>8743</v>
      </c>
      <c r="P16" s="337"/>
      <c r="Q16" s="337"/>
      <c r="R16" s="339"/>
      <c r="S16" s="336"/>
      <c r="T16" s="331"/>
      <c r="U16" s="331">
        <v>6</v>
      </c>
      <c r="V16" s="331"/>
      <c r="W16" s="331"/>
      <c r="X16" s="331"/>
      <c r="Y16" s="332">
        <v>2341</v>
      </c>
      <c r="Z16" s="352">
        <f t="shared" si="1"/>
        <v>11090</v>
      </c>
    </row>
    <row r="17" spans="2:26" ht="12.75">
      <c r="B17" s="347" t="s">
        <v>312</v>
      </c>
      <c r="C17" s="337">
        <v>9101</v>
      </c>
      <c r="D17" s="337">
        <v>2172</v>
      </c>
      <c r="E17" s="337">
        <f>1593+802-697</f>
        <v>1698</v>
      </c>
      <c r="F17" s="284">
        <f t="shared" si="2"/>
        <v>12971</v>
      </c>
      <c r="G17" s="284">
        <v>697</v>
      </c>
      <c r="H17" s="284"/>
      <c r="I17" s="284"/>
      <c r="J17" s="284">
        <v>217</v>
      </c>
      <c r="K17" s="284"/>
      <c r="L17" s="284"/>
      <c r="M17" s="352">
        <f t="shared" si="0"/>
        <v>13885</v>
      </c>
      <c r="N17" s="331"/>
      <c r="O17" s="476">
        <v>11533</v>
      </c>
      <c r="P17" s="337"/>
      <c r="Q17" s="337"/>
      <c r="R17" s="339"/>
      <c r="S17" s="336"/>
      <c r="T17" s="331"/>
      <c r="U17" s="331">
        <v>2352</v>
      </c>
      <c r="V17" s="331"/>
      <c r="W17" s="331"/>
      <c r="X17" s="331"/>
      <c r="Y17" s="332"/>
      <c r="Z17" s="352">
        <f t="shared" si="1"/>
        <v>13885</v>
      </c>
    </row>
    <row r="18" spans="2:26" ht="12.75">
      <c r="B18" s="347" t="s">
        <v>313</v>
      </c>
      <c r="C18" s="337"/>
      <c r="D18" s="337"/>
      <c r="E18" s="337">
        <v>526</v>
      </c>
      <c r="F18" s="284">
        <f t="shared" si="2"/>
        <v>526</v>
      </c>
      <c r="G18" s="284"/>
      <c r="H18" s="284"/>
      <c r="I18" s="284"/>
      <c r="J18" s="284"/>
      <c r="K18" s="284"/>
      <c r="L18" s="284"/>
      <c r="M18" s="352">
        <f t="shared" si="0"/>
        <v>526</v>
      </c>
      <c r="N18" s="331"/>
      <c r="O18" s="476">
        <v>526</v>
      </c>
      <c r="P18" s="337"/>
      <c r="Q18" s="337"/>
      <c r="R18" s="339"/>
      <c r="S18" s="336"/>
      <c r="T18" s="331"/>
      <c r="U18" s="331"/>
      <c r="V18" s="331"/>
      <c r="W18" s="331"/>
      <c r="X18" s="331"/>
      <c r="Y18" s="332"/>
      <c r="Z18" s="352">
        <f t="shared" si="1"/>
        <v>526</v>
      </c>
    </row>
    <row r="19" spans="2:26" ht="12.75">
      <c r="B19" s="347" t="s">
        <v>314</v>
      </c>
      <c r="C19" s="337">
        <v>1707</v>
      </c>
      <c r="D19" s="337">
        <v>461</v>
      </c>
      <c r="E19" s="337">
        <v>894</v>
      </c>
      <c r="F19" s="284">
        <f>SUM(C19:E19)</f>
        <v>3062</v>
      </c>
      <c r="G19" s="284"/>
      <c r="H19" s="284"/>
      <c r="I19" s="284"/>
      <c r="J19" s="284"/>
      <c r="K19" s="284"/>
      <c r="L19" s="284"/>
      <c r="M19" s="352">
        <f t="shared" si="0"/>
        <v>3062</v>
      </c>
      <c r="N19" s="331"/>
      <c r="O19" s="476">
        <v>2066</v>
      </c>
      <c r="P19" s="337"/>
      <c r="Q19" s="337"/>
      <c r="R19" s="339"/>
      <c r="S19" s="336"/>
      <c r="T19" s="331"/>
      <c r="U19" s="331">
        <v>996</v>
      </c>
      <c r="V19" s="331"/>
      <c r="W19" s="331"/>
      <c r="X19" s="331"/>
      <c r="Y19" s="332"/>
      <c r="Z19" s="352">
        <f t="shared" si="1"/>
        <v>3062</v>
      </c>
    </row>
    <row r="20" spans="2:26" ht="12.75">
      <c r="B20" s="347" t="s">
        <v>393</v>
      </c>
      <c r="C20" s="337">
        <v>2529</v>
      </c>
      <c r="D20" s="337">
        <v>660</v>
      </c>
      <c r="E20" s="337">
        <v>2328</v>
      </c>
      <c r="F20" s="284">
        <f t="shared" si="2"/>
        <v>5517</v>
      </c>
      <c r="G20" s="284"/>
      <c r="H20" s="284"/>
      <c r="I20" s="284"/>
      <c r="J20" s="284"/>
      <c r="K20" s="284"/>
      <c r="L20" s="284"/>
      <c r="M20" s="352">
        <f t="shared" si="0"/>
        <v>5517</v>
      </c>
      <c r="N20" s="331"/>
      <c r="O20" s="476">
        <v>1857</v>
      </c>
      <c r="P20" s="337"/>
      <c r="Q20" s="337"/>
      <c r="R20" s="339"/>
      <c r="S20" s="336"/>
      <c r="T20" s="331"/>
      <c r="U20" s="331">
        <v>3660</v>
      </c>
      <c r="V20" s="331"/>
      <c r="W20" s="331"/>
      <c r="X20" s="331"/>
      <c r="Y20" s="332"/>
      <c r="Z20" s="352">
        <f t="shared" si="1"/>
        <v>5517</v>
      </c>
    </row>
    <row r="21" spans="2:26" ht="12.75">
      <c r="B21" s="347" t="s">
        <v>315</v>
      </c>
      <c r="C21" s="337">
        <v>1592</v>
      </c>
      <c r="D21" s="337">
        <v>407</v>
      </c>
      <c r="E21" s="337">
        <v>6786</v>
      </c>
      <c r="F21" s="284">
        <f t="shared" si="2"/>
        <v>8785</v>
      </c>
      <c r="G21" s="284"/>
      <c r="H21" s="284"/>
      <c r="I21" s="284"/>
      <c r="J21" s="284"/>
      <c r="K21" s="284"/>
      <c r="L21" s="284"/>
      <c r="M21" s="352">
        <f t="shared" si="0"/>
        <v>8785</v>
      </c>
      <c r="N21" s="477">
        <v>462</v>
      </c>
      <c r="O21" s="476">
        <v>7672</v>
      </c>
      <c r="P21" s="337"/>
      <c r="Q21" s="337"/>
      <c r="R21" s="339"/>
      <c r="S21" s="336"/>
      <c r="T21" s="331"/>
      <c r="U21" s="331">
        <v>651</v>
      </c>
      <c r="V21" s="331"/>
      <c r="W21" s="331"/>
      <c r="X21" s="331"/>
      <c r="Y21" s="332"/>
      <c r="Z21" s="352">
        <f t="shared" si="1"/>
        <v>8785</v>
      </c>
    </row>
    <row r="22" spans="2:26" s="317" customFormat="1" ht="12.75">
      <c r="B22" s="348" t="s">
        <v>340</v>
      </c>
      <c r="C22" s="340">
        <f aca="true" t="shared" si="3" ref="C22:W22">SUM(C8:C21)</f>
        <v>64927</v>
      </c>
      <c r="D22" s="340">
        <f t="shared" si="3"/>
        <v>17187</v>
      </c>
      <c r="E22" s="340">
        <f t="shared" si="3"/>
        <v>50190</v>
      </c>
      <c r="F22" s="340">
        <f t="shared" si="3"/>
        <v>132304</v>
      </c>
      <c r="G22" s="340">
        <f t="shared" si="3"/>
        <v>697</v>
      </c>
      <c r="H22" s="340">
        <f t="shared" si="3"/>
        <v>0</v>
      </c>
      <c r="I22" s="340">
        <f t="shared" si="3"/>
        <v>0</v>
      </c>
      <c r="J22" s="340">
        <f t="shared" si="3"/>
        <v>217</v>
      </c>
      <c r="K22" s="340"/>
      <c r="L22" s="340">
        <f t="shared" si="3"/>
        <v>0</v>
      </c>
      <c r="M22" s="353">
        <f t="shared" si="3"/>
        <v>133218</v>
      </c>
      <c r="N22" s="340">
        <f>SUM(N8:N21)</f>
        <v>11819</v>
      </c>
      <c r="O22" s="340">
        <f>SUM(O8:O21)</f>
        <v>32397</v>
      </c>
      <c r="P22" s="340">
        <f>SUM(P8:P21)</f>
        <v>4065</v>
      </c>
      <c r="Q22" s="340">
        <f>SUM(Q8:Q21)</f>
        <v>0</v>
      </c>
      <c r="R22" s="340">
        <f>SUM(R8:R21)</f>
        <v>3800</v>
      </c>
      <c r="S22" s="373">
        <f t="shared" si="3"/>
        <v>30345</v>
      </c>
      <c r="T22" s="340">
        <f t="shared" si="3"/>
        <v>0</v>
      </c>
      <c r="U22" s="340">
        <f t="shared" si="3"/>
        <v>50792</v>
      </c>
      <c r="V22" s="340">
        <f t="shared" si="3"/>
        <v>0</v>
      </c>
      <c r="W22" s="340">
        <f t="shared" si="3"/>
        <v>0</v>
      </c>
      <c r="X22" s="340"/>
      <c r="Y22" s="341">
        <f>SUM(Y8:Y21)</f>
        <v>0</v>
      </c>
      <c r="Z22" s="353">
        <f>SUM(Z8:Z21)</f>
        <v>133218</v>
      </c>
    </row>
    <row r="23" spans="2:27" ht="12.75">
      <c r="B23" s="347"/>
      <c r="C23" s="331"/>
      <c r="D23" s="331"/>
      <c r="E23" s="331"/>
      <c r="F23" s="337"/>
      <c r="G23" s="337"/>
      <c r="H23" s="337"/>
      <c r="I23" s="337"/>
      <c r="J23" s="337"/>
      <c r="K23" s="337"/>
      <c r="L23" s="337"/>
      <c r="M23" s="354"/>
      <c r="N23" s="337"/>
      <c r="O23" s="337"/>
      <c r="P23" s="337"/>
      <c r="Q23" s="337"/>
      <c r="R23" s="337"/>
      <c r="S23" s="336"/>
      <c r="T23" s="339"/>
      <c r="U23" s="339"/>
      <c r="V23" s="339"/>
      <c r="W23" s="331"/>
      <c r="X23" s="331"/>
      <c r="Y23" s="332"/>
      <c r="Z23" s="347"/>
      <c r="AA23" s="275"/>
    </row>
    <row r="24" spans="2:27" ht="28.5" customHeight="1">
      <c r="B24" s="349" t="str">
        <f>+4_mell!B18</f>
        <v>Városi Művelődési Központ és Könyvtár</v>
      </c>
      <c r="C24" s="319"/>
      <c r="D24" s="319"/>
      <c r="E24" s="319"/>
      <c r="F24" s="319"/>
      <c r="G24" s="322"/>
      <c r="H24" s="322"/>
      <c r="I24" s="322"/>
      <c r="J24" s="322"/>
      <c r="K24" s="322"/>
      <c r="L24" s="322"/>
      <c r="M24" s="351"/>
      <c r="N24" s="475"/>
      <c r="O24" s="475"/>
      <c r="P24" s="319"/>
      <c r="Q24" s="319"/>
      <c r="R24" s="333"/>
      <c r="S24" s="371"/>
      <c r="T24" s="334"/>
      <c r="U24" s="334"/>
      <c r="V24" s="334"/>
      <c r="W24" s="334"/>
      <c r="X24" s="334"/>
      <c r="Y24" s="342"/>
      <c r="Z24" s="365"/>
      <c r="AA24" s="275"/>
    </row>
    <row r="25" spans="2:27" ht="12.75">
      <c r="B25" s="350" t="s">
        <v>354</v>
      </c>
      <c r="C25" s="331">
        <v>4059</v>
      </c>
      <c r="D25" s="331">
        <v>1106</v>
      </c>
      <c r="E25" s="331">
        <v>2229</v>
      </c>
      <c r="F25" s="343">
        <f aca="true" t="shared" si="4" ref="F25:F30">SUM(C25:E25)</f>
        <v>7394</v>
      </c>
      <c r="G25" s="337"/>
      <c r="H25" s="337"/>
      <c r="I25" s="337"/>
      <c r="J25" s="337">
        <v>408</v>
      </c>
      <c r="K25" s="337"/>
      <c r="L25" s="337"/>
      <c r="M25" s="354">
        <f aca="true" t="shared" si="5" ref="M25:M30">SUM(F25:L25)</f>
        <v>7802</v>
      </c>
      <c r="N25" s="337">
        <v>1438</v>
      </c>
      <c r="O25" s="337"/>
      <c r="P25" s="337"/>
      <c r="Q25" s="337"/>
      <c r="R25" s="337"/>
      <c r="S25" s="372">
        <v>6831</v>
      </c>
      <c r="T25" s="339"/>
      <c r="U25" s="339"/>
      <c r="V25" s="339"/>
      <c r="W25" s="331"/>
      <c r="X25" s="331"/>
      <c r="Y25" s="332">
        <v>-467</v>
      </c>
      <c r="Z25" s="352">
        <f aca="true" t="shared" si="6" ref="Z25:Z30">SUM(N25:Y25)</f>
        <v>7802</v>
      </c>
      <c r="AA25" s="275"/>
    </row>
    <row r="26" spans="2:27" ht="12.75">
      <c r="B26" s="350" t="s">
        <v>355</v>
      </c>
      <c r="C26" s="331"/>
      <c r="D26" s="331"/>
      <c r="E26" s="331">
        <v>919</v>
      </c>
      <c r="F26" s="343">
        <f t="shared" si="4"/>
        <v>919</v>
      </c>
      <c r="G26" s="337"/>
      <c r="H26" s="337"/>
      <c r="I26" s="337"/>
      <c r="J26" s="337"/>
      <c r="K26" s="337"/>
      <c r="L26" s="337"/>
      <c r="M26" s="354">
        <f t="shared" si="5"/>
        <v>919</v>
      </c>
      <c r="N26" s="337"/>
      <c r="O26" s="337"/>
      <c r="P26" s="337"/>
      <c r="Q26" s="337"/>
      <c r="R26" s="337"/>
      <c r="S26" s="336"/>
      <c r="T26" s="339"/>
      <c r="U26" s="339">
        <v>919</v>
      </c>
      <c r="V26" s="339"/>
      <c r="W26" s="331"/>
      <c r="X26" s="331"/>
      <c r="Y26" s="332"/>
      <c r="Z26" s="352">
        <f t="shared" si="6"/>
        <v>919</v>
      </c>
      <c r="AA26" s="275"/>
    </row>
    <row r="27" spans="2:27" ht="12.75">
      <c r="B27" s="350" t="s">
        <v>356</v>
      </c>
      <c r="C27" s="331">
        <v>2400</v>
      </c>
      <c r="D27" s="331">
        <v>655</v>
      </c>
      <c r="E27" s="331">
        <v>1162</v>
      </c>
      <c r="F27" s="343">
        <f t="shared" si="4"/>
        <v>4217</v>
      </c>
      <c r="G27" s="337"/>
      <c r="H27" s="337"/>
      <c r="I27" s="337"/>
      <c r="J27" s="337"/>
      <c r="K27" s="337"/>
      <c r="L27" s="337"/>
      <c r="M27" s="354">
        <f t="shared" si="5"/>
        <v>4217</v>
      </c>
      <c r="N27" s="337"/>
      <c r="O27" s="337"/>
      <c r="P27" s="337"/>
      <c r="Q27" s="337"/>
      <c r="R27" s="337"/>
      <c r="S27" s="372"/>
      <c r="T27" s="339"/>
      <c r="U27" s="339">
        <v>4217</v>
      </c>
      <c r="V27" s="339"/>
      <c r="W27" s="331"/>
      <c r="X27" s="331"/>
      <c r="Y27" s="332"/>
      <c r="Z27" s="352">
        <f t="shared" si="6"/>
        <v>4217</v>
      </c>
      <c r="AA27" s="275"/>
    </row>
    <row r="28" spans="2:27" ht="12.75">
      <c r="B28" s="350" t="s">
        <v>357</v>
      </c>
      <c r="C28" s="331">
        <v>1517</v>
      </c>
      <c r="D28" s="331">
        <v>410</v>
      </c>
      <c r="E28" s="331"/>
      <c r="F28" s="343">
        <f t="shared" si="4"/>
        <v>1927</v>
      </c>
      <c r="G28" s="337"/>
      <c r="H28" s="337"/>
      <c r="I28" s="337"/>
      <c r="J28" s="337"/>
      <c r="K28" s="337"/>
      <c r="L28" s="337"/>
      <c r="M28" s="354">
        <f t="shared" si="5"/>
        <v>1927</v>
      </c>
      <c r="N28" s="337"/>
      <c r="O28" s="337"/>
      <c r="P28" s="337"/>
      <c r="Q28" s="337"/>
      <c r="R28" s="337"/>
      <c r="S28" s="336"/>
      <c r="T28" s="339"/>
      <c r="U28" s="339">
        <v>1927</v>
      </c>
      <c r="V28" s="339"/>
      <c r="W28" s="331"/>
      <c r="X28" s="331"/>
      <c r="Y28" s="332"/>
      <c r="Z28" s="352">
        <f t="shared" si="6"/>
        <v>1927</v>
      </c>
      <c r="AA28" s="275"/>
    </row>
    <row r="29" spans="2:27" ht="12.75">
      <c r="B29" s="350" t="s">
        <v>358</v>
      </c>
      <c r="C29" s="331">
        <v>2405</v>
      </c>
      <c r="D29" s="331">
        <v>632</v>
      </c>
      <c r="E29" s="331">
        <v>7806</v>
      </c>
      <c r="F29" s="343">
        <f t="shared" si="4"/>
        <v>10843</v>
      </c>
      <c r="G29" s="337"/>
      <c r="H29" s="337"/>
      <c r="I29" s="337"/>
      <c r="J29" s="337"/>
      <c r="K29" s="337"/>
      <c r="L29" s="337"/>
      <c r="M29" s="354">
        <f t="shared" si="5"/>
        <v>10843</v>
      </c>
      <c r="N29" s="337">
        <v>1065</v>
      </c>
      <c r="O29" s="337"/>
      <c r="P29" s="337"/>
      <c r="Q29" s="337"/>
      <c r="R29" s="337">
        <v>1945</v>
      </c>
      <c r="S29" s="336"/>
      <c r="T29" s="339"/>
      <c r="U29" s="339">
        <v>7833</v>
      </c>
      <c r="V29" s="339"/>
      <c r="W29" s="331"/>
      <c r="X29" s="331"/>
      <c r="Y29" s="332"/>
      <c r="Z29" s="352">
        <f t="shared" si="6"/>
        <v>10843</v>
      </c>
      <c r="AA29" s="275"/>
    </row>
    <row r="30" spans="2:27" ht="13.5" thickBot="1">
      <c r="B30" s="350" t="s">
        <v>543</v>
      </c>
      <c r="C30" s="331">
        <v>756</v>
      </c>
      <c r="D30" s="331">
        <v>204</v>
      </c>
      <c r="E30" s="331">
        <v>4372</v>
      </c>
      <c r="F30" s="343">
        <f t="shared" si="4"/>
        <v>5332</v>
      </c>
      <c r="G30" s="337"/>
      <c r="H30" s="337"/>
      <c r="I30" s="337"/>
      <c r="J30" s="337">
        <v>3122</v>
      </c>
      <c r="K30" s="337"/>
      <c r="L30" s="337"/>
      <c r="M30" s="354">
        <f t="shared" si="5"/>
        <v>8454</v>
      </c>
      <c r="N30" s="337"/>
      <c r="O30" s="337"/>
      <c r="P30" s="337"/>
      <c r="Q30" s="337">
        <f>3435-313</f>
        <v>3122</v>
      </c>
      <c r="R30" s="337">
        <f>4565+454+313</f>
        <v>5332</v>
      </c>
      <c r="S30" s="480"/>
      <c r="T30" s="339"/>
      <c r="U30" s="339"/>
      <c r="V30" s="339"/>
      <c r="W30" s="331"/>
      <c r="X30" s="331"/>
      <c r="Y30" s="481"/>
      <c r="Z30" s="352">
        <f t="shared" si="6"/>
        <v>8454</v>
      </c>
      <c r="AA30" s="275"/>
    </row>
    <row r="31" spans="2:27" s="318" customFormat="1" ht="12.75" customHeight="1" thickBot="1">
      <c r="B31" s="366" t="s">
        <v>340</v>
      </c>
      <c r="C31" s="367">
        <f>SUM(C25:C30)</f>
        <v>11137</v>
      </c>
      <c r="D31" s="367">
        <f>SUM(D25:D30)</f>
        <v>3007</v>
      </c>
      <c r="E31" s="367">
        <f aca="true" t="shared" si="7" ref="E31:K31">SUM(E25:E30)</f>
        <v>16488</v>
      </c>
      <c r="F31" s="367">
        <f t="shared" si="7"/>
        <v>30632</v>
      </c>
      <c r="G31" s="367">
        <f t="shared" si="7"/>
        <v>0</v>
      </c>
      <c r="H31" s="367">
        <f t="shared" si="7"/>
        <v>0</v>
      </c>
      <c r="I31" s="367">
        <f t="shared" si="7"/>
        <v>0</v>
      </c>
      <c r="J31" s="367">
        <f t="shared" si="7"/>
        <v>3530</v>
      </c>
      <c r="K31" s="367">
        <f t="shared" si="7"/>
        <v>0</v>
      </c>
      <c r="L31" s="368">
        <f aca="true" t="shared" si="8" ref="L31:Z31">SUM(L25:L30)</f>
        <v>0</v>
      </c>
      <c r="M31" s="482">
        <f t="shared" si="8"/>
        <v>34162</v>
      </c>
      <c r="N31" s="368">
        <f t="shared" si="8"/>
        <v>2503</v>
      </c>
      <c r="O31" s="368">
        <f t="shared" si="8"/>
        <v>0</v>
      </c>
      <c r="P31" s="368">
        <f t="shared" si="8"/>
        <v>0</v>
      </c>
      <c r="Q31" s="368">
        <f t="shared" si="8"/>
        <v>3122</v>
      </c>
      <c r="R31" s="368">
        <f t="shared" si="8"/>
        <v>7277</v>
      </c>
      <c r="S31" s="374">
        <f t="shared" si="8"/>
        <v>6831</v>
      </c>
      <c r="T31" s="368">
        <f t="shared" si="8"/>
        <v>0</v>
      </c>
      <c r="U31" s="368">
        <f t="shared" si="8"/>
        <v>14896</v>
      </c>
      <c r="V31" s="368">
        <f t="shared" si="8"/>
        <v>0</v>
      </c>
      <c r="W31" s="368">
        <f t="shared" si="8"/>
        <v>0</v>
      </c>
      <c r="X31" s="368">
        <f t="shared" si="8"/>
        <v>0</v>
      </c>
      <c r="Y31" s="368">
        <f t="shared" si="8"/>
        <v>-467</v>
      </c>
      <c r="Z31" s="482">
        <f t="shared" si="8"/>
        <v>34162</v>
      </c>
      <c r="AA31" s="325"/>
    </row>
    <row r="32" spans="3:27" ht="0.75" customHeight="1" hidden="1" thickBot="1">
      <c r="C32" s="273">
        <f>+4_mell!D18</f>
        <v>9313</v>
      </c>
      <c r="D32" s="273">
        <f>+4_mell!E18</f>
        <v>2514</v>
      </c>
      <c r="E32" s="273">
        <f>+4_mell!F18</f>
        <v>6921</v>
      </c>
      <c r="F32" s="274">
        <f>SUM(C32:E32)</f>
        <v>18748</v>
      </c>
      <c r="G32" s="274"/>
      <c r="H32" s="274"/>
      <c r="I32" s="274"/>
      <c r="J32" s="274"/>
      <c r="K32" s="274"/>
      <c r="L32" s="274"/>
      <c r="M32" s="274"/>
      <c r="N32" s="274">
        <f>+3_mell!D18</f>
        <v>1290</v>
      </c>
      <c r="O32" s="274"/>
      <c r="P32" s="274"/>
      <c r="Q32" s="274"/>
      <c r="R32" s="274"/>
      <c r="T32" s="275">
        <f>+3_mell!M18</f>
        <v>17458</v>
      </c>
      <c r="U32" s="275">
        <f>SUM(S31:U31)</f>
        <v>21727</v>
      </c>
      <c r="V32" s="275"/>
      <c r="AA32" s="275"/>
    </row>
    <row r="33" spans="6:27" ht="13.5" hidden="1" thickBot="1"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T33" s="275"/>
      <c r="U33" s="275"/>
      <c r="V33" s="275"/>
      <c r="AA33" s="275"/>
    </row>
    <row r="34" spans="3:27" ht="13.5" hidden="1" thickBot="1">
      <c r="C34" s="273">
        <f>+4_mell!D19</f>
        <v>11137</v>
      </c>
      <c r="D34" s="273">
        <f>+4_mell!E19</f>
        <v>3007</v>
      </c>
      <c r="E34" s="273">
        <f>+4_mell!F19</f>
        <v>16488</v>
      </c>
      <c r="F34" s="274"/>
      <c r="G34" s="274"/>
      <c r="H34" s="274"/>
      <c r="I34" s="274"/>
      <c r="J34" s="274">
        <f>+4_mell!M19</f>
        <v>3530</v>
      </c>
      <c r="K34" s="274"/>
      <c r="L34" s="274"/>
      <c r="M34" s="274">
        <f>+4_mell!Q19</f>
        <v>34162</v>
      </c>
      <c r="N34" s="274">
        <f>+3_mell!D19</f>
        <v>2503</v>
      </c>
      <c r="O34" s="274"/>
      <c r="P34" s="274"/>
      <c r="Q34" s="274">
        <f>+3_mell!K19</f>
        <v>3122</v>
      </c>
      <c r="R34" s="274">
        <f>+3_mell!I19+3_mell!J19</f>
        <v>7277</v>
      </c>
      <c r="T34" s="275"/>
      <c r="U34" s="275"/>
      <c r="V34" s="275"/>
      <c r="AA34" s="275"/>
    </row>
    <row r="35" spans="2:26" ht="13.5" thickBot="1">
      <c r="B35" s="328" t="s">
        <v>366</v>
      </c>
      <c r="C35" s="853" t="s">
        <v>225</v>
      </c>
      <c r="D35" s="851"/>
      <c r="E35" s="851"/>
      <c r="F35" s="851"/>
      <c r="G35" s="851"/>
      <c r="H35" s="851"/>
      <c r="I35" s="851"/>
      <c r="J35" s="851"/>
      <c r="K35" s="851"/>
      <c r="L35" s="851"/>
      <c r="M35" s="852"/>
      <c r="N35" s="853" t="s">
        <v>367</v>
      </c>
      <c r="O35" s="851"/>
      <c r="P35" s="851"/>
      <c r="Q35" s="851"/>
      <c r="R35" s="851"/>
      <c r="S35" s="851"/>
      <c r="T35" s="851"/>
      <c r="U35" s="851"/>
      <c r="V35" s="851"/>
      <c r="W35" s="851"/>
      <c r="X35" s="851"/>
      <c r="Y35" s="851"/>
      <c r="Z35" s="852"/>
    </row>
    <row r="36" spans="2:26" ht="13.5" thickBot="1">
      <c r="B36" s="489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9"/>
      <c r="N36" s="485"/>
      <c r="O36" s="486"/>
      <c r="P36" s="486"/>
      <c r="Q36" s="487"/>
      <c r="R36" s="488"/>
      <c r="S36" s="854" t="s">
        <v>351</v>
      </c>
      <c r="T36" s="855"/>
      <c r="U36" s="855"/>
      <c r="V36" s="855"/>
      <c r="W36" s="855"/>
      <c r="X36" s="855"/>
      <c r="Y36" s="856"/>
      <c r="Z36" s="382"/>
    </row>
    <row r="37" spans="2:26" s="317" customFormat="1" ht="77.25" thickBot="1">
      <c r="B37" s="355" t="s">
        <v>341</v>
      </c>
      <c r="C37" s="327" t="s">
        <v>58</v>
      </c>
      <c r="D37" s="327" t="s">
        <v>302</v>
      </c>
      <c r="E37" s="327" t="s">
        <v>303</v>
      </c>
      <c r="F37" s="327" t="s">
        <v>63</v>
      </c>
      <c r="G37" s="394" t="s">
        <v>346</v>
      </c>
      <c r="H37" s="394" t="s">
        <v>347</v>
      </c>
      <c r="I37" s="394" t="s">
        <v>64</v>
      </c>
      <c r="J37" s="394" t="s">
        <v>7</v>
      </c>
      <c r="K37" s="394"/>
      <c r="L37" s="394" t="s">
        <v>348</v>
      </c>
      <c r="M37" s="395" t="s">
        <v>349</v>
      </c>
      <c r="N37" s="484" t="s">
        <v>318</v>
      </c>
      <c r="O37" s="327" t="s">
        <v>317</v>
      </c>
      <c r="P37" s="327" t="s">
        <v>6</v>
      </c>
      <c r="Q37" s="394" t="s">
        <v>544</v>
      </c>
      <c r="R37" s="389" t="s">
        <v>316</v>
      </c>
      <c r="S37" s="326" t="s">
        <v>332</v>
      </c>
      <c r="T37" s="390" t="s">
        <v>359</v>
      </c>
      <c r="U37" s="390" t="s">
        <v>360</v>
      </c>
      <c r="V37" s="391" t="s">
        <v>361</v>
      </c>
      <c r="W37" s="390" t="s">
        <v>363</v>
      </c>
      <c r="X37" s="391" t="s">
        <v>364</v>
      </c>
      <c r="Y37" s="392" t="s">
        <v>362</v>
      </c>
      <c r="Z37" s="393" t="s">
        <v>365</v>
      </c>
    </row>
    <row r="38" spans="2:27" s="317" customFormat="1" ht="12" customHeight="1">
      <c r="B38" s="365"/>
      <c r="C38" s="319"/>
      <c r="D38" s="319"/>
      <c r="E38" s="319"/>
      <c r="F38" s="319"/>
      <c r="G38" s="322"/>
      <c r="H38" s="322"/>
      <c r="I38" s="322"/>
      <c r="J38" s="322"/>
      <c r="K38" s="322"/>
      <c r="L38" s="322"/>
      <c r="M38" s="351"/>
      <c r="N38" s="371"/>
      <c r="O38" s="319"/>
      <c r="P38" s="319"/>
      <c r="Q38" s="319"/>
      <c r="R38" s="333"/>
      <c r="S38" s="371"/>
      <c r="T38" s="334"/>
      <c r="U38" s="334"/>
      <c r="V38" s="334"/>
      <c r="W38" s="334"/>
      <c r="X38" s="334"/>
      <c r="Y38" s="342"/>
      <c r="Z38" s="335"/>
      <c r="AA38" s="320"/>
    </row>
    <row r="39" spans="2:26" ht="25.5">
      <c r="B39" s="375" t="s">
        <v>320</v>
      </c>
      <c r="C39" s="277"/>
      <c r="D39" s="277"/>
      <c r="E39" s="278"/>
      <c r="F39" s="283">
        <f>SUM(C39:E39)</f>
        <v>0</v>
      </c>
      <c r="G39" s="283"/>
      <c r="H39" s="283"/>
      <c r="I39" s="283"/>
      <c r="J39" s="283"/>
      <c r="K39" s="283"/>
      <c r="L39" s="283"/>
      <c r="M39" s="380">
        <f>SUM(F39:L39)</f>
        <v>0</v>
      </c>
      <c r="N39" s="336"/>
      <c r="O39" s="331"/>
      <c r="P39" s="331"/>
      <c r="Q39" s="331"/>
      <c r="R39" s="331"/>
      <c r="S39" s="336"/>
      <c r="T39" s="331"/>
      <c r="U39" s="331"/>
      <c r="V39" s="331"/>
      <c r="W39" s="331"/>
      <c r="X39" s="331"/>
      <c r="Y39" s="332"/>
      <c r="Z39" s="338">
        <f>SUM(N39:Y39)</f>
        <v>0</v>
      </c>
    </row>
    <row r="40" spans="2:26" ht="51">
      <c r="B40" s="376" t="s">
        <v>321</v>
      </c>
      <c r="C40" s="277"/>
      <c r="D40" s="277"/>
      <c r="E40" s="278"/>
      <c r="F40" s="283">
        <f aca="true" t="shared" si="9" ref="F40:F50">SUM(C40:E40)</f>
        <v>0</v>
      </c>
      <c r="G40" s="283"/>
      <c r="H40" s="283"/>
      <c r="I40" s="283"/>
      <c r="J40" s="283"/>
      <c r="K40" s="283"/>
      <c r="L40" s="283"/>
      <c r="M40" s="380">
        <f aca="true" t="shared" si="10" ref="M40:M50">SUM(F40:L40)</f>
        <v>0</v>
      </c>
      <c r="N40" s="336"/>
      <c r="O40" s="331"/>
      <c r="P40" s="331"/>
      <c r="Q40" s="331"/>
      <c r="R40" s="331"/>
      <c r="S40" s="336"/>
      <c r="T40" s="331"/>
      <c r="U40" s="331"/>
      <c r="V40" s="331"/>
      <c r="W40" s="331"/>
      <c r="X40" s="331"/>
      <c r="Y40" s="332"/>
      <c r="Z40" s="338">
        <f aca="true" t="shared" si="11" ref="Z40:Z50">SUM(N40:Y40)</f>
        <v>0</v>
      </c>
    </row>
    <row r="41" spans="2:26" ht="51">
      <c r="B41" s="377" t="s">
        <v>322</v>
      </c>
      <c r="C41" s="277"/>
      <c r="D41" s="277"/>
      <c r="E41" s="278"/>
      <c r="F41" s="283">
        <f t="shared" si="9"/>
        <v>0</v>
      </c>
      <c r="G41" s="283"/>
      <c r="H41" s="283"/>
      <c r="I41" s="283"/>
      <c r="J41" s="283"/>
      <c r="K41" s="283"/>
      <c r="L41" s="283"/>
      <c r="M41" s="380">
        <f t="shared" si="10"/>
        <v>0</v>
      </c>
      <c r="N41" s="336"/>
      <c r="O41" s="331"/>
      <c r="P41" s="331"/>
      <c r="Q41" s="331"/>
      <c r="R41" s="331"/>
      <c r="S41" s="372"/>
      <c r="T41" s="331"/>
      <c r="U41" s="331"/>
      <c r="V41" s="331"/>
      <c r="W41" s="331"/>
      <c r="X41" s="331"/>
      <c r="Y41" s="332"/>
      <c r="Z41" s="338">
        <f t="shared" si="11"/>
        <v>0</v>
      </c>
    </row>
    <row r="42" spans="2:26" ht="12.75">
      <c r="B42" s="378" t="s">
        <v>323</v>
      </c>
      <c r="C42" s="278">
        <v>14197</v>
      </c>
      <c r="D42" s="278">
        <v>3369</v>
      </c>
      <c r="E42" s="278">
        <v>65219</v>
      </c>
      <c r="F42" s="283">
        <f t="shared" si="9"/>
        <v>82785</v>
      </c>
      <c r="G42" s="283"/>
      <c r="H42" s="283"/>
      <c r="I42" s="283"/>
      <c r="J42" s="283"/>
      <c r="K42" s="283"/>
      <c r="L42" s="283"/>
      <c r="M42" s="380">
        <f t="shared" si="10"/>
        <v>82785</v>
      </c>
      <c r="N42" s="383">
        <v>77173</v>
      </c>
      <c r="O42" s="331"/>
      <c r="P42" s="331"/>
      <c r="Q42" s="331"/>
      <c r="R42" s="331">
        <v>250</v>
      </c>
      <c r="S42" s="336">
        <f>394+91+301</f>
        <v>786</v>
      </c>
      <c r="T42" s="331"/>
      <c r="U42" s="331"/>
      <c r="V42" s="331"/>
      <c r="W42" s="331"/>
      <c r="X42" s="331"/>
      <c r="Y42" s="332">
        <v>4576</v>
      </c>
      <c r="Z42" s="338">
        <f t="shared" si="11"/>
        <v>82785</v>
      </c>
    </row>
    <row r="43" spans="2:26" ht="38.25">
      <c r="B43" s="376" t="s">
        <v>324</v>
      </c>
      <c r="C43" s="280"/>
      <c r="D43" s="280"/>
      <c r="E43" s="278">
        <v>3813</v>
      </c>
      <c r="F43" s="283">
        <f t="shared" si="9"/>
        <v>3813</v>
      </c>
      <c r="G43" s="283"/>
      <c r="H43" s="283"/>
      <c r="I43" s="283"/>
      <c r="J43" s="283"/>
      <c r="K43" s="283"/>
      <c r="L43" s="283"/>
      <c r="M43" s="380">
        <f t="shared" si="10"/>
        <v>3813</v>
      </c>
      <c r="N43" s="336">
        <v>3311</v>
      </c>
      <c r="O43" s="331"/>
      <c r="P43" s="331"/>
      <c r="Q43" s="331"/>
      <c r="R43" s="331"/>
      <c r="S43" s="336"/>
      <c r="T43" s="331"/>
      <c r="U43" s="331"/>
      <c r="V43" s="331"/>
      <c r="W43" s="331"/>
      <c r="X43" s="331"/>
      <c r="Y43" s="332">
        <v>502</v>
      </c>
      <c r="Z43" s="338">
        <f t="shared" si="11"/>
        <v>3813</v>
      </c>
    </row>
    <row r="44" spans="2:26" ht="38.25">
      <c r="B44" s="377" t="s">
        <v>325</v>
      </c>
      <c r="C44" s="280"/>
      <c r="D44" s="280"/>
      <c r="E44" s="278">
        <f>1879+1597</f>
        <v>3476</v>
      </c>
      <c r="F44" s="283">
        <f t="shared" si="9"/>
        <v>3476</v>
      </c>
      <c r="G44" s="283"/>
      <c r="H44" s="283"/>
      <c r="I44" s="283"/>
      <c r="J44" s="283"/>
      <c r="K44" s="283"/>
      <c r="L44" s="283"/>
      <c r="M44" s="380">
        <f t="shared" si="10"/>
        <v>3476</v>
      </c>
      <c r="N44" s="336">
        <f>6601+2194</f>
        <v>8795</v>
      </c>
      <c r="O44" s="331"/>
      <c r="P44" s="331"/>
      <c r="Q44" s="331"/>
      <c r="R44" s="331"/>
      <c r="S44" s="336"/>
      <c r="T44" s="331"/>
      <c r="U44" s="331"/>
      <c r="V44" s="331"/>
      <c r="W44" s="331"/>
      <c r="X44" s="331"/>
      <c r="Y44" s="332">
        <v>-5319</v>
      </c>
      <c r="Z44" s="338">
        <f t="shared" si="11"/>
        <v>3476</v>
      </c>
    </row>
    <row r="45" spans="2:26" ht="25.5">
      <c r="B45" s="377" t="s">
        <v>326</v>
      </c>
      <c r="C45" s="280"/>
      <c r="D45" s="280"/>
      <c r="E45" s="278">
        <v>5152</v>
      </c>
      <c r="F45" s="283">
        <f t="shared" si="9"/>
        <v>5152</v>
      </c>
      <c r="G45" s="283"/>
      <c r="H45" s="283"/>
      <c r="I45" s="283"/>
      <c r="J45" s="283"/>
      <c r="K45" s="283"/>
      <c r="L45" s="283"/>
      <c r="M45" s="380">
        <f t="shared" si="10"/>
        <v>5152</v>
      </c>
      <c r="N45" s="336"/>
      <c r="O45" s="331"/>
      <c r="P45" s="331"/>
      <c r="Q45" s="331"/>
      <c r="R45" s="331"/>
      <c r="S45" s="336">
        <v>3200</v>
      </c>
      <c r="T45" s="331"/>
      <c r="U45" s="331">
        <v>1952</v>
      </c>
      <c r="V45" s="331"/>
      <c r="W45" s="331"/>
      <c r="X45" s="331"/>
      <c r="Y45" s="332"/>
      <c r="Z45" s="338">
        <f t="shared" si="11"/>
        <v>5152</v>
      </c>
    </row>
    <row r="46" spans="2:26" ht="38.25">
      <c r="B46" s="377" t="s">
        <v>327</v>
      </c>
      <c r="C46" s="278">
        <v>31688</v>
      </c>
      <c r="D46" s="278">
        <v>9049</v>
      </c>
      <c r="E46" s="278">
        <f>33070+13950+898</f>
        <v>47918</v>
      </c>
      <c r="F46" s="283">
        <f t="shared" si="9"/>
        <v>88655</v>
      </c>
      <c r="G46" s="283"/>
      <c r="H46" s="283"/>
      <c r="I46" s="283"/>
      <c r="J46" s="283">
        <f>291+206</f>
        <v>497</v>
      </c>
      <c r="K46" s="283"/>
      <c r="L46" s="283"/>
      <c r="M46" s="380">
        <f t="shared" si="10"/>
        <v>89152</v>
      </c>
      <c r="N46" s="336">
        <f>2163+39</f>
        <v>2202</v>
      </c>
      <c r="O46" s="331"/>
      <c r="P46" s="331">
        <v>1294</v>
      </c>
      <c r="Q46" s="331"/>
      <c r="R46" s="331">
        <v>3133</v>
      </c>
      <c r="S46" s="372">
        <f>19955+12986</f>
        <v>32941</v>
      </c>
      <c r="T46" s="331"/>
      <c r="U46" s="331">
        <f>62568-2822-12986</f>
        <v>46760</v>
      </c>
      <c r="V46" s="331"/>
      <c r="W46" s="331"/>
      <c r="X46" s="331"/>
      <c r="Y46" s="332">
        <v>2822</v>
      </c>
      <c r="Z46" s="338">
        <f t="shared" si="11"/>
        <v>89152</v>
      </c>
    </row>
    <row r="47" spans="2:26" ht="12.75">
      <c r="B47" s="379" t="s">
        <v>328</v>
      </c>
      <c r="C47" s="280"/>
      <c r="D47" s="280"/>
      <c r="E47" s="278">
        <v>43236</v>
      </c>
      <c r="F47" s="283">
        <f t="shared" si="9"/>
        <v>43236</v>
      </c>
      <c r="G47" s="283"/>
      <c r="H47" s="283"/>
      <c r="I47" s="283"/>
      <c r="J47" s="283"/>
      <c r="K47" s="283"/>
      <c r="L47" s="283"/>
      <c r="M47" s="380">
        <f t="shared" si="10"/>
        <v>43236</v>
      </c>
      <c r="N47" s="336"/>
      <c r="O47" s="331"/>
      <c r="P47" s="331"/>
      <c r="Q47" s="331"/>
      <c r="R47" s="331"/>
      <c r="S47" s="372">
        <v>19625</v>
      </c>
      <c r="T47" s="331"/>
      <c r="U47" s="331">
        <f>23611-10</f>
        <v>23601</v>
      </c>
      <c r="V47" s="331"/>
      <c r="W47" s="331"/>
      <c r="X47" s="331"/>
      <c r="Y47" s="332">
        <v>10</v>
      </c>
      <c r="Z47" s="338">
        <f t="shared" si="11"/>
        <v>43236</v>
      </c>
    </row>
    <row r="48" spans="2:26" ht="38.25">
      <c r="B48" s="377" t="s">
        <v>329</v>
      </c>
      <c r="C48" s="278"/>
      <c r="D48" s="278"/>
      <c r="E48" s="278">
        <f>1610+851</f>
        <v>2461</v>
      </c>
      <c r="F48" s="283">
        <f t="shared" si="9"/>
        <v>2461</v>
      </c>
      <c r="G48" s="283"/>
      <c r="H48" s="283"/>
      <c r="I48" s="283"/>
      <c r="J48" s="283"/>
      <c r="K48" s="283"/>
      <c r="L48" s="283"/>
      <c r="M48" s="380">
        <f t="shared" si="10"/>
        <v>2461</v>
      </c>
      <c r="N48" s="383">
        <v>2471</v>
      </c>
      <c r="O48" s="331"/>
      <c r="P48" s="331"/>
      <c r="Q48" s="331"/>
      <c r="R48" s="331"/>
      <c r="S48" s="336"/>
      <c r="T48" s="331"/>
      <c r="U48" s="331"/>
      <c r="V48" s="331"/>
      <c r="W48" s="331"/>
      <c r="X48" s="331"/>
      <c r="Y48" s="332">
        <v>-10</v>
      </c>
      <c r="Z48" s="338">
        <f t="shared" si="11"/>
        <v>2461</v>
      </c>
    </row>
    <row r="49" spans="2:26" ht="38.25">
      <c r="B49" s="377" t="s">
        <v>330</v>
      </c>
      <c r="C49" s="278">
        <v>2910</v>
      </c>
      <c r="D49" s="278">
        <v>786</v>
      </c>
      <c r="E49" s="278">
        <v>7697</v>
      </c>
      <c r="F49" s="283">
        <f t="shared" si="9"/>
        <v>11393</v>
      </c>
      <c r="G49" s="283"/>
      <c r="H49" s="283"/>
      <c r="I49" s="283"/>
      <c r="J49" s="283"/>
      <c r="K49" s="283"/>
      <c r="L49" s="283"/>
      <c r="M49" s="380">
        <f t="shared" si="10"/>
        <v>11393</v>
      </c>
      <c r="N49" s="336"/>
      <c r="O49" s="331"/>
      <c r="P49" s="331"/>
      <c r="Q49" s="331"/>
      <c r="R49" s="331"/>
      <c r="S49" s="336"/>
      <c r="T49" s="331"/>
      <c r="U49" s="331">
        <v>11393</v>
      </c>
      <c r="V49" s="331"/>
      <c r="W49" s="331"/>
      <c r="X49" s="331"/>
      <c r="Y49" s="332"/>
      <c r="Z49" s="338">
        <f t="shared" si="11"/>
        <v>11393</v>
      </c>
    </row>
    <row r="50" spans="2:26" ht="26.25" thickBot="1">
      <c r="B50" s="377" t="s">
        <v>331</v>
      </c>
      <c r="C50" s="280"/>
      <c r="D50" s="280"/>
      <c r="E50" s="278"/>
      <c r="F50" s="283">
        <f t="shared" si="9"/>
        <v>0</v>
      </c>
      <c r="G50" s="283"/>
      <c r="H50" s="283"/>
      <c r="I50" s="283"/>
      <c r="J50" s="283"/>
      <c r="K50" s="283"/>
      <c r="L50" s="283"/>
      <c r="M50" s="380">
        <f t="shared" si="10"/>
        <v>0</v>
      </c>
      <c r="N50" s="336">
        <v>273</v>
      </c>
      <c r="O50" s="331"/>
      <c r="P50" s="331"/>
      <c r="Q50" s="331"/>
      <c r="R50" s="331"/>
      <c r="S50" s="372">
        <v>2308</v>
      </c>
      <c r="T50" s="331"/>
      <c r="U50" s="331"/>
      <c r="V50" s="331"/>
      <c r="W50" s="331"/>
      <c r="X50" s="331"/>
      <c r="Y50" s="332">
        <v>-2581</v>
      </c>
      <c r="Z50" s="338">
        <f t="shared" si="11"/>
        <v>0</v>
      </c>
    </row>
    <row r="51" spans="2:26" ht="13.5" thickBot="1">
      <c r="B51" s="384" t="s">
        <v>319</v>
      </c>
      <c r="C51" s="385">
        <f aca="true" t="shared" si="12" ref="C51:N51">SUM(C39:C50)</f>
        <v>48795</v>
      </c>
      <c r="D51" s="385">
        <f t="shared" si="12"/>
        <v>13204</v>
      </c>
      <c r="E51" s="385">
        <f t="shared" si="12"/>
        <v>178972</v>
      </c>
      <c r="F51" s="385">
        <f t="shared" si="12"/>
        <v>240971</v>
      </c>
      <c r="G51" s="385">
        <f t="shared" si="12"/>
        <v>0</v>
      </c>
      <c r="H51" s="385">
        <f t="shared" si="12"/>
        <v>0</v>
      </c>
      <c r="I51" s="385">
        <f t="shared" si="12"/>
        <v>0</v>
      </c>
      <c r="J51" s="385">
        <f>SUM(J39:J50)</f>
        <v>497</v>
      </c>
      <c r="K51" s="385">
        <f>SUM(K39:K50)</f>
        <v>0</v>
      </c>
      <c r="L51" s="385">
        <f t="shared" si="12"/>
        <v>0</v>
      </c>
      <c r="M51" s="386">
        <f t="shared" si="12"/>
        <v>241468</v>
      </c>
      <c r="N51" s="387">
        <f t="shared" si="12"/>
        <v>94225</v>
      </c>
      <c r="O51" s="385">
        <f aca="true" t="shared" si="13" ref="O51:Z51">SUM(O39:O50)</f>
        <v>0</v>
      </c>
      <c r="P51" s="385">
        <f t="shared" si="13"/>
        <v>1294</v>
      </c>
      <c r="Q51" s="385">
        <f t="shared" si="13"/>
        <v>0</v>
      </c>
      <c r="R51" s="385">
        <f t="shared" si="13"/>
        <v>3383</v>
      </c>
      <c r="S51" s="387">
        <f t="shared" si="13"/>
        <v>58860</v>
      </c>
      <c r="T51" s="385">
        <f t="shared" si="13"/>
        <v>0</v>
      </c>
      <c r="U51" s="385">
        <f t="shared" si="13"/>
        <v>83706</v>
      </c>
      <c r="V51" s="385">
        <f t="shared" si="13"/>
        <v>0</v>
      </c>
      <c r="W51" s="385">
        <f t="shared" si="13"/>
        <v>0</v>
      </c>
      <c r="X51" s="385">
        <f t="shared" si="13"/>
        <v>0</v>
      </c>
      <c r="Y51" s="385">
        <f t="shared" si="13"/>
        <v>0</v>
      </c>
      <c r="Z51" s="388">
        <f t="shared" si="13"/>
        <v>241468</v>
      </c>
    </row>
    <row r="52" spans="2:26" ht="13.5" hidden="1" thickBot="1">
      <c r="B52" s="281"/>
      <c r="C52" s="281">
        <f>+4_mell!D7</f>
        <v>48795</v>
      </c>
      <c r="D52" s="281">
        <f>+4_mell!E7</f>
        <v>13204</v>
      </c>
      <c r="E52" s="276">
        <f>+4_mell!F7</f>
        <v>178972</v>
      </c>
      <c r="F52" s="281">
        <f>SUM(C51:E51)</f>
        <v>240971</v>
      </c>
      <c r="G52" s="281"/>
      <c r="H52" s="281"/>
      <c r="I52" s="281"/>
      <c r="J52" s="281">
        <f>+4_mell!M7</f>
        <v>497</v>
      </c>
      <c r="K52" s="281"/>
      <c r="L52" s="281"/>
      <c r="M52" s="281">
        <f>+4_mell!Q7</f>
        <v>241468</v>
      </c>
      <c r="N52" s="273">
        <f>+3_mell!D7</f>
        <v>94146</v>
      </c>
      <c r="P52" s="273">
        <f>+3_mell!E7</f>
        <v>1294</v>
      </c>
      <c r="R52" s="273">
        <f>+3_mell!I7+3_mell!J7</f>
        <v>3383</v>
      </c>
      <c r="U52" s="279"/>
      <c r="Z52" s="483">
        <f>+3_mell!O7</f>
        <v>241468</v>
      </c>
    </row>
    <row r="53" spans="2:13" ht="13.5" hidden="1" thickBot="1">
      <c r="B53" s="281"/>
      <c r="C53" s="281"/>
      <c r="D53" s="281"/>
      <c r="E53" s="276">
        <f>+E52-E51</f>
        <v>0</v>
      </c>
      <c r="F53" s="281">
        <f>+4_mell!G7</f>
        <v>240971</v>
      </c>
      <c r="G53" s="281"/>
      <c r="H53" s="281"/>
      <c r="I53" s="281"/>
      <c r="J53" s="281"/>
      <c r="K53" s="281"/>
      <c r="L53" s="281"/>
      <c r="M53" s="281"/>
    </row>
    <row r="54" spans="2:26" ht="13.5" thickBot="1">
      <c r="B54" s="328" t="s">
        <v>366</v>
      </c>
      <c r="C54" s="853" t="s">
        <v>225</v>
      </c>
      <c r="D54" s="851"/>
      <c r="E54" s="851"/>
      <c r="F54" s="851"/>
      <c r="G54" s="851"/>
      <c r="H54" s="851"/>
      <c r="I54" s="851"/>
      <c r="J54" s="851"/>
      <c r="K54" s="851"/>
      <c r="L54" s="851"/>
      <c r="M54" s="852"/>
      <c r="N54" s="851" t="s">
        <v>367</v>
      </c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2"/>
    </row>
    <row r="55" spans="2:26" ht="13.5" thickBot="1">
      <c r="B55" s="345"/>
      <c r="C55" s="490"/>
      <c r="D55" s="491"/>
      <c r="E55" s="491"/>
      <c r="F55" s="491"/>
      <c r="G55" s="491"/>
      <c r="H55" s="491"/>
      <c r="I55" s="491"/>
      <c r="J55" s="491"/>
      <c r="K55" s="491"/>
      <c r="L55" s="491"/>
      <c r="M55" s="492"/>
      <c r="N55" s="491"/>
      <c r="O55" s="491"/>
      <c r="P55" s="493"/>
      <c r="Q55" s="493"/>
      <c r="R55" s="494"/>
      <c r="S55" s="857" t="s">
        <v>351</v>
      </c>
      <c r="T55" s="858"/>
      <c r="U55" s="858"/>
      <c r="V55" s="858"/>
      <c r="W55" s="858"/>
      <c r="X55" s="858"/>
      <c r="Y55" s="859"/>
      <c r="Z55" s="363"/>
    </row>
    <row r="56" spans="2:26" s="317" customFormat="1" ht="77.25" thickBot="1">
      <c r="B56" s="497" t="s">
        <v>74</v>
      </c>
      <c r="C56" s="369" t="s">
        <v>58</v>
      </c>
      <c r="D56" s="357" t="s">
        <v>302</v>
      </c>
      <c r="E56" s="357" t="s">
        <v>303</v>
      </c>
      <c r="F56" s="357" t="s">
        <v>63</v>
      </c>
      <c r="G56" s="358" t="s">
        <v>346</v>
      </c>
      <c r="H56" s="358" t="s">
        <v>347</v>
      </c>
      <c r="I56" s="358" t="s">
        <v>64</v>
      </c>
      <c r="J56" s="358" t="s">
        <v>7</v>
      </c>
      <c r="K56" s="358" t="s">
        <v>545</v>
      </c>
      <c r="L56" s="358" t="s">
        <v>348</v>
      </c>
      <c r="M56" s="498" t="s">
        <v>349</v>
      </c>
      <c r="N56" s="357" t="s">
        <v>318</v>
      </c>
      <c r="O56" s="357" t="s">
        <v>317</v>
      </c>
      <c r="P56" s="357" t="s">
        <v>6</v>
      </c>
      <c r="Q56" s="358" t="s">
        <v>544</v>
      </c>
      <c r="R56" s="360" t="s">
        <v>316</v>
      </c>
      <c r="S56" s="369" t="s">
        <v>332</v>
      </c>
      <c r="T56" s="361" t="s">
        <v>359</v>
      </c>
      <c r="U56" s="361" t="s">
        <v>360</v>
      </c>
      <c r="V56" s="362" t="s">
        <v>361</v>
      </c>
      <c r="W56" s="361" t="s">
        <v>363</v>
      </c>
      <c r="X56" s="362" t="s">
        <v>364</v>
      </c>
      <c r="Y56" s="370" t="s">
        <v>362</v>
      </c>
      <c r="Z56" s="356" t="s">
        <v>365</v>
      </c>
    </row>
    <row r="57" spans="2:26" ht="12.75">
      <c r="B57" s="404"/>
      <c r="C57" s="396"/>
      <c r="D57" s="397"/>
      <c r="E57" s="282"/>
      <c r="F57" s="397"/>
      <c r="G57" s="397"/>
      <c r="H57" s="397"/>
      <c r="I57" s="397"/>
      <c r="J57" s="397"/>
      <c r="K57" s="397"/>
      <c r="L57" s="397"/>
      <c r="M57" s="495"/>
      <c r="N57" s="331"/>
      <c r="O57" s="331"/>
      <c r="P57" s="331"/>
      <c r="Q57" s="331"/>
      <c r="R57" s="331"/>
      <c r="S57" s="336"/>
      <c r="T57" s="331"/>
      <c r="U57" s="331"/>
      <c r="V57" s="331"/>
      <c r="W57" s="331"/>
      <c r="X57" s="331"/>
      <c r="Y57" s="496"/>
      <c r="Z57" s="410"/>
    </row>
    <row r="58" spans="2:26" ht="12.75">
      <c r="B58" s="347"/>
      <c r="C58" s="371"/>
      <c r="D58" s="319"/>
      <c r="E58" s="319"/>
      <c r="F58" s="319"/>
      <c r="G58" s="322"/>
      <c r="H58" s="322"/>
      <c r="I58" s="322"/>
      <c r="J58" s="322"/>
      <c r="K58" s="322"/>
      <c r="L58" s="322"/>
      <c r="M58" s="406"/>
      <c r="N58" s="319"/>
      <c r="O58" s="319"/>
      <c r="P58" s="319"/>
      <c r="Q58" s="319"/>
      <c r="R58" s="333"/>
      <c r="S58" s="371"/>
      <c r="T58" s="334"/>
      <c r="U58" s="334"/>
      <c r="V58" s="334"/>
      <c r="W58" s="334"/>
      <c r="X58" s="334"/>
      <c r="Y58" s="381"/>
      <c r="Z58" s="410"/>
    </row>
    <row r="59" spans="2:26" ht="25.5">
      <c r="B59" s="377" t="s">
        <v>342</v>
      </c>
      <c r="C59" s="407">
        <v>98223</v>
      </c>
      <c r="D59" s="282">
        <v>25336</v>
      </c>
      <c r="E59" s="282">
        <v>31585</v>
      </c>
      <c r="F59" s="282">
        <f>SUM(C59:E59)</f>
        <v>155144</v>
      </c>
      <c r="G59" s="282"/>
      <c r="H59" s="282"/>
      <c r="I59" s="282"/>
      <c r="J59" s="282">
        <f>1000+1000+267+72+540</f>
        <v>2879</v>
      </c>
      <c r="K59" s="282"/>
      <c r="L59" s="282"/>
      <c r="M59" s="408">
        <f>SUM(F59:L59)</f>
        <v>158023</v>
      </c>
      <c r="N59" s="282">
        <v>2751</v>
      </c>
      <c r="O59" s="331"/>
      <c r="P59" s="331">
        <v>814</v>
      </c>
      <c r="Q59" s="331"/>
      <c r="R59" s="337">
        <v>969</v>
      </c>
      <c r="S59" s="372">
        <f>86002+62061</f>
        <v>148063</v>
      </c>
      <c r="T59" s="337">
        <v>2879</v>
      </c>
      <c r="U59" s="337"/>
      <c r="V59" s="337"/>
      <c r="W59" s="331"/>
      <c r="X59" s="331">
        <v>144</v>
      </c>
      <c r="Y59" s="413">
        <v>2403</v>
      </c>
      <c r="Z59" s="411">
        <f>SUM(N59:Y59)</f>
        <v>158023</v>
      </c>
    </row>
    <row r="60" spans="2:26" ht="12.75">
      <c r="B60" s="377" t="s">
        <v>485</v>
      </c>
      <c r="C60" s="407">
        <v>16035</v>
      </c>
      <c r="D60" s="282">
        <v>3990</v>
      </c>
      <c r="E60" s="282">
        <v>11161</v>
      </c>
      <c r="F60" s="282">
        <f>SUM(C60:E60)</f>
        <v>31186</v>
      </c>
      <c r="G60" s="282"/>
      <c r="H60" s="282"/>
      <c r="I60" s="282"/>
      <c r="J60" s="282"/>
      <c r="K60" s="282"/>
      <c r="L60" s="282"/>
      <c r="M60" s="408">
        <f>SUM(F60:L60)</f>
        <v>31186</v>
      </c>
      <c r="N60" s="282">
        <v>6</v>
      </c>
      <c r="O60" s="331"/>
      <c r="P60" s="331">
        <v>5796</v>
      </c>
      <c r="Q60" s="331"/>
      <c r="R60" s="337">
        <v>27787</v>
      </c>
      <c r="S60" s="372"/>
      <c r="T60" s="337"/>
      <c r="U60" s="337"/>
      <c r="V60" s="337"/>
      <c r="W60" s="331"/>
      <c r="X60" s="331"/>
      <c r="Y60" s="413">
        <v>-2403</v>
      </c>
      <c r="Z60" s="411">
        <f>SUM(N60:Y60)</f>
        <v>31186</v>
      </c>
    </row>
    <row r="61" spans="2:26" ht="12.75">
      <c r="B61" s="377" t="s">
        <v>353</v>
      </c>
      <c r="C61" s="407"/>
      <c r="D61" s="282"/>
      <c r="E61" s="282"/>
      <c r="F61" s="282">
        <f>SUM(C61:E61)</f>
        <v>0</v>
      </c>
      <c r="G61" s="282"/>
      <c r="H61" s="282"/>
      <c r="I61" s="282">
        <f>+6_mell!I39</f>
        <v>154481</v>
      </c>
      <c r="J61" s="282"/>
      <c r="K61" s="282"/>
      <c r="L61" s="282"/>
      <c r="M61" s="408">
        <f>SUM(F61:L61)</f>
        <v>154481</v>
      </c>
      <c r="N61" s="282"/>
      <c r="O61" s="331"/>
      <c r="P61" s="331"/>
      <c r="Q61" s="331"/>
      <c r="R61" s="337"/>
      <c r="S61" s="372">
        <v>154481</v>
      </c>
      <c r="T61" s="337"/>
      <c r="U61" s="337"/>
      <c r="V61" s="337"/>
      <c r="W61" s="331"/>
      <c r="X61" s="331"/>
      <c r="Y61" s="332"/>
      <c r="Z61" s="411">
        <f>SUM(N61:Y61)</f>
        <v>154481</v>
      </c>
    </row>
    <row r="62" spans="2:26" s="318" customFormat="1" ht="12.75">
      <c r="B62" s="404" t="s">
        <v>350</v>
      </c>
      <c r="C62" s="409">
        <f>SUM(C59:C61)</f>
        <v>114258</v>
      </c>
      <c r="D62" s="399">
        <f aca="true" t="shared" si="14" ref="D62:M62">SUM(D59:D61)</f>
        <v>29326</v>
      </c>
      <c r="E62" s="399">
        <f t="shared" si="14"/>
        <v>42746</v>
      </c>
      <c r="F62" s="399">
        <f t="shared" si="14"/>
        <v>186330</v>
      </c>
      <c r="G62" s="399">
        <f t="shared" si="14"/>
        <v>0</v>
      </c>
      <c r="H62" s="399">
        <f t="shared" si="14"/>
        <v>0</v>
      </c>
      <c r="I62" s="399">
        <f t="shared" si="14"/>
        <v>154481</v>
      </c>
      <c r="J62" s="399">
        <f t="shared" si="14"/>
        <v>2879</v>
      </c>
      <c r="K62" s="399"/>
      <c r="L62" s="399">
        <f t="shared" si="14"/>
        <v>0</v>
      </c>
      <c r="M62" s="400">
        <f t="shared" si="14"/>
        <v>343690</v>
      </c>
      <c r="N62" s="399">
        <f>SUM(N59:N61)</f>
        <v>2757</v>
      </c>
      <c r="O62" s="399">
        <f aca="true" t="shared" si="15" ref="O62:Z62">SUM(O59:O61)</f>
        <v>0</v>
      </c>
      <c r="P62" s="399">
        <f t="shared" si="15"/>
        <v>6610</v>
      </c>
      <c r="Q62" s="399">
        <f t="shared" si="15"/>
        <v>0</v>
      </c>
      <c r="R62" s="399">
        <f t="shared" si="15"/>
        <v>28756</v>
      </c>
      <c r="S62" s="409">
        <f t="shared" si="15"/>
        <v>302544</v>
      </c>
      <c r="T62" s="399">
        <f t="shared" si="15"/>
        <v>2879</v>
      </c>
      <c r="U62" s="399">
        <f t="shared" si="15"/>
        <v>0</v>
      </c>
      <c r="V62" s="399">
        <f t="shared" si="15"/>
        <v>0</v>
      </c>
      <c r="W62" s="399">
        <f t="shared" si="15"/>
        <v>0</v>
      </c>
      <c r="X62" s="399">
        <f t="shared" si="15"/>
        <v>144</v>
      </c>
      <c r="Y62" s="400">
        <f t="shared" si="15"/>
        <v>0</v>
      </c>
      <c r="Z62" s="412">
        <f t="shared" si="15"/>
        <v>343690</v>
      </c>
    </row>
    <row r="63" spans="2:26" s="318" customFormat="1" ht="12.75">
      <c r="B63" s="404"/>
      <c r="C63" s="409"/>
      <c r="D63" s="399"/>
      <c r="E63" s="399"/>
      <c r="F63" s="399"/>
      <c r="G63" s="399"/>
      <c r="H63" s="399"/>
      <c r="I63" s="399"/>
      <c r="J63" s="399"/>
      <c r="K63" s="399"/>
      <c r="L63" s="399"/>
      <c r="M63" s="400"/>
      <c r="N63" s="399"/>
      <c r="O63" s="399"/>
      <c r="P63" s="399"/>
      <c r="Q63" s="399"/>
      <c r="R63" s="399"/>
      <c r="S63" s="409"/>
      <c r="T63" s="399"/>
      <c r="U63" s="399"/>
      <c r="V63" s="399"/>
      <c r="W63" s="399"/>
      <c r="X63" s="399"/>
      <c r="Y63" s="400"/>
      <c r="Z63" s="364"/>
    </row>
    <row r="64" spans="2:26" ht="25.5">
      <c r="B64" s="403" t="s">
        <v>41</v>
      </c>
      <c r="C64" s="371"/>
      <c r="D64" s="319"/>
      <c r="E64" s="319"/>
      <c r="F64" s="319"/>
      <c r="G64" s="322"/>
      <c r="H64" s="322"/>
      <c r="I64" s="322"/>
      <c r="J64" s="322"/>
      <c r="K64" s="322"/>
      <c r="L64" s="322"/>
      <c r="M64" s="406"/>
      <c r="N64" s="319"/>
      <c r="O64" s="319"/>
      <c r="P64" s="319"/>
      <c r="Q64" s="319"/>
      <c r="R64" s="333"/>
      <c r="S64" s="371"/>
      <c r="T64" s="334"/>
      <c r="U64" s="334"/>
      <c r="V64" s="334"/>
      <c r="W64" s="334"/>
      <c r="X64" s="334"/>
      <c r="Y64" s="381"/>
      <c r="Z64" s="410"/>
    </row>
    <row r="65" spans="2:26" ht="25.5">
      <c r="B65" s="405" t="s">
        <v>41</v>
      </c>
      <c r="C65" s="336">
        <v>2253</v>
      </c>
      <c r="D65" s="331">
        <v>607</v>
      </c>
      <c r="E65" s="331">
        <v>80760</v>
      </c>
      <c r="F65" s="402">
        <f>SUM(C65:E65)</f>
        <v>83620</v>
      </c>
      <c r="G65" s="284">
        <f>15287+25276</f>
        <v>40563</v>
      </c>
      <c r="H65" s="284">
        <v>3000</v>
      </c>
      <c r="I65" s="284"/>
      <c r="J65" s="284">
        <f>6686+17881+7412</f>
        <v>31979</v>
      </c>
      <c r="K65" s="284">
        <v>400</v>
      </c>
      <c r="L65" s="284"/>
      <c r="M65" s="398">
        <f>SUM(F65:L65)</f>
        <v>159562</v>
      </c>
      <c r="N65" s="331">
        <v>16332</v>
      </c>
      <c r="O65" s="331"/>
      <c r="P65" s="331">
        <v>35004</v>
      </c>
      <c r="Q65" s="331">
        <v>9201</v>
      </c>
      <c r="R65" s="331">
        <f>8831+2940</f>
        <v>11771</v>
      </c>
      <c r="S65" s="372">
        <f>+6_mell!F20+6_mell!F27+5_mell!C8+10609+8000+7101</f>
        <v>43538</v>
      </c>
      <c r="T65" s="337">
        <f>7922+772+33272+9+4836-14915</f>
        <v>31896</v>
      </c>
      <c r="U65" s="337"/>
      <c r="V65" s="337">
        <v>1902</v>
      </c>
      <c r="W65" s="331">
        <f>2816+7101</f>
        <v>9917</v>
      </c>
      <c r="X65" s="331"/>
      <c r="Y65" s="332">
        <v>1</v>
      </c>
      <c r="Z65" s="411">
        <f>SUM(N65:Y65)</f>
        <v>159562</v>
      </c>
    </row>
    <row r="66" spans="2:26" ht="12.75">
      <c r="B66" s="347" t="s">
        <v>343</v>
      </c>
      <c r="C66" s="336">
        <v>1468</v>
      </c>
      <c r="D66" s="331">
        <v>397</v>
      </c>
      <c r="E66" s="331">
        <v>2475</v>
      </c>
      <c r="F66" s="402">
        <f aca="true" t="shared" si="16" ref="F66:F75">SUM(C66:E66)</f>
        <v>4340</v>
      </c>
      <c r="G66" s="402"/>
      <c r="H66" s="402"/>
      <c r="I66" s="402"/>
      <c r="J66" s="402"/>
      <c r="K66" s="402"/>
      <c r="L66" s="402"/>
      <c r="M66" s="398">
        <f aca="true" t="shared" si="17" ref="M66:M76">SUM(F66:L66)</f>
        <v>4340</v>
      </c>
      <c r="N66" s="331">
        <v>3</v>
      </c>
      <c r="O66" s="331"/>
      <c r="P66" s="331"/>
      <c r="Q66" s="331"/>
      <c r="R66" s="337">
        <f>750+4825</f>
        <v>5575</v>
      </c>
      <c r="S66" s="336"/>
      <c r="T66" s="331"/>
      <c r="U66" s="331"/>
      <c r="V66" s="331"/>
      <c r="W66" s="331"/>
      <c r="X66" s="331"/>
      <c r="Y66" s="332">
        <v>-1238</v>
      </c>
      <c r="Z66" s="411">
        <f>SUM(N66:Y66)</f>
        <v>4340</v>
      </c>
    </row>
    <row r="67" spans="2:26" ht="25.5">
      <c r="B67" s="405" t="s">
        <v>344</v>
      </c>
      <c r="C67" s="336"/>
      <c r="D67" s="331"/>
      <c r="E67" s="331">
        <v>858</v>
      </c>
      <c r="F67" s="402">
        <f t="shared" si="16"/>
        <v>858</v>
      </c>
      <c r="G67" s="402"/>
      <c r="H67" s="402"/>
      <c r="I67" s="402"/>
      <c r="J67" s="402"/>
      <c r="K67" s="402"/>
      <c r="L67" s="402"/>
      <c r="M67" s="398">
        <f t="shared" si="17"/>
        <v>858</v>
      </c>
      <c r="N67" s="331"/>
      <c r="O67" s="331"/>
      <c r="P67" s="331"/>
      <c r="Q67" s="331"/>
      <c r="R67" s="331"/>
      <c r="S67" s="336"/>
      <c r="T67" s="331"/>
      <c r="U67" s="331"/>
      <c r="V67" s="331"/>
      <c r="W67" s="331"/>
      <c r="X67" s="331"/>
      <c r="Y67" s="332">
        <v>858</v>
      </c>
      <c r="Z67" s="411">
        <f>SUM(N67:Y67)</f>
        <v>858</v>
      </c>
    </row>
    <row r="68" spans="2:26" ht="25.5">
      <c r="B68" s="405" t="s">
        <v>546</v>
      </c>
      <c r="C68" s="336"/>
      <c r="D68" s="331"/>
      <c r="E68" s="331">
        <v>12527</v>
      </c>
      <c r="F68" s="402">
        <f t="shared" si="16"/>
        <v>12527</v>
      </c>
      <c r="G68" s="402"/>
      <c r="H68" s="402"/>
      <c r="I68" s="402"/>
      <c r="J68" s="402"/>
      <c r="K68" s="402"/>
      <c r="L68" s="402"/>
      <c r="M68" s="398">
        <f t="shared" si="17"/>
        <v>12527</v>
      </c>
      <c r="N68" s="331">
        <f>226+646</f>
        <v>872</v>
      </c>
      <c r="O68" s="331"/>
      <c r="P68" s="331"/>
      <c r="Q68" s="331"/>
      <c r="R68" s="331"/>
      <c r="S68" s="336">
        <v>10802</v>
      </c>
      <c r="T68" s="331"/>
      <c r="U68" s="331"/>
      <c r="V68" s="331"/>
      <c r="W68" s="331"/>
      <c r="X68" s="331"/>
      <c r="Y68" s="332">
        <v>853</v>
      </c>
      <c r="Z68" s="411">
        <f aca="true" t="shared" si="18" ref="Z68:Z74">SUM(N68:Y68)</f>
        <v>12527</v>
      </c>
    </row>
    <row r="69" spans="2:26" ht="12.75">
      <c r="B69" s="405" t="s">
        <v>547</v>
      </c>
      <c r="C69" s="336"/>
      <c r="D69" s="331"/>
      <c r="E69" s="331"/>
      <c r="F69" s="402">
        <f t="shared" si="16"/>
        <v>0</v>
      </c>
      <c r="G69" s="402"/>
      <c r="H69" s="402"/>
      <c r="I69" s="402"/>
      <c r="J69" s="402">
        <v>18870</v>
      </c>
      <c r="K69" s="402"/>
      <c r="L69" s="402"/>
      <c r="M69" s="398">
        <f t="shared" si="17"/>
        <v>18870</v>
      </c>
      <c r="N69" s="331">
        <v>5</v>
      </c>
      <c r="O69" s="331"/>
      <c r="P69" s="331"/>
      <c r="Q69" s="331">
        <v>18870</v>
      </c>
      <c r="R69" s="331"/>
      <c r="S69" s="336"/>
      <c r="T69" s="331"/>
      <c r="U69" s="331"/>
      <c r="V69" s="331"/>
      <c r="W69" s="331"/>
      <c r="X69" s="331"/>
      <c r="Y69" s="332">
        <v>-5</v>
      </c>
      <c r="Z69" s="411">
        <f t="shared" si="18"/>
        <v>18870</v>
      </c>
    </row>
    <row r="70" spans="2:26" ht="12.75">
      <c r="B70" s="405" t="s">
        <v>548</v>
      </c>
      <c r="C70" s="336"/>
      <c r="D70" s="331"/>
      <c r="E70" s="331"/>
      <c r="F70" s="402">
        <f t="shared" si="16"/>
        <v>0</v>
      </c>
      <c r="G70" s="402"/>
      <c r="H70" s="402"/>
      <c r="I70" s="402"/>
      <c r="J70" s="402"/>
      <c r="K70" s="402"/>
      <c r="L70" s="402">
        <v>25458</v>
      </c>
      <c r="M70" s="398">
        <f t="shared" si="17"/>
        <v>25458</v>
      </c>
      <c r="N70" s="331"/>
      <c r="O70" s="331"/>
      <c r="P70" s="331"/>
      <c r="Q70" s="331"/>
      <c r="R70" s="331"/>
      <c r="S70" s="336">
        <v>13422</v>
      </c>
      <c r="T70" s="331">
        <v>12036</v>
      </c>
      <c r="U70" s="331"/>
      <c r="V70" s="331"/>
      <c r="W70" s="331"/>
      <c r="X70" s="331"/>
      <c r="Y70" s="332"/>
      <c r="Z70" s="411">
        <f t="shared" si="18"/>
        <v>25458</v>
      </c>
    </row>
    <row r="71" spans="2:26" ht="12.75">
      <c r="B71" s="405" t="s">
        <v>485</v>
      </c>
      <c r="C71" s="336"/>
      <c r="D71" s="331"/>
      <c r="E71" s="331">
        <v>12925</v>
      </c>
      <c r="F71" s="402">
        <f t="shared" si="16"/>
        <v>12925</v>
      </c>
      <c r="G71" s="402">
        <v>323</v>
      </c>
      <c r="H71" s="402"/>
      <c r="I71" s="402"/>
      <c r="J71" s="402"/>
      <c r="K71" s="402"/>
      <c r="L71" s="402"/>
      <c r="M71" s="398">
        <f t="shared" si="17"/>
        <v>13248</v>
      </c>
      <c r="N71" s="331">
        <v>69</v>
      </c>
      <c r="O71" s="331"/>
      <c r="P71" s="331">
        <v>350</v>
      </c>
      <c r="Q71" s="331"/>
      <c r="R71" s="331"/>
      <c r="S71" s="336">
        <v>12829</v>
      </c>
      <c r="T71" s="331"/>
      <c r="U71" s="331"/>
      <c r="V71" s="331"/>
      <c r="W71" s="331"/>
      <c r="X71" s="331"/>
      <c r="Y71" s="332"/>
      <c r="Z71" s="411">
        <f t="shared" si="18"/>
        <v>13248</v>
      </c>
    </row>
    <row r="72" spans="2:26" ht="12.75">
      <c r="B72" s="405" t="s">
        <v>485</v>
      </c>
      <c r="C72" s="336">
        <v>302</v>
      </c>
      <c r="D72" s="331">
        <v>82</v>
      </c>
      <c r="E72" s="331">
        <v>862</v>
      </c>
      <c r="F72" s="402">
        <f t="shared" si="16"/>
        <v>1246</v>
      </c>
      <c r="G72" s="402"/>
      <c r="H72" s="402"/>
      <c r="I72" s="402"/>
      <c r="J72" s="402"/>
      <c r="K72" s="402"/>
      <c r="L72" s="402"/>
      <c r="M72" s="398">
        <f t="shared" si="17"/>
        <v>1246</v>
      </c>
      <c r="N72" s="331">
        <v>1</v>
      </c>
      <c r="O72" s="331"/>
      <c r="P72" s="331"/>
      <c r="Q72" s="331">
        <v>862</v>
      </c>
      <c r="R72" s="331">
        <v>384</v>
      </c>
      <c r="S72" s="336"/>
      <c r="T72" s="331"/>
      <c r="U72" s="331"/>
      <c r="V72" s="331"/>
      <c r="W72" s="331"/>
      <c r="X72" s="331"/>
      <c r="Y72" s="332">
        <v>-1</v>
      </c>
      <c r="Z72" s="411">
        <f t="shared" si="18"/>
        <v>1246</v>
      </c>
    </row>
    <row r="73" spans="2:26" ht="12.75">
      <c r="B73" s="405" t="s">
        <v>485</v>
      </c>
      <c r="C73" s="336">
        <v>214</v>
      </c>
      <c r="D73" s="331">
        <v>52</v>
      </c>
      <c r="E73" s="331">
        <v>708</v>
      </c>
      <c r="F73" s="402">
        <f t="shared" si="16"/>
        <v>974</v>
      </c>
      <c r="G73" s="402">
        <v>4485</v>
      </c>
      <c r="H73" s="402"/>
      <c r="I73" s="402"/>
      <c r="J73" s="402"/>
      <c r="K73" s="402"/>
      <c r="L73" s="402"/>
      <c r="M73" s="398">
        <f t="shared" si="17"/>
        <v>5459</v>
      </c>
      <c r="N73" s="331">
        <v>1</v>
      </c>
      <c r="O73" s="331"/>
      <c r="P73" s="331">
        <v>5459</v>
      </c>
      <c r="Q73" s="331"/>
      <c r="R73" s="331"/>
      <c r="S73" s="336"/>
      <c r="T73" s="331"/>
      <c r="U73" s="331"/>
      <c r="V73" s="331"/>
      <c r="W73" s="331"/>
      <c r="X73" s="331"/>
      <c r="Y73" s="332">
        <v>-1</v>
      </c>
      <c r="Z73" s="411">
        <f t="shared" si="18"/>
        <v>5459</v>
      </c>
    </row>
    <row r="74" spans="2:26" ht="12.75">
      <c r="B74" s="405" t="s">
        <v>549</v>
      </c>
      <c r="C74" s="336"/>
      <c r="D74" s="331"/>
      <c r="E74" s="331"/>
      <c r="F74" s="402">
        <f t="shared" si="16"/>
        <v>0</v>
      </c>
      <c r="G74" s="402"/>
      <c r="H74" s="402"/>
      <c r="I74" s="284">
        <f>+4_mell!I25</f>
        <v>21481</v>
      </c>
      <c r="J74" s="402"/>
      <c r="K74" s="402"/>
      <c r="L74" s="402"/>
      <c r="M74" s="398">
        <f t="shared" si="17"/>
        <v>21481</v>
      </c>
      <c r="N74" s="331"/>
      <c r="O74" s="331"/>
      <c r="P74" s="331"/>
      <c r="Q74" s="331"/>
      <c r="R74" s="331"/>
      <c r="S74" s="336">
        <v>21481</v>
      </c>
      <c r="T74" s="331"/>
      <c r="U74" s="331"/>
      <c r="V74" s="331"/>
      <c r="W74" s="331"/>
      <c r="X74" s="331"/>
      <c r="Y74" s="332"/>
      <c r="Z74" s="411">
        <f t="shared" si="18"/>
        <v>21481</v>
      </c>
    </row>
    <row r="75" spans="2:26" ht="25.5">
      <c r="B75" s="405" t="s">
        <v>345</v>
      </c>
      <c r="C75" s="336">
        <v>209493</v>
      </c>
      <c r="D75" s="331">
        <v>28560</v>
      </c>
      <c r="E75" s="331">
        <v>45429</v>
      </c>
      <c r="F75" s="402">
        <f t="shared" si="16"/>
        <v>283482</v>
      </c>
      <c r="G75" s="402"/>
      <c r="H75" s="402"/>
      <c r="I75" s="402"/>
      <c r="J75" s="402">
        <v>8572</v>
      </c>
      <c r="K75" s="402"/>
      <c r="L75" s="402"/>
      <c r="M75" s="398">
        <f t="shared" si="17"/>
        <v>292054</v>
      </c>
      <c r="N75" s="331"/>
      <c r="O75" s="331"/>
      <c r="P75" s="331"/>
      <c r="Q75" s="331">
        <v>7710</v>
      </c>
      <c r="R75" s="331">
        <v>103151</v>
      </c>
      <c r="S75" s="336">
        <v>2528</v>
      </c>
      <c r="T75" s="331"/>
      <c r="U75" s="331"/>
      <c r="V75" s="331"/>
      <c r="W75" s="331"/>
      <c r="X75" s="331"/>
      <c r="Y75" s="332">
        <v>178665</v>
      </c>
      <c r="Z75" s="411">
        <f>SUM(N75:Y75)</f>
        <v>292054</v>
      </c>
    </row>
    <row r="76" spans="2:26" s="318" customFormat="1" ht="12.75">
      <c r="B76" s="404" t="s">
        <v>350</v>
      </c>
      <c r="C76" s="499">
        <f>SUM(C65:C75)</f>
        <v>213730</v>
      </c>
      <c r="D76" s="501">
        <f aca="true" t="shared" si="19" ref="D76:Z76">SUM(D65:D75)</f>
        <v>29698</v>
      </c>
      <c r="E76" s="501">
        <f t="shared" si="19"/>
        <v>156544</v>
      </c>
      <c r="F76" s="501">
        <f t="shared" si="19"/>
        <v>399972</v>
      </c>
      <c r="G76" s="501">
        <f t="shared" si="19"/>
        <v>45371</v>
      </c>
      <c r="H76" s="501">
        <f t="shared" si="19"/>
        <v>3000</v>
      </c>
      <c r="I76" s="501">
        <f t="shared" si="19"/>
        <v>21481</v>
      </c>
      <c r="J76" s="501">
        <f t="shared" si="19"/>
        <v>59421</v>
      </c>
      <c r="K76" s="501">
        <f t="shared" si="19"/>
        <v>400</v>
      </c>
      <c r="L76" s="501">
        <f t="shared" si="19"/>
        <v>25458</v>
      </c>
      <c r="M76" s="398">
        <f t="shared" si="17"/>
        <v>555103</v>
      </c>
      <c r="N76" s="499">
        <f>SUM(N65:N75)</f>
        <v>17283</v>
      </c>
      <c r="O76" s="501">
        <f>SUM(O65:O75)</f>
        <v>0</v>
      </c>
      <c r="P76" s="501">
        <f>SUM(P65:P75)</f>
        <v>40813</v>
      </c>
      <c r="Q76" s="501">
        <f>SUM(Q65:Q75)</f>
        <v>36643</v>
      </c>
      <c r="R76" s="502">
        <f>SUM(R65:R75)</f>
        <v>120881</v>
      </c>
      <c r="S76" s="499">
        <f t="shared" si="19"/>
        <v>104600</v>
      </c>
      <c r="T76" s="501">
        <f t="shared" si="19"/>
        <v>43932</v>
      </c>
      <c r="U76" s="501">
        <f t="shared" si="19"/>
        <v>0</v>
      </c>
      <c r="V76" s="501">
        <f t="shared" si="19"/>
        <v>1902</v>
      </c>
      <c r="W76" s="501">
        <f t="shared" si="19"/>
        <v>9917</v>
      </c>
      <c r="X76" s="501">
        <f t="shared" si="19"/>
        <v>0</v>
      </c>
      <c r="Y76" s="500">
        <f t="shared" si="19"/>
        <v>179132</v>
      </c>
      <c r="Z76" s="401">
        <f t="shared" si="19"/>
        <v>555103</v>
      </c>
    </row>
    <row r="77" spans="2:26" ht="12.75">
      <c r="B77" s="347"/>
      <c r="C77" s="336">
        <f>+4_mell!D25</f>
        <v>213730</v>
      </c>
      <c r="D77" s="331">
        <f>+4_mell!E25</f>
        <v>29698</v>
      </c>
      <c r="E77" s="331">
        <f>+4_mell!F25</f>
        <v>156544</v>
      </c>
      <c r="F77" s="402">
        <f>SUM(C77:E77)</f>
        <v>399972</v>
      </c>
      <c r="G77" s="337">
        <f>+4_mell!H25+4_mell!J25</f>
        <v>45371</v>
      </c>
      <c r="H77" s="337">
        <f>+4_mell!K25</f>
        <v>3000</v>
      </c>
      <c r="I77" s="337">
        <f>+4_mell!I25</f>
        <v>21481</v>
      </c>
      <c r="J77" s="337">
        <f>+4_mell!M25</f>
        <v>59421</v>
      </c>
      <c r="K77" s="337">
        <f>+2_mell!E33</f>
        <v>400</v>
      </c>
      <c r="L77" s="337">
        <f>+2_mell!E27</f>
        <v>25458</v>
      </c>
      <c r="M77" s="332"/>
      <c r="N77" s="331">
        <f>+3_mell!D25</f>
        <v>19185</v>
      </c>
      <c r="O77" s="331"/>
      <c r="P77" s="331">
        <f>+3_mell!E25</f>
        <v>40813</v>
      </c>
      <c r="Q77" s="331"/>
      <c r="R77" s="331"/>
      <c r="S77" s="336"/>
      <c r="T77" s="331"/>
      <c r="U77" s="331"/>
      <c r="V77" s="331"/>
      <c r="W77" s="331"/>
      <c r="X77" s="331"/>
      <c r="Y77" s="332"/>
      <c r="Z77" s="410"/>
    </row>
    <row r="78" spans="2:26" ht="13.5" thickBot="1">
      <c r="B78" s="347"/>
      <c r="C78" s="336"/>
      <c r="D78" s="331"/>
      <c r="E78" s="331"/>
      <c r="F78" s="331"/>
      <c r="G78" s="331"/>
      <c r="H78" s="331"/>
      <c r="I78" s="331"/>
      <c r="J78" s="331"/>
      <c r="K78" s="331"/>
      <c r="L78" s="331"/>
      <c r="M78" s="332"/>
      <c r="N78" s="331"/>
      <c r="O78" s="331"/>
      <c r="P78" s="331"/>
      <c r="Q78" s="331"/>
      <c r="R78" s="331"/>
      <c r="S78" s="336"/>
      <c r="T78" s="331"/>
      <c r="U78" s="331"/>
      <c r="V78" s="331"/>
      <c r="W78" s="331"/>
      <c r="X78" s="331"/>
      <c r="Y78" s="332"/>
      <c r="Z78" s="410"/>
    </row>
    <row r="79" spans="2:26" ht="13.5" thickBot="1">
      <c r="B79" s="328" t="s">
        <v>112</v>
      </c>
      <c r="C79" s="414">
        <f aca="true" t="shared" si="20" ref="C79:Y79">+C76+C62+C51+C22+C31</f>
        <v>452847</v>
      </c>
      <c r="D79" s="415">
        <f t="shared" si="20"/>
        <v>92422</v>
      </c>
      <c r="E79" s="415">
        <f t="shared" si="20"/>
        <v>444940</v>
      </c>
      <c r="F79" s="415">
        <f t="shared" si="20"/>
        <v>990209</v>
      </c>
      <c r="G79" s="415">
        <f t="shared" si="20"/>
        <v>46068</v>
      </c>
      <c r="H79" s="415">
        <f t="shared" si="20"/>
        <v>3000</v>
      </c>
      <c r="I79" s="415">
        <f t="shared" si="20"/>
        <v>175962</v>
      </c>
      <c r="J79" s="415">
        <f t="shared" si="20"/>
        <v>66544</v>
      </c>
      <c r="K79" s="415">
        <f t="shared" si="20"/>
        <v>400</v>
      </c>
      <c r="L79" s="415">
        <f t="shared" si="20"/>
        <v>25458</v>
      </c>
      <c r="M79" s="416">
        <f t="shared" si="20"/>
        <v>1307641</v>
      </c>
      <c r="N79" s="415">
        <f t="shared" si="20"/>
        <v>128587</v>
      </c>
      <c r="O79" s="415">
        <f t="shared" si="20"/>
        <v>32397</v>
      </c>
      <c r="P79" s="415">
        <f t="shared" si="20"/>
        <v>52782</v>
      </c>
      <c r="Q79" s="415">
        <f t="shared" si="20"/>
        <v>39765</v>
      </c>
      <c r="R79" s="415">
        <f t="shared" si="20"/>
        <v>164097</v>
      </c>
      <c r="S79" s="414">
        <f t="shared" si="20"/>
        <v>503180</v>
      </c>
      <c r="T79" s="415">
        <f t="shared" si="20"/>
        <v>46811</v>
      </c>
      <c r="U79" s="415">
        <f t="shared" si="20"/>
        <v>149394</v>
      </c>
      <c r="V79" s="415">
        <f t="shared" si="20"/>
        <v>1902</v>
      </c>
      <c r="W79" s="415">
        <f t="shared" si="20"/>
        <v>9917</v>
      </c>
      <c r="X79" s="415">
        <f t="shared" si="20"/>
        <v>144</v>
      </c>
      <c r="Y79" s="416">
        <f t="shared" si="20"/>
        <v>178665</v>
      </c>
      <c r="Z79" s="417">
        <f>SUM(N79:Y79)</f>
        <v>1307641</v>
      </c>
    </row>
    <row r="80" ht="12.75">
      <c r="U80" s="274"/>
    </row>
    <row r="81" ht="12.75">
      <c r="U81" s="274"/>
    </row>
  </sheetData>
  <sheetProtection/>
  <mergeCells count="9">
    <mergeCell ref="S36:Y36"/>
    <mergeCell ref="C54:M54"/>
    <mergeCell ref="N54:Z54"/>
    <mergeCell ref="S55:Y55"/>
    <mergeCell ref="S5:Y5"/>
    <mergeCell ref="C4:M4"/>
    <mergeCell ref="N4:Z4"/>
    <mergeCell ref="C35:M35"/>
    <mergeCell ref="N35:Z3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1" r:id="rId1"/>
  <headerFooter alignWithMargins="0">
    <oddHeader>&amp;L12.melléklet a 2013. évi költségvetési beszámoló  rendelethez&amp;R&amp;D</oddHeader>
  </headerFooter>
  <rowBreaks count="2" manualBreakCount="2">
    <brk id="34" max="21" man="1"/>
    <brk id="53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80"/>
  <sheetViews>
    <sheetView view="pageBreakPreview" zoomScale="75" zoomScaleSheetLayoutView="75" zoomScalePageLayoutView="0" workbookViewId="0" topLeftCell="A47">
      <selection activeCell="E42" sqref="E42"/>
    </sheetView>
  </sheetViews>
  <sheetFormatPr defaultColWidth="9.140625" defaultRowHeight="12.75"/>
  <cols>
    <col min="1" max="1" width="10.28125" style="38" customWidth="1"/>
    <col min="2" max="2" width="23.7109375" style="38" customWidth="1"/>
    <col min="3" max="3" width="9.140625" style="38" customWidth="1"/>
    <col min="4" max="4" width="11.28125" style="38" bestFit="1" customWidth="1"/>
    <col min="5" max="5" width="10.28125" style="38" bestFit="1" customWidth="1"/>
    <col min="6" max="6" width="10.8515625" style="38" customWidth="1"/>
    <col min="7" max="7" width="11.7109375" style="38" bestFit="1" customWidth="1"/>
    <col min="8" max="8" width="7.140625" style="38" bestFit="1" customWidth="1"/>
    <col min="9" max="9" width="9.28125" style="622" bestFit="1" customWidth="1"/>
    <col min="10" max="16384" width="9.140625" style="38" customWidth="1"/>
  </cols>
  <sheetData>
    <row r="1" spans="1:8" ht="12.75">
      <c r="A1" s="184"/>
      <c r="B1" s="185"/>
      <c r="C1" s="186"/>
      <c r="D1" s="419"/>
      <c r="E1" s="419"/>
      <c r="F1" s="186"/>
      <c r="G1" s="186"/>
      <c r="H1" s="186"/>
    </row>
    <row r="2" spans="1:8" ht="12.75">
      <c r="A2" s="184"/>
      <c r="B2" s="185"/>
      <c r="C2" s="186"/>
      <c r="E2" s="186"/>
      <c r="F2" s="186"/>
      <c r="G2" s="186"/>
      <c r="H2" s="186"/>
    </row>
    <row r="3" spans="1:9" ht="15">
      <c r="A3" s="187"/>
      <c r="B3" s="187"/>
      <c r="C3" s="418" t="s">
        <v>226</v>
      </c>
      <c r="D3" s="418"/>
      <c r="E3" s="418"/>
      <c r="F3" s="418"/>
      <c r="G3" s="187"/>
      <c r="H3" s="188" t="s">
        <v>555</v>
      </c>
      <c r="I3" s="622" t="s">
        <v>556</v>
      </c>
    </row>
    <row r="4" spans="1:8" ht="12.75">
      <c r="A4" s="188"/>
      <c r="B4" s="188"/>
      <c r="C4" s="188"/>
      <c r="D4" s="188"/>
      <c r="E4" s="188"/>
      <c r="F4" s="188"/>
      <c r="G4" s="188"/>
      <c r="H4" s="188"/>
    </row>
    <row r="5" spans="1:9" ht="15">
      <c r="A5" s="191" t="s">
        <v>227</v>
      </c>
      <c r="B5" s="188"/>
      <c r="C5" s="188"/>
      <c r="D5" s="188"/>
      <c r="E5" s="188"/>
      <c r="F5" s="188"/>
      <c r="G5" s="188">
        <v>8000000</v>
      </c>
      <c r="H5" s="188"/>
      <c r="I5" s="622">
        <v>8000000</v>
      </c>
    </row>
    <row r="6" spans="1:8" ht="13.5" thickBot="1">
      <c r="A6" s="188"/>
      <c r="B6" s="188"/>
      <c r="C6" s="188"/>
      <c r="D6" s="188"/>
      <c r="E6" s="188"/>
      <c r="F6" s="188"/>
      <c r="G6" s="188"/>
      <c r="H6" s="188"/>
    </row>
    <row r="7" spans="1:9" ht="15.75" thickBot="1">
      <c r="A7" s="522" t="s">
        <v>197</v>
      </c>
      <c r="B7" s="523"/>
      <c r="C7" s="523"/>
      <c r="D7" s="523"/>
      <c r="E7" s="523"/>
      <c r="F7" s="523"/>
      <c r="G7" s="523">
        <f>SUM(G5:G6)</f>
        <v>8000000</v>
      </c>
      <c r="H7" s="523">
        <f>G7/1000</f>
        <v>8000</v>
      </c>
      <c r="I7" s="812">
        <v>8000</v>
      </c>
    </row>
    <row r="8" spans="1:8" ht="12.75">
      <c r="A8" s="189"/>
      <c r="B8" s="189"/>
      <c r="C8" s="189"/>
      <c r="D8" s="189"/>
      <c r="E8" s="189"/>
      <c r="F8" s="189"/>
      <c r="G8" s="189"/>
      <c r="H8" s="189"/>
    </row>
    <row r="9" spans="1:8" ht="15">
      <c r="A9" s="862" t="s">
        <v>228</v>
      </c>
      <c r="B9" s="862"/>
      <c r="C9" s="190"/>
      <c r="D9" s="190"/>
      <c r="E9" s="190"/>
      <c r="F9" s="190"/>
      <c r="G9" s="190"/>
      <c r="H9" s="190"/>
    </row>
    <row r="10" spans="1:8" ht="14.25">
      <c r="A10" s="190"/>
      <c r="B10" s="190"/>
      <c r="C10" s="190"/>
      <c r="D10" s="190"/>
      <c r="E10" s="190"/>
      <c r="F10" s="190"/>
      <c r="G10" s="190"/>
      <c r="H10" s="190"/>
    </row>
    <row r="11" spans="1:8" ht="15">
      <c r="A11" s="191" t="s">
        <v>229</v>
      </c>
      <c r="B11" s="190"/>
      <c r="C11" s="190"/>
      <c r="D11" s="190"/>
      <c r="E11" s="190"/>
      <c r="F11" s="190"/>
      <c r="G11" s="192"/>
      <c r="H11" s="193"/>
    </row>
    <row r="12" spans="1:9" ht="18" customHeight="1">
      <c r="A12" s="194"/>
      <c r="B12" s="190" t="s">
        <v>230</v>
      </c>
      <c r="C12" s="190"/>
      <c r="D12" s="190"/>
      <c r="E12" s="190"/>
      <c r="F12" s="195"/>
      <c r="G12" s="196">
        <f>SUM(F13:F15)</f>
        <v>3085200</v>
      </c>
      <c r="H12" s="196">
        <f>G12/1000</f>
        <v>3085.2</v>
      </c>
      <c r="I12" s="622">
        <f>4156-879</f>
        <v>3277</v>
      </c>
    </row>
    <row r="13" spans="1:8" ht="14.25">
      <c r="A13" s="190"/>
      <c r="B13" s="861" t="s">
        <v>231</v>
      </c>
      <c r="C13" s="861"/>
      <c r="D13" s="195">
        <v>257100</v>
      </c>
      <c r="E13" s="190" t="s">
        <v>232</v>
      </c>
      <c r="F13" s="195">
        <f>D13*1</f>
        <v>257100</v>
      </c>
      <c r="G13" s="197"/>
      <c r="H13" s="195"/>
    </row>
    <row r="14" spans="1:8" ht="14.25">
      <c r="A14" s="190"/>
      <c r="B14" s="863">
        <v>40909</v>
      </c>
      <c r="C14" s="864"/>
      <c r="D14" s="195">
        <v>257100</v>
      </c>
      <c r="E14" s="198" t="s">
        <v>233</v>
      </c>
      <c r="F14" s="195">
        <f>D14*11</f>
        <v>2828100</v>
      </c>
      <c r="G14" s="197"/>
      <c r="H14" s="195"/>
    </row>
    <row r="15" spans="1:8" ht="9" customHeight="1">
      <c r="A15" s="190"/>
      <c r="B15" s="861"/>
      <c r="C15" s="861"/>
      <c r="D15" s="190"/>
      <c r="E15" s="190"/>
      <c r="F15" s="199"/>
      <c r="G15" s="195"/>
      <c r="H15" s="199"/>
    </row>
    <row r="16" spans="1:8" ht="1.5" customHeight="1">
      <c r="A16" s="190"/>
      <c r="B16" s="861"/>
      <c r="C16" s="861"/>
      <c r="D16" s="198"/>
      <c r="E16" s="190"/>
      <c r="F16" s="195"/>
      <c r="G16" s="199"/>
      <c r="H16" s="199"/>
    </row>
    <row r="17" spans="1:9" ht="15">
      <c r="A17" s="860" t="s">
        <v>234</v>
      </c>
      <c r="B17" s="860"/>
      <c r="C17" s="860"/>
      <c r="D17" s="198"/>
      <c r="E17" s="198"/>
      <c r="F17" s="199"/>
      <c r="G17" s="200">
        <f>SUM(G18:G19)</f>
        <v>501648</v>
      </c>
      <c r="H17" s="201">
        <f>G17/1000</f>
        <v>501.648</v>
      </c>
      <c r="I17" s="622">
        <f>+I19</f>
        <v>879</v>
      </c>
    </row>
    <row r="18" spans="1:8" ht="4.5" customHeight="1">
      <c r="A18" s="190"/>
      <c r="B18" s="202"/>
      <c r="C18" s="202"/>
      <c r="D18" s="202"/>
      <c r="E18" s="198"/>
      <c r="F18" s="199"/>
      <c r="G18" s="199"/>
      <c r="H18" s="199"/>
    </row>
    <row r="19" spans="1:9" ht="18.75" customHeight="1">
      <c r="A19" s="194"/>
      <c r="B19" s="198" t="s">
        <v>235</v>
      </c>
      <c r="C19" s="198"/>
      <c r="D19" s="198"/>
      <c r="E19" s="198"/>
      <c r="F19" s="199"/>
      <c r="G19" s="201">
        <f>SUM(F20:F21)</f>
        <v>501648</v>
      </c>
      <c r="H19" s="201">
        <f>G19/1000</f>
        <v>501.648</v>
      </c>
      <c r="I19" s="622">
        <v>879</v>
      </c>
    </row>
    <row r="20" spans="1:8" ht="14.25">
      <c r="A20" s="203"/>
      <c r="B20" s="139" t="s">
        <v>236</v>
      </c>
      <c r="C20" s="139"/>
      <c r="D20" s="139"/>
      <c r="E20" s="139"/>
      <c r="F20" s="64">
        <f>21*36*9*12</f>
        <v>81648</v>
      </c>
      <c r="G20" s="197"/>
      <c r="H20" s="64"/>
    </row>
    <row r="21" spans="1:8" ht="14.25">
      <c r="A21" s="190"/>
      <c r="B21" s="202" t="s">
        <v>237</v>
      </c>
      <c r="C21" s="202"/>
      <c r="D21" s="202"/>
      <c r="E21" s="198"/>
      <c r="F21" s="199">
        <v>420000</v>
      </c>
      <c r="G21" s="199"/>
      <c r="H21" s="199"/>
    </row>
    <row r="22" spans="1:8" ht="14.25">
      <c r="A22" s="190"/>
      <c r="B22" s="202"/>
      <c r="C22" s="202"/>
      <c r="D22" s="202"/>
      <c r="E22" s="198"/>
      <c r="F22" s="199"/>
      <c r="G22" s="199"/>
      <c r="H22" s="199"/>
    </row>
    <row r="23" spans="1:9" ht="15">
      <c r="A23" s="194" t="s">
        <v>732</v>
      </c>
      <c r="B23" s="190"/>
      <c r="C23" s="204"/>
      <c r="D23" s="205"/>
      <c r="E23" s="190"/>
      <c r="F23" s="195"/>
      <c r="G23" s="201">
        <f>E26</f>
        <v>960000</v>
      </c>
      <c r="H23" s="206">
        <f>G23/1000</f>
        <v>960</v>
      </c>
      <c r="I23" s="622">
        <v>720</v>
      </c>
    </row>
    <row r="24" spans="1:8" ht="8.25" customHeight="1">
      <c r="A24" s="190"/>
      <c r="B24" s="19"/>
      <c r="C24" s="190"/>
      <c r="D24" s="190"/>
      <c r="E24" s="190"/>
      <c r="F24" s="190"/>
      <c r="G24" s="190"/>
      <c r="H24" s="190"/>
    </row>
    <row r="25" spans="1:8" ht="15">
      <c r="A25" s="202"/>
      <c r="B25" s="202" t="s">
        <v>238</v>
      </c>
      <c r="C25" s="202"/>
      <c r="D25" s="198"/>
      <c r="E25" s="207"/>
      <c r="F25" s="198"/>
      <c r="G25" s="208"/>
      <c r="H25" s="198"/>
    </row>
    <row r="26" spans="1:8" ht="12.75" customHeight="1">
      <c r="A26" s="202"/>
      <c r="B26" s="202" t="s">
        <v>239</v>
      </c>
      <c r="C26" s="202"/>
      <c r="D26" s="198"/>
      <c r="E26" s="207">
        <f>80000*12</f>
        <v>960000</v>
      </c>
      <c r="F26" s="198"/>
      <c r="G26" s="203"/>
      <c r="H26" s="198"/>
    </row>
    <row r="27" spans="1:8" ht="14.25" customHeight="1" thickBot="1">
      <c r="A27" s="203"/>
      <c r="B27" s="203"/>
      <c r="C27" s="203"/>
      <c r="D27" s="203"/>
      <c r="E27" s="203"/>
      <c r="F27" s="203"/>
      <c r="G27" s="209"/>
      <c r="H27" s="198"/>
    </row>
    <row r="28" spans="1:8" ht="13.5" hidden="1" thickBot="1">
      <c r="A28" s="188"/>
      <c r="B28" s="186"/>
      <c r="C28" s="186"/>
      <c r="D28" s="186"/>
      <c r="E28" s="186"/>
      <c r="F28" s="186"/>
      <c r="G28" s="186"/>
      <c r="H28" s="186"/>
    </row>
    <row r="29" spans="1:9" ht="15.75" thickBot="1">
      <c r="A29" s="522" t="s">
        <v>240</v>
      </c>
      <c r="B29" s="524"/>
      <c r="C29" s="524"/>
      <c r="D29" s="524"/>
      <c r="E29" s="524"/>
      <c r="F29" s="524"/>
      <c r="G29" s="525">
        <f>G12+G17+G23</f>
        <v>4546848</v>
      </c>
      <c r="H29" s="525">
        <f>ROUND(G29/1000,0)</f>
        <v>4547</v>
      </c>
      <c r="I29" s="810">
        <f>I12+I17+I23</f>
        <v>4876</v>
      </c>
    </row>
    <row r="30" spans="1:8" ht="12.75">
      <c r="A30" s="189"/>
      <c r="B30" s="186"/>
      <c r="C30" s="186"/>
      <c r="D30" s="186"/>
      <c r="E30" s="186"/>
      <c r="F30" s="186"/>
      <c r="G30" s="189"/>
      <c r="H30" s="189"/>
    </row>
    <row r="31" spans="1:8" ht="15">
      <c r="A31" s="210" t="s">
        <v>241</v>
      </c>
      <c r="B31" s="211"/>
      <c r="C31" s="211"/>
      <c r="D31" s="211"/>
      <c r="E31" s="211"/>
      <c r="F31" s="211"/>
      <c r="G31" s="211"/>
      <c r="H31" s="212"/>
    </row>
    <row r="32" spans="1:8" ht="6.75" customHeight="1">
      <c r="A32" s="210"/>
      <c r="B32" s="213"/>
      <c r="C32" s="211"/>
      <c r="D32" s="211"/>
      <c r="E32" s="214"/>
      <c r="F32" s="214"/>
      <c r="G32" s="214"/>
      <c r="H32" s="212"/>
    </row>
    <row r="33" spans="1:8" ht="15">
      <c r="A33" s="215" t="s">
        <v>337</v>
      </c>
      <c r="B33" s="216"/>
      <c r="C33" s="217"/>
      <c r="D33" s="217">
        <f>G29-G17</f>
        <v>4045200</v>
      </c>
      <c r="E33" s="217"/>
      <c r="F33" s="211"/>
      <c r="G33" s="218"/>
      <c r="H33" s="188"/>
    </row>
    <row r="34" spans="1:8" ht="5.25" customHeight="1">
      <c r="A34" s="219"/>
      <c r="B34" s="217"/>
      <c r="C34" s="217"/>
      <c r="D34" s="217"/>
      <c r="E34" s="217"/>
      <c r="F34" s="211"/>
      <c r="G34" s="218"/>
      <c r="H34" s="188"/>
    </row>
    <row r="35" spans="1:9" ht="15">
      <c r="A35" s="21">
        <v>53125</v>
      </c>
      <c r="B35" s="220" t="s">
        <v>270</v>
      </c>
      <c r="C35" s="221"/>
      <c r="D35" s="222"/>
      <c r="E35" s="222"/>
      <c r="G35" s="222">
        <f>+D33*0.27</f>
        <v>1092204</v>
      </c>
      <c r="H35" s="223">
        <f>G35/1000</f>
        <v>1092.204</v>
      </c>
      <c r="I35" s="622">
        <v>1079</v>
      </c>
    </row>
    <row r="36" spans="1:8" ht="13.5" thickBot="1">
      <c r="A36" s="188"/>
      <c r="B36" s="186"/>
      <c r="C36" s="186"/>
      <c r="D36" s="186"/>
      <c r="E36" s="186"/>
      <c r="F36" s="186"/>
      <c r="G36" s="224"/>
      <c r="H36" s="224"/>
    </row>
    <row r="37" spans="1:9" ht="15.75" thickBot="1">
      <c r="A37" s="522" t="s">
        <v>242</v>
      </c>
      <c r="B37" s="524"/>
      <c r="C37" s="526"/>
      <c r="D37" s="526"/>
      <c r="E37" s="526"/>
      <c r="F37" s="526"/>
      <c r="G37" s="525">
        <f>SUM(G35:G36)</f>
        <v>1092204</v>
      </c>
      <c r="H37" s="525">
        <f>ROUND(G37/1000,0)</f>
        <v>1092</v>
      </c>
      <c r="I37" s="810">
        <f>SUM(I35:I36)</f>
        <v>1079</v>
      </c>
    </row>
    <row r="38" spans="1:8" ht="12.75">
      <c r="A38" s="188"/>
      <c r="B38" s="188"/>
      <c r="C38" s="188"/>
      <c r="D38" s="188"/>
      <c r="E38" s="188"/>
      <c r="F38" s="188"/>
      <c r="G38" s="186"/>
      <c r="H38" s="186"/>
    </row>
    <row r="39" spans="1:8" ht="15">
      <c r="A39" s="225" t="s">
        <v>243</v>
      </c>
      <c r="B39" s="226"/>
      <c r="C39" s="190"/>
      <c r="D39" s="190"/>
      <c r="E39" s="190"/>
      <c r="F39" s="190"/>
      <c r="G39" s="190"/>
      <c r="H39" s="190"/>
    </row>
    <row r="40" spans="1:8" ht="14.25">
      <c r="A40" s="190"/>
      <c r="B40" s="198"/>
      <c r="C40" s="198"/>
      <c r="D40" s="198"/>
      <c r="E40" s="198"/>
      <c r="F40" s="198"/>
      <c r="G40" s="198"/>
      <c r="H40" s="198"/>
    </row>
    <row r="41" spans="1:9" ht="15">
      <c r="A41" s="194"/>
      <c r="B41" s="198" t="s">
        <v>244</v>
      </c>
      <c r="C41" s="198"/>
      <c r="D41" s="198"/>
      <c r="E41" s="198"/>
      <c r="F41" s="198"/>
      <c r="G41" s="199">
        <v>50000</v>
      </c>
      <c r="H41" s="199">
        <f>G41/1000</f>
        <v>50</v>
      </c>
      <c r="I41" s="622">
        <v>0</v>
      </c>
    </row>
    <row r="42" spans="1:9" ht="15">
      <c r="A42" s="194"/>
      <c r="B42" s="198" t="s">
        <v>245</v>
      </c>
      <c r="C42" s="198"/>
      <c r="D42" s="198"/>
      <c r="E42" s="198"/>
      <c r="F42" s="198"/>
      <c r="G42" s="199">
        <v>20000</v>
      </c>
      <c r="H42" s="199">
        <f>G42/1000</f>
        <v>20</v>
      </c>
      <c r="I42" s="622">
        <v>0</v>
      </c>
    </row>
    <row r="43" spans="1:8" ht="15">
      <c r="A43" s="194"/>
      <c r="B43" s="198" t="s">
        <v>246</v>
      </c>
      <c r="C43" s="198"/>
      <c r="D43" s="198"/>
      <c r="E43" s="198"/>
      <c r="F43" s="198"/>
      <c r="G43" s="199"/>
      <c r="H43" s="199"/>
    </row>
    <row r="44" spans="1:9" ht="15">
      <c r="A44" s="194"/>
      <c r="B44" s="198" t="s">
        <v>247</v>
      </c>
      <c r="C44" s="198"/>
      <c r="D44" s="198"/>
      <c r="E44" s="198"/>
      <c r="F44" s="198"/>
      <c r="G44" s="199">
        <v>32000</v>
      </c>
      <c r="H44" s="199">
        <f>G44/1000</f>
        <v>32</v>
      </c>
      <c r="I44" s="622">
        <v>0</v>
      </c>
    </row>
    <row r="45" spans="1:9" ht="15">
      <c r="A45" s="194"/>
      <c r="B45" s="198" t="s">
        <v>248</v>
      </c>
      <c r="C45" s="198"/>
      <c r="D45" s="198"/>
      <c r="E45" s="198"/>
      <c r="F45" s="198"/>
      <c r="G45" s="199"/>
      <c r="H45" s="199"/>
      <c r="I45" s="622">
        <v>219</v>
      </c>
    </row>
    <row r="46" spans="1:9" ht="15">
      <c r="A46" s="194"/>
      <c r="B46" s="198" t="s">
        <v>718</v>
      </c>
      <c r="C46" s="198"/>
      <c r="D46" s="198"/>
      <c r="E46" s="198"/>
      <c r="F46" s="198"/>
      <c r="G46" s="199"/>
      <c r="H46" s="199"/>
      <c r="I46" s="622">
        <v>11</v>
      </c>
    </row>
    <row r="47" spans="1:9" ht="15">
      <c r="A47" s="191"/>
      <c r="B47" s="198" t="s">
        <v>719</v>
      </c>
      <c r="C47" s="198"/>
      <c r="D47" s="198"/>
      <c r="E47" s="198"/>
      <c r="F47" s="198"/>
      <c r="G47" s="199"/>
      <c r="H47" s="199"/>
      <c r="I47" s="622">
        <v>56</v>
      </c>
    </row>
    <row r="48" spans="1:9" ht="15">
      <c r="A48" s="191"/>
      <c r="B48" s="198" t="s">
        <v>249</v>
      </c>
      <c r="C48" s="198"/>
      <c r="D48" s="198"/>
      <c r="E48" s="198"/>
      <c r="F48" s="198"/>
      <c r="G48" s="199">
        <f>SUM(E49:E50)</f>
        <v>216000</v>
      </c>
      <c r="H48" s="199">
        <f>G48/1000</f>
        <v>216</v>
      </c>
      <c r="I48" s="622">
        <v>173</v>
      </c>
    </row>
    <row r="49" spans="1:8" ht="15">
      <c r="A49" s="191"/>
      <c r="B49" s="227" t="s">
        <v>250</v>
      </c>
      <c r="C49" s="198" t="s">
        <v>251</v>
      </c>
      <c r="D49" s="198"/>
      <c r="E49" s="198">
        <f>3*2000*12</f>
        <v>72000</v>
      </c>
      <c r="F49" s="198"/>
      <c r="G49" s="199"/>
      <c r="H49" s="199"/>
    </row>
    <row r="50" spans="1:8" ht="15">
      <c r="A50" s="191"/>
      <c r="B50" s="227" t="s">
        <v>252</v>
      </c>
      <c r="C50" s="198" t="s">
        <v>253</v>
      </c>
      <c r="D50" s="198"/>
      <c r="E50" s="198">
        <f>12*12000</f>
        <v>144000</v>
      </c>
      <c r="F50" s="198"/>
      <c r="G50" s="199"/>
      <c r="H50" s="199"/>
    </row>
    <row r="51" spans="1:9" ht="15">
      <c r="A51" s="191"/>
      <c r="B51" s="198" t="s">
        <v>720</v>
      </c>
      <c r="C51" s="198"/>
      <c r="D51" s="198"/>
      <c r="E51" s="198"/>
      <c r="F51" s="198"/>
      <c r="G51" s="199"/>
      <c r="H51" s="199"/>
      <c r="I51" s="622">
        <v>161</v>
      </c>
    </row>
    <row r="52" spans="1:9" ht="15">
      <c r="A52" s="191"/>
      <c r="B52" s="198" t="s">
        <v>721</v>
      </c>
      <c r="C52" s="198"/>
      <c r="D52" s="198"/>
      <c r="E52" s="198"/>
      <c r="F52" s="198"/>
      <c r="G52" s="199"/>
      <c r="H52" s="199"/>
      <c r="I52" s="622">
        <v>28</v>
      </c>
    </row>
    <row r="53" spans="1:9" ht="15">
      <c r="A53" s="191"/>
      <c r="B53" s="198" t="s">
        <v>722</v>
      </c>
      <c r="C53" s="198"/>
      <c r="D53" s="198"/>
      <c r="E53" s="198"/>
      <c r="F53" s="198"/>
      <c r="G53" s="199"/>
      <c r="H53" s="199"/>
      <c r="I53" s="622">
        <v>47</v>
      </c>
    </row>
    <row r="54" spans="1:9" ht="15">
      <c r="A54" s="191"/>
      <c r="B54" s="198" t="s">
        <v>254</v>
      </c>
      <c r="C54" s="198"/>
      <c r="D54" s="198"/>
      <c r="E54" s="198"/>
      <c r="F54" s="198"/>
      <c r="G54" s="199">
        <v>150000</v>
      </c>
      <c r="H54" s="199">
        <f>G54/1000</f>
        <v>150</v>
      </c>
      <c r="I54" s="622">
        <v>231</v>
      </c>
    </row>
    <row r="55" spans="1:9" ht="15">
      <c r="A55" s="191"/>
      <c r="B55" s="198" t="s">
        <v>255</v>
      </c>
      <c r="C55" s="198"/>
      <c r="D55" s="198"/>
      <c r="E55" s="198"/>
      <c r="F55" s="198"/>
      <c r="G55" s="199">
        <v>80000</v>
      </c>
      <c r="H55" s="199">
        <f>G55/1000</f>
        <v>80</v>
      </c>
      <c r="I55" s="622">
        <v>260</v>
      </c>
    </row>
    <row r="56" spans="1:9" ht="15">
      <c r="A56" s="191"/>
      <c r="B56" s="198" t="s">
        <v>256</v>
      </c>
      <c r="C56" s="198"/>
      <c r="D56" s="198"/>
      <c r="E56" s="198"/>
      <c r="F56" s="198"/>
      <c r="G56" s="199">
        <v>50000</v>
      </c>
      <c r="H56" s="199">
        <f>G56/1000</f>
        <v>50</v>
      </c>
      <c r="I56" s="622">
        <v>5</v>
      </c>
    </row>
    <row r="57" spans="1:9" ht="15">
      <c r="A57" s="191"/>
      <c r="B57" s="198" t="s">
        <v>723</v>
      </c>
      <c r="C57" s="198"/>
      <c r="D57" s="198"/>
      <c r="E57" s="198"/>
      <c r="F57" s="198"/>
      <c r="G57" s="199"/>
      <c r="H57" s="199"/>
      <c r="I57" s="622">
        <v>15</v>
      </c>
    </row>
    <row r="58" spans="1:8" ht="15">
      <c r="A58" s="191"/>
      <c r="B58" s="198" t="s">
        <v>257</v>
      </c>
      <c r="C58" s="198"/>
      <c r="D58" s="198"/>
      <c r="E58" s="198"/>
      <c r="F58" s="198"/>
      <c r="G58" s="199">
        <v>298000</v>
      </c>
      <c r="H58" s="199">
        <f>G58/1000</f>
        <v>298</v>
      </c>
    </row>
    <row r="59" spans="1:8" ht="15">
      <c r="A59" s="191"/>
      <c r="B59" s="198" t="s">
        <v>258</v>
      </c>
      <c r="C59" s="198"/>
      <c r="D59" s="198"/>
      <c r="E59" s="198"/>
      <c r="F59" s="198"/>
      <c r="G59" s="199">
        <v>60000</v>
      </c>
      <c r="H59" s="199">
        <f>G59/1000</f>
        <v>60</v>
      </c>
    </row>
    <row r="60" spans="1:9" ht="15">
      <c r="A60" s="191"/>
      <c r="B60" s="198" t="s">
        <v>259</v>
      </c>
      <c r="C60" s="198"/>
      <c r="D60" s="198"/>
      <c r="E60" s="198"/>
      <c r="F60" s="198"/>
      <c r="G60" s="199"/>
      <c r="H60" s="199"/>
      <c r="I60" s="622">
        <v>440</v>
      </c>
    </row>
    <row r="61" spans="1:8" ht="14.25">
      <c r="A61" s="190"/>
      <c r="B61" s="198" t="s">
        <v>260</v>
      </c>
      <c r="C61" s="198" t="s">
        <v>261</v>
      </c>
      <c r="D61" s="198"/>
      <c r="E61" s="198"/>
      <c r="F61" s="198"/>
      <c r="G61" s="199">
        <f>50000*12</f>
        <v>600000</v>
      </c>
      <c r="H61" s="199">
        <f>G61/1000</f>
        <v>600</v>
      </c>
    </row>
    <row r="62" spans="1:8" ht="14.25">
      <c r="A62" s="190"/>
      <c r="B62" s="198" t="s">
        <v>262</v>
      </c>
      <c r="C62" s="198"/>
      <c r="D62" s="198"/>
      <c r="E62" s="198"/>
      <c r="F62" s="198"/>
      <c r="G62" s="199">
        <f>40000*6</f>
        <v>240000</v>
      </c>
      <c r="H62" s="199">
        <f>G62/1000</f>
        <v>240</v>
      </c>
    </row>
    <row r="63" spans="1:8" ht="14.25">
      <c r="A63" s="190"/>
      <c r="B63" s="198" t="s">
        <v>263</v>
      </c>
      <c r="C63" s="198">
        <v>100000</v>
      </c>
      <c r="D63" s="198"/>
      <c r="E63" s="198"/>
      <c r="F63" s="198"/>
      <c r="G63" s="199">
        <v>100000</v>
      </c>
      <c r="H63" s="199">
        <f>G63/1000</f>
        <v>100</v>
      </c>
    </row>
    <row r="64" spans="1:8" ht="14.25">
      <c r="A64" s="190"/>
      <c r="B64" s="198" t="s">
        <v>264</v>
      </c>
      <c r="C64" s="198">
        <v>100000</v>
      </c>
      <c r="D64" s="198"/>
      <c r="E64" s="198"/>
      <c r="F64" s="198"/>
      <c r="G64" s="199"/>
      <c r="H64" s="199"/>
    </row>
    <row r="65" spans="1:8" ht="15">
      <c r="A65" s="194"/>
      <c r="B65" s="198" t="s">
        <v>265</v>
      </c>
      <c r="C65" s="198"/>
      <c r="D65" s="198"/>
      <c r="E65" s="198"/>
      <c r="F65" s="198"/>
      <c r="G65" s="199">
        <f>170000+36835</f>
        <v>206835</v>
      </c>
      <c r="H65" s="199">
        <f>G65/1000</f>
        <v>206.835</v>
      </c>
    </row>
    <row r="66" spans="1:8" ht="15">
      <c r="A66" s="194"/>
      <c r="B66" s="198" t="s">
        <v>266</v>
      </c>
      <c r="C66" s="198"/>
      <c r="D66" s="198"/>
      <c r="E66" s="198"/>
      <c r="F66" s="198"/>
      <c r="G66" s="199"/>
      <c r="H66" s="199"/>
    </row>
    <row r="67" spans="1:9" ht="16.5" customHeight="1">
      <c r="A67" s="194"/>
      <c r="B67" s="198" t="s">
        <v>267</v>
      </c>
      <c r="C67" s="198"/>
      <c r="D67" s="198"/>
      <c r="E67" s="198"/>
      <c r="F67" s="198"/>
      <c r="G67" s="199">
        <v>258113</v>
      </c>
      <c r="H67" s="199">
        <f>G67/1000</f>
        <v>258.113</v>
      </c>
      <c r="I67" s="622">
        <v>321</v>
      </c>
    </row>
    <row r="68" spans="1:9" ht="16.5" customHeight="1">
      <c r="A68" s="194"/>
      <c r="B68" s="198" t="s">
        <v>725</v>
      </c>
      <c r="C68" s="198"/>
      <c r="D68" s="198"/>
      <c r="E68" s="198"/>
      <c r="F68" s="198"/>
      <c r="G68" s="199"/>
      <c r="H68" s="199"/>
      <c r="I68" s="622">
        <v>13</v>
      </c>
    </row>
    <row r="69" spans="1:9" ht="15" thickBot="1">
      <c r="A69" s="190"/>
      <c r="B69" s="198" t="s">
        <v>724</v>
      </c>
      <c r="C69" s="198"/>
      <c r="D69" s="198"/>
      <c r="E69" s="198"/>
      <c r="F69" s="198"/>
      <c r="G69" s="199"/>
      <c r="H69" s="199"/>
      <c r="I69" s="622">
        <v>32</v>
      </c>
    </row>
    <row r="70" spans="1:9" ht="15.75" thickBot="1">
      <c r="A70" s="522" t="s">
        <v>268</v>
      </c>
      <c r="B70" s="526"/>
      <c r="C70" s="526"/>
      <c r="D70" s="526"/>
      <c r="E70" s="526"/>
      <c r="F70" s="526"/>
      <c r="G70" s="525">
        <f>SUM(G41:G67)</f>
        <v>2360948</v>
      </c>
      <c r="H70" s="525">
        <f>ROUND(G70/1000,0)</f>
        <v>2361</v>
      </c>
      <c r="I70" s="812">
        <f>SUM(I41:I69)</f>
        <v>2012</v>
      </c>
    </row>
    <row r="71" spans="1:8" ht="15" thickBot="1">
      <c r="A71" s="190"/>
      <c r="B71" s="198"/>
      <c r="C71" s="198"/>
      <c r="D71" s="198"/>
      <c r="E71" s="198"/>
      <c r="F71" s="198"/>
      <c r="G71" s="199"/>
      <c r="H71" s="199"/>
    </row>
    <row r="72" spans="1:9" ht="28.5" customHeight="1" thickBot="1">
      <c r="A72" s="527" t="s">
        <v>269</v>
      </c>
      <c r="B72" s="528"/>
      <c r="C72" s="528"/>
      <c r="D72" s="528"/>
      <c r="E72" s="528"/>
      <c r="F72" s="528"/>
      <c r="G72" s="529">
        <f>G70+G37+G29</f>
        <v>8000000</v>
      </c>
      <c r="H72" s="529">
        <f>H70+H37+H29</f>
        <v>8000</v>
      </c>
      <c r="I72" s="811">
        <f>I70+I37+I29</f>
        <v>7967</v>
      </c>
    </row>
    <row r="73" spans="7:8" ht="12.75">
      <c r="G73" s="37"/>
      <c r="H73" s="37"/>
    </row>
    <row r="74" spans="7:8" ht="12.75">
      <c r="G74" s="37"/>
      <c r="H74" s="37"/>
    </row>
    <row r="75" spans="2:9" ht="12.75">
      <c r="B75" s="38" t="s">
        <v>271</v>
      </c>
      <c r="G75" s="37">
        <f>+G7-G72</f>
        <v>0</v>
      </c>
      <c r="H75" s="37">
        <f>+H7-H72</f>
        <v>0</v>
      </c>
      <c r="I75" s="623">
        <f>+I7-I72</f>
        <v>33</v>
      </c>
    </row>
    <row r="76" spans="7:8" ht="12.75">
      <c r="G76" s="37"/>
      <c r="H76" s="37"/>
    </row>
    <row r="77" spans="7:8" ht="12.75">
      <c r="G77" s="37"/>
      <c r="H77" s="37"/>
    </row>
    <row r="78" spans="7:8" ht="12.75">
      <c r="G78" s="37"/>
      <c r="H78" s="37"/>
    </row>
    <row r="79" spans="7:8" ht="12.75">
      <c r="G79" s="37"/>
      <c r="H79" s="37"/>
    </row>
    <row r="80" spans="7:8" ht="12.75">
      <c r="G80" s="37"/>
      <c r="H80" s="37"/>
    </row>
  </sheetData>
  <sheetProtection/>
  <mergeCells count="6">
    <mergeCell ref="A17:C17"/>
    <mergeCell ref="B15:C15"/>
    <mergeCell ref="A9:B9"/>
    <mergeCell ref="B16:C16"/>
    <mergeCell ref="B13:C13"/>
    <mergeCell ref="B14:C14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>&amp;L13. melléklet a 2013. évi költségvetési beszámoló  rendelethez&amp;R&amp;D</oddHeader>
  </headerFooter>
  <rowBreaks count="1" manualBreakCount="1">
    <brk id="5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D13"/>
  <sheetViews>
    <sheetView view="pageBreakPreview" zoomScale="60" zoomScalePageLayoutView="0" workbookViewId="0" topLeftCell="A1">
      <selection activeCell="D5" sqref="D5"/>
    </sheetView>
  </sheetViews>
  <sheetFormatPr defaultColWidth="10.421875" defaultRowHeight="12.75"/>
  <cols>
    <col min="1" max="1" width="7.57421875" style="427" customWidth="1"/>
    <col min="2" max="2" width="52.57421875" style="427" customWidth="1"/>
    <col min="3" max="3" width="15.140625" style="427" customWidth="1"/>
    <col min="4" max="16384" width="10.421875" style="427" customWidth="1"/>
  </cols>
  <sheetData>
    <row r="1" spans="1:4" ht="78.75" customHeight="1">
      <c r="A1" s="866" t="s">
        <v>377</v>
      </c>
      <c r="B1" s="866"/>
      <c r="C1" s="866"/>
      <c r="D1" s="866"/>
    </row>
    <row r="2" spans="1:4" ht="15.75" thickBot="1">
      <c r="A2" s="428"/>
      <c r="B2" s="428"/>
      <c r="D2" s="429" t="s">
        <v>378</v>
      </c>
    </row>
    <row r="3" spans="1:4" ht="32.25" thickBot="1">
      <c r="A3" s="430" t="s">
        <v>368</v>
      </c>
      <c r="B3" s="431" t="s">
        <v>379</v>
      </c>
      <c r="C3" s="432" t="s">
        <v>389</v>
      </c>
      <c r="D3" s="533" t="s">
        <v>557</v>
      </c>
    </row>
    <row r="4" spans="1:4" ht="16.5" thickBot="1">
      <c r="A4" s="433" t="s">
        <v>9</v>
      </c>
      <c r="B4" s="434" t="s">
        <v>394</v>
      </c>
      <c r="C4" s="435" t="s">
        <v>11</v>
      </c>
      <c r="D4" s="530"/>
    </row>
    <row r="5" spans="1:4" ht="15.75">
      <c r="A5" s="446" t="s">
        <v>18</v>
      </c>
      <c r="B5" s="436" t="s">
        <v>380</v>
      </c>
      <c r="C5" s="437">
        <f>+1_mell!D11+1_mell!D14+1_mell!D15</f>
        <v>140217</v>
      </c>
      <c r="D5" s="535">
        <f>+1_mell!F11+1_mell!F14+1_mell!F15</f>
        <v>139956</v>
      </c>
    </row>
    <row r="6" spans="1:4" ht="15.75">
      <c r="A6" s="447" t="s">
        <v>20</v>
      </c>
      <c r="B6" s="438" t="s">
        <v>381</v>
      </c>
      <c r="C6" s="439"/>
      <c r="D6" s="531"/>
    </row>
    <row r="7" spans="1:4" ht="15.75">
      <c r="A7" s="447" t="s">
        <v>22</v>
      </c>
      <c r="B7" s="438" t="s">
        <v>382</v>
      </c>
      <c r="C7" s="439">
        <f>+1_mell!D21</f>
        <v>2500</v>
      </c>
      <c r="D7" s="531">
        <f>+1_mell!F21</f>
        <v>1812</v>
      </c>
    </row>
    <row r="8" spans="1:4" ht="31.5">
      <c r="A8" s="447" t="s">
        <v>23</v>
      </c>
      <c r="B8" s="440" t="s">
        <v>383</v>
      </c>
      <c r="C8" s="439">
        <f>+1_mell!D17</f>
        <v>47550</v>
      </c>
      <c r="D8" s="534">
        <f>+1_mell!F17</f>
        <v>12259</v>
      </c>
    </row>
    <row r="9" spans="1:4" ht="15.75">
      <c r="A9" s="448" t="s">
        <v>24</v>
      </c>
      <c r="B9" s="441" t="s">
        <v>384</v>
      </c>
      <c r="C9" s="439"/>
      <c r="D9" s="531"/>
    </row>
    <row r="10" spans="1:4" ht="15.75">
      <c r="A10" s="447" t="s">
        <v>25</v>
      </c>
      <c r="B10" s="438" t="s">
        <v>385</v>
      </c>
      <c r="C10" s="439"/>
      <c r="D10" s="531"/>
    </row>
    <row r="11" spans="1:4" ht="16.5" thickBot="1">
      <c r="A11" s="448" t="s">
        <v>26</v>
      </c>
      <c r="B11" s="441" t="s">
        <v>386</v>
      </c>
      <c r="C11" s="445"/>
      <c r="D11" s="532"/>
    </row>
    <row r="12" spans="1:4" ht="17.25" thickBot="1">
      <c r="A12" s="449" t="s">
        <v>27</v>
      </c>
      <c r="B12" s="444" t="s">
        <v>387</v>
      </c>
      <c r="C12" s="442">
        <f>SUM(C5:C11)</f>
        <v>190267</v>
      </c>
      <c r="D12" s="442">
        <f>SUM(D5:D11)</f>
        <v>154027</v>
      </c>
    </row>
    <row r="13" spans="1:3" ht="39" customHeight="1">
      <c r="A13" s="865" t="s">
        <v>388</v>
      </c>
      <c r="B13" s="865"/>
      <c r="C13" s="865"/>
    </row>
  </sheetData>
  <sheetProtection/>
  <mergeCells count="2">
    <mergeCell ref="A13:C13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&amp;L14.melléklet a 2013. évi költségvetési beszámoló 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K60"/>
  <sheetViews>
    <sheetView view="pageBreakPreview" zoomScaleSheetLayoutView="100" workbookViewId="0" topLeftCell="A31">
      <selection activeCell="B31" sqref="B31"/>
    </sheetView>
  </sheetViews>
  <sheetFormatPr defaultColWidth="9.140625" defaultRowHeight="12.75"/>
  <cols>
    <col min="1" max="1" width="4.421875" style="131" customWidth="1"/>
    <col min="2" max="2" width="49.8515625" style="131" customWidth="1"/>
    <col min="3" max="3" width="9.140625" style="774" customWidth="1"/>
    <col min="4" max="4" width="11.421875" style="537" customWidth="1"/>
    <col min="5" max="5" width="9.28125" style="131" customWidth="1"/>
    <col min="6" max="6" width="11.140625" style="131" customWidth="1"/>
    <col min="7" max="8" width="12.421875" style="131" customWidth="1"/>
    <col min="9" max="9" width="12.8515625" style="131" customWidth="1"/>
    <col min="10" max="16384" width="9.140625" style="131" customWidth="1"/>
  </cols>
  <sheetData>
    <row r="1" ht="7.5" customHeight="1" thickBot="1"/>
    <row r="2" spans="1:9" ht="112.5" customHeight="1" thickBot="1">
      <c r="A2" s="538"/>
      <c r="B2" s="539" t="s">
        <v>558</v>
      </c>
      <c r="C2" s="775" t="s">
        <v>715</v>
      </c>
      <c r="D2" s="540" t="s">
        <v>714</v>
      </c>
      <c r="E2" s="541" t="s">
        <v>559</v>
      </c>
      <c r="F2" s="542" t="s">
        <v>272</v>
      </c>
      <c r="G2" s="543" t="s">
        <v>560</v>
      </c>
      <c r="H2" s="544" t="s">
        <v>66</v>
      </c>
      <c r="I2" s="543" t="s">
        <v>561</v>
      </c>
    </row>
    <row r="3" spans="1:9" ht="22.5" customHeight="1" thickBot="1">
      <c r="A3" s="545"/>
      <c r="B3" s="546" t="s">
        <v>562</v>
      </c>
      <c r="C3" s="776" t="s">
        <v>564</v>
      </c>
      <c r="D3" s="547" t="s">
        <v>565</v>
      </c>
      <c r="E3" s="547" t="s">
        <v>565</v>
      </c>
      <c r="F3" s="547" t="s">
        <v>565</v>
      </c>
      <c r="G3" s="547" t="s">
        <v>565</v>
      </c>
      <c r="H3" s="547" t="s">
        <v>565</v>
      </c>
      <c r="I3" s="547" t="s">
        <v>565</v>
      </c>
    </row>
    <row r="4" spans="1:9" ht="13.5" thickBot="1">
      <c r="A4" s="549" t="s">
        <v>9</v>
      </c>
      <c r="B4" s="550" t="s">
        <v>10</v>
      </c>
      <c r="C4" s="777" t="s">
        <v>11</v>
      </c>
      <c r="D4" s="553" t="s">
        <v>12</v>
      </c>
      <c r="E4" s="554" t="s">
        <v>13</v>
      </c>
      <c r="F4" s="554" t="s">
        <v>14</v>
      </c>
      <c r="G4" s="554" t="s">
        <v>15</v>
      </c>
      <c r="H4" s="554" t="s">
        <v>16</v>
      </c>
      <c r="I4" s="554" t="s">
        <v>65</v>
      </c>
    </row>
    <row r="5" spans="1:9" ht="12.75">
      <c r="A5" s="555">
        <v>1</v>
      </c>
      <c r="B5" s="556" t="s">
        <v>566</v>
      </c>
      <c r="C5" s="778">
        <v>0</v>
      </c>
      <c r="D5" s="558"/>
      <c r="E5" s="559"/>
      <c r="F5" s="559"/>
      <c r="G5" s="559"/>
      <c r="H5" s="559"/>
      <c r="I5" s="559"/>
    </row>
    <row r="6" spans="1:9" ht="15" customHeight="1">
      <c r="A6" s="555">
        <v>2</v>
      </c>
      <c r="B6" s="556" t="s">
        <v>567</v>
      </c>
      <c r="C6" s="779">
        <v>50681</v>
      </c>
      <c r="D6" s="558">
        <f>SUM(E6:I6)</f>
        <v>76936</v>
      </c>
      <c r="E6" s="559">
        <v>7</v>
      </c>
      <c r="F6" s="559">
        <v>75415</v>
      </c>
      <c r="G6" s="559">
        <v>1272</v>
      </c>
      <c r="H6" s="559">
        <v>40</v>
      </c>
      <c r="I6" s="559">
        <v>202</v>
      </c>
    </row>
    <row r="7" spans="1:11" ht="15" customHeight="1" thickBot="1">
      <c r="A7" s="561">
        <v>3</v>
      </c>
      <c r="B7" s="562" t="s">
        <v>733</v>
      </c>
      <c r="C7" s="779">
        <v>1533</v>
      </c>
      <c r="D7" s="558">
        <f>SUM(E7:I7)</f>
        <v>1021</v>
      </c>
      <c r="E7" s="559">
        <v>254</v>
      </c>
      <c r="F7" s="559">
        <v>42</v>
      </c>
      <c r="G7" s="559">
        <v>83</v>
      </c>
      <c r="H7" s="559">
        <v>228</v>
      </c>
      <c r="I7" s="559">
        <v>414</v>
      </c>
      <c r="K7" s="537"/>
    </row>
    <row r="8" spans="1:9" ht="15" customHeight="1" thickBot="1">
      <c r="A8" s="563">
        <v>4</v>
      </c>
      <c r="B8" s="564" t="s">
        <v>568</v>
      </c>
      <c r="C8" s="567">
        <f aca="true" t="shared" si="0" ref="C8:I8">SUM(C6:C7)</f>
        <v>52214</v>
      </c>
      <c r="D8" s="566">
        <f t="shared" si="0"/>
        <v>77957</v>
      </c>
      <c r="E8" s="567">
        <f t="shared" si="0"/>
        <v>261</v>
      </c>
      <c r="F8" s="567">
        <f t="shared" si="0"/>
        <v>75457</v>
      </c>
      <c r="G8" s="567">
        <f t="shared" si="0"/>
        <v>1355</v>
      </c>
      <c r="H8" s="567">
        <f t="shared" si="0"/>
        <v>268</v>
      </c>
      <c r="I8" s="567">
        <f t="shared" si="0"/>
        <v>616</v>
      </c>
    </row>
    <row r="9" spans="1:9" ht="15" customHeight="1" thickBot="1">
      <c r="A9" s="568">
        <v>5</v>
      </c>
      <c r="B9" s="569" t="s">
        <v>569</v>
      </c>
      <c r="C9" s="604">
        <v>0</v>
      </c>
      <c r="D9" s="571"/>
      <c r="E9" s="559"/>
      <c r="F9" s="559"/>
      <c r="G9" s="559"/>
      <c r="H9" s="559"/>
      <c r="I9" s="559"/>
    </row>
    <row r="10" spans="1:9" ht="15" customHeight="1" thickBot="1">
      <c r="A10" s="572">
        <v>6</v>
      </c>
      <c r="B10" s="573" t="s">
        <v>570</v>
      </c>
      <c r="C10" s="567">
        <v>89080</v>
      </c>
      <c r="D10" s="566"/>
      <c r="E10" s="554"/>
      <c r="F10" s="554"/>
      <c r="G10" s="554"/>
      <c r="H10" s="554"/>
      <c r="I10" s="554"/>
    </row>
    <row r="11" spans="1:9" ht="15" customHeight="1" thickBot="1">
      <c r="A11" s="568">
        <v>7</v>
      </c>
      <c r="B11" s="573" t="s">
        <v>571</v>
      </c>
      <c r="C11" s="567">
        <f>-C10</f>
        <v>-89080</v>
      </c>
      <c r="D11" s="566"/>
      <c r="E11" s="554"/>
      <c r="F11" s="554"/>
      <c r="G11" s="554"/>
      <c r="H11" s="554"/>
      <c r="I11" s="554"/>
    </row>
    <row r="12" spans="1:9" ht="15" customHeight="1">
      <c r="A12" s="555">
        <v>8</v>
      </c>
      <c r="B12" s="556" t="s">
        <v>572</v>
      </c>
      <c r="C12" s="779">
        <v>6139</v>
      </c>
      <c r="D12" s="558">
        <f>SUM(E12:I12)</f>
        <v>750</v>
      </c>
      <c r="E12" s="559"/>
      <c r="F12" s="559">
        <v>750</v>
      </c>
      <c r="G12" s="559"/>
      <c r="H12" s="559"/>
      <c r="I12" s="559"/>
    </row>
    <row r="13" spans="1:9" ht="15" customHeight="1">
      <c r="A13" s="555">
        <v>9</v>
      </c>
      <c r="B13" s="556" t="s">
        <v>573</v>
      </c>
      <c r="C13" s="779">
        <v>4163</v>
      </c>
      <c r="D13" s="558">
        <f>SUM(E13:I13)</f>
        <v>1201</v>
      </c>
      <c r="E13" s="559">
        <v>713</v>
      </c>
      <c r="F13" s="559">
        <v>193</v>
      </c>
      <c r="G13" s="559">
        <v>10</v>
      </c>
      <c r="H13" s="559">
        <v>1</v>
      </c>
      <c r="I13" s="559">
        <v>284</v>
      </c>
    </row>
    <row r="14" spans="1:9" ht="15" customHeight="1">
      <c r="A14" s="555">
        <v>10</v>
      </c>
      <c r="B14" s="556" t="s">
        <v>574</v>
      </c>
      <c r="C14" s="779"/>
      <c r="D14" s="558"/>
      <c r="E14" s="559"/>
      <c r="F14" s="559"/>
      <c r="G14" s="559"/>
      <c r="H14" s="559"/>
      <c r="I14" s="559"/>
    </row>
    <row r="15" spans="1:9" s="578" customFormat="1" ht="15" customHeight="1">
      <c r="A15" s="574">
        <v>11</v>
      </c>
      <c r="B15" s="575" t="s">
        <v>575</v>
      </c>
      <c r="C15" s="577">
        <f aca="true" t="shared" si="1" ref="C15:I15">SUM(C12:C14)</f>
        <v>10302</v>
      </c>
      <c r="D15" s="576">
        <f>SUM(D12:D14)</f>
        <v>1951</v>
      </c>
      <c r="E15" s="577">
        <f t="shared" si="1"/>
        <v>713</v>
      </c>
      <c r="F15" s="577">
        <f t="shared" si="1"/>
        <v>943</v>
      </c>
      <c r="G15" s="577">
        <f t="shared" si="1"/>
        <v>10</v>
      </c>
      <c r="H15" s="577">
        <f t="shared" si="1"/>
        <v>1</v>
      </c>
      <c r="I15" s="577">
        <f t="shared" si="1"/>
        <v>284</v>
      </c>
    </row>
    <row r="16" spans="1:9" ht="15" customHeight="1">
      <c r="A16" s="555">
        <v>12</v>
      </c>
      <c r="B16" s="579" t="s">
        <v>576</v>
      </c>
      <c r="C16" s="779">
        <v>4538</v>
      </c>
      <c r="D16" s="558">
        <f>SUM(E16:I16)</f>
        <v>0</v>
      </c>
      <c r="E16" s="559"/>
      <c r="F16" s="559"/>
      <c r="G16" s="559"/>
      <c r="H16" s="559"/>
      <c r="I16" s="559"/>
    </row>
    <row r="17" spans="1:9" ht="15" customHeight="1">
      <c r="A17" s="555">
        <v>13</v>
      </c>
      <c r="B17" s="556" t="s">
        <v>577</v>
      </c>
      <c r="C17" s="779"/>
      <c r="D17" s="558"/>
      <c r="E17" s="559"/>
      <c r="F17" s="559"/>
      <c r="G17" s="559"/>
      <c r="H17" s="559"/>
      <c r="I17" s="559"/>
    </row>
    <row r="18" spans="1:9" ht="15" customHeight="1">
      <c r="A18" s="555">
        <v>14</v>
      </c>
      <c r="B18" s="556" t="s">
        <v>734</v>
      </c>
      <c r="C18" s="779"/>
      <c r="D18" s="558"/>
      <c r="E18" s="559"/>
      <c r="F18" s="559"/>
      <c r="G18" s="559"/>
      <c r="H18" s="559"/>
      <c r="I18" s="559"/>
    </row>
    <row r="19" spans="1:9" s="578" customFormat="1" ht="15" customHeight="1" thickBot="1">
      <c r="A19" s="574">
        <v>15</v>
      </c>
      <c r="B19" s="575" t="s">
        <v>578</v>
      </c>
      <c r="C19" s="577">
        <f aca="true" t="shared" si="2" ref="C19:I19">SUM(C16:C18)</f>
        <v>4538</v>
      </c>
      <c r="D19" s="576">
        <f t="shared" si="2"/>
        <v>0</v>
      </c>
      <c r="E19" s="577">
        <f t="shared" si="2"/>
        <v>0</v>
      </c>
      <c r="F19" s="577">
        <f t="shared" si="2"/>
        <v>0</v>
      </c>
      <c r="G19" s="577">
        <f t="shared" si="2"/>
        <v>0</v>
      </c>
      <c r="H19" s="577">
        <f t="shared" si="2"/>
        <v>0</v>
      </c>
      <c r="I19" s="577">
        <f t="shared" si="2"/>
        <v>0</v>
      </c>
    </row>
    <row r="20" spans="1:9" ht="27.75" customHeight="1" thickBot="1">
      <c r="A20" s="549">
        <v>16</v>
      </c>
      <c r="B20" s="773" t="s">
        <v>579</v>
      </c>
      <c r="C20" s="582">
        <f aca="true" t="shared" si="3" ref="C20:I20">+C15-C19</f>
        <v>5764</v>
      </c>
      <c r="D20" s="581">
        <f>+D15-D19</f>
        <v>1951</v>
      </c>
      <c r="E20" s="582">
        <f t="shared" si="3"/>
        <v>713</v>
      </c>
      <c r="F20" s="582">
        <f>+F15-F19</f>
        <v>943</v>
      </c>
      <c r="G20" s="582">
        <f t="shared" si="3"/>
        <v>10</v>
      </c>
      <c r="H20" s="582">
        <f t="shared" si="3"/>
        <v>1</v>
      </c>
      <c r="I20" s="582">
        <f t="shared" si="3"/>
        <v>284</v>
      </c>
    </row>
    <row r="21" spans="1:9" ht="15" customHeight="1">
      <c r="A21" s="555">
        <v>17</v>
      </c>
      <c r="B21" s="556" t="s">
        <v>580</v>
      </c>
      <c r="C21" s="604"/>
      <c r="D21" s="571">
        <f>SUM(E21:I21)</f>
        <v>-80861</v>
      </c>
      <c r="E21" s="559"/>
      <c r="F21" s="559">
        <v>-80837</v>
      </c>
      <c r="G21" s="559"/>
      <c r="H21" s="559">
        <v>-24</v>
      </c>
      <c r="I21" s="559"/>
    </row>
    <row r="22" spans="1:9" ht="15" customHeight="1" thickBot="1">
      <c r="A22" s="555">
        <v>18</v>
      </c>
      <c r="B22" s="556" t="s">
        <v>735</v>
      </c>
      <c r="C22" s="604">
        <f>+'[4]nem'!Y16</f>
        <v>0</v>
      </c>
      <c r="D22" s="558"/>
      <c r="E22" s="559"/>
      <c r="F22" s="559"/>
      <c r="G22" s="559"/>
      <c r="H22" s="559"/>
      <c r="I22" s="559"/>
    </row>
    <row r="23" spans="1:9" ht="15" customHeight="1" thickBot="1">
      <c r="A23" s="549">
        <v>19</v>
      </c>
      <c r="B23" s="580" t="s">
        <v>581</v>
      </c>
      <c r="C23" s="582">
        <f>SUM(C21:C22)</f>
        <v>0</v>
      </c>
      <c r="D23" s="549">
        <f aca="true" t="shared" si="4" ref="D23:I23">SUM(D21:D22)</f>
        <v>-80861</v>
      </c>
      <c r="E23" s="549">
        <f t="shared" si="4"/>
        <v>0</v>
      </c>
      <c r="F23" s="549">
        <f t="shared" si="4"/>
        <v>-80837</v>
      </c>
      <c r="G23" s="549">
        <f t="shared" si="4"/>
        <v>0</v>
      </c>
      <c r="H23" s="549">
        <f t="shared" si="4"/>
        <v>-24</v>
      </c>
      <c r="I23" s="549">
        <f t="shared" si="4"/>
        <v>0</v>
      </c>
    </row>
    <row r="24" spans="1:9" ht="15" customHeight="1" thickBot="1">
      <c r="A24" s="561">
        <v>20</v>
      </c>
      <c r="B24" s="564" t="s">
        <v>582</v>
      </c>
      <c r="C24" s="780"/>
      <c r="D24" s="583"/>
      <c r="E24" s="559"/>
      <c r="F24" s="559"/>
      <c r="G24" s="559"/>
      <c r="H24" s="559"/>
      <c r="I24" s="559"/>
    </row>
    <row r="25" spans="1:9" ht="15" customHeight="1" thickBot="1">
      <c r="A25" s="549">
        <v>21</v>
      </c>
      <c r="B25" s="584" t="s">
        <v>583</v>
      </c>
      <c r="C25" s="582">
        <f>+C8+C20-C21+C11</f>
        <v>-31102</v>
      </c>
      <c r="D25" s="581">
        <f>+D8+D11+D20-D23+D24</f>
        <v>160769</v>
      </c>
      <c r="E25" s="582">
        <f>+E8+E11+E20+E23+E24</f>
        <v>974</v>
      </c>
      <c r="F25" s="582">
        <f>+F8+F11+F20-F23+F24</f>
        <v>157237</v>
      </c>
      <c r="G25" s="582">
        <f>+G8+G11+G20+G23+G24</f>
        <v>1365</v>
      </c>
      <c r="H25" s="582">
        <f>+H8+H11+H20+H23+H24</f>
        <v>245</v>
      </c>
      <c r="I25" s="582">
        <f>+I8+I11+I20+I23+I24</f>
        <v>900</v>
      </c>
    </row>
    <row r="26" spans="1:9" ht="15" customHeight="1">
      <c r="A26" s="545">
        <v>22</v>
      </c>
      <c r="B26" s="585" t="s">
        <v>584</v>
      </c>
      <c r="C26" s="781">
        <f>+'[4]nem'!Y18</f>
        <v>0</v>
      </c>
      <c r="D26" s="571"/>
      <c r="E26" s="587"/>
      <c r="F26" s="587"/>
      <c r="G26" s="587"/>
      <c r="H26" s="587"/>
      <c r="I26" s="587"/>
    </row>
    <row r="27" spans="1:9" ht="15" customHeight="1" thickBot="1">
      <c r="A27" s="561">
        <v>23</v>
      </c>
      <c r="B27" s="562" t="s">
        <v>585</v>
      </c>
      <c r="C27" s="782">
        <v>-1494</v>
      </c>
      <c r="D27" s="558">
        <f>SUM(E27:I27)</f>
        <v>-271</v>
      </c>
      <c r="E27" s="590"/>
      <c r="F27" s="590">
        <v>-271</v>
      </c>
      <c r="G27" s="590"/>
      <c r="H27" s="590"/>
      <c r="I27" s="590"/>
    </row>
    <row r="28" spans="1:9" ht="15" customHeight="1">
      <c r="A28" s="545">
        <v>24</v>
      </c>
      <c r="B28" s="585" t="s">
        <v>586</v>
      </c>
      <c r="C28" s="783">
        <f>+'[4]nem'!Y20</f>
        <v>0</v>
      </c>
      <c r="D28" s="617">
        <f>SUM(E28:I28)</f>
        <v>0</v>
      </c>
      <c r="E28" s="736">
        <v>4637</v>
      </c>
      <c r="F28" s="587">
        <v>-19986</v>
      </c>
      <c r="G28" s="591">
        <v>10832</v>
      </c>
      <c r="H28" s="587"/>
      <c r="I28" s="587">
        <v>4517</v>
      </c>
    </row>
    <row r="29" spans="1:9" ht="15" customHeight="1" thickBot="1">
      <c r="A29" s="561">
        <v>25</v>
      </c>
      <c r="B29" s="562" t="s">
        <v>587</v>
      </c>
      <c r="C29" s="784">
        <v>0</v>
      </c>
      <c r="D29" s="615">
        <f>SUM(E29:I29)</f>
        <v>1248</v>
      </c>
      <c r="E29" s="737"/>
      <c r="F29" s="590">
        <v>1248</v>
      </c>
      <c r="G29" s="590"/>
      <c r="H29" s="590"/>
      <c r="I29" s="590"/>
    </row>
    <row r="30" spans="1:9" ht="15" customHeight="1" thickBot="1">
      <c r="A30" s="549">
        <v>26</v>
      </c>
      <c r="B30" s="584" t="s">
        <v>588</v>
      </c>
      <c r="C30" s="582">
        <f aca="true" t="shared" si="5" ref="C30:I30">SUM(C26:C29)</f>
        <v>-1494</v>
      </c>
      <c r="D30" s="583">
        <f t="shared" si="5"/>
        <v>977</v>
      </c>
      <c r="E30" s="582">
        <f t="shared" si="5"/>
        <v>4637</v>
      </c>
      <c r="F30" s="582">
        <f t="shared" si="5"/>
        <v>-19009</v>
      </c>
      <c r="G30" s="582">
        <f t="shared" si="5"/>
        <v>10832</v>
      </c>
      <c r="H30" s="582">
        <f t="shared" si="5"/>
        <v>0</v>
      </c>
      <c r="I30" s="582">
        <f t="shared" si="5"/>
        <v>4517</v>
      </c>
    </row>
    <row r="31" spans="1:9" ht="15" customHeight="1" thickBot="1">
      <c r="A31" s="549">
        <v>27</v>
      </c>
      <c r="B31" s="584" t="s">
        <v>589</v>
      </c>
      <c r="C31" s="582">
        <v>0</v>
      </c>
      <c r="D31" s="592"/>
      <c r="E31" s="554"/>
      <c r="F31" s="554"/>
      <c r="G31" s="554"/>
      <c r="H31" s="554"/>
      <c r="I31" s="554"/>
    </row>
    <row r="32" spans="1:9" ht="15" customHeight="1" thickBot="1">
      <c r="A32" s="549">
        <v>28</v>
      </c>
      <c r="B32" s="584" t="s">
        <v>590</v>
      </c>
      <c r="C32" s="582">
        <f aca="true" t="shared" si="6" ref="C32:I32">+C31+C30+C25</f>
        <v>-32596</v>
      </c>
      <c r="D32" s="581">
        <f t="shared" si="6"/>
        <v>161746</v>
      </c>
      <c r="E32" s="582">
        <f t="shared" si="6"/>
        <v>5611</v>
      </c>
      <c r="F32" s="582">
        <f>+F31+F30+F25</f>
        <v>138228</v>
      </c>
      <c r="G32" s="582">
        <f t="shared" si="6"/>
        <v>12197</v>
      </c>
      <c r="H32" s="582">
        <f t="shared" si="6"/>
        <v>245</v>
      </c>
      <c r="I32" s="582">
        <f t="shared" si="6"/>
        <v>5417</v>
      </c>
    </row>
    <row r="33" spans="1:9" ht="15" customHeight="1">
      <c r="A33" s="555">
        <v>29</v>
      </c>
      <c r="B33" s="556" t="s">
        <v>736</v>
      </c>
      <c r="C33" s="604">
        <f>+'[4]nem'!Y24</f>
        <v>0</v>
      </c>
      <c r="D33" s="571"/>
      <c r="E33" s="559"/>
      <c r="F33" s="559"/>
      <c r="G33" s="559"/>
      <c r="H33" s="559"/>
      <c r="I33" s="559"/>
    </row>
    <row r="34" spans="1:9" ht="15" customHeight="1" thickBot="1">
      <c r="A34" s="555">
        <v>30</v>
      </c>
      <c r="B34" s="556" t="s">
        <v>591</v>
      </c>
      <c r="C34" s="604">
        <f>+'[4]nem'!Y25</f>
        <v>0</v>
      </c>
      <c r="D34" s="589"/>
      <c r="E34" s="559"/>
      <c r="F34" s="559"/>
      <c r="G34" s="559"/>
      <c r="H34" s="559"/>
      <c r="I34" s="559"/>
    </row>
    <row r="35" spans="1:9" ht="15" customHeight="1" thickBot="1">
      <c r="A35" s="549">
        <v>31</v>
      </c>
      <c r="B35" s="584" t="s">
        <v>592</v>
      </c>
      <c r="C35" s="567">
        <f aca="true" t="shared" si="7" ref="C35:I35">SUM(C32:C34)</f>
        <v>-32596</v>
      </c>
      <c r="D35" s="566">
        <f t="shared" si="7"/>
        <v>161746</v>
      </c>
      <c r="E35" s="567">
        <f t="shared" si="7"/>
        <v>5611</v>
      </c>
      <c r="F35" s="567">
        <f t="shared" si="7"/>
        <v>138228</v>
      </c>
      <c r="G35" s="567">
        <f t="shared" si="7"/>
        <v>12197</v>
      </c>
      <c r="H35" s="567">
        <f t="shared" si="7"/>
        <v>245</v>
      </c>
      <c r="I35" s="567">
        <f t="shared" si="7"/>
        <v>5417</v>
      </c>
    </row>
    <row r="36" spans="1:9" ht="15" customHeight="1">
      <c r="A36" s="555">
        <v>32</v>
      </c>
      <c r="B36" s="556" t="s">
        <v>593</v>
      </c>
      <c r="C36" s="604">
        <f>+'[4]nem'!Y27</f>
        <v>0</v>
      </c>
      <c r="D36" s="571">
        <f>SUM(E36:I36)</f>
        <v>0</v>
      </c>
      <c r="E36" s="559"/>
      <c r="F36" s="559"/>
      <c r="G36" s="559"/>
      <c r="H36" s="559"/>
      <c r="I36" s="559"/>
    </row>
    <row r="37" spans="1:9" ht="15" customHeight="1">
      <c r="A37" s="555">
        <v>33</v>
      </c>
      <c r="B37" s="556" t="s">
        <v>594</v>
      </c>
      <c r="C37" s="785">
        <v>15671</v>
      </c>
      <c r="D37" s="558">
        <f>SUM(E37:I37)</f>
        <v>161746</v>
      </c>
      <c r="E37" s="559">
        <v>5611</v>
      </c>
      <c r="F37" s="559">
        <v>138228</v>
      </c>
      <c r="G37" s="559">
        <v>12197</v>
      </c>
      <c r="H37" s="559">
        <v>293</v>
      </c>
      <c r="I37" s="559">
        <v>5417</v>
      </c>
    </row>
    <row r="38" spans="1:9" ht="15" customHeight="1">
      <c r="A38" s="555">
        <v>34</v>
      </c>
      <c r="B38" s="556" t="s">
        <v>595</v>
      </c>
      <c r="C38" s="785">
        <f>+C37</f>
        <v>15671</v>
      </c>
      <c r="D38" s="558">
        <f>SUM(E38:I38)</f>
        <v>160746</v>
      </c>
      <c r="E38" s="559">
        <f>+E37</f>
        <v>5611</v>
      </c>
      <c r="F38" s="559">
        <v>137228</v>
      </c>
      <c r="G38" s="559">
        <f>+G37</f>
        <v>12197</v>
      </c>
      <c r="H38" s="559">
        <f>+H37</f>
        <v>293</v>
      </c>
      <c r="I38" s="559">
        <f>+I37</f>
        <v>5417</v>
      </c>
    </row>
    <row r="39" spans="1:9" ht="15" customHeight="1" thickBot="1">
      <c r="A39" s="555">
        <v>35</v>
      </c>
      <c r="B39" s="556" t="s">
        <v>596</v>
      </c>
      <c r="C39" s="785"/>
      <c r="D39" s="558">
        <f>SUM(E39:I39)</f>
        <v>1000</v>
      </c>
      <c r="E39" s="559"/>
      <c r="F39" s="559">
        <v>1000</v>
      </c>
      <c r="G39" s="559"/>
      <c r="H39" s="559"/>
      <c r="I39" s="559"/>
    </row>
    <row r="40" spans="1:9" ht="15" customHeight="1" thickBot="1">
      <c r="A40" s="549">
        <v>36</v>
      </c>
      <c r="B40" s="584" t="s">
        <v>597</v>
      </c>
      <c r="C40" s="582">
        <v>0</v>
      </c>
      <c r="D40" s="581">
        <v>0</v>
      </c>
      <c r="E40" s="554">
        <v>0</v>
      </c>
      <c r="F40" s="554">
        <v>0</v>
      </c>
      <c r="G40" s="554">
        <v>0</v>
      </c>
      <c r="H40" s="554">
        <v>0</v>
      </c>
      <c r="I40" s="554">
        <v>0</v>
      </c>
    </row>
    <row r="41" spans="1:9" ht="6.75" customHeight="1">
      <c r="A41" s="593"/>
      <c r="B41" s="593"/>
      <c r="C41" s="786"/>
      <c r="D41" s="594"/>
      <c r="E41" s="548"/>
      <c r="F41" s="548"/>
      <c r="G41" s="548"/>
      <c r="H41" s="548"/>
      <c r="I41" s="548"/>
    </row>
    <row r="42" spans="1:9" ht="20.25" customHeight="1" thickBot="1">
      <c r="A42" s="595" t="s">
        <v>598</v>
      </c>
      <c r="B42" s="593"/>
      <c r="C42" s="786"/>
      <c r="D42" s="594"/>
      <c r="E42" s="548"/>
      <c r="F42" s="596"/>
      <c r="G42" s="548"/>
      <c r="H42" s="548"/>
      <c r="I42" s="548"/>
    </row>
    <row r="43" spans="2:9" ht="2.25" customHeight="1" hidden="1">
      <c r="B43" s="595"/>
      <c r="E43" s="559"/>
      <c r="F43" s="559"/>
      <c r="G43" s="559"/>
      <c r="H43" s="559"/>
      <c r="I43" s="559"/>
    </row>
    <row r="44" spans="1:9" ht="13.5" thickBot="1">
      <c r="A44" s="549" t="s">
        <v>9</v>
      </c>
      <c r="B44" s="550" t="s">
        <v>10</v>
      </c>
      <c r="C44" s="777" t="s">
        <v>11</v>
      </c>
      <c r="D44" s="553" t="s">
        <v>12</v>
      </c>
      <c r="E44" s="554" t="s">
        <v>13</v>
      </c>
      <c r="F44" s="731" t="s">
        <v>14</v>
      </c>
      <c r="G44" s="554" t="s">
        <v>15</v>
      </c>
      <c r="H44" s="731" t="s">
        <v>16</v>
      </c>
      <c r="I44" s="554" t="s">
        <v>65</v>
      </c>
    </row>
    <row r="45" spans="1:9" ht="12.75">
      <c r="A45" s="597">
        <v>1</v>
      </c>
      <c r="B45" s="598" t="s">
        <v>599</v>
      </c>
      <c r="C45" s="604">
        <v>46326</v>
      </c>
      <c r="D45" s="558">
        <f>SUM(E45:I45)</f>
        <v>50674</v>
      </c>
      <c r="E45" s="559">
        <v>6088</v>
      </c>
      <c r="F45" s="548">
        <f>40863-7</f>
        <v>40856</v>
      </c>
      <c r="G45" s="559">
        <v>305</v>
      </c>
      <c r="H45" s="548">
        <v>44</v>
      </c>
      <c r="I45" s="559">
        <v>3381</v>
      </c>
    </row>
    <row r="46" spans="1:9" ht="12.75">
      <c r="A46" s="597">
        <v>2</v>
      </c>
      <c r="B46" s="598" t="s">
        <v>600</v>
      </c>
      <c r="C46" s="604">
        <v>1202</v>
      </c>
      <c r="D46" s="558">
        <f aca="true" t="shared" si="8" ref="D46:D54">SUM(E46:I46)</f>
        <v>7</v>
      </c>
      <c r="E46" s="730"/>
      <c r="F46" s="131">
        <v>7</v>
      </c>
      <c r="G46" s="730"/>
      <c r="I46" s="730"/>
    </row>
    <row r="47" spans="1:9" ht="13.5" thickBot="1">
      <c r="A47" s="600">
        <v>3</v>
      </c>
      <c r="B47" s="601" t="s">
        <v>601</v>
      </c>
      <c r="C47" s="782">
        <v>767</v>
      </c>
      <c r="D47" s="615">
        <f t="shared" si="8"/>
        <v>1533</v>
      </c>
      <c r="E47" s="590">
        <v>597</v>
      </c>
      <c r="F47" s="734">
        <v>374</v>
      </c>
      <c r="G47" s="590">
        <v>418</v>
      </c>
      <c r="H47" s="734">
        <v>112</v>
      </c>
      <c r="I47" s="590">
        <v>32</v>
      </c>
    </row>
    <row r="48" spans="1:9" ht="12.75">
      <c r="A48" s="597">
        <v>4</v>
      </c>
      <c r="B48" s="603" t="s">
        <v>602</v>
      </c>
      <c r="C48" s="604">
        <f>SUM(C45:C47)</f>
        <v>48295</v>
      </c>
      <c r="D48" s="558">
        <f>SUM(E48:I48)</f>
        <v>52214</v>
      </c>
      <c r="E48" s="604">
        <f>SUM(E45:E47)</f>
        <v>6685</v>
      </c>
      <c r="F48" s="732">
        <f>SUM(F45:F47)</f>
        <v>41237</v>
      </c>
      <c r="G48" s="604">
        <f>SUM(G45:G47)</f>
        <v>723</v>
      </c>
      <c r="H48" s="732">
        <f>SUM(H45:H47)</f>
        <v>156</v>
      </c>
      <c r="I48" s="604">
        <f>SUM(I45:I47)</f>
        <v>3413</v>
      </c>
    </row>
    <row r="49" spans="1:9" ht="12.75">
      <c r="A49" s="597">
        <v>5</v>
      </c>
      <c r="B49" s="598"/>
      <c r="C49" s="604"/>
      <c r="D49" s="558">
        <f t="shared" si="8"/>
        <v>0</v>
      </c>
      <c r="E49" s="559"/>
      <c r="F49" s="548"/>
      <c r="G49" s="559"/>
      <c r="H49" s="548"/>
      <c r="I49" s="559"/>
    </row>
    <row r="50" spans="1:9" ht="12.75">
      <c r="A50" s="597">
        <v>6</v>
      </c>
      <c r="B50" s="598" t="s">
        <v>114</v>
      </c>
      <c r="C50" s="604">
        <v>2164298</v>
      </c>
      <c r="D50" s="558">
        <f t="shared" si="8"/>
        <v>1910481</v>
      </c>
      <c r="E50" s="559">
        <v>330047</v>
      </c>
      <c r="F50" s="548">
        <v>1198073</v>
      </c>
      <c r="G50" s="559">
        <v>228329</v>
      </c>
      <c r="H50" s="548">
        <v>29396</v>
      </c>
      <c r="I50" s="559">
        <v>124636</v>
      </c>
    </row>
    <row r="51" spans="1:9" ht="12.75">
      <c r="A51" s="597">
        <v>7</v>
      </c>
      <c r="B51" s="598" t="s">
        <v>140</v>
      </c>
      <c r="C51" s="604">
        <v>2160379</v>
      </c>
      <c r="D51" s="558">
        <f t="shared" si="8"/>
        <v>1884738</v>
      </c>
      <c r="E51" s="559">
        <v>336471</v>
      </c>
      <c r="F51" s="548">
        <v>1163853</v>
      </c>
      <c r="G51" s="559">
        <v>227697</v>
      </c>
      <c r="H51" s="548">
        <v>29284</v>
      </c>
      <c r="I51" s="559">
        <v>127433</v>
      </c>
    </row>
    <row r="52" spans="1:9" ht="12.75">
      <c r="A52" s="597">
        <v>8</v>
      </c>
      <c r="B52" s="598"/>
      <c r="C52" s="604"/>
      <c r="D52" s="558">
        <f t="shared" si="8"/>
        <v>0</v>
      </c>
      <c r="E52" s="605"/>
      <c r="F52" s="548"/>
      <c r="G52" s="605"/>
      <c r="H52" s="548"/>
      <c r="I52" s="559"/>
    </row>
    <row r="53" spans="1:9" ht="12.75">
      <c r="A53" s="597">
        <v>9</v>
      </c>
      <c r="B53" s="598" t="s">
        <v>603</v>
      </c>
      <c r="C53" s="604">
        <f>+D45+D46</f>
        <v>50681</v>
      </c>
      <c r="D53" s="558">
        <f>SUM(E53:I53)</f>
        <v>76936</v>
      </c>
      <c r="E53" s="730">
        <f>+E6</f>
        <v>7</v>
      </c>
      <c r="F53" s="131">
        <f>+F6</f>
        <v>75415</v>
      </c>
      <c r="G53" s="730">
        <v>1272</v>
      </c>
      <c r="H53" s="131">
        <f>+H6</f>
        <v>40</v>
      </c>
      <c r="I53" s="730">
        <f>+I6</f>
        <v>202</v>
      </c>
    </row>
    <row r="54" spans="1:9" ht="13.5" thickBot="1">
      <c r="A54" s="597">
        <v>10</v>
      </c>
      <c r="B54" s="598" t="s">
        <v>604</v>
      </c>
      <c r="C54" s="604">
        <f>+D47</f>
        <v>1533</v>
      </c>
      <c r="D54" s="558">
        <f t="shared" si="8"/>
        <v>1021</v>
      </c>
      <c r="E54" s="730">
        <f>+E7</f>
        <v>254</v>
      </c>
      <c r="F54" s="131">
        <f>+F7</f>
        <v>42</v>
      </c>
      <c r="G54" s="730">
        <v>83</v>
      </c>
      <c r="H54" s="131">
        <f>+H7</f>
        <v>228</v>
      </c>
      <c r="I54" s="730">
        <f>+I7</f>
        <v>414</v>
      </c>
    </row>
    <row r="55" spans="1:10" ht="13.5" thickBot="1">
      <c r="A55" s="538">
        <v>11</v>
      </c>
      <c r="B55" s="606" t="s">
        <v>605</v>
      </c>
      <c r="C55" s="567">
        <f>SUM(C53:C54)</f>
        <v>52214</v>
      </c>
      <c r="D55" s="608">
        <f>SUM(D53:D54)</f>
        <v>77957</v>
      </c>
      <c r="E55" s="567">
        <f>+E48+E50-E51</f>
        <v>261</v>
      </c>
      <c r="F55" s="733">
        <f>+F48+F50-F51</f>
        <v>75457</v>
      </c>
      <c r="G55" s="567">
        <f>+G48+G50-G51</f>
        <v>1355</v>
      </c>
      <c r="H55" s="733">
        <f>+H48+H50-H51</f>
        <v>268</v>
      </c>
      <c r="I55" s="567">
        <f>+I48+I50-I51</f>
        <v>616</v>
      </c>
      <c r="J55" s="735"/>
    </row>
    <row r="56" spans="3:9" ht="12.75">
      <c r="C56" s="787"/>
      <c r="E56" s="537">
        <f>+E8-E55</f>
        <v>0</v>
      </c>
      <c r="F56" s="537">
        <f>+F8-F55</f>
        <v>0</v>
      </c>
      <c r="G56" s="537">
        <f>+G8-G55</f>
        <v>0</v>
      </c>
      <c r="H56" s="537">
        <f>+H8-H55</f>
        <v>0</v>
      </c>
      <c r="I56" s="537">
        <f>+I8-I55</f>
        <v>0</v>
      </c>
    </row>
    <row r="57" ht="12.75">
      <c r="C57" s="787"/>
    </row>
    <row r="58" ht="12.75">
      <c r="C58" s="787"/>
    </row>
    <row r="59" ht="12.75">
      <c r="C59" s="787"/>
    </row>
    <row r="60" ht="12.75">
      <c r="C60" s="787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&amp;L15/1. melléklet a 2013. évi költségvetési beszámoló  rendelethez</oddHeader>
  </headerFooter>
  <rowBreaks count="1" manualBreakCount="1">
    <brk id="2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I60"/>
  <sheetViews>
    <sheetView workbookViewId="0" topLeftCell="A7">
      <selection activeCell="B51" sqref="B51"/>
    </sheetView>
  </sheetViews>
  <sheetFormatPr defaultColWidth="9.140625" defaultRowHeight="12.75"/>
  <cols>
    <col min="1" max="1" width="3.00390625" style="131" customWidth="1"/>
    <col min="2" max="2" width="50.7109375" style="131" customWidth="1"/>
    <col min="3" max="3" width="14.8515625" style="536" hidden="1" customWidth="1"/>
    <col min="4" max="4" width="12.7109375" style="536" customWidth="1"/>
    <col min="5" max="5" width="15.7109375" style="537" customWidth="1"/>
    <col min="6" max="6" width="14.8515625" style="131" customWidth="1"/>
    <col min="7" max="16384" width="9.140625" style="131" customWidth="1"/>
  </cols>
  <sheetData>
    <row r="1" ht="7.5" customHeight="1"/>
    <row r="2" ht="13.5" thickBot="1">
      <c r="B2" s="609" t="s">
        <v>558</v>
      </c>
    </row>
    <row r="3" spans="1:5" ht="13.5" thickBot="1">
      <c r="A3" s="545"/>
      <c r="B3" s="546" t="s">
        <v>562</v>
      </c>
      <c r="C3" s="551" t="s">
        <v>563</v>
      </c>
      <c r="D3" s="551" t="s">
        <v>564</v>
      </c>
      <c r="E3" s="610" t="s">
        <v>565</v>
      </c>
    </row>
    <row r="4" spans="1:5" ht="13.5" thickBot="1">
      <c r="A4" s="549" t="s">
        <v>9</v>
      </c>
      <c r="B4" s="611" t="s">
        <v>394</v>
      </c>
      <c r="C4" s="612"/>
      <c r="D4" s="552" t="s">
        <v>11</v>
      </c>
      <c r="E4" s="613" t="s">
        <v>12</v>
      </c>
    </row>
    <row r="5" spans="1:5" ht="12.75">
      <c r="A5" s="545">
        <v>1</v>
      </c>
      <c r="B5" s="585" t="s">
        <v>566</v>
      </c>
      <c r="C5" s="557">
        <v>0</v>
      </c>
      <c r="D5" s="557">
        <v>0</v>
      </c>
      <c r="E5" s="614"/>
    </row>
    <row r="6" spans="1:5" ht="15" customHeight="1">
      <c r="A6" s="555">
        <v>2</v>
      </c>
      <c r="B6" s="556" t="s">
        <v>567</v>
      </c>
      <c r="C6" s="560">
        <v>123669</v>
      </c>
      <c r="D6" s="560">
        <v>50681</v>
      </c>
      <c r="E6" s="614">
        <v>76936</v>
      </c>
    </row>
    <row r="7" spans="1:5" ht="15" customHeight="1" thickBot="1">
      <c r="A7" s="561">
        <v>3</v>
      </c>
      <c r="B7" s="562" t="s">
        <v>733</v>
      </c>
      <c r="C7" s="560">
        <v>698</v>
      </c>
      <c r="D7" s="560">
        <v>1533</v>
      </c>
      <c r="E7" s="615">
        <v>1021</v>
      </c>
    </row>
    <row r="8" spans="1:5" ht="15" customHeight="1" thickBot="1">
      <c r="A8" s="563">
        <v>4</v>
      </c>
      <c r="B8" s="564" t="s">
        <v>568</v>
      </c>
      <c r="C8" s="565">
        <f>SUM(C6:C7)</f>
        <v>124367</v>
      </c>
      <c r="D8" s="565">
        <f>SUM(D6:D7)</f>
        <v>52214</v>
      </c>
      <c r="E8" s="565">
        <f>SUM(E6:E7)</f>
        <v>77957</v>
      </c>
    </row>
    <row r="9" spans="1:5" ht="15" customHeight="1" thickBot="1">
      <c r="A9" s="568">
        <v>5</v>
      </c>
      <c r="B9" s="569" t="s">
        <v>569</v>
      </c>
      <c r="C9" s="570">
        <v>3000</v>
      </c>
      <c r="D9" s="570">
        <v>0</v>
      </c>
      <c r="E9" s="616"/>
    </row>
    <row r="10" spans="1:5" ht="15" customHeight="1" thickBot="1">
      <c r="A10" s="572">
        <v>6</v>
      </c>
      <c r="B10" s="573" t="s">
        <v>570</v>
      </c>
      <c r="C10" s="565">
        <f>SUM(C9)</f>
        <v>3000</v>
      </c>
      <c r="D10" s="565">
        <v>89080</v>
      </c>
      <c r="E10" s="565"/>
    </row>
    <row r="11" spans="1:5" ht="15" customHeight="1" thickBot="1">
      <c r="A11" s="568">
        <v>7</v>
      </c>
      <c r="B11" s="564" t="s">
        <v>571</v>
      </c>
      <c r="C11" s="570"/>
      <c r="D11" s="565">
        <v>-89080</v>
      </c>
      <c r="E11" s="586"/>
    </row>
    <row r="12" spans="1:5" ht="15" customHeight="1">
      <c r="A12" s="555">
        <v>8</v>
      </c>
      <c r="B12" s="556" t="s">
        <v>572</v>
      </c>
      <c r="C12" s="560">
        <v>54851</v>
      </c>
      <c r="D12" s="560">
        <v>6139</v>
      </c>
      <c r="E12" s="617">
        <v>750</v>
      </c>
    </row>
    <row r="13" spans="1:5" ht="15" customHeight="1">
      <c r="A13" s="555">
        <v>9</v>
      </c>
      <c r="B13" s="556" t="s">
        <v>573</v>
      </c>
      <c r="C13" s="560">
        <v>6470</v>
      </c>
      <c r="D13" s="560">
        <v>4163</v>
      </c>
      <c r="E13" s="614">
        <v>1201</v>
      </c>
    </row>
    <row r="14" spans="1:5" ht="15" customHeight="1">
      <c r="A14" s="555">
        <v>10</v>
      </c>
      <c r="B14" s="556" t="s">
        <v>574</v>
      </c>
      <c r="C14" s="560"/>
      <c r="D14" s="560"/>
      <c r="E14" s="614"/>
    </row>
    <row r="15" spans="1:5" s="578" customFormat="1" ht="15" customHeight="1">
      <c r="A15" s="574">
        <v>11</v>
      </c>
      <c r="B15" s="575" t="s">
        <v>575</v>
      </c>
      <c r="C15" s="574">
        <f>SUM(C12:C14)</f>
        <v>61321</v>
      </c>
      <c r="D15" s="574">
        <f>SUM(D12:D14)</f>
        <v>10302</v>
      </c>
      <c r="E15" s="574">
        <f>SUM(E12:E14)</f>
        <v>1951</v>
      </c>
    </row>
    <row r="16" spans="1:5" ht="15" customHeight="1">
      <c r="A16" s="555">
        <v>12</v>
      </c>
      <c r="B16" s="579" t="s">
        <v>576</v>
      </c>
      <c r="C16" s="560">
        <v>44567</v>
      </c>
      <c r="D16" s="560">
        <v>4538</v>
      </c>
      <c r="E16" s="614"/>
    </row>
    <row r="17" spans="1:5" ht="15" customHeight="1">
      <c r="A17" s="555">
        <v>13</v>
      </c>
      <c r="B17" s="556" t="s">
        <v>577</v>
      </c>
      <c r="C17" s="560"/>
      <c r="D17" s="560"/>
      <c r="E17" s="614"/>
    </row>
    <row r="18" spans="1:5" ht="15" customHeight="1">
      <c r="A18" s="555">
        <v>14</v>
      </c>
      <c r="B18" s="556" t="s">
        <v>734</v>
      </c>
      <c r="C18" s="560"/>
      <c r="D18" s="560"/>
      <c r="E18" s="614"/>
    </row>
    <row r="19" spans="1:5" s="578" customFormat="1" ht="15" customHeight="1" thickBot="1">
      <c r="A19" s="574">
        <v>15</v>
      </c>
      <c r="B19" s="575" t="s">
        <v>578</v>
      </c>
      <c r="C19" s="574">
        <f>SUM(C16:C18)</f>
        <v>44567</v>
      </c>
      <c r="D19" s="574">
        <f>SUM(D16:D18)</f>
        <v>4538</v>
      </c>
      <c r="E19" s="574"/>
    </row>
    <row r="20" spans="1:5" ht="15" customHeight="1" thickBot="1">
      <c r="A20" s="549">
        <v>16</v>
      </c>
      <c r="B20" s="580" t="s">
        <v>579</v>
      </c>
      <c r="C20" s="549">
        <f>+C15-C19</f>
        <v>16754</v>
      </c>
      <c r="D20" s="549">
        <f>+D15-D19</f>
        <v>5764</v>
      </c>
      <c r="E20" s="549">
        <f>+E15-E19</f>
        <v>1951</v>
      </c>
    </row>
    <row r="21" spans="1:5" ht="15" customHeight="1">
      <c r="A21" s="555">
        <v>17</v>
      </c>
      <c r="B21" s="556" t="s">
        <v>580</v>
      </c>
      <c r="C21" s="570">
        <v>5288</v>
      </c>
      <c r="D21" s="570">
        <v>0</v>
      </c>
      <c r="E21" s="617">
        <v>-80861</v>
      </c>
    </row>
    <row r="22" spans="1:5" ht="15" customHeight="1" thickBot="1">
      <c r="A22" s="555">
        <v>18</v>
      </c>
      <c r="B22" s="556" t="s">
        <v>735</v>
      </c>
      <c r="C22" s="570">
        <f>+'[4]nem'!X16</f>
        <v>0</v>
      </c>
      <c r="D22" s="570">
        <f>+'[4]nem'!Y16</f>
        <v>0</v>
      </c>
      <c r="E22" s="615"/>
    </row>
    <row r="23" spans="1:5" ht="15" customHeight="1" thickBot="1">
      <c r="A23" s="549">
        <v>19</v>
      </c>
      <c r="B23" s="580" t="s">
        <v>581</v>
      </c>
      <c r="C23" s="549">
        <f>SUM(C21:C22)</f>
        <v>5288</v>
      </c>
      <c r="D23" s="549">
        <f>SUM(D21:D22)</f>
        <v>0</v>
      </c>
      <c r="E23" s="549">
        <f>+E22+E21</f>
        <v>-80861</v>
      </c>
    </row>
    <row r="24" spans="1:5" ht="15" customHeight="1" thickBot="1">
      <c r="A24" s="549">
        <v>20</v>
      </c>
      <c r="B24" s="573" t="s">
        <v>582</v>
      </c>
      <c r="C24" s="549"/>
      <c r="D24" s="549"/>
      <c r="E24" s="549"/>
    </row>
    <row r="25" spans="1:8" ht="15" customHeight="1" thickBot="1">
      <c r="A25" s="549">
        <v>21</v>
      </c>
      <c r="B25" s="584" t="s">
        <v>583</v>
      </c>
      <c r="C25" s="549">
        <f>+C8+C20-C21+C10</f>
        <v>138833</v>
      </c>
      <c r="D25" s="549">
        <f>+D8+D11+D20+D23+D24</f>
        <v>-31102</v>
      </c>
      <c r="E25" s="549">
        <f>+E8+E11+E20-E23+E24</f>
        <v>160769</v>
      </c>
      <c r="G25" s="537"/>
      <c r="H25" s="537"/>
    </row>
    <row r="26" spans="1:5" ht="15" customHeight="1">
      <c r="A26" s="555">
        <v>22</v>
      </c>
      <c r="B26" s="556" t="s">
        <v>584</v>
      </c>
      <c r="C26" s="570">
        <f>+'[4]nem'!X18</f>
        <v>0</v>
      </c>
      <c r="D26" s="570">
        <f>+'[4]nem'!Y18</f>
        <v>0</v>
      </c>
      <c r="E26" s="617"/>
    </row>
    <row r="27" spans="1:5" ht="15" customHeight="1">
      <c r="A27" s="555">
        <v>23</v>
      </c>
      <c r="B27" s="556" t="s">
        <v>585</v>
      </c>
      <c r="C27" s="570">
        <v>-11596</v>
      </c>
      <c r="D27" s="570">
        <v>-1494</v>
      </c>
      <c r="E27" s="614">
        <v>-271</v>
      </c>
    </row>
    <row r="28" spans="1:7" ht="15" customHeight="1">
      <c r="A28" s="555">
        <v>24</v>
      </c>
      <c r="B28" s="556" t="s">
        <v>586</v>
      </c>
      <c r="C28" s="570">
        <f>+'[4]nem'!X20</f>
        <v>0</v>
      </c>
      <c r="D28" s="570">
        <f>+'[4]nem'!Y20</f>
        <v>0</v>
      </c>
      <c r="E28" s="614"/>
      <c r="G28" s="537"/>
    </row>
    <row r="29" spans="1:5" ht="15" customHeight="1" thickBot="1">
      <c r="A29" s="555">
        <v>25</v>
      </c>
      <c r="B29" s="556" t="s">
        <v>587</v>
      </c>
      <c r="C29" s="570">
        <v>35000</v>
      </c>
      <c r="D29" s="570">
        <v>0</v>
      </c>
      <c r="E29" s="615">
        <v>1248</v>
      </c>
    </row>
    <row r="30" spans="1:9" ht="15" customHeight="1" thickBot="1">
      <c r="A30" s="549">
        <v>26</v>
      </c>
      <c r="B30" s="584" t="s">
        <v>588</v>
      </c>
      <c r="C30" s="549">
        <f>SUM(C26:C29)</f>
        <v>23404</v>
      </c>
      <c r="D30" s="549">
        <f>SUM(D26:D29)</f>
        <v>-1494</v>
      </c>
      <c r="E30" s="549">
        <f>SUM(E26:E29)</f>
        <v>977</v>
      </c>
      <c r="G30" s="537"/>
      <c r="I30" s="537"/>
    </row>
    <row r="31" spans="1:5" ht="15" customHeight="1" thickBot="1">
      <c r="A31" s="555">
        <v>27</v>
      </c>
      <c r="B31" s="556" t="s">
        <v>589</v>
      </c>
      <c r="C31" s="555">
        <v>0</v>
      </c>
      <c r="D31" s="555">
        <v>0</v>
      </c>
      <c r="E31" s="616"/>
    </row>
    <row r="32" spans="1:6" ht="15" customHeight="1" thickBot="1">
      <c r="A32" s="549">
        <v>28</v>
      </c>
      <c r="B32" s="584" t="s">
        <v>590</v>
      </c>
      <c r="C32" s="549">
        <f>+C31+C30+C25</f>
        <v>162237</v>
      </c>
      <c r="D32" s="549">
        <f>+D31+D30+D25</f>
        <v>-32596</v>
      </c>
      <c r="E32" s="549">
        <f>+E31+E30+E25</f>
        <v>161746</v>
      </c>
      <c r="F32" s="537"/>
    </row>
    <row r="33" spans="1:5" ht="15" customHeight="1">
      <c r="A33" s="555">
        <v>29</v>
      </c>
      <c r="B33" s="556" t="s">
        <v>736</v>
      </c>
      <c r="C33" s="570">
        <f>+'[4]nem'!X24</f>
        <v>0</v>
      </c>
      <c r="D33" s="570">
        <f>+'[4]nem'!Y24</f>
        <v>0</v>
      </c>
      <c r="E33" s="617"/>
    </row>
    <row r="34" spans="1:5" ht="15" customHeight="1" thickBot="1">
      <c r="A34" s="555">
        <v>30</v>
      </c>
      <c r="B34" s="556" t="s">
        <v>591</v>
      </c>
      <c r="C34" s="570">
        <f>+'[4]nem'!X25</f>
        <v>0</v>
      </c>
      <c r="D34" s="570">
        <f>+'[4]nem'!Y25</f>
        <v>0</v>
      </c>
      <c r="E34" s="615"/>
    </row>
    <row r="35" spans="1:5" ht="15" customHeight="1" thickBot="1">
      <c r="A35" s="549">
        <v>31</v>
      </c>
      <c r="B35" s="584" t="s">
        <v>592</v>
      </c>
      <c r="C35" s="565">
        <f>SUM(C32:C34)</f>
        <v>162237</v>
      </c>
      <c r="D35" s="565">
        <f>SUM(D32:D34)</f>
        <v>-32596</v>
      </c>
      <c r="E35" s="565">
        <f>SUM(E32:E34)</f>
        <v>161746</v>
      </c>
    </row>
    <row r="36" spans="1:5" ht="15" customHeight="1">
      <c r="A36" s="555">
        <v>32</v>
      </c>
      <c r="B36" s="556" t="s">
        <v>593</v>
      </c>
      <c r="C36" s="570">
        <f>+'[4]nem'!X27</f>
        <v>0</v>
      </c>
      <c r="D36" s="570"/>
      <c r="E36" s="617"/>
    </row>
    <row r="37" spans="1:5" ht="15" customHeight="1">
      <c r="A37" s="555">
        <v>33</v>
      </c>
      <c r="B37" s="556" t="s">
        <v>594</v>
      </c>
      <c r="C37" s="555">
        <f>+C35</f>
        <v>162237</v>
      </c>
      <c r="D37" s="555">
        <v>15671</v>
      </c>
      <c r="E37" s="614"/>
    </row>
    <row r="38" spans="1:5" ht="15" customHeight="1">
      <c r="A38" s="555">
        <v>34</v>
      </c>
      <c r="B38" s="556" t="s">
        <v>595</v>
      </c>
      <c r="C38" s="555">
        <v>35482</v>
      </c>
      <c r="D38" s="555">
        <v>15671</v>
      </c>
      <c r="E38" s="614"/>
    </row>
    <row r="39" spans="1:5" ht="15" customHeight="1" thickBot="1">
      <c r="A39" s="555">
        <v>35</v>
      </c>
      <c r="B39" s="556" t="s">
        <v>596</v>
      </c>
      <c r="C39" s="555">
        <v>126755</v>
      </c>
      <c r="D39" s="555"/>
      <c r="E39" s="615"/>
    </row>
    <row r="40" spans="1:5" ht="15" customHeight="1" thickBot="1">
      <c r="A40" s="549">
        <v>36</v>
      </c>
      <c r="B40" s="584" t="s">
        <v>597</v>
      </c>
      <c r="C40" s="549">
        <f>+C35-C37</f>
        <v>0</v>
      </c>
      <c r="D40" s="549">
        <v>0</v>
      </c>
      <c r="E40" s="549">
        <v>0</v>
      </c>
    </row>
    <row r="41" ht="6.75" customHeight="1"/>
    <row r="42" ht="12" customHeight="1" thickBot="1">
      <c r="A42" s="595" t="s">
        <v>598</v>
      </c>
    </row>
    <row r="43" ht="2.25" customHeight="1" hidden="1">
      <c r="B43" s="595"/>
    </row>
    <row r="44" spans="1:5" ht="13.5" thickBot="1">
      <c r="A44" s="618" t="s">
        <v>9</v>
      </c>
      <c r="B44" s="618" t="s">
        <v>10</v>
      </c>
      <c r="D44" s="552" t="s">
        <v>11</v>
      </c>
      <c r="E44" s="613" t="s">
        <v>12</v>
      </c>
    </row>
    <row r="45" spans="1:5" ht="12.75">
      <c r="A45" s="619">
        <v>1</v>
      </c>
      <c r="B45" s="620" t="s">
        <v>599</v>
      </c>
      <c r="C45" s="621"/>
      <c r="D45" s="586">
        <v>46326</v>
      </c>
      <c r="E45" s="617">
        <f>+'15 1_mell'!D45</f>
        <v>50674</v>
      </c>
    </row>
    <row r="46" spans="1:5" ht="12.75">
      <c r="A46" s="597">
        <v>2</v>
      </c>
      <c r="B46" s="598" t="s">
        <v>600</v>
      </c>
      <c r="C46" s="599"/>
      <c r="D46" s="570">
        <v>1202</v>
      </c>
      <c r="E46" s="614">
        <f>+'15 1_mell'!D46</f>
        <v>7</v>
      </c>
    </row>
    <row r="47" spans="1:5" ht="13.5" thickBot="1">
      <c r="A47" s="600">
        <v>3</v>
      </c>
      <c r="B47" s="601" t="s">
        <v>601</v>
      </c>
      <c r="C47" s="602"/>
      <c r="D47" s="588">
        <v>767</v>
      </c>
      <c r="E47" s="615">
        <f>+'15 1_mell'!D47</f>
        <v>1533</v>
      </c>
    </row>
    <row r="48" spans="1:7" ht="12.75">
      <c r="A48" s="597">
        <v>4</v>
      </c>
      <c r="B48" s="603" t="s">
        <v>602</v>
      </c>
      <c r="C48" s="599"/>
      <c r="D48" s="570">
        <f>SUM(D45:D47)</f>
        <v>48295</v>
      </c>
      <c r="E48" s="599">
        <f>SUM(E45:E47)</f>
        <v>52214</v>
      </c>
      <c r="F48" s="537"/>
      <c r="G48" s="537"/>
    </row>
    <row r="49" spans="1:5" ht="12.75">
      <c r="A49" s="597">
        <v>5</v>
      </c>
      <c r="B49" s="598"/>
      <c r="C49" s="599"/>
      <c r="D49" s="570"/>
      <c r="E49" s="614"/>
    </row>
    <row r="50" spans="1:5" ht="12.75">
      <c r="A50" s="597">
        <v>6</v>
      </c>
      <c r="B50" s="598" t="s">
        <v>114</v>
      </c>
      <c r="C50" s="599"/>
      <c r="D50" s="570">
        <v>2164298</v>
      </c>
      <c r="E50" s="614">
        <v>1910481</v>
      </c>
    </row>
    <row r="51" spans="1:5" ht="12.75">
      <c r="A51" s="597">
        <v>7</v>
      </c>
      <c r="B51" s="598" t="s">
        <v>140</v>
      </c>
      <c r="C51" s="599"/>
      <c r="D51" s="570">
        <v>21640379</v>
      </c>
      <c r="E51" s="614">
        <v>1884738</v>
      </c>
    </row>
    <row r="52" spans="1:7" ht="12.75">
      <c r="A52" s="597">
        <v>8</v>
      </c>
      <c r="B52" s="598"/>
      <c r="C52" s="599"/>
      <c r="D52" s="570"/>
      <c r="E52" s="614"/>
      <c r="F52" s="537"/>
      <c r="G52" s="537"/>
    </row>
    <row r="53" spans="1:5" ht="12.75">
      <c r="A53" s="597">
        <v>9</v>
      </c>
      <c r="B53" s="598" t="s">
        <v>603</v>
      </c>
      <c r="C53" s="599"/>
      <c r="D53" s="570">
        <f>50674+7</f>
        <v>50681</v>
      </c>
      <c r="E53" s="614">
        <f>+'15 1_mell'!D53</f>
        <v>76936</v>
      </c>
    </row>
    <row r="54" spans="1:5" ht="13.5" thickBot="1">
      <c r="A54" s="597">
        <v>10</v>
      </c>
      <c r="B54" s="598" t="s">
        <v>604</v>
      </c>
      <c r="C54" s="599"/>
      <c r="D54" s="570">
        <v>1533</v>
      </c>
      <c r="E54" s="615">
        <f>+'15 1_mell'!D54</f>
        <v>1021</v>
      </c>
    </row>
    <row r="55" spans="1:6" ht="13.5" thickBot="1">
      <c r="A55" s="538">
        <v>11</v>
      </c>
      <c r="B55" s="606" t="s">
        <v>605</v>
      </c>
      <c r="C55" s="607"/>
      <c r="D55" s="565">
        <f>SUM(D53:D54)</f>
        <v>52214</v>
      </c>
      <c r="E55" s="602">
        <f>SUM(E53:E54)</f>
        <v>77957</v>
      </c>
      <c r="F55" s="537"/>
    </row>
    <row r="56" spans="3:4" ht="12.75">
      <c r="C56" s="329"/>
      <c r="D56" s="329"/>
    </row>
    <row r="57" spans="3:4" ht="12.75">
      <c r="C57" s="329"/>
      <c r="D57" s="329"/>
    </row>
    <row r="58" spans="3:4" ht="12.75">
      <c r="C58" s="329"/>
      <c r="D58" s="329"/>
    </row>
    <row r="59" spans="3:4" ht="12.75">
      <c r="C59" s="329"/>
      <c r="D59" s="329"/>
    </row>
    <row r="60" spans="3:4" ht="12.75">
      <c r="C60" s="329"/>
      <c r="D60" s="329"/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Header>&amp;L15. melléklet a 2013. évi költségvetési beszámoló 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2:K32"/>
  <sheetViews>
    <sheetView view="pageBreakPreview" zoomScale="60" workbookViewId="0" topLeftCell="A1">
      <selection activeCell="J31" sqref="J31"/>
    </sheetView>
  </sheetViews>
  <sheetFormatPr defaultColWidth="9.140625" defaultRowHeight="12.75"/>
  <cols>
    <col min="1" max="1" width="6.28125" style="627" customWidth="1"/>
    <col min="2" max="2" width="42.7109375" style="626" bestFit="1" customWidth="1"/>
    <col min="3" max="3" width="12.57421875" style="626" hidden="1" customWidth="1"/>
    <col min="4" max="4" width="14.00390625" style="626" hidden="1" customWidth="1"/>
    <col min="5" max="5" width="17.7109375" style="626" customWidth="1"/>
    <col min="6" max="7" width="9.140625" style="626" customWidth="1"/>
    <col min="9" max="16384" width="9.140625" style="626" customWidth="1"/>
  </cols>
  <sheetData>
    <row r="2" spans="1:8" ht="15.75">
      <c r="A2" s="625" t="s">
        <v>616</v>
      </c>
      <c r="H2" s="626"/>
    </row>
    <row r="3" spans="2:8" ht="15.75">
      <c r="B3" s="628"/>
      <c r="H3" s="626"/>
    </row>
    <row r="4" spans="2:8" ht="15.75">
      <c r="B4" s="628"/>
      <c r="H4" s="626"/>
    </row>
    <row r="5" ht="15.75">
      <c r="H5" s="626"/>
    </row>
    <row r="6" spans="1:8" ht="15.75" customHeight="1">
      <c r="A6" s="626"/>
      <c r="B6" s="867" t="s">
        <v>199</v>
      </c>
      <c r="C6" s="867"/>
      <c r="D6" s="867"/>
      <c r="E6" s="867"/>
      <c r="F6" s="867"/>
      <c r="G6" s="867"/>
      <c r="H6" s="626"/>
    </row>
    <row r="7" spans="1:8" ht="15.75">
      <c r="A7" s="630"/>
      <c r="B7" s="867"/>
      <c r="C7" s="631"/>
      <c r="D7" s="631"/>
      <c r="E7" s="631">
        <v>2012</v>
      </c>
      <c r="F7" s="632" t="s">
        <v>617</v>
      </c>
      <c r="G7" s="632">
        <v>2013</v>
      </c>
      <c r="H7" s="626"/>
    </row>
    <row r="8" spans="1:8" ht="15.75">
      <c r="A8" s="627" t="s">
        <v>9</v>
      </c>
      <c r="B8" s="629" t="s">
        <v>10</v>
      </c>
      <c r="C8" s="631"/>
      <c r="D8" s="631"/>
      <c r="E8" s="631" t="s">
        <v>11</v>
      </c>
      <c r="F8" s="632" t="s">
        <v>12</v>
      </c>
      <c r="G8" s="632" t="s">
        <v>13</v>
      </c>
      <c r="H8" s="626"/>
    </row>
    <row r="9" spans="2:8" ht="15.75">
      <c r="B9" s="629"/>
      <c r="C9" s="631"/>
      <c r="D9" s="631"/>
      <c r="E9" s="629"/>
      <c r="F9" s="633"/>
      <c r="G9" s="633"/>
      <c r="H9" s="626"/>
    </row>
    <row r="10" spans="1:7" s="635" customFormat="1" ht="15.75">
      <c r="A10" s="632" t="s">
        <v>18</v>
      </c>
      <c r="B10" s="634" t="s">
        <v>618</v>
      </c>
      <c r="C10" s="634"/>
      <c r="D10" s="634"/>
      <c r="E10" s="634">
        <v>18897</v>
      </c>
      <c r="F10" s="635">
        <f>+G10-E10</f>
        <v>-2461</v>
      </c>
      <c r="G10" s="635">
        <v>16436</v>
      </c>
    </row>
    <row r="11" spans="1:7" s="635" customFormat="1" ht="15.75">
      <c r="A11" s="632" t="s">
        <v>20</v>
      </c>
      <c r="B11" s="634" t="s">
        <v>619</v>
      </c>
      <c r="C11" s="634"/>
      <c r="D11" s="634"/>
      <c r="E11" s="634">
        <v>26381</v>
      </c>
      <c r="F11" s="635">
        <f>+G11-E11</f>
        <v>7178</v>
      </c>
      <c r="G11" s="635">
        <v>33559</v>
      </c>
    </row>
    <row r="12" spans="1:7" s="635" customFormat="1" ht="15.75">
      <c r="A12" s="632" t="s">
        <v>22</v>
      </c>
      <c r="B12" s="634" t="s">
        <v>620</v>
      </c>
      <c r="C12" s="634"/>
      <c r="D12" s="634"/>
      <c r="E12" s="634">
        <v>1441</v>
      </c>
      <c r="F12" s="634">
        <f>+G12-E12</f>
        <v>248</v>
      </c>
      <c r="G12" s="634">
        <v>1689</v>
      </c>
    </row>
    <row r="13" spans="1:7" s="635" customFormat="1" ht="15.75">
      <c r="A13" s="632" t="s">
        <v>23</v>
      </c>
      <c r="B13" s="636" t="s">
        <v>621</v>
      </c>
      <c r="C13" s="634"/>
      <c r="D13" s="634"/>
      <c r="E13" s="634">
        <v>6382</v>
      </c>
      <c r="F13" s="635">
        <f>+G13-E13</f>
        <v>2298</v>
      </c>
      <c r="G13" s="635">
        <v>8680</v>
      </c>
    </row>
    <row r="14" spans="1:7" s="635" customFormat="1" ht="15.75">
      <c r="A14" s="632" t="s">
        <v>24</v>
      </c>
      <c r="B14" s="636" t="s">
        <v>622</v>
      </c>
      <c r="C14" s="634"/>
      <c r="D14" s="634"/>
      <c r="E14" s="634">
        <v>54</v>
      </c>
      <c r="F14" s="635">
        <f>+G14-E14</f>
        <v>-54</v>
      </c>
      <c r="G14" s="635">
        <v>0</v>
      </c>
    </row>
    <row r="15" spans="1:5" s="635" customFormat="1" ht="15.75">
      <c r="A15" s="632"/>
      <c r="B15" s="636"/>
      <c r="C15" s="634"/>
      <c r="D15" s="634"/>
      <c r="E15" s="634"/>
    </row>
    <row r="16" spans="2:8" ht="15.75">
      <c r="B16" s="637"/>
      <c r="C16" s="638"/>
      <c r="D16" s="638"/>
      <c r="E16" s="638"/>
      <c r="H16" s="626"/>
    </row>
    <row r="17" spans="2:8" ht="15.75">
      <c r="B17" s="637"/>
      <c r="C17" s="638"/>
      <c r="D17" s="638"/>
      <c r="E17" s="638"/>
      <c r="H17" s="626"/>
    </row>
    <row r="18" spans="2:8" ht="15.75">
      <c r="B18" s="639"/>
      <c r="C18" s="640"/>
      <c r="D18" s="640"/>
      <c r="E18" s="640"/>
      <c r="F18" s="640"/>
      <c r="G18" s="640"/>
      <c r="H18" s="626"/>
    </row>
    <row r="19" spans="1:8" ht="15.75">
      <c r="A19" s="626"/>
      <c r="B19" s="639"/>
      <c r="C19" s="640"/>
      <c r="D19" s="640"/>
      <c r="E19" s="640"/>
      <c r="H19" s="626"/>
    </row>
    <row r="20" spans="2:8" ht="15.75">
      <c r="B20" s="640"/>
      <c r="C20" s="640"/>
      <c r="D20" s="640"/>
      <c r="E20" s="640"/>
      <c r="F20" s="635"/>
      <c r="G20" s="641"/>
      <c r="H20" s="626"/>
    </row>
    <row r="21" spans="1:8" ht="15.75">
      <c r="A21" s="626"/>
      <c r="B21" s="640"/>
      <c r="C21" s="638"/>
      <c r="D21" s="638"/>
      <c r="E21" s="638"/>
      <c r="H21" s="626"/>
    </row>
    <row r="22" spans="2:8" ht="15.75">
      <c r="B22" s="639"/>
      <c r="C22" s="640"/>
      <c r="D22" s="640"/>
      <c r="E22" s="640"/>
      <c r="F22" s="635"/>
      <c r="G22" s="641"/>
      <c r="H22" s="626"/>
    </row>
    <row r="23" spans="1:8" ht="15.75">
      <c r="A23" s="626"/>
      <c r="H23" s="626"/>
    </row>
    <row r="24" spans="2:8" ht="15.75">
      <c r="B24" s="628"/>
      <c r="C24" s="628"/>
      <c r="D24" s="628"/>
      <c r="E24" s="628"/>
      <c r="F24" s="635"/>
      <c r="G24" s="635"/>
      <c r="H24" s="626"/>
    </row>
    <row r="25" spans="1:8" ht="15.75">
      <c r="A25" s="626"/>
      <c r="H25" s="626"/>
    </row>
    <row r="26" ht="15.75">
      <c r="H26" s="626"/>
    </row>
    <row r="27" spans="2:11" ht="15.75">
      <c r="B27" s="628"/>
      <c r="C27" s="628"/>
      <c r="D27" s="628"/>
      <c r="E27" s="628"/>
      <c r="F27" s="628"/>
      <c r="G27" s="628"/>
      <c r="H27" s="626"/>
      <c r="K27" s="628"/>
    </row>
    <row r="28" spans="7:8" ht="15.75">
      <c r="G28" s="642"/>
      <c r="H28" s="626"/>
    </row>
    <row r="29" ht="15.75">
      <c r="H29" s="626"/>
    </row>
    <row r="30" ht="15.75">
      <c r="H30" s="626"/>
    </row>
    <row r="31" ht="15.75">
      <c r="H31" s="626"/>
    </row>
    <row r="32" spans="3:8" ht="15.75">
      <c r="C32" s="626">
        <f>+C27-49800</f>
        <v>-49800</v>
      </c>
      <c r="D32" s="626">
        <f>+D27-49800</f>
        <v>-49800</v>
      </c>
      <c r="H32" s="626"/>
    </row>
  </sheetData>
  <mergeCells count="2">
    <mergeCell ref="B6:B7"/>
    <mergeCell ref="C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&amp;L16. melléklet a 2013. évi költségvetési beszámoló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4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12.75"/>
  <cols>
    <col min="1" max="1" width="5.28125" style="153" customWidth="1"/>
    <col min="2" max="2" width="5.00390625" style="24" customWidth="1"/>
    <col min="3" max="3" width="41.28125" style="24" customWidth="1"/>
    <col min="4" max="4" width="11.00390625" style="24" customWidth="1"/>
    <col min="5" max="5" width="14.7109375" style="24" customWidth="1"/>
    <col min="6" max="6" width="14.7109375" style="316" customWidth="1"/>
    <col min="7" max="7" width="8.7109375" style="791" bestFit="1" customWidth="1"/>
    <col min="8" max="8" width="10.421875" style="24" bestFit="1" customWidth="1"/>
    <col min="9" max="9" width="9.140625" style="24" customWidth="1"/>
    <col min="10" max="12" width="10.140625" style="24" bestFit="1" customWidth="1"/>
    <col min="13" max="16384" width="9.140625" style="24" customWidth="1"/>
  </cols>
  <sheetData>
    <row r="1" spans="2:7" ht="15.75">
      <c r="B1" s="28"/>
      <c r="C1" s="28"/>
      <c r="D1" s="26" t="s">
        <v>113</v>
      </c>
      <c r="E1" s="26" t="s">
        <v>113</v>
      </c>
      <c r="F1" s="455" t="s">
        <v>75</v>
      </c>
      <c r="G1" s="789" t="s">
        <v>75</v>
      </c>
    </row>
    <row r="2" spans="2:7" ht="15.75">
      <c r="B2" s="25"/>
      <c r="C2" s="25" t="s">
        <v>140</v>
      </c>
      <c r="D2" s="26" t="s">
        <v>70</v>
      </c>
      <c r="E2" s="26" t="s">
        <v>408</v>
      </c>
      <c r="F2" s="455" t="s">
        <v>551</v>
      </c>
      <c r="G2" s="789" t="s">
        <v>717</v>
      </c>
    </row>
    <row r="3" spans="1:7" s="1" customFormat="1" ht="15.75">
      <c r="A3" s="153" t="s">
        <v>9</v>
      </c>
      <c r="B3" s="25" t="s">
        <v>10</v>
      </c>
      <c r="C3" s="28" t="s">
        <v>11</v>
      </c>
      <c r="D3" s="9" t="s">
        <v>12</v>
      </c>
      <c r="E3" s="9" t="s">
        <v>13</v>
      </c>
      <c r="F3" s="456" t="s">
        <v>14</v>
      </c>
      <c r="G3" s="790"/>
    </row>
    <row r="4" spans="2:3" ht="15.75">
      <c r="B4" s="25"/>
      <c r="C4" s="23"/>
    </row>
    <row r="5" spans="1:7" ht="15.75">
      <c r="A5" s="153" t="s">
        <v>18</v>
      </c>
      <c r="B5" s="25"/>
      <c r="C5" s="25" t="s">
        <v>336</v>
      </c>
      <c r="D5" s="154">
        <f>SUM(D7:D12)</f>
        <v>535990</v>
      </c>
      <c r="E5" s="154">
        <f>SUM(E7:E12)</f>
        <v>990209</v>
      </c>
      <c r="F5" s="154">
        <f>SUM(F7:F12)</f>
        <v>891552</v>
      </c>
      <c r="G5" s="792">
        <f>+F5/E5*100</f>
        <v>90.03674981746278</v>
      </c>
    </row>
    <row r="6" spans="2:3" ht="15.75">
      <c r="B6" s="25"/>
      <c r="C6" s="23"/>
    </row>
    <row r="7" spans="1:8" ht="18" customHeight="1">
      <c r="A7" s="153" t="s">
        <v>20</v>
      </c>
      <c r="B7" s="25" t="s">
        <v>145</v>
      </c>
      <c r="C7" s="23" t="s">
        <v>41</v>
      </c>
      <c r="D7" s="12">
        <f>+4_mell!G24</f>
        <v>70809</v>
      </c>
      <c r="E7" s="12">
        <f>+4_mell!G25</f>
        <v>399972</v>
      </c>
      <c r="F7" s="457">
        <f>+4_mell!G26</f>
        <v>328776</v>
      </c>
      <c r="G7" s="792">
        <f>+F7/E7*100</f>
        <v>82.19975398277879</v>
      </c>
      <c r="H7" s="29"/>
    </row>
    <row r="8" spans="1:7" ht="18" customHeight="1">
      <c r="A8" s="153" t="s">
        <v>22</v>
      </c>
      <c r="B8" s="25" t="s">
        <v>179</v>
      </c>
      <c r="C8" s="23" t="s">
        <v>370</v>
      </c>
      <c r="D8" s="12">
        <f>+4_mell!G30</f>
        <v>145321</v>
      </c>
      <c r="E8" s="12">
        <f>+4_mell!G31</f>
        <v>186330</v>
      </c>
      <c r="F8" s="457">
        <f>+4_mell!G32</f>
        <v>180718</v>
      </c>
      <c r="G8" s="792">
        <f>+F8/E8*100</f>
        <v>96.98813932270703</v>
      </c>
    </row>
    <row r="9" spans="1:7" ht="33" customHeight="1">
      <c r="A9" s="153" t="s">
        <v>23</v>
      </c>
      <c r="B9" s="25" t="s">
        <v>162</v>
      </c>
      <c r="C9" s="155" t="s">
        <v>180</v>
      </c>
      <c r="D9" s="12">
        <f>+4_mell!G12</f>
        <v>119002</v>
      </c>
      <c r="E9" s="12">
        <f>+4_mell!G13</f>
        <v>132304</v>
      </c>
      <c r="F9" s="457">
        <f>+4_mell!G14</f>
        <v>126887</v>
      </c>
      <c r="G9" s="792">
        <f>+F9/E9*100</f>
        <v>95.90564155278753</v>
      </c>
    </row>
    <row r="10" spans="1:7" ht="18" customHeight="1">
      <c r="A10" s="153" t="s">
        <v>24</v>
      </c>
      <c r="B10" s="25" t="s">
        <v>175</v>
      </c>
      <c r="C10" s="23" t="str">
        <f>'[1]2mell_2'!A110</f>
        <v>Városellátó Szervezet</v>
      </c>
      <c r="D10" s="12">
        <f>+4_mell!G6</f>
        <v>182110</v>
      </c>
      <c r="E10" s="12">
        <f>+4_mell!G7</f>
        <v>240971</v>
      </c>
      <c r="F10" s="457">
        <f>+4_mell!G8</f>
        <v>229064</v>
      </c>
      <c r="G10" s="792">
        <f>+F10/E10*100</f>
        <v>95.05874150831428</v>
      </c>
    </row>
    <row r="11" spans="1:7" ht="30.75">
      <c r="A11" s="153" t="s">
        <v>25</v>
      </c>
      <c r="B11" s="25" t="s">
        <v>181</v>
      </c>
      <c r="C11" s="155" t="str">
        <f>+'[2]kiadás'!B24</f>
        <v>Városi Művelődési Központ és Könyvtár</v>
      </c>
      <c r="D11" s="12">
        <f>+4_mell!G18</f>
        <v>18748</v>
      </c>
      <c r="E11" s="12">
        <f>+4_mell!G19</f>
        <v>30632</v>
      </c>
      <c r="F11" s="457">
        <f>+4_mell!G20</f>
        <v>26107</v>
      </c>
      <c r="G11" s="792">
        <f>+F11/E11*100</f>
        <v>85.22786628362496</v>
      </c>
    </row>
    <row r="13" spans="1:7" ht="15.75">
      <c r="A13" s="153" t="s">
        <v>26</v>
      </c>
      <c r="B13" s="25" t="s">
        <v>182</v>
      </c>
      <c r="C13" s="25" t="s">
        <v>187</v>
      </c>
      <c r="D13" s="154">
        <f>SUM(D14:D15)</f>
        <v>184300</v>
      </c>
      <c r="E13" s="154">
        <f>SUM(E14:E15)</f>
        <v>175962</v>
      </c>
      <c r="F13" s="154">
        <f>SUM(F14:F15)</f>
        <v>174762</v>
      </c>
      <c r="G13" s="792">
        <f>+F13/E13*100</f>
        <v>99.31803457564702</v>
      </c>
    </row>
    <row r="14" spans="1:7" ht="15.75">
      <c r="A14" s="153" t="s">
        <v>27</v>
      </c>
      <c r="B14" s="25"/>
      <c r="C14" s="23" t="s">
        <v>188</v>
      </c>
      <c r="D14" s="31">
        <f>+6_mell!F39</f>
        <v>37473.899999999994</v>
      </c>
      <c r="E14" s="31">
        <v>47652</v>
      </c>
      <c r="F14" s="154">
        <f>+6_mell!K39</f>
        <v>32914</v>
      </c>
      <c r="G14" s="792">
        <f>+F14/E14*100</f>
        <v>69.07160245110383</v>
      </c>
    </row>
    <row r="15" spans="1:7" ht="15.75">
      <c r="A15" s="153" t="s">
        <v>28</v>
      </c>
      <c r="B15" s="25"/>
      <c r="C15" s="23" t="s">
        <v>189</v>
      </c>
      <c r="D15" s="31">
        <f>+6_mell!G39</f>
        <v>146826.1</v>
      </c>
      <c r="E15" s="31">
        <v>128310</v>
      </c>
      <c r="F15" s="154">
        <f>+6_mell!L39</f>
        <v>141848</v>
      </c>
      <c r="G15" s="792">
        <f>+F15/E15*100</f>
        <v>110.55100927441353</v>
      </c>
    </row>
    <row r="16" spans="2:3" ht="15.75">
      <c r="B16" s="25"/>
      <c r="C16" s="23"/>
    </row>
    <row r="17" spans="1:7" ht="15.75">
      <c r="A17" s="153" t="s">
        <v>29</v>
      </c>
      <c r="B17" s="25" t="s">
        <v>183</v>
      </c>
      <c r="C17" s="25" t="s">
        <v>190</v>
      </c>
      <c r="D17" s="16">
        <f>+5_mell!C27</f>
        <v>18550</v>
      </c>
      <c r="E17" s="16">
        <f>+5_mell!D27</f>
        <v>46068</v>
      </c>
      <c r="F17" s="457">
        <f>+5_mell!E27</f>
        <v>46067</v>
      </c>
      <c r="G17" s="792">
        <f>+F17/E17*100</f>
        <v>99.99782929582356</v>
      </c>
    </row>
    <row r="18" spans="2:3" ht="15.75">
      <c r="B18" s="25"/>
      <c r="C18" s="25"/>
    </row>
    <row r="19" spans="1:7" ht="15.75">
      <c r="A19" s="153" t="s">
        <v>30</v>
      </c>
      <c r="B19" s="25" t="s">
        <v>184</v>
      </c>
      <c r="C19" s="25" t="s">
        <v>191</v>
      </c>
      <c r="D19" s="16">
        <f>+5_mell!C31</f>
        <v>3000</v>
      </c>
      <c r="E19" s="16">
        <f>+5_mell!D31</f>
        <v>3000</v>
      </c>
      <c r="F19" s="457">
        <f>+5_mell!E31</f>
        <v>3000</v>
      </c>
      <c r="G19" s="792">
        <f>+F19/E19*100</f>
        <v>100</v>
      </c>
    </row>
    <row r="20" spans="2:3" ht="15.75">
      <c r="B20" s="25"/>
      <c r="C20" s="23"/>
    </row>
    <row r="21" spans="1:7" ht="15.75">
      <c r="A21" s="153" t="s">
        <v>31</v>
      </c>
      <c r="B21" s="25" t="s">
        <v>185</v>
      </c>
      <c r="C21" s="25" t="s">
        <v>192</v>
      </c>
      <c r="D21" s="154">
        <f>SUM(D22:D23)</f>
        <v>0</v>
      </c>
      <c r="E21" s="462">
        <f>SUM(E22:E23)</f>
        <v>66544</v>
      </c>
      <c r="F21" s="462">
        <f>SUM(F22:F23)</f>
        <v>45148</v>
      </c>
      <c r="G21" s="792">
        <f>+F21/E21*100</f>
        <v>67.84683818225535</v>
      </c>
    </row>
    <row r="22" spans="1:7" ht="15.75">
      <c r="A22" s="153" t="s">
        <v>32</v>
      </c>
      <c r="B22" s="25"/>
      <c r="C22" s="23" t="s">
        <v>193</v>
      </c>
      <c r="D22" s="29">
        <f>+7_mell!C53</f>
        <v>0</v>
      </c>
      <c r="E22" s="29">
        <f>+7_mell!D53</f>
        <v>56738</v>
      </c>
      <c r="F22" s="316">
        <v>35342</v>
      </c>
      <c r="G22" s="792">
        <f>+F22/E22*100</f>
        <v>62.289823398780364</v>
      </c>
    </row>
    <row r="23" spans="1:7" ht="15.75">
      <c r="A23" s="153" t="s">
        <v>33</v>
      </c>
      <c r="B23" s="25"/>
      <c r="C23" s="23" t="s">
        <v>194</v>
      </c>
      <c r="D23" s="24">
        <f>+7_mell!C54</f>
        <v>0</v>
      </c>
      <c r="E23" s="24">
        <f>+7_mell!D54</f>
        <v>9806</v>
      </c>
      <c r="F23" s="316">
        <v>9806</v>
      </c>
      <c r="G23" s="792">
        <f>+F23/E23*100</f>
        <v>100</v>
      </c>
    </row>
    <row r="24" spans="2:3" ht="15.75">
      <c r="B24" s="25"/>
      <c r="C24" s="23"/>
    </row>
    <row r="25" spans="1:7" s="1" customFormat="1" ht="15.75">
      <c r="A25" s="153" t="s">
        <v>34</v>
      </c>
      <c r="C25" s="25" t="s">
        <v>196</v>
      </c>
      <c r="D25" s="13">
        <f>+D21+D19+D17+D13+D5</f>
        <v>741840</v>
      </c>
      <c r="E25" s="13">
        <f>+E21+E19+E17+E13+E5</f>
        <v>1281783</v>
      </c>
      <c r="F25" s="13">
        <f>+F21+F19+F17+F13+F5</f>
        <v>1160529</v>
      </c>
      <c r="G25" s="792">
        <f>+F25/E25*100</f>
        <v>90.540208444019</v>
      </c>
    </row>
    <row r="26" ht="13.5" customHeight="1"/>
    <row r="27" spans="1:7" ht="15.75">
      <c r="A27" s="153" t="s">
        <v>35</v>
      </c>
      <c r="B27" s="1" t="s">
        <v>186</v>
      </c>
      <c r="C27" s="25" t="s">
        <v>223</v>
      </c>
      <c r="D27" s="16">
        <f>SUM(D28:D30)</f>
        <v>25458</v>
      </c>
      <c r="E27" s="16">
        <f>SUM(E28:E30)</f>
        <v>25458</v>
      </c>
      <c r="F27" s="16">
        <f>SUM(F28:F31)</f>
        <v>201760</v>
      </c>
      <c r="G27" s="793"/>
    </row>
    <row r="28" spans="1:12" ht="15.75">
      <c r="A28" s="153" t="s">
        <v>36</v>
      </c>
      <c r="B28" s="1"/>
      <c r="C28" s="23" t="s">
        <v>224</v>
      </c>
      <c r="D28" s="29">
        <f>+'11_mell'!G8</f>
        <v>1050</v>
      </c>
      <c r="E28" s="29">
        <f>+D28</f>
        <v>1050</v>
      </c>
      <c r="F28" s="316">
        <v>1050</v>
      </c>
      <c r="L28" s="29"/>
    </row>
    <row r="29" spans="1:6" ht="15.75">
      <c r="A29" s="153" t="s">
        <v>37</v>
      </c>
      <c r="B29" s="12"/>
      <c r="C29" s="153" t="s">
        <v>409</v>
      </c>
      <c r="D29" s="29">
        <v>16272</v>
      </c>
      <c r="E29" s="29">
        <f>+D29</f>
        <v>16272</v>
      </c>
      <c r="F29" s="316">
        <v>16632</v>
      </c>
    </row>
    <row r="30" spans="1:6" ht="30">
      <c r="A30" s="153" t="s">
        <v>40</v>
      </c>
      <c r="C30" s="458" t="s">
        <v>410</v>
      </c>
      <c r="D30" s="29">
        <v>8136</v>
      </c>
      <c r="E30" s="29">
        <f>+D30</f>
        <v>8136</v>
      </c>
      <c r="F30" s="316">
        <v>5918</v>
      </c>
    </row>
    <row r="31" spans="1:6" ht="15.75">
      <c r="A31" s="153" t="s">
        <v>43</v>
      </c>
      <c r="C31" s="153" t="s">
        <v>651</v>
      </c>
      <c r="D31" s="29"/>
      <c r="E31" s="16"/>
      <c r="F31" s="316">
        <f>89080*2</f>
        <v>178160</v>
      </c>
    </row>
    <row r="32" spans="3:5" ht="15.75">
      <c r="C32" s="153"/>
      <c r="D32" s="29"/>
      <c r="E32" s="16"/>
    </row>
    <row r="33" spans="1:7" ht="15.75">
      <c r="A33" s="153" t="s">
        <v>44</v>
      </c>
      <c r="B33" s="12" t="s">
        <v>415</v>
      </c>
      <c r="C33" s="12" t="s">
        <v>416</v>
      </c>
      <c r="D33" s="29"/>
      <c r="E33" s="16">
        <v>400</v>
      </c>
      <c r="F33" s="457">
        <f>+E33</f>
        <v>400</v>
      </c>
      <c r="G33" s="792">
        <f>+F33/E33*100</f>
        <v>100</v>
      </c>
    </row>
    <row r="34" spans="2:5" ht="15.75">
      <c r="B34" s="12"/>
      <c r="C34" s="12"/>
      <c r="D34" s="29"/>
      <c r="E34" s="16"/>
    </row>
    <row r="35" spans="1:6" ht="15.75">
      <c r="A35" s="153" t="s">
        <v>45</v>
      </c>
      <c r="B35" s="12"/>
      <c r="C35" s="12" t="s">
        <v>668</v>
      </c>
      <c r="D35" s="29"/>
      <c r="E35" s="16"/>
      <c r="F35" s="316">
        <f>+4_mell!P38</f>
        <v>-8351</v>
      </c>
    </row>
    <row r="36" spans="1:6" ht="15">
      <c r="A36" s="153" t="s">
        <v>46</v>
      </c>
      <c r="C36" s="24" t="s">
        <v>669</v>
      </c>
      <c r="F36" s="316">
        <f>+4_mell!R38</f>
        <v>77957</v>
      </c>
    </row>
    <row r="39" spans="1:7" ht="15.75">
      <c r="A39" s="153" t="s">
        <v>47</v>
      </c>
      <c r="B39" s="25"/>
      <c r="C39" s="25" t="s">
        <v>38</v>
      </c>
      <c r="D39" s="31">
        <f>+D27+D25</f>
        <v>767298</v>
      </c>
      <c r="E39" s="31">
        <f>+E27+E25+E33</f>
        <v>1307641</v>
      </c>
      <c r="F39" s="31">
        <f>+F36+F35+F33+F27+F25</f>
        <v>1432295</v>
      </c>
      <c r="G39" s="792">
        <f>+F39/E39*100</f>
        <v>109.53273872569001</v>
      </c>
    </row>
    <row r="40" spans="1:6" ht="15.75">
      <c r="A40" s="153" t="s">
        <v>48</v>
      </c>
      <c r="B40" s="25"/>
      <c r="C40" s="23" t="s">
        <v>197</v>
      </c>
      <c r="D40" s="29">
        <f>+1_mell!D116</f>
        <v>767298</v>
      </c>
      <c r="E40" s="29">
        <f>+1_mell!E116</f>
        <v>1307641</v>
      </c>
      <c r="F40" s="29">
        <f>+1_mell!F122</f>
        <v>1432295</v>
      </c>
    </row>
    <row r="42" spans="4:6" ht="15">
      <c r="D42" s="316">
        <f>+D40-D39</f>
        <v>0</v>
      </c>
      <c r="E42" s="316">
        <f>+E40-E39</f>
        <v>0</v>
      </c>
      <c r="F42" s="316">
        <f>+F40-F39</f>
        <v>0</v>
      </c>
    </row>
    <row r="44" ht="15">
      <c r="E44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&amp;L2. melléklet a 2013. évi költségvetési beszámoló  rendelethez&amp;R&amp;D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view="pageBreakPreview" zoomScale="60" workbookViewId="0" topLeftCell="A1">
      <selection activeCell="C23" sqref="C23"/>
    </sheetView>
  </sheetViews>
  <sheetFormatPr defaultColWidth="9.140625" defaultRowHeight="12.75"/>
  <cols>
    <col min="1" max="1" width="3.140625" style="453" customWidth="1"/>
    <col min="2" max="2" width="39.00390625" style="126" bestFit="1" customWidth="1"/>
    <col min="3" max="3" width="14.8515625" style="665" customWidth="1"/>
    <col min="4" max="4" width="15.00390625" style="126" customWidth="1"/>
    <col min="5" max="5" width="13.140625" style="126" customWidth="1"/>
    <col min="6" max="6" width="10.8515625" style="126" customWidth="1"/>
    <col min="7" max="7" width="13.28125" style="126" customWidth="1"/>
    <col min="8" max="8" width="15.00390625" style="126" customWidth="1"/>
    <col min="9" max="9" width="9.140625" style="759" customWidth="1"/>
    <col min="10" max="16384" width="9.140625" style="126" customWidth="1"/>
  </cols>
  <sheetData>
    <row r="1" spans="2:8" ht="12.75">
      <c r="B1" s="758" t="s">
        <v>694</v>
      </c>
      <c r="C1" s="758"/>
      <c r="D1" s="758"/>
      <c r="E1" s="758"/>
      <c r="F1" s="758"/>
      <c r="G1" s="758"/>
      <c r="H1" s="758"/>
    </row>
    <row r="2" spans="1:8" ht="13.5" thickBot="1">
      <c r="A2" s="453" t="s">
        <v>9</v>
      </c>
      <c r="B2" s="643" t="s">
        <v>10</v>
      </c>
      <c r="C2" s="643" t="s">
        <v>11</v>
      </c>
      <c r="D2" s="643" t="s">
        <v>12</v>
      </c>
      <c r="E2" s="643" t="s">
        <v>13</v>
      </c>
      <c r="F2" s="643" t="s">
        <v>14</v>
      </c>
      <c r="G2" s="643" t="s">
        <v>15</v>
      </c>
      <c r="H2" s="643" t="s">
        <v>16</v>
      </c>
    </row>
    <row r="3" spans="1:8" ht="67.5" customHeight="1" thickBot="1">
      <c r="A3" s="644" t="s">
        <v>18</v>
      </c>
      <c r="B3" s="645" t="s">
        <v>623</v>
      </c>
      <c r="C3" s="646" t="s">
        <v>290</v>
      </c>
      <c r="D3" s="645" t="s">
        <v>370</v>
      </c>
      <c r="E3" s="645" t="s">
        <v>624</v>
      </c>
      <c r="F3" s="647" t="s">
        <v>66</v>
      </c>
      <c r="G3" s="648" t="s">
        <v>560</v>
      </c>
      <c r="H3" s="739" t="s">
        <v>561</v>
      </c>
    </row>
    <row r="4" spans="1:8" ht="15.75" customHeight="1">
      <c r="A4" s="649" t="s">
        <v>20</v>
      </c>
      <c r="B4" s="650" t="s">
        <v>625</v>
      </c>
      <c r="C4" s="651"/>
      <c r="D4" s="652"/>
      <c r="E4" s="652"/>
      <c r="F4" s="653"/>
      <c r="G4" s="653"/>
      <c r="H4" s="740"/>
    </row>
    <row r="5" spans="1:8" ht="12.75">
      <c r="A5" s="654" t="s">
        <v>22</v>
      </c>
      <c r="B5" s="814" t="s">
        <v>626</v>
      </c>
      <c r="C5" s="655">
        <f aca="true" t="shared" si="0" ref="C5:C28">SUM(D5:H5)</f>
        <v>1302</v>
      </c>
      <c r="D5" s="656">
        <v>1181</v>
      </c>
      <c r="E5" s="656">
        <v>121</v>
      </c>
      <c r="F5" s="657"/>
      <c r="G5" s="657"/>
      <c r="H5" s="741"/>
    </row>
    <row r="6" spans="1:8" ht="12.75">
      <c r="A6" s="654" t="s">
        <v>23</v>
      </c>
      <c r="B6" s="814" t="s">
        <v>627</v>
      </c>
      <c r="C6" s="655">
        <f t="shared" si="0"/>
        <v>2638078</v>
      </c>
      <c r="D6" s="656">
        <v>53811</v>
      </c>
      <c r="E6" s="656">
        <v>101498</v>
      </c>
      <c r="F6" s="657">
        <v>86384</v>
      </c>
      <c r="G6" s="657">
        <v>2204057</v>
      </c>
      <c r="H6" s="741">
        <v>192328</v>
      </c>
    </row>
    <row r="7" spans="1:8" ht="12.75">
      <c r="A7" s="654" t="s">
        <v>24</v>
      </c>
      <c r="B7" s="814" t="s">
        <v>628</v>
      </c>
      <c r="C7" s="655">
        <f t="shared" si="0"/>
        <v>25854</v>
      </c>
      <c r="D7" s="656">
        <v>0</v>
      </c>
      <c r="E7" s="656">
        <v>25854</v>
      </c>
      <c r="F7" s="657"/>
      <c r="G7" s="657"/>
      <c r="H7" s="741"/>
    </row>
    <row r="8" spans="1:8" ht="12.75">
      <c r="A8" s="654" t="s">
        <v>25</v>
      </c>
      <c r="B8" s="814" t="s">
        <v>629</v>
      </c>
      <c r="C8" s="655">
        <f t="shared" si="0"/>
        <v>1114274</v>
      </c>
      <c r="D8" s="656"/>
      <c r="E8" s="656"/>
      <c r="F8" s="657"/>
      <c r="G8" s="657">
        <v>1114274</v>
      </c>
      <c r="H8" s="741"/>
    </row>
    <row r="9" spans="1:8" ht="15" customHeight="1">
      <c r="A9" s="654" t="s">
        <v>26</v>
      </c>
      <c r="B9" s="814" t="s">
        <v>630</v>
      </c>
      <c r="C9" s="655">
        <f t="shared" si="0"/>
        <v>3779508</v>
      </c>
      <c r="D9" s="656">
        <f>SUM(D5:D8)</f>
        <v>54992</v>
      </c>
      <c r="E9" s="656">
        <f>SUM(E5:E8)</f>
        <v>127473</v>
      </c>
      <c r="F9" s="656">
        <f>SUM(F5:F8)</f>
        <v>86384</v>
      </c>
      <c r="G9" s="656">
        <f>SUM(G5:G8)</f>
        <v>3318331</v>
      </c>
      <c r="H9" s="742">
        <f>SUM(H5:H8)</f>
        <v>192328</v>
      </c>
    </row>
    <row r="10" spans="1:8" ht="15" customHeight="1">
      <c r="A10" s="654" t="s">
        <v>27</v>
      </c>
      <c r="B10" s="814" t="s">
        <v>631</v>
      </c>
      <c r="C10" s="655">
        <f t="shared" si="0"/>
        <v>4692</v>
      </c>
      <c r="D10" s="656"/>
      <c r="E10" s="656">
        <v>6</v>
      </c>
      <c r="F10" s="657"/>
      <c r="G10" s="657">
        <v>4686</v>
      </c>
      <c r="H10" s="741"/>
    </row>
    <row r="11" spans="1:8" ht="15" customHeight="1">
      <c r="A11" s="654" t="s">
        <v>28</v>
      </c>
      <c r="B11" s="814" t="s">
        <v>632</v>
      </c>
      <c r="C11" s="655">
        <f t="shared" si="0"/>
        <v>60364</v>
      </c>
      <c r="D11" s="656">
        <v>12578</v>
      </c>
      <c r="E11" s="656">
        <v>29093</v>
      </c>
      <c r="F11" s="657">
        <v>0</v>
      </c>
      <c r="G11" s="657">
        <v>13993</v>
      </c>
      <c r="H11" s="741">
        <v>4700</v>
      </c>
    </row>
    <row r="12" spans="1:8" ht="15" customHeight="1">
      <c r="A12" s="654" t="s">
        <v>29</v>
      </c>
      <c r="B12" s="814" t="s">
        <v>633</v>
      </c>
      <c r="C12" s="655">
        <f t="shared" si="0"/>
        <v>0</v>
      </c>
      <c r="D12" s="656">
        <v>0</v>
      </c>
      <c r="E12" s="656">
        <v>0</v>
      </c>
      <c r="F12" s="657"/>
      <c r="G12" s="657">
        <v>0</v>
      </c>
      <c r="H12" s="741"/>
    </row>
    <row r="13" spans="1:8" ht="15" customHeight="1">
      <c r="A13" s="654" t="s">
        <v>30</v>
      </c>
      <c r="B13" s="814" t="s">
        <v>634</v>
      </c>
      <c r="C13" s="655">
        <f t="shared" si="0"/>
        <v>78319</v>
      </c>
      <c r="D13" s="656">
        <v>261</v>
      </c>
      <c r="E13" s="656">
        <v>75819</v>
      </c>
      <c r="F13" s="657">
        <v>268</v>
      </c>
      <c r="G13" s="657">
        <v>1355</v>
      </c>
      <c r="H13" s="741">
        <v>616</v>
      </c>
    </row>
    <row r="14" spans="1:8" ht="25.5">
      <c r="A14" s="654" t="s">
        <v>31</v>
      </c>
      <c r="B14" s="814" t="s">
        <v>635</v>
      </c>
      <c r="C14" s="655">
        <f t="shared" si="0"/>
        <v>1951</v>
      </c>
      <c r="D14" s="656">
        <v>713</v>
      </c>
      <c r="E14" s="656">
        <v>943</v>
      </c>
      <c r="F14" s="657">
        <v>1</v>
      </c>
      <c r="G14" s="657">
        <v>10</v>
      </c>
      <c r="H14" s="741">
        <v>284</v>
      </c>
    </row>
    <row r="15" spans="1:9" ht="15" customHeight="1" thickBot="1">
      <c r="A15" s="760" t="s">
        <v>32</v>
      </c>
      <c r="B15" s="761" t="s">
        <v>636</v>
      </c>
      <c r="C15" s="658">
        <f t="shared" si="0"/>
        <v>145326</v>
      </c>
      <c r="D15" s="762">
        <f>SUM(D10:D14)</f>
        <v>13552</v>
      </c>
      <c r="E15" s="762">
        <f>SUM(E10:E14)</f>
        <v>105861</v>
      </c>
      <c r="F15" s="762">
        <f>SUM(F10:F14)</f>
        <v>269</v>
      </c>
      <c r="G15" s="762">
        <f>SUM(G10:G14)</f>
        <v>20044</v>
      </c>
      <c r="H15" s="763">
        <f>SUM(H10:H14)</f>
        <v>5600</v>
      </c>
      <c r="I15" s="126"/>
    </row>
    <row r="16" spans="1:8" s="664" customFormat="1" ht="18" customHeight="1" thickBot="1">
      <c r="A16" s="660" t="s">
        <v>33</v>
      </c>
      <c r="B16" s="661" t="s">
        <v>637</v>
      </c>
      <c r="C16" s="659">
        <f t="shared" si="0"/>
        <v>3924834</v>
      </c>
      <c r="D16" s="659">
        <f>+D15+D9</f>
        <v>68544</v>
      </c>
      <c r="E16" s="659">
        <f>+E15+E9</f>
        <v>233334</v>
      </c>
      <c r="F16" s="659">
        <f>+F15+F9</f>
        <v>86653</v>
      </c>
      <c r="G16" s="659">
        <f>+G15+G9</f>
        <v>3338375</v>
      </c>
      <c r="H16" s="764">
        <f>+H15+H9</f>
        <v>197928</v>
      </c>
    </row>
    <row r="17" spans="1:8" ht="18" customHeight="1">
      <c r="A17" s="649" t="s">
        <v>34</v>
      </c>
      <c r="B17" s="650" t="s">
        <v>638</v>
      </c>
      <c r="C17" s="651">
        <f t="shared" si="0"/>
        <v>0</v>
      </c>
      <c r="D17" s="652"/>
      <c r="E17" s="652"/>
      <c r="F17" s="653"/>
      <c r="G17" s="653"/>
      <c r="H17" s="740"/>
    </row>
    <row r="18" spans="1:8" ht="15" customHeight="1">
      <c r="A18" s="654" t="s">
        <v>35</v>
      </c>
      <c r="B18" s="814" t="s">
        <v>639</v>
      </c>
      <c r="C18" s="655">
        <f t="shared" si="0"/>
        <v>3474654</v>
      </c>
      <c r="D18" s="656"/>
      <c r="E18" s="656">
        <v>288777</v>
      </c>
      <c r="F18" s="657">
        <v>74120</v>
      </c>
      <c r="G18" s="657">
        <v>3048873</v>
      </c>
      <c r="H18" s="741">
        <v>62884</v>
      </c>
    </row>
    <row r="19" spans="1:8" ht="15" customHeight="1">
      <c r="A19" s="654" t="s">
        <v>36</v>
      </c>
      <c r="B19" s="814" t="s">
        <v>640</v>
      </c>
      <c r="C19" s="655">
        <f t="shared" si="0"/>
        <v>60967</v>
      </c>
      <c r="D19" s="656">
        <v>61476</v>
      </c>
      <c r="E19" s="656">
        <v>-390224</v>
      </c>
      <c r="F19" s="657">
        <v>10335</v>
      </c>
      <c r="G19" s="657">
        <v>248875</v>
      </c>
      <c r="H19" s="741">
        <v>130505</v>
      </c>
    </row>
    <row r="20" spans="1:9" ht="15" customHeight="1">
      <c r="A20" s="654" t="s">
        <v>37</v>
      </c>
      <c r="B20" s="814" t="s">
        <v>641</v>
      </c>
      <c r="C20" s="655">
        <f t="shared" si="0"/>
        <v>3535621</v>
      </c>
      <c r="D20" s="656">
        <f>SUM(D18:D19)</f>
        <v>61476</v>
      </c>
      <c r="E20" s="656">
        <f>SUM(E18:E19)</f>
        <v>-101447</v>
      </c>
      <c r="F20" s="656">
        <f>SUM(F18:F19)</f>
        <v>84455</v>
      </c>
      <c r="G20" s="656">
        <f>SUM(G18:G19)</f>
        <v>3297748</v>
      </c>
      <c r="H20" s="742">
        <f>SUM(H18:H19)</f>
        <v>193389</v>
      </c>
      <c r="I20" s="126"/>
    </row>
    <row r="21" spans="1:8" ht="15" customHeight="1">
      <c r="A21" s="654" t="s">
        <v>40</v>
      </c>
      <c r="B21" s="814" t="s">
        <v>642</v>
      </c>
      <c r="C21" s="655">
        <f t="shared" si="0"/>
        <v>79908</v>
      </c>
      <c r="D21" s="656">
        <v>974</v>
      </c>
      <c r="E21" s="656">
        <v>76400</v>
      </c>
      <c r="F21" s="657">
        <v>269</v>
      </c>
      <c r="G21" s="657">
        <v>1365</v>
      </c>
      <c r="H21" s="741">
        <v>900</v>
      </c>
    </row>
    <row r="22" spans="1:8" ht="15" customHeight="1">
      <c r="A22" s="654" t="s">
        <v>43</v>
      </c>
      <c r="B22" s="814" t="s">
        <v>643</v>
      </c>
      <c r="C22" s="655">
        <f t="shared" si="0"/>
        <v>0</v>
      </c>
      <c r="D22" s="656"/>
      <c r="E22" s="656"/>
      <c r="F22" s="657"/>
      <c r="G22" s="657">
        <v>0</v>
      </c>
      <c r="H22" s="741"/>
    </row>
    <row r="23" spans="1:9" ht="15" customHeight="1">
      <c r="A23" s="654" t="s">
        <v>44</v>
      </c>
      <c r="B23" s="814" t="s">
        <v>644</v>
      </c>
      <c r="C23" s="655">
        <f t="shared" si="0"/>
        <v>79908</v>
      </c>
      <c r="D23" s="656">
        <f>SUM(D21:D22)</f>
        <v>974</v>
      </c>
      <c r="E23" s="656">
        <f>SUM(E21:E22)</f>
        <v>76400</v>
      </c>
      <c r="F23" s="656">
        <f>SUM(F21:F22)</f>
        <v>269</v>
      </c>
      <c r="G23" s="656">
        <f>SUM(G21:G22)</f>
        <v>1365</v>
      </c>
      <c r="H23" s="742">
        <f>SUM(H21:H22)</f>
        <v>900</v>
      </c>
      <c r="I23" s="126"/>
    </row>
    <row r="24" spans="1:8" ht="15" customHeight="1">
      <c r="A24" s="654" t="s">
        <v>45</v>
      </c>
      <c r="B24" s="814" t="s">
        <v>645</v>
      </c>
      <c r="C24" s="655">
        <f t="shared" si="0"/>
        <v>0</v>
      </c>
      <c r="D24" s="656"/>
      <c r="E24" s="656">
        <v>0</v>
      </c>
      <c r="F24" s="657"/>
      <c r="G24" s="657"/>
      <c r="H24" s="741"/>
    </row>
    <row r="25" spans="1:8" ht="25.5" customHeight="1">
      <c r="A25" s="654" t="s">
        <v>46</v>
      </c>
      <c r="B25" s="814" t="s">
        <v>646</v>
      </c>
      <c r="C25" s="655">
        <f t="shared" si="0"/>
        <v>308943</v>
      </c>
      <c r="D25" s="656">
        <v>6094</v>
      </c>
      <c r="E25" s="656">
        <v>258019</v>
      </c>
      <c r="F25" s="657">
        <v>1929</v>
      </c>
      <c r="G25" s="657">
        <v>39262</v>
      </c>
      <c r="H25" s="741">
        <v>3639</v>
      </c>
    </row>
    <row r="26" spans="1:8" ht="27" customHeight="1">
      <c r="A26" s="654" t="s">
        <v>47</v>
      </c>
      <c r="B26" s="814" t="s">
        <v>647</v>
      </c>
      <c r="C26" s="655">
        <f t="shared" si="0"/>
        <v>362</v>
      </c>
      <c r="D26" s="656">
        <v>0</v>
      </c>
      <c r="E26" s="656">
        <v>362</v>
      </c>
      <c r="F26" s="657">
        <v>0</v>
      </c>
      <c r="G26" s="657">
        <v>0</v>
      </c>
      <c r="H26" s="741"/>
    </row>
    <row r="27" spans="1:9" ht="15" customHeight="1" thickBot="1">
      <c r="A27" s="760" t="s">
        <v>48</v>
      </c>
      <c r="B27" s="761" t="s">
        <v>648</v>
      </c>
      <c r="C27" s="658">
        <f t="shared" si="0"/>
        <v>309305</v>
      </c>
      <c r="D27" s="762">
        <f>SUM(D24:D26)</f>
        <v>6094</v>
      </c>
      <c r="E27" s="762">
        <f>SUM(E24:E26)</f>
        <v>258381</v>
      </c>
      <c r="F27" s="762">
        <f>SUM(F24:F26)</f>
        <v>1929</v>
      </c>
      <c r="G27" s="762">
        <f>SUM(G24:G26)</f>
        <v>39262</v>
      </c>
      <c r="H27" s="763">
        <f>SUM(H24:H26)</f>
        <v>3639</v>
      </c>
      <c r="I27" s="126"/>
    </row>
    <row r="28" spans="1:8" s="664" customFormat="1" ht="18" customHeight="1" thickBot="1">
      <c r="A28" s="660" t="s">
        <v>49</v>
      </c>
      <c r="B28" s="661" t="s">
        <v>649</v>
      </c>
      <c r="C28" s="659">
        <f t="shared" si="0"/>
        <v>3924834</v>
      </c>
      <c r="D28" s="662">
        <f>+D27+D23+D20</f>
        <v>68544</v>
      </c>
      <c r="E28" s="662">
        <f>+E27+E23+E20</f>
        <v>233334</v>
      </c>
      <c r="F28" s="662">
        <f>+F27+F23+F20</f>
        <v>86653</v>
      </c>
      <c r="G28" s="662">
        <f>+G27+G23+G20</f>
        <v>3338375</v>
      </c>
      <c r="H28" s="663">
        <f>+H27+H23+H20</f>
        <v>197928</v>
      </c>
    </row>
  </sheetData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Header>&amp;L17. melléklet a 2013. évi költségvetési beszámoló 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tabSelected="1" view="pageBreakPreview" zoomScale="60" workbookViewId="0" topLeftCell="A1">
      <selection activeCell="D31" sqref="D31"/>
    </sheetView>
  </sheetViews>
  <sheetFormatPr defaultColWidth="9.140625" defaultRowHeight="12.75"/>
  <cols>
    <col min="1" max="1" width="5.28125" style="622" customWidth="1"/>
    <col min="2" max="5" width="9.140625" style="622" customWidth="1"/>
    <col min="6" max="6" width="10.140625" style="623" bestFit="1" customWidth="1"/>
    <col min="7" max="16384" width="9.140625" style="622" customWidth="1"/>
  </cols>
  <sheetData>
    <row r="1" ht="12.75">
      <c r="A1" s="738" t="s">
        <v>691</v>
      </c>
    </row>
    <row r="3" spans="1:2" ht="12.75">
      <c r="A3" s="321"/>
      <c r="B3" s="623"/>
    </row>
    <row r="5" spans="1:8" ht="12.75">
      <c r="A5" s="622" t="s">
        <v>606</v>
      </c>
      <c r="B5" s="321" t="s">
        <v>611</v>
      </c>
      <c r="C5" s="624"/>
      <c r="D5" s="321"/>
      <c r="E5" s="321"/>
      <c r="F5" s="624"/>
      <c r="G5" s="321"/>
      <c r="H5" s="321"/>
    </row>
    <row r="6" spans="2:8" ht="12.75" customHeight="1">
      <c r="B6" s="868" t="s">
        <v>612</v>
      </c>
      <c r="C6" s="868"/>
      <c r="D6" s="868"/>
      <c r="E6" s="868"/>
      <c r="F6" s="868"/>
      <c r="G6" s="868"/>
      <c r="H6" s="868"/>
    </row>
    <row r="7" spans="2:8" ht="12.75">
      <c r="B7" s="321" t="s">
        <v>613</v>
      </c>
      <c r="C7" s="624"/>
      <c r="D7" s="321"/>
      <c r="E7" s="321"/>
      <c r="F7" s="624"/>
      <c r="G7" s="321"/>
      <c r="H7" s="321"/>
    </row>
    <row r="9" spans="2:8" ht="12.75">
      <c r="B9" s="622" t="s">
        <v>652</v>
      </c>
      <c r="F9" s="622"/>
      <c r="H9" s="623">
        <v>384</v>
      </c>
    </row>
    <row r="10" spans="2:8" ht="12.75">
      <c r="B10" s="622" t="s">
        <v>692</v>
      </c>
      <c r="H10" s="622">
        <v>0</v>
      </c>
    </row>
    <row r="12" spans="1:8" ht="12.75">
      <c r="A12" s="622" t="s">
        <v>607</v>
      </c>
      <c r="B12" s="321" t="s">
        <v>614</v>
      </c>
      <c r="C12" s="624"/>
      <c r="D12" s="321"/>
      <c r="E12" s="321"/>
      <c r="F12" s="624"/>
      <c r="G12" s="321"/>
      <c r="H12" s="321"/>
    </row>
    <row r="13" spans="2:8" ht="33" customHeight="1">
      <c r="B13" s="868" t="s">
        <v>615</v>
      </c>
      <c r="C13" s="868"/>
      <c r="D13" s="868"/>
      <c r="E13" s="868"/>
      <c r="F13" s="868"/>
      <c r="G13" s="868"/>
      <c r="H13" s="868"/>
    </row>
    <row r="15" spans="2:8" ht="12.75">
      <c r="B15" s="622" t="s">
        <v>652</v>
      </c>
      <c r="F15" s="622"/>
      <c r="H15" s="623">
        <v>25390</v>
      </c>
    </row>
    <row r="16" spans="2:8" ht="12.75">
      <c r="B16" s="622" t="s">
        <v>692</v>
      </c>
      <c r="H16" s="623">
        <f>+'11 1_mell'!K10</f>
        <v>31746</v>
      </c>
    </row>
    <row r="19" spans="1:6" s="131" customFormat="1" ht="12.75">
      <c r="A19" s="131" t="s">
        <v>608</v>
      </c>
      <c r="B19" s="321" t="s">
        <v>609</v>
      </c>
      <c r="F19" s="537"/>
    </row>
    <row r="20" spans="2:6" s="131" customFormat="1" ht="12.75">
      <c r="B20" s="321" t="s">
        <v>610</v>
      </c>
      <c r="F20" s="537"/>
    </row>
    <row r="21" s="131" customFormat="1" ht="12.75">
      <c r="F21" s="537"/>
    </row>
    <row r="22" spans="2:8" s="131" customFormat="1" ht="12.75">
      <c r="B22" s="131" t="s">
        <v>652</v>
      </c>
      <c r="F22" s="537"/>
      <c r="H22" s="131">
        <v>0</v>
      </c>
    </row>
    <row r="23" spans="2:8" ht="12.75">
      <c r="B23" s="622" t="s">
        <v>693</v>
      </c>
      <c r="H23" s="622">
        <f>+'11 1_mell'!H21</f>
        <v>4807</v>
      </c>
    </row>
  </sheetData>
  <mergeCells count="2">
    <mergeCell ref="B6:H6"/>
    <mergeCell ref="B13:H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&amp;L18. melléklet a 2013. évi költségvetési beszámoló 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44"/>
  <sheetViews>
    <sheetView view="pageBreakPreview" zoomScale="75" zoomScaleSheetLayoutView="75" zoomScalePageLayoutView="0" workbookViewId="0" topLeftCell="A15">
      <selection activeCell="T38" sqref="T38"/>
    </sheetView>
  </sheetViews>
  <sheetFormatPr defaultColWidth="9.140625" defaultRowHeight="15" customHeight="1"/>
  <cols>
    <col min="1" max="1" width="4.57421875" style="1" bestFit="1" customWidth="1"/>
    <col min="2" max="2" width="21.28125" style="1" customWidth="1"/>
    <col min="3" max="3" width="12.140625" style="1" customWidth="1"/>
    <col min="4" max="6" width="9.28125" style="1" customWidth="1"/>
    <col min="7" max="7" width="9.8515625" style="1" customWidth="1"/>
    <col min="8" max="8" width="10.421875" style="1" customWidth="1"/>
    <col min="9" max="9" width="11.00390625" style="1" customWidth="1"/>
    <col min="10" max="10" width="10.00390625" style="1" bestFit="1" customWidth="1"/>
    <col min="11" max="11" width="10.7109375" style="1" customWidth="1"/>
    <col min="12" max="12" width="8.28125" style="1" hidden="1" customWidth="1"/>
    <col min="13" max="13" width="13.8515625" style="1" customWidth="1"/>
    <col min="14" max="14" width="11.421875" style="1" customWidth="1"/>
    <col min="15" max="15" width="11.7109375" style="672" customWidth="1"/>
    <col min="16" max="18" width="11.7109375" style="1" customWidth="1"/>
    <col min="19" max="19" width="12.421875" style="1" customWidth="1"/>
    <col min="20" max="20" width="11.7109375" style="1" bestFit="1" customWidth="1"/>
    <col min="21" max="16384" width="9.140625" style="1" customWidth="1"/>
  </cols>
  <sheetData>
    <row r="1" spans="2:19" ht="15" customHeight="1">
      <c r="B1" s="2" t="s">
        <v>0</v>
      </c>
      <c r="C1" s="3"/>
      <c r="D1" s="821" t="s">
        <v>1</v>
      </c>
      <c r="E1" s="821" t="s">
        <v>2</v>
      </c>
      <c r="F1" s="821" t="s">
        <v>653</v>
      </c>
      <c r="G1" s="823" t="s">
        <v>654</v>
      </c>
      <c r="H1" s="823" t="s">
        <v>655</v>
      </c>
      <c r="I1" s="821" t="s">
        <v>3</v>
      </c>
      <c r="J1" s="821"/>
      <c r="K1" s="821"/>
      <c r="L1" s="5" t="e">
        <f>+#REF!</f>
        <v>#REF!</v>
      </c>
      <c r="M1" s="821" t="s">
        <v>664</v>
      </c>
      <c r="N1" s="4"/>
      <c r="O1" s="822" t="s">
        <v>4</v>
      </c>
      <c r="P1" s="821" t="s">
        <v>665</v>
      </c>
      <c r="Q1" s="824" t="s">
        <v>656</v>
      </c>
      <c r="R1" s="823" t="s">
        <v>658</v>
      </c>
      <c r="S1" s="821" t="s">
        <v>666</v>
      </c>
    </row>
    <row r="2" spans="2:19" ht="21" customHeight="1">
      <c r="B2" s="6"/>
      <c r="C2" s="7"/>
      <c r="D2" s="821"/>
      <c r="E2" s="821"/>
      <c r="F2" s="821"/>
      <c r="G2" s="823"/>
      <c r="H2" s="823"/>
      <c r="I2" s="667" t="s">
        <v>5</v>
      </c>
      <c r="J2" s="667" t="s">
        <v>6</v>
      </c>
      <c r="K2" s="667" t="s">
        <v>7</v>
      </c>
      <c r="L2" s="5"/>
      <c r="M2" s="821"/>
      <c r="N2" s="8"/>
      <c r="O2" s="822"/>
      <c r="P2" s="821"/>
      <c r="Q2" s="824"/>
      <c r="R2" s="823"/>
      <c r="S2" s="821"/>
    </row>
    <row r="3" spans="1:19" s="9" customFormat="1" ht="18.75" customHeight="1">
      <c r="A3" s="9" t="s">
        <v>18</v>
      </c>
      <c r="B3" s="2" t="s">
        <v>10</v>
      </c>
      <c r="C3" s="3" t="s">
        <v>11</v>
      </c>
      <c r="D3" s="4" t="s">
        <v>12</v>
      </c>
      <c r="E3" s="4" t="s">
        <v>13</v>
      </c>
      <c r="F3" s="4"/>
      <c r="G3" s="4"/>
      <c r="H3" s="4"/>
      <c r="I3" s="4" t="s">
        <v>14</v>
      </c>
      <c r="J3" s="4" t="s">
        <v>15</v>
      </c>
      <c r="K3" s="4" t="s">
        <v>16</v>
      </c>
      <c r="L3" s="10"/>
      <c r="M3" s="4" t="s">
        <v>65</v>
      </c>
      <c r="N3" s="4" t="s">
        <v>17</v>
      </c>
      <c r="O3" s="469" t="s">
        <v>398</v>
      </c>
      <c r="P3" s="4"/>
      <c r="Q3" s="4"/>
      <c r="R3" s="4"/>
      <c r="S3" s="4" t="s">
        <v>399</v>
      </c>
    </row>
    <row r="4" spans="1:19" ht="42" customHeight="1" hidden="1">
      <c r="A4" s="1" t="s">
        <v>18</v>
      </c>
      <c r="C4" s="12" t="s">
        <v>19</v>
      </c>
      <c r="D4" s="12">
        <v>50487</v>
      </c>
      <c r="E4" s="12"/>
      <c r="F4" s="12"/>
      <c r="G4" s="12"/>
      <c r="H4" s="12"/>
      <c r="I4" s="12"/>
      <c r="J4" s="12"/>
      <c r="K4" s="12"/>
      <c r="L4" s="12"/>
      <c r="M4" s="12">
        <f>+S4-L4-K4-I4-E4-D4</f>
        <v>167340</v>
      </c>
      <c r="N4" s="12"/>
      <c r="O4" s="671">
        <f>SUM(D4:M4)</f>
        <v>217827</v>
      </c>
      <c r="P4" s="12"/>
      <c r="Q4" s="12"/>
      <c r="R4" s="12"/>
      <c r="S4" s="12">
        <f>+'[2]kiadás'!M16</f>
        <v>217827</v>
      </c>
    </row>
    <row r="5" spans="1:19" ht="35.25" customHeight="1" hidden="1">
      <c r="A5" s="1" t="s">
        <v>20</v>
      </c>
      <c r="B5" s="11"/>
      <c r="C5" s="11" t="s">
        <v>21</v>
      </c>
      <c r="D5" s="12">
        <f>+D4</f>
        <v>50487</v>
      </c>
      <c r="E5" s="1">
        <v>2166</v>
      </c>
      <c r="I5" s="1">
        <f>+I4</f>
        <v>0</v>
      </c>
      <c r="K5" s="1">
        <f>+K4</f>
        <v>0</v>
      </c>
      <c r="L5" s="1">
        <f>+L4</f>
        <v>0</v>
      </c>
      <c r="M5" s="12">
        <f>+S5-L5-K5-I5-E5-D5-J5</f>
        <v>169179</v>
      </c>
      <c r="N5" s="12"/>
      <c r="O5" s="671">
        <f>SUM(D5:M5)</f>
        <v>221832</v>
      </c>
      <c r="P5" s="12"/>
      <c r="Q5" s="12"/>
      <c r="R5" s="12"/>
      <c r="S5" s="12">
        <f>+'[2]kiadás'!M17</f>
        <v>221832</v>
      </c>
    </row>
    <row r="6" spans="1:19" ht="32.25" customHeight="1">
      <c r="A6" s="1" t="s">
        <v>20</v>
      </c>
      <c r="B6" s="11" t="str">
        <f>+'[1]2mell 1ápr'!A28</f>
        <v>Városellátó  Szervezet</v>
      </c>
      <c r="C6" s="458" t="s">
        <v>56</v>
      </c>
      <c r="D6" s="153">
        <v>87890</v>
      </c>
      <c r="E6" s="153"/>
      <c r="F6" s="153"/>
      <c r="G6" s="153"/>
      <c r="H6" s="153"/>
      <c r="I6" s="153"/>
      <c r="J6" s="153"/>
      <c r="K6" s="153"/>
      <c r="L6" s="153"/>
      <c r="M6" s="153">
        <f>+S6-D6-E6-I6-J6-K6-N6</f>
        <v>94220</v>
      </c>
      <c r="N6" s="153"/>
      <c r="O6" s="671">
        <f>SUM(D6:M6)</f>
        <v>182110</v>
      </c>
      <c r="P6" s="153"/>
      <c r="Q6" s="153"/>
      <c r="R6" s="153"/>
      <c r="S6" s="153">
        <f>+4_mell!Q6</f>
        <v>182110</v>
      </c>
    </row>
    <row r="7" spans="1:19" ht="34.5" customHeight="1">
      <c r="A7" s="1" t="s">
        <v>22</v>
      </c>
      <c r="B7" s="11"/>
      <c r="C7" s="458" t="s">
        <v>417</v>
      </c>
      <c r="D7" s="153">
        <v>94146</v>
      </c>
      <c r="E7" s="153">
        <f>1114+180</f>
        <v>1294</v>
      </c>
      <c r="F7" s="153">
        <v>79</v>
      </c>
      <c r="G7" s="153"/>
      <c r="H7" s="153"/>
      <c r="I7" s="153">
        <f>+I6+1787+250</f>
        <v>2037</v>
      </c>
      <c r="J7" s="153">
        <v>1346</v>
      </c>
      <c r="K7" s="153">
        <f>+K6</f>
        <v>0</v>
      </c>
      <c r="L7" s="153"/>
      <c r="M7" s="153">
        <v>142566</v>
      </c>
      <c r="N7" s="153"/>
      <c r="O7" s="671">
        <f>SUM(D7:M7)</f>
        <v>241468</v>
      </c>
      <c r="P7" s="153"/>
      <c r="Q7" s="153"/>
      <c r="R7" s="153"/>
      <c r="S7" s="153">
        <f>+4_mell!Q7</f>
        <v>241468</v>
      </c>
    </row>
    <row r="8" spans="1:19" ht="15.75">
      <c r="A8" s="1" t="s">
        <v>23</v>
      </c>
      <c r="B8" s="11"/>
      <c r="C8" s="11" t="s">
        <v>551</v>
      </c>
      <c r="D8" s="12">
        <v>94145</v>
      </c>
      <c r="E8" s="12">
        <v>1294</v>
      </c>
      <c r="F8" s="12">
        <v>79</v>
      </c>
      <c r="G8" s="12"/>
      <c r="H8" s="12"/>
      <c r="I8" s="12">
        <f>3133+250-1346</f>
        <v>2037</v>
      </c>
      <c r="J8" s="12">
        <v>1346</v>
      </c>
      <c r="K8" s="12"/>
      <c r="M8" s="12">
        <v>131734</v>
      </c>
      <c r="N8" s="12"/>
      <c r="O8" s="671">
        <f>SUM(D8:N8)</f>
        <v>230635</v>
      </c>
      <c r="P8" s="12">
        <v>-1012</v>
      </c>
      <c r="Q8" s="12"/>
      <c r="R8" s="12">
        <v>723</v>
      </c>
      <c r="S8" s="12">
        <f>SUM(O8:R8)-E8</f>
        <v>229052</v>
      </c>
    </row>
    <row r="9" ht="14.25" customHeight="1">
      <c r="M9" s="12"/>
    </row>
    <row r="10" spans="1:19" ht="47.25" customHeight="1" hidden="1">
      <c r="A10" s="1" t="s">
        <v>25</v>
      </c>
      <c r="C10" s="12" t="s">
        <v>19</v>
      </c>
      <c r="D10" s="12">
        <v>13764</v>
      </c>
      <c r="E10" s="12"/>
      <c r="F10" s="12"/>
      <c r="G10" s="12"/>
      <c r="H10" s="12"/>
      <c r="I10" s="12">
        <v>34000</v>
      </c>
      <c r="J10" s="12"/>
      <c r="K10" s="12"/>
      <c r="L10" s="12"/>
      <c r="M10" s="12">
        <f>+S10-L10-K10-I10-E10-D10</f>
        <v>65487</v>
      </c>
      <c r="N10" s="12"/>
      <c r="O10" s="671">
        <f>SUM(D10:M10)</f>
        <v>113251</v>
      </c>
      <c r="P10" s="12"/>
      <c r="Q10" s="12"/>
      <c r="R10" s="12"/>
      <c r="S10" s="12">
        <f>+'[2]kiadás'!M20</f>
        <v>113251</v>
      </c>
    </row>
    <row r="11" spans="1:19" ht="30" customHeight="1" hidden="1">
      <c r="A11" s="1" t="s">
        <v>26</v>
      </c>
      <c r="B11" s="11"/>
      <c r="C11" s="11" t="s">
        <v>21</v>
      </c>
      <c r="D11" s="12">
        <f>+D10</f>
        <v>13764</v>
      </c>
      <c r="I11" s="12">
        <f>+I10+70+13424+124</f>
        <v>47618</v>
      </c>
      <c r="J11" s="1">
        <v>11962</v>
      </c>
      <c r="K11" s="1">
        <f>+K10</f>
        <v>0</v>
      </c>
      <c r="M11" s="12">
        <f>+S11-L11-K11-I11-E11-D11-J11</f>
        <v>74007</v>
      </c>
      <c r="N11" s="12"/>
      <c r="O11" s="671">
        <f>SUM(D11:M11)</f>
        <v>147351</v>
      </c>
      <c r="P11" s="12"/>
      <c r="Q11" s="12"/>
      <c r="R11" s="12"/>
      <c r="S11" s="12">
        <f>+'[2]kiadás'!M21</f>
        <v>147351</v>
      </c>
    </row>
    <row r="12" spans="1:19" ht="51" customHeight="1">
      <c r="A12" s="1" t="s">
        <v>24</v>
      </c>
      <c r="B12" s="11" t="str">
        <f>+'[1]2mell 1ápr'!A32</f>
        <v>Egészségügyi és Szociális Ellátó Szervezet</v>
      </c>
      <c r="C12" s="458" t="s">
        <v>56</v>
      </c>
      <c r="D12" s="153">
        <v>19283</v>
      </c>
      <c r="E12" s="153"/>
      <c r="F12" s="153"/>
      <c r="G12" s="153"/>
      <c r="H12" s="153"/>
      <c r="I12" s="670">
        <f>+1_mell!D68+1_mell!D72+1_mell!D73</f>
        <v>47671</v>
      </c>
      <c r="J12" s="153"/>
      <c r="K12" s="153"/>
      <c r="L12" s="153"/>
      <c r="M12" s="153">
        <f>+S12-D12-E12-I12-J12-K12-N12</f>
        <v>52048</v>
      </c>
      <c r="N12" s="153"/>
      <c r="O12" s="671">
        <f>SUM(D12:M12)</f>
        <v>119002</v>
      </c>
      <c r="P12" s="153"/>
      <c r="Q12" s="153"/>
      <c r="R12" s="153"/>
      <c r="S12" s="153">
        <f>+4_mell!Q12</f>
        <v>119002</v>
      </c>
    </row>
    <row r="13" spans="1:19" ht="33.75" customHeight="1">
      <c r="A13" s="1" t="s">
        <v>25</v>
      </c>
      <c r="B13" s="11"/>
      <c r="C13" s="458" t="s">
        <v>417</v>
      </c>
      <c r="D13" s="153">
        <f>+D12-7464</f>
        <v>11819</v>
      </c>
      <c r="E13" s="153">
        <v>4065</v>
      </c>
      <c r="F13" s="153"/>
      <c r="G13" s="153"/>
      <c r="H13" s="153"/>
      <c r="I13" s="670">
        <f>+I12-5671+224+2227-8000-1603</f>
        <v>34848</v>
      </c>
      <c r="J13" s="153">
        <v>1349</v>
      </c>
      <c r="K13" s="153">
        <f>+K12</f>
        <v>0</v>
      </c>
      <c r="L13" s="153">
        <f>+L12</f>
        <v>0</v>
      </c>
      <c r="M13" s="153">
        <f>+S13-D13-E13-I13-J13-K13-N13</f>
        <v>81137</v>
      </c>
      <c r="N13" s="153"/>
      <c r="O13" s="671">
        <f>SUM(D13:M13)</f>
        <v>133218</v>
      </c>
      <c r="P13" s="153"/>
      <c r="Q13" s="153"/>
      <c r="R13" s="153"/>
      <c r="S13" s="153">
        <f>+4_mell!Q13</f>
        <v>133218</v>
      </c>
    </row>
    <row r="14" spans="1:19" ht="15.75">
      <c r="A14" s="1" t="s">
        <v>26</v>
      </c>
      <c r="B14" s="11"/>
      <c r="C14" s="11" t="s">
        <v>551</v>
      </c>
      <c r="D14" s="12">
        <v>11819</v>
      </c>
      <c r="E14" s="12">
        <v>4065</v>
      </c>
      <c r="F14" s="12"/>
      <c r="G14" s="12"/>
      <c r="H14" s="12"/>
      <c r="I14" s="16">
        <f>36197-1349</f>
        <v>34848</v>
      </c>
      <c r="J14" s="12">
        <v>1349</v>
      </c>
      <c r="K14" s="12"/>
      <c r="L14" s="12"/>
      <c r="M14" s="12">
        <v>76620</v>
      </c>
      <c r="N14" s="12"/>
      <c r="O14" s="671">
        <f>SUM(D14:M14)</f>
        <v>128701</v>
      </c>
      <c r="P14" s="12"/>
      <c r="Q14" s="12"/>
      <c r="R14" s="12">
        <v>3413</v>
      </c>
      <c r="S14" s="12">
        <f>SUM(O14:R14)-E14</f>
        <v>128049</v>
      </c>
    </row>
    <row r="15" ht="15.75">
      <c r="J15" s="13"/>
    </row>
    <row r="16" spans="1:19" ht="15.75" hidden="1">
      <c r="A16" s="1" t="s">
        <v>30</v>
      </c>
      <c r="C16" s="12" t="s">
        <v>19</v>
      </c>
      <c r="D16" s="12">
        <v>1290</v>
      </c>
      <c r="E16" s="12"/>
      <c r="F16" s="12"/>
      <c r="G16" s="12"/>
      <c r="H16" s="12"/>
      <c r="I16" s="12"/>
      <c r="J16" s="12"/>
      <c r="K16" s="12"/>
      <c r="L16" s="12"/>
      <c r="M16" s="12">
        <f>+S16-L16-K16-I16-E16-D16</f>
        <v>21340</v>
      </c>
      <c r="N16" s="12"/>
      <c r="O16" s="671">
        <f>SUM(D16:M16)</f>
        <v>22630</v>
      </c>
      <c r="P16" s="12"/>
      <c r="Q16" s="12"/>
      <c r="R16" s="12"/>
      <c r="S16" s="12">
        <f>+'[2]kiadás'!M24</f>
        <v>22630</v>
      </c>
    </row>
    <row r="17" spans="1:19" ht="36" customHeight="1" hidden="1">
      <c r="A17" s="1" t="s">
        <v>31</v>
      </c>
      <c r="C17" s="11" t="s">
        <v>21</v>
      </c>
      <c r="D17" s="12">
        <f>+D16+258</f>
        <v>1548</v>
      </c>
      <c r="I17" s="1">
        <f>+I16+1373+34</f>
        <v>1407</v>
      </c>
      <c r="J17" s="1">
        <v>397</v>
      </c>
      <c r="K17" s="1">
        <f>+K16</f>
        <v>0</v>
      </c>
      <c r="M17" s="12">
        <f>+S17-L17-K17-I17-E17-D17-J17</f>
        <v>22953</v>
      </c>
      <c r="N17" s="12"/>
      <c r="O17" s="671">
        <f>SUM(D17:M17)</f>
        <v>26305</v>
      </c>
      <c r="P17" s="12"/>
      <c r="Q17" s="12"/>
      <c r="R17" s="12"/>
      <c r="S17" s="12">
        <f>+'[2]kiadás'!M25</f>
        <v>26305</v>
      </c>
    </row>
    <row r="18" spans="1:19" ht="47.25" customHeight="1">
      <c r="A18" s="1" t="s">
        <v>27</v>
      </c>
      <c r="B18" s="11" t="str">
        <f>+'[2]kiadás'!B24</f>
        <v>Városi Művelődési Központ és Könyvtár</v>
      </c>
      <c r="C18" s="458" t="s">
        <v>56</v>
      </c>
      <c r="D18" s="153">
        <v>1290</v>
      </c>
      <c r="E18" s="153"/>
      <c r="F18" s="153"/>
      <c r="G18" s="153"/>
      <c r="H18" s="153"/>
      <c r="I18" s="153"/>
      <c r="J18" s="153"/>
      <c r="K18" s="153"/>
      <c r="L18" s="153"/>
      <c r="M18" s="153">
        <f>+S18-D18-E18-I18-J18-K18-N18</f>
        <v>17458</v>
      </c>
      <c r="N18" s="153"/>
      <c r="O18" s="671">
        <f>SUM(D18:M18)</f>
        <v>18748</v>
      </c>
      <c r="P18" s="153"/>
      <c r="Q18" s="153"/>
      <c r="R18" s="153"/>
      <c r="S18" s="153">
        <f>+4_mell!Q18</f>
        <v>18748</v>
      </c>
    </row>
    <row r="19" spans="1:19" ht="31.5" customHeight="1">
      <c r="A19" s="1" t="s">
        <v>28</v>
      </c>
      <c r="C19" s="458" t="s">
        <v>417</v>
      </c>
      <c r="D19" s="153">
        <f>+D18+1213</f>
        <v>2503</v>
      </c>
      <c r="E19" s="153">
        <f>+E18</f>
        <v>0</v>
      </c>
      <c r="F19" s="153"/>
      <c r="G19" s="153"/>
      <c r="H19" s="153"/>
      <c r="I19" s="153">
        <f>+I18+4878+744+395+454</f>
        <v>6471</v>
      </c>
      <c r="J19" s="153">
        <v>806</v>
      </c>
      <c r="K19" s="670">
        <f>+1_mell!E103</f>
        <v>3122</v>
      </c>
      <c r="L19" s="153"/>
      <c r="M19" s="153">
        <f>+S19-D19-E19-I19-J19-K19-N19</f>
        <v>21260</v>
      </c>
      <c r="N19" s="153"/>
      <c r="O19" s="671">
        <f>SUM(D19:M19)</f>
        <v>34162</v>
      </c>
      <c r="P19" s="153"/>
      <c r="Q19" s="153"/>
      <c r="R19" s="153"/>
      <c r="S19" s="153">
        <f>+4_mell!Q19</f>
        <v>34162</v>
      </c>
    </row>
    <row r="20" spans="1:19" ht="28.5" customHeight="1">
      <c r="A20" s="1" t="s">
        <v>29</v>
      </c>
      <c r="C20" s="11" t="s">
        <v>551</v>
      </c>
      <c r="D20" s="12">
        <v>2503</v>
      </c>
      <c r="E20" s="12"/>
      <c r="F20" s="12"/>
      <c r="G20" s="12"/>
      <c r="H20" s="12"/>
      <c r="I20" s="12">
        <f>2317+395-806</f>
        <v>1906</v>
      </c>
      <c r="J20" s="12">
        <v>806</v>
      </c>
      <c r="K20" s="16">
        <v>3122</v>
      </c>
      <c r="M20" s="12">
        <v>21260</v>
      </c>
      <c r="N20" s="12"/>
      <c r="O20" s="671">
        <f>SUM(D20:M20)</f>
        <v>29597</v>
      </c>
      <c r="P20" s="12">
        <v>-201</v>
      </c>
      <c r="Q20" s="12"/>
      <c r="R20" s="12">
        <v>156</v>
      </c>
      <c r="S20" s="12">
        <f>SUM(O20:R20)-E20</f>
        <v>29552</v>
      </c>
    </row>
    <row r="21" spans="2:19" ht="15.7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73"/>
      <c r="P21" s="14"/>
      <c r="Q21" s="14"/>
      <c r="R21" s="14"/>
      <c r="S21" s="14"/>
    </row>
    <row r="22" spans="1:19" ht="31.5" customHeight="1" hidden="1">
      <c r="A22" s="1" t="s">
        <v>35</v>
      </c>
      <c r="C22" s="12" t="s">
        <v>42</v>
      </c>
      <c r="D22" s="14">
        <v>0</v>
      </c>
      <c r="E22" s="14"/>
      <c r="F22" s="14"/>
      <c r="G22" s="14"/>
      <c r="H22" s="14"/>
      <c r="I22" s="15">
        <f>+'[2]pfbevétel'!H60-'[2]pfbevétel'!H61-'[2]pfbevétel'!H71-'[2]pfbevétel'!H67</f>
        <v>192271</v>
      </c>
      <c r="J22" s="15"/>
      <c r="K22" s="15">
        <f>+'[2]pfbevétel'!H99+'[2]pfbevétel'!H100+'[2]pfbevétel'!H101</f>
        <v>32137</v>
      </c>
      <c r="L22" s="14"/>
      <c r="M22" s="15">
        <f>+'[2]pfbevétel'!H5-'[2]pfbevétel'!H6+'[2]pfbevétel'!H22+'[2]pfbevétel'!H29</f>
        <v>625707</v>
      </c>
      <c r="O22" s="673">
        <f>SUM(D22:M22)</f>
        <v>850115</v>
      </c>
      <c r="P22" s="14"/>
      <c r="Q22" s="14"/>
      <c r="R22" s="14"/>
      <c r="S22" s="14">
        <f>+'[2]kiadás'!M35</f>
        <v>252973</v>
      </c>
    </row>
    <row r="23" spans="1:19" ht="29.25" customHeight="1" hidden="1">
      <c r="A23" s="1" t="s">
        <v>36</v>
      </c>
      <c r="B23" s="13"/>
      <c r="C23" s="11" t="s">
        <v>21</v>
      </c>
      <c r="D23" s="14">
        <f>+D22</f>
        <v>0</v>
      </c>
      <c r="E23" s="14">
        <v>40788</v>
      </c>
      <c r="F23" s="14"/>
      <c r="G23" s="14"/>
      <c r="H23" s="14"/>
      <c r="I23" s="15">
        <f>+I22+44195+2376+3892+847+19+585-49020-57168-7604+4317+1548-5864+47+263+385+1+6908-4317-54596+7615-4505+902-1</f>
        <v>83096</v>
      </c>
      <c r="J23" s="14">
        <v>6177</v>
      </c>
      <c r="K23" s="15">
        <f>+K22+5000-644</f>
        <v>36493</v>
      </c>
      <c r="L23" s="14">
        <f>+L22</f>
        <v>0</v>
      </c>
      <c r="M23" s="15">
        <f>+'[2]pfbevétel'!I5-'[2]pfbevétel'!I6+'[2]pfbevétel'!I22+'[2]pfbevétel'!I29</f>
        <v>759060</v>
      </c>
      <c r="O23" s="673">
        <f>SUM(D23:M23)</f>
        <v>925614</v>
      </c>
      <c r="P23" s="14"/>
      <c r="Q23" s="14"/>
      <c r="R23" s="14"/>
      <c r="S23" s="14">
        <f>+'[2]kiadás'!M37</f>
        <v>252973</v>
      </c>
    </row>
    <row r="24" spans="1:19" ht="32.25" customHeight="1">
      <c r="A24" s="1" t="s">
        <v>30</v>
      </c>
      <c r="B24" s="11" t="s">
        <v>41</v>
      </c>
      <c r="C24" s="461" t="s">
        <v>56</v>
      </c>
      <c r="D24" s="459">
        <f>122+2014+2061+48-1</f>
        <v>4244</v>
      </c>
      <c r="E24" s="459"/>
      <c r="F24" s="459"/>
      <c r="G24" s="459"/>
      <c r="H24" s="459"/>
      <c r="I24" s="460">
        <f>+1_mell!D70+1_mell!D71+1_mell!D72+1_mell!D73</f>
        <v>17271</v>
      </c>
      <c r="J24" s="459"/>
      <c r="K24" s="460"/>
      <c r="L24" s="459"/>
      <c r="M24" s="460"/>
      <c r="N24" s="24"/>
      <c r="O24" s="673">
        <f>SUM(D24:M24)</f>
        <v>21515</v>
      </c>
      <c r="P24" s="459"/>
      <c r="Q24" s="459"/>
      <c r="R24" s="459"/>
      <c r="S24" s="459">
        <f>+4_mell!Q24</f>
        <v>98187</v>
      </c>
    </row>
    <row r="25" spans="1:19" ht="36" customHeight="1">
      <c r="A25" s="1" t="s">
        <v>31</v>
      </c>
      <c r="C25" s="461" t="s">
        <v>417</v>
      </c>
      <c r="D25" s="459">
        <v>19185</v>
      </c>
      <c r="E25" s="459">
        <v>40813</v>
      </c>
      <c r="F25" s="459">
        <f>4836+9+41966</f>
        <v>46811</v>
      </c>
      <c r="G25" s="459">
        <v>159311</v>
      </c>
      <c r="H25" s="459">
        <f>499094+4086</f>
        <v>503180</v>
      </c>
      <c r="I25" s="460">
        <f>+I24-8000-5671+420+2000+384+93588+39-6500+66445+19+3248+150+1825+129114+8000-3248+21+858+3-420</f>
        <v>299546</v>
      </c>
      <c r="J25" s="459">
        <f>+J24</f>
        <v>0</v>
      </c>
      <c r="K25" s="460">
        <f>+1_mell!E100+1_mell!E101+1_mell!E102</f>
        <v>36643</v>
      </c>
      <c r="L25" s="459"/>
      <c r="M25" s="460"/>
      <c r="N25" s="24"/>
      <c r="O25" s="673">
        <f>SUM(D25:M25)</f>
        <v>1105489</v>
      </c>
      <c r="P25" s="459"/>
      <c r="Q25" s="459"/>
      <c r="R25" s="459"/>
      <c r="S25" s="459">
        <f>+4_mell!Q25</f>
        <v>1105489</v>
      </c>
    </row>
    <row r="26" spans="1:19" ht="15.75">
      <c r="A26" s="1" t="s">
        <v>32</v>
      </c>
      <c r="C26" s="11" t="s">
        <v>551</v>
      </c>
      <c r="D26" s="14">
        <v>19185</v>
      </c>
      <c r="E26" s="14">
        <f>24893+12898</f>
        <v>37791</v>
      </c>
      <c r="F26" s="14">
        <f>4836+7335+9</f>
        <v>12180</v>
      </c>
      <c r="G26" s="14">
        <v>159311</v>
      </c>
      <c r="H26" s="14">
        <f>588174+4086</f>
        <v>592260</v>
      </c>
      <c r="I26" s="15">
        <f>291781+7764</f>
        <v>299545</v>
      </c>
      <c r="J26" s="14"/>
      <c r="K26" s="15">
        <v>27442</v>
      </c>
      <c r="L26" s="14"/>
      <c r="M26" s="15"/>
      <c r="O26" s="673">
        <f>SUM(D26:N26)</f>
        <v>1147714</v>
      </c>
      <c r="P26" s="14">
        <v>-930</v>
      </c>
      <c r="Q26" s="14">
        <v>89080</v>
      </c>
      <c r="R26" s="14">
        <v>41237</v>
      </c>
      <c r="S26" s="12">
        <f>SUM(O26:R26)-E26</f>
        <v>1239310</v>
      </c>
    </row>
    <row r="27" ht="13.5" customHeight="1"/>
    <row r="28" spans="1:19" ht="49.5" customHeight="1" hidden="1">
      <c r="A28" s="1" t="s">
        <v>44</v>
      </c>
      <c r="C28" s="12" t="s">
        <v>19</v>
      </c>
      <c r="D28" s="12">
        <v>27500</v>
      </c>
      <c r="E28" s="12"/>
      <c r="F28" s="12"/>
      <c r="G28" s="12"/>
      <c r="H28" s="12"/>
      <c r="I28" s="16">
        <v>0</v>
      </c>
      <c r="J28" s="16"/>
      <c r="K28" s="16">
        <v>0</v>
      </c>
      <c r="L28" s="12"/>
      <c r="M28" s="16">
        <v>0</v>
      </c>
      <c r="N28" s="15">
        <v>399778</v>
      </c>
      <c r="O28" s="671">
        <f>SUM(D28:N28)</f>
        <v>427278</v>
      </c>
      <c r="P28" s="12"/>
      <c r="Q28" s="12"/>
      <c r="R28" s="12"/>
      <c r="S28" s="12">
        <f>+'[2]kiadás'!M40</f>
        <v>226809</v>
      </c>
    </row>
    <row r="29" spans="1:19" ht="15" customHeight="1" hidden="1">
      <c r="A29" s="1" t="s">
        <v>45</v>
      </c>
      <c r="C29" s="1" t="s">
        <v>21</v>
      </c>
      <c r="D29" s="12">
        <f>+D28</f>
        <v>27500</v>
      </c>
      <c r="E29" s="1">
        <v>0</v>
      </c>
      <c r="I29" s="13">
        <f>630+13878</f>
        <v>14508</v>
      </c>
      <c r="K29" s="1">
        <f>+K28</f>
        <v>0</v>
      </c>
      <c r="L29" s="1">
        <f>+L28</f>
        <v>0</v>
      </c>
      <c r="M29" s="1">
        <f>+M28</f>
        <v>0</v>
      </c>
      <c r="N29" s="15">
        <f>410059+8411+6560</f>
        <v>425030</v>
      </c>
      <c r="O29" s="671">
        <f>SUM(D29:N29)</f>
        <v>467038</v>
      </c>
      <c r="P29" s="12"/>
      <c r="Q29" s="12"/>
      <c r="R29" s="12"/>
      <c r="S29" s="12">
        <f>+'[2]kiadás'!M42</f>
        <v>462276</v>
      </c>
    </row>
    <row r="30" spans="1:19" ht="54" customHeight="1">
      <c r="A30" s="1" t="s">
        <v>33</v>
      </c>
      <c r="B30" s="11" t="s">
        <v>370</v>
      </c>
      <c r="C30" s="461" t="s">
        <v>56</v>
      </c>
      <c r="D30" s="153">
        <f>216+1375-1</f>
        <v>1590</v>
      </c>
      <c r="E30" s="24"/>
      <c r="F30" s="24"/>
      <c r="G30" s="24"/>
      <c r="H30" s="24"/>
      <c r="I30" s="29">
        <f>+1_mell!D69</f>
        <v>146826</v>
      </c>
      <c r="J30" s="24"/>
      <c r="K30" s="24"/>
      <c r="L30" s="24"/>
      <c r="M30" s="670">
        <f>+S30-D30-E30-I30-J30-K30-N30</f>
        <v>175377</v>
      </c>
      <c r="N30" s="460"/>
      <c r="O30" s="671">
        <f>SUM(D30:M30)</f>
        <v>323793</v>
      </c>
      <c r="P30" s="153"/>
      <c r="Q30" s="153"/>
      <c r="R30" s="153"/>
      <c r="S30" s="153">
        <f>+4_mell!Q30</f>
        <v>323793</v>
      </c>
    </row>
    <row r="31" spans="1:19" ht="31.5" customHeight="1">
      <c r="A31" s="1" t="s">
        <v>34</v>
      </c>
      <c r="C31" s="461" t="s">
        <v>417</v>
      </c>
      <c r="D31" s="153">
        <f>2346+411</f>
        <v>2757</v>
      </c>
      <c r="E31" s="153">
        <v>6610</v>
      </c>
      <c r="F31" s="153"/>
      <c r="G31" s="153"/>
      <c r="H31" s="153"/>
      <c r="I31" s="670">
        <f>+I30-84005+9981-26912-16962+11548+3861+2397+744-18947</f>
        <v>28531</v>
      </c>
      <c r="J31" s="153">
        <v>225</v>
      </c>
      <c r="K31" s="153">
        <f>+K30</f>
        <v>0</v>
      </c>
      <c r="L31" s="24"/>
      <c r="M31" s="670">
        <f>+4_mell!Q31-3_mell!D31-3_mell!E31-3_mell!I31-3_mell!J31-3_mell!K31-N31</f>
        <v>305423</v>
      </c>
      <c r="N31" s="460">
        <v>144</v>
      </c>
      <c r="O31" s="671">
        <f>SUM(D31:N31)</f>
        <v>343690</v>
      </c>
      <c r="P31" s="153"/>
      <c r="Q31" s="153"/>
      <c r="R31" s="153"/>
      <c r="S31" s="153">
        <f>+4_mell!Q31</f>
        <v>343690</v>
      </c>
    </row>
    <row r="32" spans="1:19" ht="31.5" customHeight="1">
      <c r="A32" s="1" t="s">
        <v>35</v>
      </c>
      <c r="C32" s="11" t="s">
        <v>551</v>
      </c>
      <c r="D32" s="12">
        <f>2346+410</f>
        <v>2756</v>
      </c>
      <c r="E32" s="12">
        <v>6610</v>
      </c>
      <c r="F32" s="12"/>
      <c r="G32" s="12"/>
      <c r="H32" s="12"/>
      <c r="I32" s="16">
        <f>28756-225</f>
        <v>28531</v>
      </c>
      <c r="J32" s="12">
        <v>225</v>
      </c>
      <c r="K32" s="12"/>
      <c r="M32" s="16">
        <v>300786</v>
      </c>
      <c r="N32" s="15">
        <v>144</v>
      </c>
      <c r="O32" s="671">
        <f>SUM(D32:N32)</f>
        <v>339052</v>
      </c>
      <c r="P32" s="12">
        <v>-2395</v>
      </c>
      <c r="Q32" s="12"/>
      <c r="R32" s="12">
        <v>6685</v>
      </c>
      <c r="S32" s="12">
        <f>SUM(O32:R32)-E32</f>
        <v>336732</v>
      </c>
    </row>
    <row r="33" spans="9:18" ht="15" customHeight="1">
      <c r="I33" s="13"/>
      <c r="J33" s="13"/>
      <c r="O33" s="671"/>
      <c r="P33" s="12"/>
      <c r="Q33" s="12"/>
      <c r="R33" s="12"/>
    </row>
    <row r="34" spans="1:19" ht="15" customHeight="1" hidden="1">
      <c r="A34" s="1" t="s">
        <v>49</v>
      </c>
      <c r="C34" s="12" t="s">
        <v>19</v>
      </c>
      <c r="D34" s="14">
        <f aca="true" t="shared" si="0" ref="D34:E38">+D28+D22+D16+D10+D4</f>
        <v>93041</v>
      </c>
      <c r="E34" s="14">
        <f t="shared" si="0"/>
        <v>0</v>
      </c>
      <c r="F34" s="14"/>
      <c r="G34" s="14"/>
      <c r="H34" s="14"/>
      <c r="I34" s="14">
        <f aca="true" t="shared" si="1" ref="I34:O38">+I28+I22+I16+I10+I4</f>
        <v>226271</v>
      </c>
      <c r="J34" s="14">
        <f t="shared" si="1"/>
        <v>0</v>
      </c>
      <c r="K34" s="14">
        <f t="shared" si="1"/>
        <v>32137</v>
      </c>
      <c r="L34" s="14">
        <f t="shared" si="1"/>
        <v>0</v>
      </c>
      <c r="M34" s="14">
        <f t="shared" si="1"/>
        <v>879874</v>
      </c>
      <c r="N34" s="14">
        <f t="shared" si="1"/>
        <v>399778</v>
      </c>
      <c r="O34" s="673">
        <f t="shared" si="1"/>
        <v>1631101</v>
      </c>
      <c r="P34" s="14"/>
      <c r="Q34" s="14"/>
      <c r="R34" s="14"/>
      <c r="S34" s="14">
        <f>+S28+S22+S16+S10+S4</f>
        <v>833490</v>
      </c>
    </row>
    <row r="35" spans="1:19" ht="15" customHeight="1" hidden="1">
      <c r="A35" s="1" t="s">
        <v>50</v>
      </c>
      <c r="B35" s="14"/>
      <c r="C35" s="1" t="s">
        <v>21</v>
      </c>
      <c r="D35" s="14">
        <f t="shared" si="0"/>
        <v>93299</v>
      </c>
      <c r="E35" s="14">
        <f t="shared" si="0"/>
        <v>42954</v>
      </c>
      <c r="F35" s="14"/>
      <c r="G35" s="14"/>
      <c r="H35" s="14"/>
      <c r="I35" s="14">
        <f t="shared" si="1"/>
        <v>146629</v>
      </c>
      <c r="J35" s="14">
        <f t="shared" si="1"/>
        <v>18536</v>
      </c>
      <c r="K35" s="14">
        <f t="shared" si="1"/>
        <v>36493</v>
      </c>
      <c r="L35" s="14">
        <f t="shared" si="1"/>
        <v>0</v>
      </c>
      <c r="M35" s="14">
        <f t="shared" si="1"/>
        <v>1025199</v>
      </c>
      <c r="N35" s="14">
        <f t="shared" si="1"/>
        <v>425030</v>
      </c>
      <c r="O35" s="673">
        <f t="shared" si="1"/>
        <v>1788140</v>
      </c>
      <c r="P35" s="14"/>
      <c r="Q35" s="14"/>
      <c r="R35" s="14"/>
      <c r="S35" s="14">
        <f>+S29+S23+S17+S11+S5</f>
        <v>1110737</v>
      </c>
    </row>
    <row r="36" spans="1:19" ht="32.25" customHeight="1">
      <c r="A36" s="1" t="s">
        <v>36</v>
      </c>
      <c r="B36" s="17" t="s">
        <v>55</v>
      </c>
      <c r="C36" s="461" t="s">
        <v>56</v>
      </c>
      <c r="D36" s="459">
        <f t="shared" si="0"/>
        <v>114297</v>
      </c>
      <c r="E36" s="459">
        <f t="shared" si="0"/>
        <v>0</v>
      </c>
      <c r="F36" s="459"/>
      <c r="G36" s="459"/>
      <c r="H36" s="459"/>
      <c r="I36" s="459">
        <f t="shared" si="1"/>
        <v>211768</v>
      </c>
      <c r="J36" s="459">
        <f t="shared" si="1"/>
        <v>0</v>
      </c>
      <c r="K36" s="459">
        <f t="shared" si="1"/>
        <v>0</v>
      </c>
      <c r="L36" s="459">
        <f t="shared" si="1"/>
        <v>0</v>
      </c>
      <c r="M36" s="460">
        <f t="shared" si="1"/>
        <v>339103</v>
      </c>
      <c r="N36" s="459">
        <f t="shared" si="1"/>
        <v>0</v>
      </c>
      <c r="O36" s="673">
        <f t="shared" si="1"/>
        <v>665168</v>
      </c>
      <c r="P36" s="459"/>
      <c r="Q36" s="459"/>
      <c r="R36" s="459"/>
      <c r="S36" s="459">
        <f>+S30+S24+S18+S12+S6</f>
        <v>741840</v>
      </c>
    </row>
    <row r="37" spans="1:19" ht="30.75">
      <c r="A37" s="1" t="s">
        <v>37</v>
      </c>
      <c r="B37" s="14"/>
      <c r="C37" s="461" t="s">
        <v>417</v>
      </c>
      <c r="D37" s="459">
        <f t="shared" si="0"/>
        <v>130410</v>
      </c>
      <c r="E37" s="459">
        <f t="shared" si="0"/>
        <v>52782</v>
      </c>
      <c r="F37" s="459"/>
      <c r="G37" s="459"/>
      <c r="H37" s="459"/>
      <c r="I37" s="460">
        <f t="shared" si="1"/>
        <v>371433</v>
      </c>
      <c r="J37" s="459">
        <f t="shared" si="1"/>
        <v>3726</v>
      </c>
      <c r="K37" s="460">
        <f t="shared" si="1"/>
        <v>39765</v>
      </c>
      <c r="L37" s="459">
        <f t="shared" si="1"/>
        <v>0</v>
      </c>
      <c r="M37" s="459">
        <f t="shared" si="1"/>
        <v>550386</v>
      </c>
      <c r="N37" s="459">
        <f t="shared" si="1"/>
        <v>144</v>
      </c>
      <c r="O37" s="673">
        <f t="shared" si="1"/>
        <v>1858027</v>
      </c>
      <c r="P37" s="459"/>
      <c r="Q37" s="459"/>
      <c r="R37" s="459"/>
      <c r="S37" s="459">
        <f>+S31+S25+S19+S13+S7</f>
        <v>1858027</v>
      </c>
    </row>
    <row r="38" spans="1:20" ht="15.75">
      <c r="A38" s="1" t="s">
        <v>40</v>
      </c>
      <c r="B38" s="14"/>
      <c r="C38" s="11" t="s">
        <v>551</v>
      </c>
      <c r="D38" s="14">
        <f t="shared" si="0"/>
        <v>130408</v>
      </c>
      <c r="E38" s="14">
        <f t="shared" si="0"/>
        <v>49760</v>
      </c>
      <c r="F38" s="14">
        <f>+F32+F26+F20+F14+F8</f>
        <v>12259</v>
      </c>
      <c r="G38" s="14">
        <f>+G32+G26+G20+G14+G8</f>
        <v>159311</v>
      </c>
      <c r="H38" s="14">
        <f>+H32+H26+H20+H14+H8</f>
        <v>592260</v>
      </c>
      <c r="I38" s="14">
        <f t="shared" si="1"/>
        <v>366867</v>
      </c>
      <c r="J38" s="14">
        <f t="shared" si="1"/>
        <v>3726</v>
      </c>
      <c r="K38" s="14">
        <f t="shared" si="1"/>
        <v>30564</v>
      </c>
      <c r="L38" s="14">
        <f t="shared" si="1"/>
        <v>0</v>
      </c>
      <c r="M38" s="14">
        <f t="shared" si="1"/>
        <v>530400</v>
      </c>
      <c r="N38" s="14">
        <f t="shared" si="1"/>
        <v>144</v>
      </c>
      <c r="O38" s="673">
        <f t="shared" si="1"/>
        <v>1875699</v>
      </c>
      <c r="P38" s="14">
        <f>+P32+P26+P20+P14+P8</f>
        <v>-4538</v>
      </c>
      <c r="Q38" s="14">
        <f>+Q32+Q26+Q20+Q14+Q8</f>
        <v>89080</v>
      </c>
      <c r="R38" s="14">
        <f>+R32+R26+R20+R14+R8</f>
        <v>52214</v>
      </c>
      <c r="S38" s="12">
        <f>SUM(O38:R38)-E38</f>
        <v>1962695</v>
      </c>
      <c r="T38" s="13"/>
    </row>
    <row r="39" spans="2:19" ht="15.75">
      <c r="B39" s="14"/>
      <c r="C39" s="11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4"/>
      <c r="O39" s="794"/>
      <c r="P39" s="14"/>
      <c r="Q39" s="14"/>
      <c r="R39" s="14"/>
      <c r="S39" s="15"/>
    </row>
    <row r="44" ht="15" customHeight="1">
      <c r="D44" s="13"/>
    </row>
  </sheetData>
  <sheetProtection/>
  <mergeCells count="12">
    <mergeCell ref="S1:S2"/>
    <mergeCell ref="R1:R2"/>
    <mergeCell ref="F1:F2"/>
    <mergeCell ref="E1:E2"/>
    <mergeCell ref="Q1:Q2"/>
    <mergeCell ref="D1:D2"/>
    <mergeCell ref="M1:M2"/>
    <mergeCell ref="O1:O2"/>
    <mergeCell ref="P1:P2"/>
    <mergeCell ref="I1:K1"/>
    <mergeCell ref="G1:G2"/>
    <mergeCell ref="H1:H2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67" r:id="rId1"/>
  <headerFooter alignWithMargins="0">
    <oddHeader>&amp;L3. melléklet a 2013. évi költségvetési beszámoló  rendelethez&amp;R&amp;D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38"/>
  <sheetViews>
    <sheetView view="pageBreakPreview" zoomScale="75" zoomScaleSheetLayoutView="75" zoomScalePageLayoutView="0" workbookViewId="0" topLeftCell="A18">
      <selection activeCell="V20" sqref="V20"/>
    </sheetView>
  </sheetViews>
  <sheetFormatPr defaultColWidth="9.140625" defaultRowHeight="15" customHeight="1"/>
  <cols>
    <col min="1" max="1" width="4.57421875" style="9" bestFit="1" customWidth="1"/>
    <col min="2" max="2" width="21.57421875" style="1" customWidth="1"/>
    <col min="3" max="3" width="11.7109375" style="1" customWidth="1"/>
    <col min="4" max="4" width="11.140625" style="1" bestFit="1" customWidth="1"/>
    <col min="5" max="5" width="8.57421875" style="1" bestFit="1" customWidth="1"/>
    <col min="6" max="6" width="10.421875" style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0.140625" style="1" customWidth="1"/>
    <col min="13" max="13" width="11.7109375" style="1" bestFit="1" customWidth="1"/>
    <col min="14" max="14" width="12.140625" style="1" bestFit="1" customWidth="1"/>
    <col min="15" max="16" width="11.140625" style="1" customWidth="1"/>
    <col min="17" max="17" width="11.8515625" style="672" customWidth="1"/>
    <col min="18" max="18" width="9.7109375" style="1" bestFit="1" customWidth="1"/>
    <col min="19" max="19" width="11.421875" style="1" bestFit="1" customWidth="1"/>
    <col min="20" max="16384" width="9.140625" style="1" customWidth="1"/>
  </cols>
  <sheetData>
    <row r="1" spans="2:19" ht="15" customHeight="1">
      <c r="B1" s="2" t="s">
        <v>0</v>
      </c>
      <c r="C1" s="3" t="s">
        <v>57</v>
      </c>
      <c r="D1" s="823" t="s">
        <v>58</v>
      </c>
      <c r="E1" s="821" t="s">
        <v>59</v>
      </c>
      <c r="F1" s="821" t="s">
        <v>60</v>
      </c>
      <c r="G1" s="823" t="s">
        <v>61</v>
      </c>
      <c r="H1" s="821" t="s">
        <v>62</v>
      </c>
      <c r="I1" s="821"/>
      <c r="J1" s="821"/>
      <c r="K1" s="821"/>
      <c r="L1" s="823" t="s">
        <v>663</v>
      </c>
      <c r="M1" s="821" t="s">
        <v>39</v>
      </c>
      <c r="N1" s="823" t="s">
        <v>657</v>
      </c>
      <c r="O1" s="823" t="s">
        <v>661</v>
      </c>
      <c r="P1" s="823" t="s">
        <v>662</v>
      </c>
      <c r="Q1" s="822" t="s">
        <v>63</v>
      </c>
      <c r="R1" s="821" t="s">
        <v>659</v>
      </c>
      <c r="S1" s="824" t="s">
        <v>660</v>
      </c>
    </row>
    <row r="2" spans="2:19" ht="15" customHeight="1">
      <c r="B2" s="6"/>
      <c r="C2" s="7"/>
      <c r="D2" s="823"/>
      <c r="E2" s="821"/>
      <c r="F2" s="821"/>
      <c r="G2" s="823"/>
      <c r="H2" s="8" t="s">
        <v>5</v>
      </c>
      <c r="I2" s="8" t="s">
        <v>64</v>
      </c>
      <c r="J2" s="8" t="s">
        <v>6</v>
      </c>
      <c r="K2" s="8" t="s">
        <v>39</v>
      </c>
      <c r="L2" s="823"/>
      <c r="M2" s="821"/>
      <c r="N2" s="823"/>
      <c r="O2" s="823"/>
      <c r="P2" s="823"/>
      <c r="Q2" s="822"/>
      <c r="R2" s="821"/>
      <c r="S2" s="824"/>
    </row>
    <row r="3" spans="1:18" s="9" customFormat="1" ht="20.25" customHeight="1">
      <c r="A3" s="9" t="s">
        <v>400</v>
      </c>
      <c r="B3" s="2" t="s">
        <v>10</v>
      </c>
      <c r="C3" s="3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65</v>
      </c>
      <c r="J3" s="4" t="s">
        <v>17</v>
      </c>
      <c r="K3" s="4" t="s">
        <v>398</v>
      </c>
      <c r="L3" s="4"/>
      <c r="M3" s="4" t="s">
        <v>399</v>
      </c>
      <c r="N3" s="4"/>
      <c r="O3" s="4"/>
      <c r="P3" s="4"/>
      <c r="Q3" s="469" t="s">
        <v>401</v>
      </c>
      <c r="R3" s="4"/>
    </row>
    <row r="4" spans="1:18" ht="15.75" hidden="1">
      <c r="A4" s="9" t="s">
        <v>18</v>
      </c>
      <c r="C4" s="153" t="s">
        <v>19</v>
      </c>
      <c r="D4" s="153">
        <v>61747</v>
      </c>
      <c r="E4" s="153">
        <v>16503</v>
      </c>
      <c r="F4" s="153">
        <v>139577</v>
      </c>
      <c r="G4" s="153">
        <f>SUM(D4:F4)</f>
        <v>217827</v>
      </c>
      <c r="H4" s="153"/>
      <c r="I4" s="153"/>
      <c r="J4" s="153"/>
      <c r="K4" s="153"/>
      <c r="L4" s="153"/>
      <c r="M4" s="153"/>
      <c r="N4" s="153"/>
      <c r="O4" s="153"/>
      <c r="P4" s="153"/>
      <c r="Q4" s="671">
        <f>SUM(G4:M4)</f>
        <v>217827</v>
      </c>
      <c r="R4" s="153"/>
    </row>
    <row r="5" spans="1:18" ht="15" customHeight="1" hidden="1">
      <c r="A5" s="9" t="s">
        <v>20</v>
      </c>
      <c r="B5" s="11"/>
      <c r="C5" s="153" t="s">
        <v>21</v>
      </c>
      <c r="D5" s="153">
        <f>+D4+667+781</f>
        <v>63195</v>
      </c>
      <c r="E5" s="153">
        <f>+E4+180+211</f>
        <v>16894</v>
      </c>
      <c r="F5" s="153">
        <f>+F4</f>
        <v>139577</v>
      </c>
      <c r="G5" s="153">
        <f>SUM(D5:F5)</f>
        <v>219666</v>
      </c>
      <c r="H5" s="153"/>
      <c r="I5" s="153"/>
      <c r="J5" s="153">
        <v>2166</v>
      </c>
      <c r="K5" s="153"/>
      <c r="L5" s="153"/>
      <c r="M5" s="153"/>
      <c r="N5" s="153"/>
      <c r="O5" s="153"/>
      <c r="P5" s="153"/>
      <c r="Q5" s="671">
        <f>SUM(G5:M5)</f>
        <v>221832</v>
      </c>
      <c r="R5" s="153"/>
    </row>
    <row r="6" spans="1:18" ht="31.5" customHeight="1">
      <c r="A6" s="9" t="s">
        <v>18</v>
      </c>
      <c r="B6" s="11" t="str">
        <f>+'[1]2mell 1ápr'!A28</f>
        <v>Városellátó  Szervezet</v>
      </c>
      <c r="C6" s="458" t="s">
        <v>56</v>
      </c>
      <c r="D6" s="153">
        <v>41905</v>
      </c>
      <c r="E6" s="153">
        <v>11238</v>
      </c>
      <c r="F6" s="153">
        <f>130967-4000+2000</f>
        <v>128967</v>
      </c>
      <c r="G6" s="153">
        <f>SUM(D6:F6)</f>
        <v>182110</v>
      </c>
      <c r="H6" s="153"/>
      <c r="I6" s="153"/>
      <c r="J6" s="153"/>
      <c r="K6" s="153"/>
      <c r="L6" s="153"/>
      <c r="M6" s="153"/>
      <c r="N6" s="153"/>
      <c r="O6" s="153"/>
      <c r="P6" s="153"/>
      <c r="Q6" s="671">
        <f>SUM(G6:M6)</f>
        <v>182110</v>
      </c>
      <c r="R6" s="153"/>
    </row>
    <row r="7" spans="1:17" s="153" customFormat="1" ht="30">
      <c r="A7" s="668" t="s">
        <v>20</v>
      </c>
      <c r="B7" s="458"/>
      <c r="C7" s="458" t="s">
        <v>418</v>
      </c>
      <c r="D7" s="153">
        <f>+D6+713+364+235+449+1787+122+101+3119</f>
        <v>48795</v>
      </c>
      <c r="E7" s="153">
        <f>+E6+192+462+63+122+33+28+1174-108</f>
        <v>13204</v>
      </c>
      <c r="F7" s="153">
        <f>+F6+43132+250+6256+79+180+108</f>
        <v>178972</v>
      </c>
      <c r="G7" s="153">
        <f>SUM(D7:F7)</f>
        <v>240971</v>
      </c>
      <c r="M7" s="153">
        <f>+7_mell!D25+7_mell!D26+7_mell!D28+7_mell!D45</f>
        <v>497</v>
      </c>
      <c r="Q7" s="671">
        <f>SUM(G7:M7)</f>
        <v>241468</v>
      </c>
    </row>
    <row r="8" spans="1:19" ht="15.75">
      <c r="A8" s="9" t="s">
        <v>22</v>
      </c>
      <c r="B8" s="11"/>
      <c r="C8" s="11" t="s">
        <v>551</v>
      </c>
      <c r="D8" s="12">
        <v>48795</v>
      </c>
      <c r="E8" s="12">
        <v>13204</v>
      </c>
      <c r="F8" s="12">
        <v>167065</v>
      </c>
      <c r="G8" s="12">
        <f>SUM(D8:F8)</f>
        <v>229064</v>
      </c>
      <c r="H8" s="12"/>
      <c r="I8" s="12"/>
      <c r="J8" s="12"/>
      <c r="K8" s="12"/>
      <c r="L8" s="12"/>
      <c r="M8" s="12">
        <v>206</v>
      </c>
      <c r="N8" s="12"/>
      <c r="O8" s="12"/>
      <c r="P8" s="12">
        <v>-1573</v>
      </c>
      <c r="Q8" s="671">
        <f>SUM(G8:P8)</f>
        <v>227697</v>
      </c>
      <c r="R8" s="12">
        <v>1355</v>
      </c>
      <c r="S8" s="1">
        <f>SUM(Q8:R8)</f>
        <v>229052</v>
      </c>
    </row>
    <row r="9" ht="15" customHeight="1">
      <c r="B9" s="11"/>
    </row>
    <row r="10" spans="1:18" ht="48" customHeight="1" hidden="1">
      <c r="A10" s="9" t="s">
        <v>25</v>
      </c>
      <c r="C10" s="153" t="s">
        <v>19</v>
      </c>
      <c r="D10" s="153">
        <v>59647</v>
      </c>
      <c r="E10" s="153">
        <v>15984</v>
      </c>
      <c r="F10" s="153">
        <v>37620</v>
      </c>
      <c r="G10" s="153">
        <f>SUM(D10:F10)</f>
        <v>113251</v>
      </c>
      <c r="H10" s="153"/>
      <c r="I10" s="153"/>
      <c r="J10" s="153"/>
      <c r="K10" s="153"/>
      <c r="L10" s="153"/>
      <c r="M10" s="153"/>
      <c r="N10" s="153"/>
      <c r="O10" s="153"/>
      <c r="P10" s="153"/>
      <c r="Q10" s="671">
        <f>SUM(G10:M10)</f>
        <v>113251</v>
      </c>
      <c r="R10" s="153"/>
    </row>
    <row r="11" spans="1:18" ht="15" customHeight="1" hidden="1">
      <c r="A11" s="9" t="s">
        <v>26</v>
      </c>
      <c r="B11" s="11"/>
      <c r="C11" s="153" t="s">
        <v>21</v>
      </c>
      <c r="D11" s="153">
        <f>+D10+571+879+8117+2700</f>
        <v>71914</v>
      </c>
      <c r="E11" s="153">
        <f>+E10+154+237+2017+729</f>
        <v>19121</v>
      </c>
      <c r="F11" s="153">
        <f>+F10+9394+3484+3130</f>
        <v>53628</v>
      </c>
      <c r="G11" s="153">
        <f>SUM(D11:F11)</f>
        <v>144663</v>
      </c>
      <c r="H11" s="153"/>
      <c r="I11" s="153"/>
      <c r="J11" s="153">
        <f>2568</f>
        <v>2568</v>
      </c>
      <c r="K11" s="153"/>
      <c r="L11" s="153"/>
      <c r="M11" s="153">
        <v>120</v>
      </c>
      <c r="N11" s="153"/>
      <c r="O11" s="153"/>
      <c r="P11" s="153"/>
      <c r="Q11" s="671">
        <f>SUM(G11:M11)</f>
        <v>147351</v>
      </c>
      <c r="R11" s="153"/>
    </row>
    <row r="12" spans="1:18" ht="53.25" customHeight="1">
      <c r="A12" s="9" t="s">
        <v>23</v>
      </c>
      <c r="B12" s="11" t="str">
        <f>+'[1]2mell 1ápr'!A32</f>
        <v>Egészségügyi és Szociális Ellátó Szervezet</v>
      </c>
      <c r="C12" s="458" t="s">
        <v>56</v>
      </c>
      <c r="D12" s="153">
        <v>62208</v>
      </c>
      <c r="E12" s="153">
        <v>14440</v>
      </c>
      <c r="F12" s="153">
        <f>42090+274+3846+144-4000</f>
        <v>42354</v>
      </c>
      <c r="G12" s="153">
        <f>SUM(D12:F12)</f>
        <v>119002</v>
      </c>
      <c r="H12" s="153"/>
      <c r="I12" s="153"/>
      <c r="J12" s="153"/>
      <c r="K12" s="153"/>
      <c r="L12" s="153"/>
      <c r="M12" s="153"/>
      <c r="N12" s="153"/>
      <c r="O12" s="153"/>
      <c r="P12" s="153"/>
      <c r="Q12" s="671">
        <f>SUM(G12:M12)</f>
        <v>119002</v>
      </c>
      <c r="R12" s="153"/>
    </row>
    <row r="13" spans="1:17" s="153" customFormat="1" ht="30">
      <c r="A13" s="668" t="s">
        <v>24</v>
      </c>
      <c r="B13" s="458"/>
      <c r="C13" s="458" t="s">
        <v>418</v>
      </c>
      <c r="D13" s="153">
        <f>+D12+1303+360+462+669-2394+92+2227</f>
        <v>64927</v>
      </c>
      <c r="E13" s="153">
        <f>+E12+352+97+125+180+1968+25</f>
        <v>17187</v>
      </c>
      <c r="F13" s="153">
        <f>+F12+8867+1674+1891+224+2227-488-4332-2227</f>
        <v>50190</v>
      </c>
      <c r="G13" s="153">
        <f>SUM(D13:F13)</f>
        <v>132304</v>
      </c>
      <c r="H13" s="153">
        <v>697</v>
      </c>
      <c r="M13" s="153">
        <v>217</v>
      </c>
      <c r="Q13" s="671">
        <f>SUM(G13:M13)</f>
        <v>133218</v>
      </c>
    </row>
    <row r="14" spans="1:19" ht="15.75">
      <c r="A14" s="9" t="s">
        <v>25</v>
      </c>
      <c r="B14" s="11"/>
      <c r="C14" s="11" t="s">
        <v>551</v>
      </c>
      <c r="D14" s="12">
        <v>64927</v>
      </c>
      <c r="E14" s="12">
        <v>17187</v>
      </c>
      <c r="F14" s="12">
        <v>44773</v>
      </c>
      <c r="G14" s="12">
        <f>SUM(D14:F14)</f>
        <v>126887</v>
      </c>
      <c r="H14" s="12">
        <v>697</v>
      </c>
      <c r="I14" s="12"/>
      <c r="J14" s="12"/>
      <c r="K14" s="12"/>
      <c r="L14" s="12"/>
      <c r="M14" s="12">
        <v>217</v>
      </c>
      <c r="N14" s="12"/>
      <c r="O14" s="12"/>
      <c r="P14" s="12">
        <v>-368</v>
      </c>
      <c r="Q14" s="671">
        <f>SUM(G14:P14)</f>
        <v>127433</v>
      </c>
      <c r="R14" s="12">
        <v>616</v>
      </c>
      <c r="S14" s="1">
        <f>SUM(Q14:R14)</f>
        <v>128049</v>
      </c>
    </row>
    <row r="15" spans="2:7" ht="14.25" customHeight="1">
      <c r="B15" s="11"/>
      <c r="G15" s="12"/>
    </row>
    <row r="16" spans="1:18" ht="0.75" customHeight="1" hidden="1">
      <c r="A16" s="9" t="s">
        <v>30</v>
      </c>
      <c r="C16" s="153" t="s">
        <v>19</v>
      </c>
      <c r="D16" s="153">
        <v>11098</v>
      </c>
      <c r="E16" s="153">
        <v>3013</v>
      </c>
      <c r="F16" s="153">
        <v>8519</v>
      </c>
      <c r="G16" s="153">
        <f aca="true" t="shared" si="0" ref="G16:G24">SUM(D16:F16)</f>
        <v>22630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671">
        <f>SUM(G16:M16)</f>
        <v>22630</v>
      </c>
      <c r="R16" s="153"/>
    </row>
    <row r="17" spans="1:18" ht="15" customHeight="1" hidden="1">
      <c r="A17" s="9" t="s">
        <v>31</v>
      </c>
      <c r="B17" s="11"/>
      <c r="C17" s="153" t="s">
        <v>21</v>
      </c>
      <c r="D17" s="153">
        <f>+D16+93+122+22+535+120</f>
        <v>11990</v>
      </c>
      <c r="E17" s="153">
        <f>+E16+25+33+145+29</f>
        <v>3245</v>
      </c>
      <c r="F17" s="153">
        <f>+F16+29+1373-22+47+263+109+34+150</f>
        <v>10502</v>
      </c>
      <c r="G17" s="153">
        <f t="shared" si="0"/>
        <v>25737</v>
      </c>
      <c r="H17" s="153"/>
      <c r="I17" s="153"/>
      <c r="J17" s="153">
        <f>368</f>
        <v>368</v>
      </c>
      <c r="K17" s="153"/>
      <c r="L17" s="153"/>
      <c r="M17" s="153">
        <v>200</v>
      </c>
      <c r="N17" s="153"/>
      <c r="O17" s="153"/>
      <c r="P17" s="153"/>
      <c r="Q17" s="671">
        <f>SUM(G17:M17)</f>
        <v>26305</v>
      </c>
      <c r="R17" s="153"/>
    </row>
    <row r="18" spans="1:18" ht="56.25" customHeight="1">
      <c r="A18" s="9" t="s">
        <v>26</v>
      </c>
      <c r="B18" s="11" t="s">
        <v>66</v>
      </c>
      <c r="C18" s="458" t="s">
        <v>56</v>
      </c>
      <c r="D18" s="153">
        <v>9313</v>
      </c>
      <c r="E18" s="153">
        <v>2514</v>
      </c>
      <c r="F18" s="153">
        <f>8521-2000+400</f>
        <v>6921</v>
      </c>
      <c r="G18" s="153">
        <f t="shared" si="0"/>
        <v>18748</v>
      </c>
      <c r="H18" s="153"/>
      <c r="I18" s="153"/>
      <c r="J18" s="153"/>
      <c r="K18" s="153"/>
      <c r="L18" s="153"/>
      <c r="M18" s="153"/>
      <c r="N18" s="153"/>
      <c r="O18" s="153"/>
      <c r="P18" s="153"/>
      <c r="Q18" s="671">
        <f>SUM(G18:M18)</f>
        <v>18748</v>
      </c>
      <c r="R18" s="153"/>
    </row>
    <row r="19" spans="1:17" s="153" customFormat="1" ht="30">
      <c r="A19" s="668" t="s">
        <v>27</v>
      </c>
      <c r="B19" s="458"/>
      <c r="C19" s="458" t="s">
        <v>418</v>
      </c>
      <c r="D19" s="153">
        <f>+D18+95+32+756+72+744+122+3</f>
        <v>11137</v>
      </c>
      <c r="E19" s="153">
        <f>+E18+25+8+204+21+202+33</f>
        <v>3007</v>
      </c>
      <c r="F19" s="153">
        <f>+F18+2408+408-408+179+3918+1000+1213+395+454</f>
        <v>16488</v>
      </c>
      <c r="G19" s="153">
        <f t="shared" si="0"/>
        <v>30632</v>
      </c>
      <c r="M19" s="153">
        <f>408+3122</f>
        <v>3530</v>
      </c>
      <c r="Q19" s="671">
        <f>SUM(G19:M19)</f>
        <v>34162</v>
      </c>
    </row>
    <row r="20" spans="1:19" ht="15.75">
      <c r="A20" s="9" t="s">
        <v>28</v>
      </c>
      <c r="B20" s="11"/>
      <c r="C20" s="11" t="s">
        <v>551</v>
      </c>
      <c r="D20" s="12">
        <v>10571</v>
      </c>
      <c r="E20" s="12">
        <v>2857</v>
      </c>
      <c r="F20" s="12">
        <v>12679</v>
      </c>
      <c r="G20" s="12">
        <f t="shared" si="0"/>
        <v>26107</v>
      </c>
      <c r="H20" s="12"/>
      <c r="I20" s="12"/>
      <c r="J20" s="12"/>
      <c r="K20" s="12"/>
      <c r="L20" s="12"/>
      <c r="M20" s="12">
        <v>3197</v>
      </c>
      <c r="N20" s="12"/>
      <c r="O20" s="12"/>
      <c r="P20" s="12">
        <v>-20</v>
      </c>
      <c r="Q20" s="671">
        <f>SUM(G20:P20)</f>
        <v>29284</v>
      </c>
      <c r="R20" s="12">
        <v>268</v>
      </c>
      <c r="S20" s="1">
        <f>SUM(Q20:R20)</f>
        <v>29552</v>
      </c>
    </row>
    <row r="21" spans="2:18" ht="15.75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671"/>
      <c r="R21" s="12"/>
    </row>
    <row r="22" spans="1:18" ht="32.25" customHeight="1" hidden="1">
      <c r="A22" s="9" t="s">
        <v>35</v>
      </c>
      <c r="C22" s="459" t="s">
        <v>19</v>
      </c>
      <c r="D22" s="459">
        <f>1368+2500+5512</f>
        <v>9380</v>
      </c>
      <c r="E22" s="459">
        <f>369+675+4762+1488</f>
        <v>7294</v>
      </c>
      <c r="F22" s="459">
        <v>2260</v>
      </c>
      <c r="G22" s="459">
        <f t="shared" si="0"/>
        <v>18934</v>
      </c>
      <c r="H22" s="460">
        <f>+'[2]átadott'!V26</f>
        <v>7650</v>
      </c>
      <c r="I22" s="460">
        <f>+'[2]segély'!T36</f>
        <v>207479</v>
      </c>
      <c r="J22" s="460"/>
      <c r="K22" s="460">
        <f>+'[2]átadott'!V30</f>
        <v>1300</v>
      </c>
      <c r="L22" s="460"/>
      <c r="M22" s="460">
        <f>+'[2]felh.'!P70</f>
        <v>17610</v>
      </c>
      <c r="N22" s="460"/>
      <c r="O22" s="460"/>
      <c r="P22" s="460"/>
      <c r="Q22" s="673">
        <f>SUM(G22:M22)</f>
        <v>252973</v>
      </c>
      <c r="R22" s="459"/>
    </row>
    <row r="23" spans="1:18" ht="15" customHeight="1" hidden="1">
      <c r="A23" s="9" t="s">
        <v>36</v>
      </c>
      <c r="B23" s="14"/>
      <c r="C23" s="24" t="s">
        <v>21</v>
      </c>
      <c r="D23" s="459">
        <f>+D22+33+62+34799+1871+3065+5996+268+10410+7887</f>
        <v>73771</v>
      </c>
      <c r="E23" s="459">
        <v>19925</v>
      </c>
      <c r="F23" s="459">
        <f>+F22+40106+2139+9800+3500</f>
        <v>57805</v>
      </c>
      <c r="G23" s="459">
        <f t="shared" si="0"/>
        <v>151501</v>
      </c>
      <c r="H23" s="460">
        <f>4291+12650</f>
        <v>16941</v>
      </c>
      <c r="I23" s="460">
        <f>+'[2]segély'!Y36</f>
        <v>13204</v>
      </c>
      <c r="J23" s="460">
        <f>19743</f>
        <v>19743</v>
      </c>
      <c r="K23" s="460">
        <f>+'[2]átadott'!Y30</f>
        <v>2441</v>
      </c>
      <c r="L23" s="460"/>
      <c r="M23" s="460">
        <f>+'[2]felh.'!S18+'[2]felh.'!S34+'[2]felh.'!S38+'[2]felh.'!S50+'[2]felh.'!S62</f>
        <v>48898</v>
      </c>
      <c r="N23" s="460"/>
      <c r="O23" s="460"/>
      <c r="P23" s="460"/>
      <c r="Q23" s="673">
        <f>+Q22</f>
        <v>252973</v>
      </c>
      <c r="R23" s="459"/>
    </row>
    <row r="24" spans="1:18" ht="33" customHeight="1">
      <c r="A24" s="9" t="s">
        <v>29</v>
      </c>
      <c r="B24" s="17" t="str">
        <f>+'[2]bevétel'!B34</f>
        <v>Battonya Város Önkormányzata</v>
      </c>
      <c r="C24" s="461" t="s">
        <v>56</v>
      </c>
      <c r="D24" s="459">
        <v>15988</v>
      </c>
      <c r="E24" s="459">
        <v>2561</v>
      </c>
      <c r="F24" s="459">
        <f>54260-2000</f>
        <v>52260</v>
      </c>
      <c r="G24" s="459">
        <f t="shared" si="0"/>
        <v>70809</v>
      </c>
      <c r="H24" s="460">
        <f>+5_mell!C27</f>
        <v>18550</v>
      </c>
      <c r="I24" s="460">
        <v>5828</v>
      </c>
      <c r="J24" s="460"/>
      <c r="K24" s="460">
        <f>+5_mell!C31</f>
        <v>3000</v>
      </c>
      <c r="L24" s="460"/>
      <c r="M24" s="460">
        <v>0</v>
      </c>
      <c r="N24" s="460"/>
      <c r="O24" s="460"/>
      <c r="P24" s="460"/>
      <c r="Q24" s="673">
        <f>SUM(G24:M24)</f>
        <v>98187</v>
      </c>
      <c r="R24" s="459"/>
    </row>
    <row r="25" spans="1:19" s="24" customFormat="1" ht="30">
      <c r="A25" s="669" t="s">
        <v>30</v>
      </c>
      <c r="B25" s="459"/>
      <c r="C25" s="461" t="s">
        <v>418</v>
      </c>
      <c r="D25" s="459">
        <f>+D24+21+302+62985+214+45000+21+37+89162</f>
        <v>213730</v>
      </c>
      <c r="E25" s="459">
        <f>+E24+6+82+8503+52+6300+6+9+12179</f>
        <v>29698</v>
      </c>
      <c r="F25" s="459">
        <f>+F24+55665+15600-4751+15145-323-2252-347+14684+10863</f>
        <v>156544</v>
      </c>
      <c r="G25" s="459">
        <f>SUM(D25:F25)</f>
        <v>399972</v>
      </c>
      <c r="H25" s="460">
        <f>+5_mell!D27-5_mell!D13-5_mell!D21</f>
        <v>41645</v>
      </c>
      <c r="I25" s="460">
        <f>+6_mell!J39</f>
        <v>21481</v>
      </c>
      <c r="J25" s="460">
        <f>+5_mell!D13</f>
        <v>3726</v>
      </c>
      <c r="K25" s="460">
        <f>+5_mell!D31</f>
        <v>3000</v>
      </c>
      <c r="L25" s="460">
        <v>400</v>
      </c>
      <c r="M25" s="460">
        <f>+7_mell!D12+7_mell!D14+7_mell!D16+7_mell!D18+7_mell!D51</f>
        <v>59421</v>
      </c>
      <c r="N25" s="460">
        <v>550386</v>
      </c>
      <c r="O25" s="460">
        <v>25458</v>
      </c>
      <c r="P25" s="460"/>
      <c r="Q25" s="673">
        <f>SUM(G25:P25)</f>
        <v>1105489</v>
      </c>
      <c r="R25" s="459"/>
      <c r="S25" s="24">
        <v>1105489</v>
      </c>
    </row>
    <row r="26" spans="1:19" ht="15.75">
      <c r="A26" s="9" t="s">
        <v>31</v>
      </c>
      <c r="B26" s="14"/>
      <c r="C26" s="11" t="s">
        <v>551</v>
      </c>
      <c r="D26" s="14">
        <v>191478</v>
      </c>
      <c r="E26" s="14">
        <v>26987</v>
      </c>
      <c r="F26" s="14">
        <v>110311</v>
      </c>
      <c r="G26" s="14">
        <f>SUM(D26:F26)</f>
        <v>328776</v>
      </c>
      <c r="H26" s="15">
        <f>20094+25276-3726</f>
        <v>41644</v>
      </c>
      <c r="I26" s="15">
        <v>20281</v>
      </c>
      <c r="J26" s="15">
        <v>3726</v>
      </c>
      <c r="K26" s="15">
        <v>3000</v>
      </c>
      <c r="L26" s="15">
        <v>400</v>
      </c>
      <c r="M26" s="15">
        <f>9261+29388</f>
        <v>38649</v>
      </c>
      <c r="N26" s="15">
        <v>530400</v>
      </c>
      <c r="O26" s="15">
        <v>201760</v>
      </c>
      <c r="P26" s="15">
        <v>-4783</v>
      </c>
      <c r="Q26" s="673">
        <f>SUM(G26:P26)</f>
        <v>1163853</v>
      </c>
      <c r="R26" s="14">
        <v>75457</v>
      </c>
      <c r="S26" s="1">
        <f>SUM(Q26:R26)</f>
        <v>1239310</v>
      </c>
    </row>
    <row r="27" spans="2:18" ht="13.5" customHeight="1">
      <c r="B27" s="14"/>
      <c r="C27" s="11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673"/>
      <c r="R27" s="14"/>
    </row>
    <row r="28" spans="1:18" ht="0.75" customHeight="1" hidden="1">
      <c r="A28" s="9" t="s">
        <v>44</v>
      </c>
      <c r="C28" s="24" t="s">
        <v>42</v>
      </c>
      <c r="D28" s="459">
        <f>116618+1368+2500-1368-2500+1371</f>
        <v>117989</v>
      </c>
      <c r="E28" s="24">
        <f>30963+369+675-369-675+370</f>
        <v>31333</v>
      </c>
      <c r="F28" s="24">
        <f>76980+2260+507-2260</f>
        <v>77487</v>
      </c>
      <c r="G28" s="24">
        <f>SUM(D28:F28)</f>
        <v>226809</v>
      </c>
      <c r="H28" s="29">
        <v>0</v>
      </c>
      <c r="I28" s="29"/>
      <c r="J28" s="29"/>
      <c r="K28" s="29">
        <v>0</v>
      </c>
      <c r="L28" s="29"/>
      <c r="M28" s="316">
        <v>0</v>
      </c>
      <c r="N28" s="316"/>
      <c r="O28" s="316"/>
      <c r="P28" s="316"/>
      <c r="Q28" s="672">
        <f>SUM(G28:M28)</f>
        <v>226809</v>
      </c>
      <c r="R28" s="24"/>
    </row>
    <row r="29" spans="1:18" ht="15" customHeight="1" hidden="1">
      <c r="A29" s="9" t="s">
        <v>45</v>
      </c>
      <c r="C29" s="24" t="s">
        <v>21</v>
      </c>
      <c r="D29" s="24">
        <f>+D28+1573+632+600</f>
        <v>120794</v>
      </c>
      <c r="E29" s="24">
        <v>32052</v>
      </c>
      <c r="F29" s="24">
        <f>+F28+8190</f>
        <v>85677</v>
      </c>
      <c r="G29" s="24">
        <f>SUM(D29:F29)</f>
        <v>238523</v>
      </c>
      <c r="H29" s="24"/>
      <c r="I29" s="29">
        <f>+'[2]segély'!X36+'[2]segély'!X40</f>
        <v>220024</v>
      </c>
      <c r="J29" s="29"/>
      <c r="K29" s="24"/>
      <c r="L29" s="24"/>
      <c r="M29" s="24">
        <f>3729</f>
        <v>3729</v>
      </c>
      <c r="N29" s="24"/>
      <c r="O29" s="24"/>
      <c r="P29" s="24"/>
      <c r="Q29" s="672">
        <f>SUM(G29:M29)</f>
        <v>462276</v>
      </c>
      <c r="R29" s="24"/>
    </row>
    <row r="30" spans="1:18" ht="31.5" customHeight="1">
      <c r="A30" s="9" t="s">
        <v>32</v>
      </c>
      <c r="B30" s="11" t="str">
        <f>+3_mell!B30</f>
        <v>Battonyai Polgármesteri Hivatal</v>
      </c>
      <c r="C30" s="461" t="s">
        <v>56</v>
      </c>
      <c r="D30" s="24">
        <f>95148-565+1430</f>
        <v>96013</v>
      </c>
      <c r="E30" s="24">
        <f>25853-153+386</f>
        <v>26086</v>
      </c>
      <c r="F30" s="24">
        <v>23222</v>
      </c>
      <c r="G30" s="24">
        <f>SUM(D30:F30)</f>
        <v>145321</v>
      </c>
      <c r="H30" s="24"/>
      <c r="I30" s="29">
        <v>178472</v>
      </c>
      <c r="J30" s="29"/>
      <c r="K30" s="24"/>
      <c r="L30" s="24"/>
      <c r="M30" s="24"/>
      <c r="N30" s="24"/>
      <c r="O30" s="24"/>
      <c r="P30" s="24"/>
      <c r="Q30" s="672">
        <f>SUM(G30:M30)</f>
        <v>323793</v>
      </c>
      <c r="R30" s="24"/>
    </row>
    <row r="31" spans="1:17" s="153" customFormat="1" ht="31.5" customHeight="1">
      <c r="A31" s="668" t="s">
        <v>33</v>
      </c>
      <c r="C31" s="458" t="s">
        <v>418</v>
      </c>
      <c r="D31" s="153">
        <f>+D30+377+7152+151+248+8883+744+690</f>
        <v>114258</v>
      </c>
      <c r="E31" s="153">
        <f>+E30+102+1813+41+67+2177-960</f>
        <v>29326</v>
      </c>
      <c r="F31" s="153">
        <f>+F30+14159+1016+488+3861</f>
        <v>42746</v>
      </c>
      <c r="G31" s="153">
        <f>SUM(D31:F31)</f>
        <v>186330</v>
      </c>
      <c r="I31" s="670">
        <f>+6_mell!I39</f>
        <v>154481</v>
      </c>
      <c r="J31" s="670"/>
      <c r="M31" s="153">
        <f>+7_mell!D34+7_mell!D48</f>
        <v>2879</v>
      </c>
      <c r="Q31" s="671">
        <f>SUM(G31:M31)</f>
        <v>343690</v>
      </c>
    </row>
    <row r="32" spans="1:19" ht="31.5" customHeight="1">
      <c r="A32" s="9" t="s">
        <v>34</v>
      </c>
      <c r="C32" s="11" t="s">
        <v>551</v>
      </c>
      <c r="D32" s="1">
        <v>114258</v>
      </c>
      <c r="E32" s="1">
        <v>29326</v>
      </c>
      <c r="F32" s="1">
        <v>37134</v>
      </c>
      <c r="G32" s="1">
        <f>SUM(D32:F32)</f>
        <v>180718</v>
      </c>
      <c r="I32" s="13">
        <v>154481</v>
      </c>
      <c r="J32" s="13"/>
      <c r="M32" s="1">
        <f>339+2540</f>
        <v>2879</v>
      </c>
      <c r="P32" s="1">
        <v>-1607</v>
      </c>
      <c r="Q32" s="672">
        <f>SUM(G32:P32)</f>
        <v>336471</v>
      </c>
      <c r="R32" s="1">
        <v>261</v>
      </c>
      <c r="S32" s="1">
        <f>SUM(Q32:R32)</f>
        <v>336732</v>
      </c>
    </row>
    <row r="34" spans="1:18" ht="15" customHeight="1" hidden="1">
      <c r="A34" s="9" t="s">
        <v>49</v>
      </c>
      <c r="C34" s="153" t="s">
        <v>19</v>
      </c>
      <c r="D34" s="459">
        <f aca="true" t="shared" si="1" ref="D34:K38">+D28+D22+D16+D10+D4</f>
        <v>259861</v>
      </c>
      <c r="E34" s="459">
        <f t="shared" si="1"/>
        <v>74127</v>
      </c>
      <c r="F34" s="459">
        <f t="shared" si="1"/>
        <v>265463</v>
      </c>
      <c r="G34" s="459">
        <f t="shared" si="1"/>
        <v>599451</v>
      </c>
      <c r="H34" s="459">
        <f t="shared" si="1"/>
        <v>7650</v>
      </c>
      <c r="I34" s="459">
        <f t="shared" si="1"/>
        <v>207479</v>
      </c>
      <c r="J34" s="459">
        <f t="shared" si="1"/>
        <v>0</v>
      </c>
      <c r="K34" s="459">
        <f t="shared" si="1"/>
        <v>1300</v>
      </c>
      <c r="L34" s="459"/>
      <c r="M34" s="459">
        <f>+M28+M22+M16+M10+M4</f>
        <v>17610</v>
      </c>
      <c r="N34" s="459"/>
      <c r="O34" s="459"/>
      <c r="P34" s="459"/>
      <c r="Q34" s="673">
        <f>+Q28+Q22+Q16+Q10+Q4</f>
        <v>833490</v>
      </c>
      <c r="R34" s="459"/>
    </row>
    <row r="35" spans="1:18" ht="15" customHeight="1" hidden="1">
      <c r="A35" s="9" t="s">
        <v>50</v>
      </c>
      <c r="C35" s="24" t="s">
        <v>21</v>
      </c>
      <c r="D35" s="459">
        <f t="shared" si="1"/>
        <v>341664</v>
      </c>
      <c r="E35" s="459">
        <f t="shared" si="1"/>
        <v>91237</v>
      </c>
      <c r="F35" s="459">
        <f t="shared" si="1"/>
        <v>347189</v>
      </c>
      <c r="G35" s="459">
        <f t="shared" si="1"/>
        <v>780090</v>
      </c>
      <c r="H35" s="459">
        <f t="shared" si="1"/>
        <v>16941</v>
      </c>
      <c r="I35" s="459">
        <f t="shared" si="1"/>
        <v>233228</v>
      </c>
      <c r="J35" s="459">
        <f t="shared" si="1"/>
        <v>24845</v>
      </c>
      <c r="K35" s="459">
        <f t="shared" si="1"/>
        <v>2441</v>
      </c>
      <c r="L35" s="459"/>
      <c r="M35" s="459">
        <f>+M29+M23+M17+M11+M5</f>
        <v>52947</v>
      </c>
      <c r="N35" s="459"/>
      <c r="O35" s="459"/>
      <c r="P35" s="459"/>
      <c r="Q35" s="673">
        <f>+Q29+Q23+Q17+Q11+Q5</f>
        <v>1110737</v>
      </c>
      <c r="R35" s="459"/>
    </row>
    <row r="36" spans="1:18" ht="33" customHeight="1">
      <c r="A36" s="9" t="s">
        <v>35</v>
      </c>
      <c r="B36" s="17" t="s">
        <v>67</v>
      </c>
      <c r="C36" s="461" t="s">
        <v>56</v>
      </c>
      <c r="D36" s="459">
        <f t="shared" si="1"/>
        <v>225427</v>
      </c>
      <c r="E36" s="459">
        <f t="shared" si="1"/>
        <v>56839</v>
      </c>
      <c r="F36" s="459">
        <f t="shared" si="1"/>
        <v>253724</v>
      </c>
      <c r="G36" s="459">
        <f t="shared" si="1"/>
        <v>535990</v>
      </c>
      <c r="H36" s="460">
        <f t="shared" si="1"/>
        <v>18550</v>
      </c>
      <c r="I36" s="459">
        <f t="shared" si="1"/>
        <v>184300</v>
      </c>
      <c r="J36" s="459">
        <f t="shared" si="1"/>
        <v>0</v>
      </c>
      <c r="K36" s="460">
        <f t="shared" si="1"/>
        <v>3000</v>
      </c>
      <c r="L36" s="459"/>
      <c r="M36" s="459">
        <f>+M30+M24+M18+M12+M6</f>
        <v>0</v>
      </c>
      <c r="N36" s="459"/>
      <c r="O36" s="459"/>
      <c r="P36" s="459"/>
      <c r="Q36" s="673">
        <f>+Q30+Q24+Q18+Q12+Q6</f>
        <v>741840</v>
      </c>
      <c r="R36" s="459"/>
    </row>
    <row r="37" spans="1:18" s="24" customFormat="1" ht="33" customHeight="1">
      <c r="A37" s="669" t="s">
        <v>36</v>
      </c>
      <c r="C37" s="461" t="s">
        <v>418</v>
      </c>
      <c r="D37" s="459">
        <f t="shared" si="1"/>
        <v>452847</v>
      </c>
      <c r="E37" s="459">
        <f t="shared" si="1"/>
        <v>92422</v>
      </c>
      <c r="F37" s="459">
        <f>+F31+F25+F19+F13+F7</f>
        <v>444940</v>
      </c>
      <c r="G37" s="459">
        <f t="shared" si="1"/>
        <v>990209</v>
      </c>
      <c r="H37" s="459">
        <f t="shared" si="1"/>
        <v>42342</v>
      </c>
      <c r="I37" s="459">
        <f t="shared" si="1"/>
        <v>175962</v>
      </c>
      <c r="J37" s="459">
        <f t="shared" si="1"/>
        <v>3726</v>
      </c>
      <c r="K37" s="460">
        <f>+K31+K25+K19+K13+K7</f>
        <v>3000</v>
      </c>
      <c r="L37" s="460">
        <f>+L31+L25+L19+L13+L7</f>
        <v>400</v>
      </c>
      <c r="M37" s="460">
        <f>+M31+M25+M19+M13+M7</f>
        <v>66544</v>
      </c>
      <c r="N37" s="460"/>
      <c r="O37" s="460"/>
      <c r="P37" s="460"/>
      <c r="Q37" s="673">
        <f>+Q31+Q25+Q19+Q13+Q7</f>
        <v>1858027</v>
      </c>
      <c r="R37" s="459"/>
    </row>
    <row r="38" spans="1:19" ht="33" customHeight="1">
      <c r="A38" s="9" t="s">
        <v>37</v>
      </c>
      <c r="C38" s="11" t="s">
        <v>551</v>
      </c>
      <c r="D38" s="14">
        <f t="shared" si="1"/>
        <v>430029</v>
      </c>
      <c r="E38" s="14">
        <f t="shared" si="1"/>
        <v>89561</v>
      </c>
      <c r="F38" s="14">
        <f t="shared" si="1"/>
        <v>371962</v>
      </c>
      <c r="G38" s="14">
        <f t="shared" si="1"/>
        <v>891552</v>
      </c>
      <c r="H38" s="14">
        <f t="shared" si="1"/>
        <v>42341</v>
      </c>
      <c r="I38" s="14">
        <f t="shared" si="1"/>
        <v>174762</v>
      </c>
      <c r="J38" s="14">
        <f t="shared" si="1"/>
        <v>3726</v>
      </c>
      <c r="K38" s="15">
        <f t="shared" si="1"/>
        <v>3000</v>
      </c>
      <c r="L38" s="15">
        <f>+L32+L26+L20+L14+L8</f>
        <v>400</v>
      </c>
      <c r="M38" s="15">
        <f>+M32+M26+M20+M14+M8</f>
        <v>45148</v>
      </c>
      <c r="N38" s="15">
        <f>+N32+N26+N20+N14+N8</f>
        <v>530400</v>
      </c>
      <c r="O38" s="15">
        <f>+O32+O26+O20+O14+O8</f>
        <v>201760</v>
      </c>
      <c r="P38" s="15">
        <f>+P32+P26+P20+P14+P8</f>
        <v>-8351</v>
      </c>
      <c r="Q38" s="673">
        <f>+Q32+Q26+Q20+Q14+Q8</f>
        <v>1884738</v>
      </c>
      <c r="R38" s="15">
        <f>+R32+R26+R20+R14+R8</f>
        <v>77957</v>
      </c>
      <c r="S38" s="1">
        <f>SUM(Q38:R38)</f>
        <v>1962695</v>
      </c>
    </row>
  </sheetData>
  <sheetProtection/>
  <mergeCells count="13">
    <mergeCell ref="D1:D2"/>
    <mergeCell ref="E1:E2"/>
    <mergeCell ref="F1:F2"/>
    <mergeCell ref="G1:G2"/>
    <mergeCell ref="P1:P2"/>
    <mergeCell ref="S1:S2"/>
    <mergeCell ref="Q1:Q2"/>
    <mergeCell ref="R1:R2"/>
    <mergeCell ref="H1:K1"/>
    <mergeCell ref="N1:N2"/>
    <mergeCell ref="O1:O2"/>
    <mergeCell ref="L1:L2"/>
    <mergeCell ref="M1:M2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64" r:id="rId1"/>
  <headerFooter alignWithMargins="0">
    <oddHeader>&amp;L4. melléklet a 2013. évi költségvetési beszámoló  rendelethez&amp;R&amp;D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8515625" style="273" customWidth="1"/>
    <col min="2" max="2" width="45.28125" style="273" customWidth="1"/>
    <col min="3" max="3" width="10.57421875" style="273" customWidth="1"/>
    <col min="4" max="4" width="8.8515625" style="273" bestFit="1" customWidth="1"/>
    <col min="5" max="5" width="9.140625" style="273" customWidth="1"/>
    <col min="6" max="6" width="13.7109375" style="273" bestFit="1" customWidth="1"/>
    <col min="7" max="16384" width="9.140625" style="273" customWidth="1"/>
  </cols>
  <sheetData>
    <row r="1" spans="1:3" ht="12.75">
      <c r="A1" s="474" t="s">
        <v>375</v>
      </c>
      <c r="B1" s="474"/>
      <c r="C1" s="474"/>
    </row>
    <row r="2" spans="2:3" ht="12.75">
      <c r="B2" s="330"/>
      <c r="C2" s="330"/>
    </row>
    <row r="3" spans="2:3" ht="12.75">
      <c r="B3" s="330"/>
      <c r="C3" s="330"/>
    </row>
    <row r="5" spans="2:7" ht="52.5" customHeight="1">
      <c r="B5" s="424" t="s">
        <v>372</v>
      </c>
      <c r="C5" s="426" t="s">
        <v>374</v>
      </c>
      <c r="D5" s="426" t="s">
        <v>542</v>
      </c>
      <c r="E5" s="511" t="s">
        <v>552</v>
      </c>
      <c r="F5" s="420"/>
      <c r="G5" s="420"/>
    </row>
    <row r="6" spans="1:7" s="450" customFormat="1" ht="24" customHeight="1">
      <c r="A6" s="450" t="s">
        <v>9</v>
      </c>
      <c r="B6" s="451" t="s">
        <v>10</v>
      </c>
      <c r="C6" s="423" t="s">
        <v>11</v>
      </c>
      <c r="D6" s="423" t="s">
        <v>12</v>
      </c>
      <c r="E6" s="514" t="s">
        <v>13</v>
      </c>
      <c r="F6" s="423"/>
      <c r="G6" s="423"/>
    </row>
    <row r="7" spans="1:5" ht="12.75">
      <c r="A7" s="273" t="s">
        <v>18</v>
      </c>
      <c r="B7" s="421" t="str">
        <f>+'[3]bevétel'!A40</f>
        <v>Városellátó  Szervezet</v>
      </c>
      <c r="C7" s="425" t="s">
        <v>541</v>
      </c>
      <c r="D7" s="425" t="str">
        <f>+C7</f>
        <v>30</v>
      </c>
      <c r="E7" s="512" t="str">
        <f>+D7</f>
        <v>30</v>
      </c>
    </row>
    <row r="8" spans="2:5" ht="12.75">
      <c r="B8" s="421"/>
      <c r="C8" s="470"/>
      <c r="D8" s="470"/>
      <c r="E8" s="450"/>
    </row>
    <row r="9" spans="1:5" ht="12.75">
      <c r="A9" s="273" t="s">
        <v>20</v>
      </c>
      <c r="B9" s="421" t="str">
        <f>+'[3]bevétel'!A46</f>
        <v>Egészségügyi és Szociális Ellátó Szervezet</v>
      </c>
      <c r="C9" s="471">
        <v>34</v>
      </c>
      <c r="D9" s="425">
        <f>+C9</f>
        <v>34</v>
      </c>
      <c r="E9" s="512">
        <f>+D9</f>
        <v>34</v>
      </c>
    </row>
    <row r="10" spans="2:5" ht="12.75">
      <c r="B10" s="422"/>
      <c r="C10" s="470"/>
      <c r="D10" s="470"/>
      <c r="E10" s="450"/>
    </row>
    <row r="11" spans="1:5" ht="12.75">
      <c r="A11" s="273" t="s">
        <v>22</v>
      </c>
      <c r="B11" s="421" t="str">
        <f>+'[3]bevétel'!A62</f>
        <v>Városi Művelődési Központ és Könyvtár</v>
      </c>
      <c r="C11" s="470">
        <v>4</v>
      </c>
      <c r="D11" s="425">
        <f>+C11</f>
        <v>4</v>
      </c>
      <c r="E11" s="512">
        <f>+D11</f>
        <v>4</v>
      </c>
    </row>
    <row r="12" spans="2:5" s="321" customFormat="1" ht="12.75">
      <c r="B12" s="423"/>
      <c r="C12" s="451"/>
      <c r="D12" s="451"/>
      <c r="E12" s="513"/>
    </row>
    <row r="13" spans="1:5" ht="12.75">
      <c r="A13" s="273" t="s">
        <v>23</v>
      </c>
      <c r="B13" s="421" t="str">
        <f>+'[3]bevétel'!A76</f>
        <v>Battonya Város Önkormányzata</v>
      </c>
      <c r="C13" s="470">
        <v>1</v>
      </c>
      <c r="D13" s="425">
        <f>+C13</f>
        <v>1</v>
      </c>
      <c r="E13" s="512">
        <f>+D13</f>
        <v>1</v>
      </c>
    </row>
    <row r="14" spans="2:5" s="321" customFormat="1" ht="12.75">
      <c r="B14" s="423"/>
      <c r="C14" s="451"/>
      <c r="D14" s="451"/>
      <c r="E14" s="513"/>
    </row>
    <row r="15" spans="1:5" ht="12.75">
      <c r="A15" s="273" t="s">
        <v>24</v>
      </c>
      <c r="B15" s="421" t="s">
        <v>370</v>
      </c>
      <c r="C15" s="470">
        <v>23</v>
      </c>
      <c r="D15" s="425">
        <f>+C15</f>
        <v>23</v>
      </c>
      <c r="E15" s="512">
        <f>+D15</f>
        <v>23</v>
      </c>
    </row>
    <row r="16" spans="2:5" ht="12.75">
      <c r="B16" s="422"/>
      <c r="C16" s="470"/>
      <c r="D16" s="470"/>
      <c r="E16" s="450"/>
    </row>
    <row r="17" spans="2:5" s="321" customFormat="1" ht="12.75">
      <c r="B17" s="423"/>
      <c r="C17" s="451"/>
      <c r="D17" s="451"/>
      <c r="E17" s="513"/>
    </row>
    <row r="18" spans="2:5" ht="12.75">
      <c r="B18" s="331"/>
      <c r="C18" s="470"/>
      <c r="D18" s="470"/>
      <c r="E18" s="450"/>
    </row>
    <row r="19" spans="1:5" ht="12.75">
      <c r="A19" s="273" t="s">
        <v>25</v>
      </c>
      <c r="B19" s="402" t="s">
        <v>373</v>
      </c>
      <c r="C19" s="472">
        <f>+C15+C13+C11+C9+C7</f>
        <v>92</v>
      </c>
      <c r="D19" s="472">
        <f>+D15+D13+D11+D9+D7</f>
        <v>92</v>
      </c>
      <c r="E19" s="472">
        <f>+E15+E13+E11+E9+E7</f>
        <v>92</v>
      </c>
    </row>
    <row r="20" spans="2:5" ht="12.75">
      <c r="B20" s="331"/>
      <c r="C20" s="331"/>
      <c r="D20" s="331"/>
      <c r="E20" s="450"/>
    </row>
    <row r="21" spans="2:5" ht="12.75">
      <c r="B21" s="331"/>
      <c r="C21" s="331"/>
      <c r="D21" s="331"/>
      <c r="E21" s="450"/>
    </row>
    <row r="22" spans="1:5" ht="12.75">
      <c r="A22" s="273" t="s">
        <v>26</v>
      </c>
      <c r="B22" s="331" t="s">
        <v>376</v>
      </c>
      <c r="C22" s="331">
        <v>220</v>
      </c>
      <c r="D22" s="425">
        <f>+C22</f>
        <v>220</v>
      </c>
      <c r="E22" s="512">
        <f>+D22</f>
        <v>220</v>
      </c>
    </row>
    <row r="24" spans="2:5" ht="12.75">
      <c r="B24" s="273" t="s">
        <v>698</v>
      </c>
      <c r="E24" s="820">
        <v>303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2013. évi költségvetési beszámoló  rendelethez&amp;R&amp;D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34"/>
  <sheetViews>
    <sheetView zoomScalePageLayoutView="0" workbookViewId="0" topLeftCell="A10">
      <selection activeCell="B29" sqref="B29"/>
    </sheetView>
  </sheetViews>
  <sheetFormatPr defaultColWidth="9.140625" defaultRowHeight="15" customHeight="1"/>
  <cols>
    <col min="1" max="1" width="5.140625" style="24" customWidth="1"/>
    <col min="2" max="2" width="43.7109375" style="23" customWidth="1"/>
    <col min="3" max="3" width="15.140625" style="24" customWidth="1"/>
    <col min="4" max="4" width="15.28125" style="24" customWidth="1"/>
    <col min="5" max="5" width="16.7109375" style="24" customWidth="1"/>
    <col min="6" max="6" width="11.421875" style="29" bestFit="1" customWidth="1"/>
    <col min="7" max="12" width="9.140625" style="29" customWidth="1"/>
    <col min="13" max="16384" width="9.140625" style="24" customWidth="1"/>
  </cols>
  <sheetData>
    <row r="1" ht="15" customHeight="1">
      <c r="A1" s="22" t="s">
        <v>68</v>
      </c>
    </row>
    <row r="2" ht="15" customHeight="1">
      <c r="B2" s="25"/>
    </row>
    <row r="3" spans="2:5" ht="15" customHeight="1">
      <c r="B3" s="25" t="s">
        <v>69</v>
      </c>
      <c r="C3" s="26" t="s">
        <v>75</v>
      </c>
      <c r="D3" s="26" t="s">
        <v>113</v>
      </c>
      <c r="E3" s="26" t="s">
        <v>113</v>
      </c>
    </row>
    <row r="4" spans="3:5" ht="21" customHeight="1">
      <c r="C4" s="27" t="s">
        <v>70</v>
      </c>
      <c r="D4" s="26" t="s">
        <v>406</v>
      </c>
      <c r="E4" s="26" t="s">
        <v>551</v>
      </c>
    </row>
    <row r="6" spans="1:4" ht="15" customHeight="1">
      <c r="A6" s="12" t="s">
        <v>400</v>
      </c>
      <c r="B6" s="28" t="s">
        <v>10</v>
      </c>
      <c r="C6" s="26" t="s">
        <v>11</v>
      </c>
      <c r="D6" s="26" t="s">
        <v>12</v>
      </c>
    </row>
    <row r="8" spans="1:5" ht="15" customHeight="1">
      <c r="A8" s="24" t="s">
        <v>18</v>
      </c>
      <c r="B8" s="23" t="s">
        <v>76</v>
      </c>
      <c r="C8" s="24">
        <v>12000</v>
      </c>
      <c r="D8" s="24">
        <f>+C8+1121</f>
        <v>13121</v>
      </c>
      <c r="E8" s="24">
        <v>13121</v>
      </c>
    </row>
    <row r="9" spans="1:5" ht="15" customHeight="1">
      <c r="A9" s="24" t="s">
        <v>20</v>
      </c>
      <c r="B9" s="23" t="s">
        <v>296</v>
      </c>
      <c r="C9" s="24">
        <v>5000</v>
      </c>
      <c r="D9" s="24">
        <f>+C9</f>
        <v>5000</v>
      </c>
      <c r="E9" s="24">
        <f>+D9</f>
        <v>5000</v>
      </c>
    </row>
    <row r="10" spans="1:5" ht="15" customHeight="1">
      <c r="A10" s="24" t="s">
        <v>22</v>
      </c>
      <c r="B10" s="23" t="s">
        <v>297</v>
      </c>
      <c r="C10" s="24">
        <f>1150+400</f>
        <v>1550</v>
      </c>
      <c r="D10" s="24">
        <f>+C10+1185</f>
        <v>2735</v>
      </c>
      <c r="E10" s="24">
        <f>+D10</f>
        <v>2735</v>
      </c>
    </row>
    <row r="11" spans="1:5" ht="15" customHeight="1">
      <c r="A11" s="32" t="s">
        <v>23</v>
      </c>
      <c r="B11" s="23" t="s">
        <v>412</v>
      </c>
      <c r="C11" s="32"/>
      <c r="D11" s="24">
        <v>20</v>
      </c>
      <c r="E11" s="24">
        <f>+D11</f>
        <v>20</v>
      </c>
    </row>
    <row r="12" spans="1:5" ht="15" customHeight="1">
      <c r="A12" s="32" t="s">
        <v>24</v>
      </c>
      <c r="B12" s="23" t="s">
        <v>413</v>
      </c>
      <c r="C12" s="32"/>
      <c r="D12" s="24">
        <v>400</v>
      </c>
      <c r="E12" s="24">
        <f>+D12</f>
        <v>400</v>
      </c>
    </row>
    <row r="13" spans="1:5" ht="15">
      <c r="A13" s="32" t="s">
        <v>421</v>
      </c>
      <c r="B13" s="23" t="s">
        <v>422</v>
      </c>
      <c r="C13" s="32"/>
      <c r="D13" s="24">
        <v>3726</v>
      </c>
      <c r="E13" s="24">
        <f>+D13</f>
        <v>3726</v>
      </c>
    </row>
    <row r="14" spans="1:5" ht="15">
      <c r="A14" s="32" t="s">
        <v>26</v>
      </c>
      <c r="B14" s="23" t="s">
        <v>683</v>
      </c>
      <c r="C14" s="32"/>
      <c r="D14" s="24">
        <v>172</v>
      </c>
      <c r="E14" s="24">
        <v>172</v>
      </c>
    </row>
    <row r="15" spans="1:5" ht="15">
      <c r="A15" s="32" t="s">
        <v>27</v>
      </c>
      <c r="B15" s="23" t="s">
        <v>684</v>
      </c>
      <c r="C15" s="32"/>
      <c r="D15" s="24">
        <v>3466</v>
      </c>
      <c r="E15" s="24">
        <f>1609+1857</f>
        <v>3466</v>
      </c>
    </row>
    <row r="16" spans="1:5" ht="15">
      <c r="A16" s="32" t="s">
        <v>28</v>
      </c>
      <c r="B16" s="23" t="s">
        <v>685</v>
      </c>
      <c r="C16" s="32"/>
      <c r="D16" s="24">
        <v>1238</v>
      </c>
      <c r="E16" s="24">
        <v>1238</v>
      </c>
    </row>
    <row r="17" spans="1:5" ht="15">
      <c r="A17" s="32" t="s">
        <v>29</v>
      </c>
      <c r="B17" s="23" t="s">
        <v>686</v>
      </c>
      <c r="C17" s="32"/>
      <c r="D17" s="24">
        <v>1141</v>
      </c>
      <c r="E17" s="24">
        <v>1141</v>
      </c>
    </row>
    <row r="18" spans="1:5" ht="15">
      <c r="A18" s="32" t="s">
        <v>30</v>
      </c>
      <c r="B18" s="23" t="s">
        <v>472</v>
      </c>
      <c r="C18" s="32"/>
      <c r="D18" s="24">
        <v>4485</v>
      </c>
      <c r="E18" s="24">
        <v>4485</v>
      </c>
    </row>
    <row r="19" spans="1:5" ht="15">
      <c r="A19" s="32" t="s">
        <v>31</v>
      </c>
      <c r="B19" s="23" t="s">
        <v>429</v>
      </c>
      <c r="C19" s="32"/>
      <c r="D19" s="24">
        <f>323+94</f>
        <v>417</v>
      </c>
      <c r="E19" s="24">
        <f>53+42+321</f>
        <v>416</v>
      </c>
    </row>
    <row r="20" spans="1:5" ht="15">
      <c r="A20" s="24" t="s">
        <v>32</v>
      </c>
      <c r="B20" s="23" t="s">
        <v>426</v>
      </c>
      <c r="C20" s="32"/>
      <c r="D20" s="24">
        <v>2252</v>
      </c>
      <c r="E20" s="24">
        <f aca="true" t="shared" si="0" ref="E20:E25">+D20</f>
        <v>2252</v>
      </c>
    </row>
    <row r="21" spans="1:5" ht="30">
      <c r="A21" s="32" t="s">
        <v>33</v>
      </c>
      <c r="B21" s="155" t="s">
        <v>436</v>
      </c>
      <c r="C21" s="32"/>
      <c r="D21" s="24">
        <v>697</v>
      </c>
      <c r="E21" s="24">
        <f t="shared" si="0"/>
        <v>697</v>
      </c>
    </row>
    <row r="22" spans="1:5" ht="20.25" customHeight="1">
      <c r="A22" s="32" t="s">
        <v>34</v>
      </c>
      <c r="B22" s="30" t="s">
        <v>473</v>
      </c>
      <c r="C22" s="32"/>
      <c r="D22" s="24">
        <v>347</v>
      </c>
      <c r="E22" s="24">
        <f t="shared" si="0"/>
        <v>347</v>
      </c>
    </row>
    <row r="23" spans="1:5" ht="21" customHeight="1">
      <c r="A23" s="24" t="s">
        <v>35</v>
      </c>
      <c r="B23" s="30" t="s">
        <v>483</v>
      </c>
      <c r="C23" s="32"/>
      <c r="D23" s="24">
        <f>2000+2000</f>
        <v>4000</v>
      </c>
      <c r="E23" s="24">
        <f t="shared" si="0"/>
        <v>4000</v>
      </c>
    </row>
    <row r="24" spans="1:5" ht="30">
      <c r="A24" s="32" t="s">
        <v>36</v>
      </c>
      <c r="B24" s="711" t="s">
        <v>496</v>
      </c>
      <c r="C24" s="32"/>
      <c r="D24" s="24">
        <v>454</v>
      </c>
      <c r="E24" s="24">
        <f t="shared" si="0"/>
        <v>454</v>
      </c>
    </row>
    <row r="25" spans="1:5" ht="37.5" customHeight="1">
      <c r="A25" s="32" t="s">
        <v>37</v>
      </c>
      <c r="B25" s="35" t="s">
        <v>500</v>
      </c>
      <c r="C25" s="32"/>
      <c r="D25" s="24">
        <v>2397</v>
      </c>
      <c r="E25" s="24">
        <f t="shared" si="0"/>
        <v>2397</v>
      </c>
    </row>
    <row r="26" spans="1:3" ht="15" customHeight="1">
      <c r="A26" s="32"/>
      <c r="B26" s="30"/>
      <c r="C26" s="32"/>
    </row>
    <row r="27" spans="1:5" ht="15" customHeight="1">
      <c r="A27" s="32" t="s">
        <v>40</v>
      </c>
      <c r="B27" s="6" t="s">
        <v>71</v>
      </c>
      <c r="C27" s="8">
        <f>SUM(C8:C22)</f>
        <v>18550</v>
      </c>
      <c r="D27" s="8">
        <f>SUM(D8:D26)</f>
        <v>46068</v>
      </c>
      <c r="E27" s="8">
        <f>SUM(E8:E26)</f>
        <v>46067</v>
      </c>
    </row>
    <row r="28" spans="1:3" ht="15" customHeight="1">
      <c r="A28" s="32"/>
      <c r="B28" s="6"/>
      <c r="C28" s="32"/>
    </row>
    <row r="29" spans="1:3" ht="15" customHeight="1">
      <c r="A29" s="32"/>
      <c r="B29" s="30"/>
      <c r="C29" s="34"/>
    </row>
    <row r="30" spans="1:3" ht="15" customHeight="1">
      <c r="A30" s="32"/>
      <c r="B30" s="35"/>
      <c r="C30" s="29"/>
    </row>
    <row r="31" spans="1:5" ht="15" customHeight="1">
      <c r="A31" s="24" t="s">
        <v>43</v>
      </c>
      <c r="B31" s="6" t="s">
        <v>72</v>
      </c>
      <c r="C31" s="8">
        <f>+C32</f>
        <v>3000</v>
      </c>
      <c r="D31" s="8">
        <f>+D32</f>
        <v>3000</v>
      </c>
      <c r="E31" s="8">
        <f>+E32</f>
        <v>3000</v>
      </c>
    </row>
    <row r="32" spans="1:5" ht="15" customHeight="1">
      <c r="A32" s="24" t="s">
        <v>44</v>
      </c>
      <c r="B32" s="23" t="s">
        <v>371</v>
      </c>
      <c r="C32" s="443">
        <v>3000</v>
      </c>
      <c r="D32" s="29">
        <f>+C32</f>
        <v>3000</v>
      </c>
      <c r="E32" s="24">
        <v>3000</v>
      </c>
    </row>
    <row r="33" spans="1:3" ht="15" customHeight="1">
      <c r="A33" s="32"/>
      <c r="B33" s="6"/>
      <c r="C33" s="32"/>
    </row>
    <row r="34" spans="1:5" ht="15" customHeight="1">
      <c r="A34" s="24" t="s">
        <v>45</v>
      </c>
      <c r="B34" s="36" t="s">
        <v>73</v>
      </c>
      <c r="C34" s="8">
        <f>+C31+C27</f>
        <v>21550</v>
      </c>
      <c r="D34" s="8">
        <f>+D31+D27</f>
        <v>49068</v>
      </c>
      <c r="E34" s="8">
        <f>+E31+E27</f>
        <v>49067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2013. évi költségvetési beszámoló  rendelethez&amp;R&amp;D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9"/>
  <sheetViews>
    <sheetView zoomScalePageLayoutView="0" workbookViewId="0" topLeftCell="A13">
      <selection activeCell="J44" sqref="J44"/>
    </sheetView>
  </sheetViews>
  <sheetFormatPr defaultColWidth="9.140625" defaultRowHeight="15" customHeight="1"/>
  <cols>
    <col min="1" max="1" width="4.140625" style="41" bestFit="1" customWidth="1"/>
    <col min="2" max="2" width="63.8515625" style="41" customWidth="1"/>
    <col min="3" max="3" width="15.57421875" style="41" hidden="1" customWidth="1"/>
    <col min="4" max="4" width="15.140625" style="41" hidden="1" customWidth="1"/>
    <col min="5" max="5" width="12.28125" style="41" hidden="1" customWidth="1"/>
    <col min="6" max="6" width="10.8515625" style="41" bestFit="1" customWidth="1"/>
    <col min="7" max="7" width="11.7109375" style="41" bestFit="1" customWidth="1"/>
    <col min="8" max="8" width="11.140625" style="41" bestFit="1" customWidth="1"/>
    <col min="9" max="9" width="12.7109375" style="41" customWidth="1"/>
    <col min="10" max="10" width="10.140625" style="41" customWidth="1"/>
    <col min="11" max="11" width="12.140625" style="41" customWidth="1"/>
    <col min="12" max="12" width="13.00390625" style="41" customWidth="1"/>
    <col min="13" max="13" width="12.7109375" style="41" customWidth="1"/>
    <col min="14" max="14" width="11.7109375" style="41" customWidth="1"/>
    <col min="15" max="15" width="10.8515625" style="41" customWidth="1"/>
    <col min="16" max="16384" width="9.140625" style="41" customWidth="1"/>
  </cols>
  <sheetData>
    <row r="1" spans="1:15" ht="15" customHeight="1">
      <c r="A1" s="39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 customHeight="1">
      <c r="A3" s="42"/>
      <c r="B3" s="43"/>
      <c r="C3" s="825" t="s">
        <v>78</v>
      </c>
      <c r="D3" s="829"/>
      <c r="E3" s="828"/>
      <c r="F3" s="825" t="s">
        <v>56</v>
      </c>
      <c r="G3" s="826"/>
      <c r="H3" s="827"/>
      <c r="I3" s="825" t="s">
        <v>418</v>
      </c>
      <c r="J3" s="828"/>
      <c r="K3" s="825" t="s">
        <v>675</v>
      </c>
      <c r="L3" s="830"/>
      <c r="M3" s="827"/>
      <c r="N3" s="825" t="s">
        <v>554</v>
      </c>
      <c r="O3" s="828"/>
    </row>
    <row r="4" spans="1:15" ht="23.25" customHeight="1" thickBot="1">
      <c r="A4" s="44"/>
      <c r="B4" s="45"/>
      <c r="C4" s="47" t="s">
        <v>79</v>
      </c>
      <c r="D4" s="48" t="s">
        <v>80</v>
      </c>
      <c r="E4" s="49" t="s">
        <v>4</v>
      </c>
      <c r="F4" s="706" t="s">
        <v>79</v>
      </c>
      <c r="G4" s="48" t="s">
        <v>80</v>
      </c>
      <c r="H4" s="707" t="s">
        <v>4</v>
      </c>
      <c r="I4" s="51" t="s">
        <v>81</v>
      </c>
      <c r="J4" s="49" t="s">
        <v>82</v>
      </c>
      <c r="K4" s="50" t="s">
        <v>79</v>
      </c>
      <c r="L4" s="50" t="s">
        <v>80</v>
      </c>
      <c r="M4" s="46" t="s">
        <v>4</v>
      </c>
      <c r="N4" s="51" t="s">
        <v>81</v>
      </c>
      <c r="O4" s="49" t="s">
        <v>82</v>
      </c>
    </row>
    <row r="5" spans="1:15" s="20" customFormat="1" ht="15" customHeight="1">
      <c r="A5" s="52" t="s">
        <v>9</v>
      </c>
      <c r="B5" s="53" t="s">
        <v>10</v>
      </c>
      <c r="C5" s="54" t="s">
        <v>11</v>
      </c>
      <c r="D5" s="55" t="s">
        <v>12</v>
      </c>
      <c r="E5" s="56" t="s">
        <v>13</v>
      </c>
      <c r="F5" s="54" t="s">
        <v>14</v>
      </c>
      <c r="G5" s="55" t="s">
        <v>15</v>
      </c>
      <c r="H5" s="55" t="s">
        <v>16</v>
      </c>
      <c r="I5" s="57" t="s">
        <v>65</v>
      </c>
      <c r="J5" s="674" t="s">
        <v>17</v>
      </c>
      <c r="K5" s="674"/>
      <c r="L5" s="682"/>
      <c r="M5" s="678"/>
      <c r="N5" s="678" t="s">
        <v>65</v>
      </c>
      <c r="O5" s="57" t="s">
        <v>17</v>
      </c>
    </row>
    <row r="6" spans="1:15" ht="15" customHeight="1">
      <c r="A6" s="58" t="s">
        <v>18</v>
      </c>
      <c r="B6" s="59" t="s">
        <v>83</v>
      </c>
      <c r="C6" s="60">
        <f aca="true" t="shared" si="0" ref="C6:C12">+E6-D6</f>
        <v>347.6999999999998</v>
      </c>
      <c r="D6" s="61">
        <f>+E6*0.9</f>
        <v>3129.3</v>
      </c>
      <c r="E6" s="63">
        <f>3140+337</f>
        <v>3477</v>
      </c>
      <c r="F6" s="60">
        <f aca="true" t="shared" si="1" ref="F6:F12">+H6-G6</f>
        <v>1188.7999999999993</v>
      </c>
      <c r="G6" s="61">
        <f>+H6*0.9</f>
        <v>10699.2</v>
      </c>
      <c r="H6" s="64">
        <f>3140+337+8411</f>
        <v>11888</v>
      </c>
      <c r="I6" s="65"/>
      <c r="J6" s="676"/>
      <c r="K6" s="676"/>
      <c r="L6" s="64"/>
      <c r="M6" s="680"/>
      <c r="N6" s="680"/>
      <c r="O6" s="65"/>
    </row>
    <row r="7" spans="1:15" ht="15" customHeight="1">
      <c r="A7" s="58" t="s">
        <v>20</v>
      </c>
      <c r="B7" s="59" t="s">
        <v>84</v>
      </c>
      <c r="C7" s="60">
        <f t="shared" si="0"/>
        <v>264.9000000000001</v>
      </c>
      <c r="D7" s="61">
        <f>+E7*0.9</f>
        <v>2384.1</v>
      </c>
      <c r="E7" s="63">
        <f>2407+242</f>
        <v>2649</v>
      </c>
      <c r="F7" s="60">
        <f t="shared" si="1"/>
        <v>264.9000000000001</v>
      </c>
      <c r="G7" s="61">
        <f>+H7*0.9</f>
        <v>2384.1</v>
      </c>
      <c r="H7" s="64">
        <f>2407+242</f>
        <v>2649</v>
      </c>
      <c r="I7" s="65"/>
      <c r="J7" s="676"/>
      <c r="K7" s="676"/>
      <c r="L7" s="64"/>
      <c r="M7" s="680"/>
      <c r="N7" s="680"/>
      <c r="O7" s="65"/>
    </row>
    <row r="8" spans="1:15" ht="15" customHeight="1">
      <c r="A8" s="58" t="s">
        <v>22</v>
      </c>
      <c r="B8" s="59" t="s">
        <v>504</v>
      </c>
      <c r="C8" s="60"/>
      <c r="D8" s="61"/>
      <c r="E8" s="63"/>
      <c r="F8" s="60"/>
      <c r="G8" s="61"/>
      <c r="H8" s="64"/>
      <c r="I8" s="65">
        <v>20986</v>
      </c>
      <c r="J8" s="676"/>
      <c r="K8" s="676">
        <f>+M8-L8</f>
        <v>1813</v>
      </c>
      <c r="L8" s="64">
        <v>19173</v>
      </c>
      <c r="M8" s="680">
        <v>20986</v>
      </c>
      <c r="N8" s="680">
        <v>20986</v>
      </c>
      <c r="O8" s="65"/>
    </row>
    <row r="9" spans="1:15" ht="15" customHeight="1">
      <c r="A9" s="58" t="s">
        <v>23</v>
      </c>
      <c r="B9" s="59" t="s">
        <v>85</v>
      </c>
      <c r="C9" s="60">
        <f t="shared" si="0"/>
        <v>28174.59999999999</v>
      </c>
      <c r="D9" s="61">
        <f>+E9*0.8</f>
        <v>112698.40000000001</v>
      </c>
      <c r="E9" s="63">
        <f>128536+12337</f>
        <v>140873</v>
      </c>
      <c r="F9" s="60">
        <f t="shared" si="1"/>
        <v>28174.59999999999</v>
      </c>
      <c r="G9" s="61">
        <f>+H9*0.8</f>
        <v>112698.40000000001</v>
      </c>
      <c r="H9" s="64">
        <f>128536+12337</f>
        <v>140873</v>
      </c>
      <c r="I9" s="65">
        <v>107254</v>
      </c>
      <c r="J9" s="676"/>
      <c r="K9" s="676">
        <f>+M9-L9</f>
        <v>20426</v>
      </c>
      <c r="L9" s="64">
        <v>86827</v>
      </c>
      <c r="M9" s="680">
        <v>107253</v>
      </c>
      <c r="N9" s="680">
        <v>107253</v>
      </c>
      <c r="O9" s="65"/>
    </row>
    <row r="10" spans="1:15" ht="15" customHeight="1">
      <c r="A10" s="58" t="s">
        <v>24</v>
      </c>
      <c r="B10" s="59" t="s">
        <v>86</v>
      </c>
      <c r="C10" s="60">
        <f t="shared" si="0"/>
        <v>198.89999999999986</v>
      </c>
      <c r="D10" s="61">
        <f>+E10*0.9</f>
        <v>1790.1000000000001</v>
      </c>
      <c r="E10" s="63">
        <f>1788+201</f>
        <v>1989</v>
      </c>
      <c r="F10" s="60">
        <f t="shared" si="1"/>
        <v>0</v>
      </c>
      <c r="G10" s="61">
        <v>264</v>
      </c>
      <c r="H10" s="64">
        <v>264</v>
      </c>
      <c r="I10" s="65">
        <f>+H10</f>
        <v>264</v>
      </c>
      <c r="J10" s="676"/>
      <c r="K10" s="676">
        <f>+M10-L10</f>
        <v>27</v>
      </c>
      <c r="L10" s="64">
        <v>237</v>
      </c>
      <c r="M10" s="680">
        <v>264</v>
      </c>
      <c r="N10" s="680">
        <v>264</v>
      </c>
      <c r="O10" s="65"/>
    </row>
    <row r="11" spans="1:15" ht="15" customHeight="1">
      <c r="A11" s="58" t="s">
        <v>25</v>
      </c>
      <c r="B11" s="59" t="s">
        <v>87</v>
      </c>
      <c r="C11" s="60">
        <f t="shared" si="0"/>
        <v>6614.25</v>
      </c>
      <c r="D11" s="61">
        <f>+E11*0.75</f>
        <v>19842.75</v>
      </c>
      <c r="E11" s="63">
        <f>18880+1719+5858</f>
        <v>26457</v>
      </c>
      <c r="F11" s="60">
        <f t="shared" si="1"/>
        <v>0</v>
      </c>
      <c r="G11" s="61">
        <v>2622</v>
      </c>
      <c r="H11" s="64">
        <v>2622</v>
      </c>
      <c r="I11" s="65">
        <v>2600</v>
      </c>
      <c r="J11" s="676"/>
      <c r="K11" s="676">
        <f>+M11-L11</f>
        <v>635</v>
      </c>
      <c r="L11" s="64">
        <v>1966</v>
      </c>
      <c r="M11" s="680">
        <v>2601</v>
      </c>
      <c r="N11" s="680">
        <v>2601</v>
      </c>
      <c r="O11" s="65"/>
    </row>
    <row r="12" spans="1:15" ht="15" customHeight="1" thickBot="1">
      <c r="A12" s="66" t="s">
        <v>26</v>
      </c>
      <c r="B12" s="67" t="s">
        <v>88</v>
      </c>
      <c r="C12" s="68">
        <f t="shared" si="0"/>
        <v>2017.5999999999985</v>
      </c>
      <c r="D12" s="69">
        <f>+E12*0.9</f>
        <v>18158.4</v>
      </c>
      <c r="E12" s="70">
        <f>18399+1777</f>
        <v>20176</v>
      </c>
      <c r="F12" s="68">
        <f t="shared" si="1"/>
        <v>2017.5999999999985</v>
      </c>
      <c r="G12" s="69">
        <f>+H12*0.9</f>
        <v>18158.4</v>
      </c>
      <c r="H12" s="71">
        <f>18399+1777</f>
        <v>20176</v>
      </c>
      <c r="I12" s="72">
        <v>22657</v>
      </c>
      <c r="J12" s="677"/>
      <c r="K12" s="676">
        <f>+M12-L12</f>
        <v>2981</v>
      </c>
      <c r="L12" s="71">
        <v>19676</v>
      </c>
      <c r="M12" s="681">
        <v>22657</v>
      </c>
      <c r="N12" s="681">
        <v>22657</v>
      </c>
      <c r="O12" s="72"/>
    </row>
    <row r="13" spans="1:15" ht="15" customHeight="1">
      <c r="A13" s="73" t="s">
        <v>27</v>
      </c>
      <c r="B13" s="74" t="s">
        <v>89</v>
      </c>
      <c r="C13" s="75">
        <f aca="true" t="shared" si="2" ref="C13:J13">SUM(C6:C12)</f>
        <v>37617.94999999999</v>
      </c>
      <c r="D13" s="76">
        <f t="shared" si="2"/>
        <v>158003.05000000002</v>
      </c>
      <c r="E13" s="77">
        <f t="shared" si="2"/>
        <v>195621</v>
      </c>
      <c r="F13" s="75">
        <f t="shared" si="2"/>
        <v>31645.89999999999</v>
      </c>
      <c r="G13" s="76">
        <f t="shared" si="2"/>
        <v>146826.1</v>
      </c>
      <c r="H13" s="77">
        <f t="shared" si="2"/>
        <v>178472</v>
      </c>
      <c r="I13" s="76">
        <f t="shared" si="2"/>
        <v>153761</v>
      </c>
      <c r="J13" s="78">
        <f t="shared" si="2"/>
        <v>0</v>
      </c>
      <c r="K13" s="684">
        <f>SUM(K6:K12)</f>
        <v>25882</v>
      </c>
      <c r="L13" s="685">
        <f>SUM(L6:L12)</f>
        <v>127879</v>
      </c>
      <c r="M13" s="686">
        <f>SUM(M6:M12)</f>
        <v>153761</v>
      </c>
      <c r="N13" s="76">
        <f>SUM(N6:N12)</f>
        <v>153761</v>
      </c>
      <c r="O13" s="78">
        <f>SUM(O6:O12)</f>
        <v>0</v>
      </c>
    </row>
    <row r="14" spans="1:15" ht="15" customHeight="1">
      <c r="A14" s="58"/>
      <c r="B14" s="79"/>
      <c r="C14" s="75"/>
      <c r="D14" s="76"/>
      <c r="E14" s="77">
        <f>SUM(C13:D13)</f>
        <v>195621</v>
      </c>
      <c r="F14" s="75"/>
      <c r="G14" s="76"/>
      <c r="H14" s="77"/>
      <c r="I14" s="76"/>
      <c r="J14" s="78"/>
      <c r="K14" s="687"/>
      <c r="L14" s="76"/>
      <c r="M14" s="688"/>
      <c r="N14" s="76"/>
      <c r="O14" s="78"/>
    </row>
    <row r="15" spans="1:15" ht="15">
      <c r="A15" s="58"/>
      <c r="B15" s="80"/>
      <c r="C15" s="81"/>
      <c r="D15" s="82"/>
      <c r="E15" s="83"/>
      <c r="F15" s="81"/>
      <c r="G15" s="82"/>
      <c r="H15" s="83"/>
      <c r="I15" s="82"/>
      <c r="J15" s="84"/>
      <c r="K15" s="689"/>
      <c r="L15" s="82"/>
      <c r="M15" s="690"/>
      <c r="N15" s="82"/>
      <c r="O15" s="84"/>
    </row>
    <row r="16" spans="1:15" ht="15" customHeight="1">
      <c r="A16" s="58" t="s">
        <v>28</v>
      </c>
      <c r="B16" s="59" t="s">
        <v>90</v>
      </c>
      <c r="C16" s="60">
        <f>+E16</f>
        <v>280</v>
      </c>
      <c r="D16" s="61"/>
      <c r="E16" s="63">
        <v>280</v>
      </c>
      <c r="F16" s="60">
        <f>+H16</f>
        <v>280</v>
      </c>
      <c r="G16" s="61"/>
      <c r="H16" s="63">
        <v>280</v>
      </c>
      <c r="I16" s="64"/>
      <c r="J16" s="65">
        <f>+H16</f>
        <v>280</v>
      </c>
      <c r="K16" s="676">
        <v>365</v>
      </c>
      <c r="L16" s="64"/>
      <c r="M16" s="680">
        <v>365</v>
      </c>
      <c r="N16" s="64"/>
      <c r="O16" s="65">
        <v>365</v>
      </c>
    </row>
    <row r="17" spans="1:15" ht="15" customHeight="1">
      <c r="A17" s="58" t="s">
        <v>29</v>
      </c>
      <c r="B17" s="59" t="s">
        <v>91</v>
      </c>
      <c r="C17" s="60">
        <f>+E17</f>
        <v>2814</v>
      </c>
      <c r="D17" s="61"/>
      <c r="E17" s="63">
        <v>2814</v>
      </c>
      <c r="F17" s="60">
        <f>+H17</f>
        <v>2814</v>
      </c>
      <c r="G17" s="61"/>
      <c r="H17" s="63">
        <v>2814</v>
      </c>
      <c r="I17" s="64"/>
      <c r="J17" s="65">
        <f>+H17</f>
        <v>2814</v>
      </c>
      <c r="K17" s="676">
        <v>376</v>
      </c>
      <c r="L17" s="64"/>
      <c r="M17" s="680">
        <v>376</v>
      </c>
      <c r="N17" s="64"/>
      <c r="O17" s="65">
        <v>376</v>
      </c>
    </row>
    <row r="18" spans="1:15" ht="15" customHeight="1">
      <c r="A18" s="58" t="s">
        <v>30</v>
      </c>
      <c r="B18" s="85" t="s">
        <v>92</v>
      </c>
      <c r="C18" s="60">
        <f>+E18</f>
        <v>552</v>
      </c>
      <c r="D18" s="61"/>
      <c r="E18" s="63">
        <v>552</v>
      </c>
      <c r="F18" s="60">
        <f>+H18</f>
        <v>552</v>
      </c>
      <c r="G18" s="61"/>
      <c r="H18" s="63">
        <v>552</v>
      </c>
      <c r="I18" s="64"/>
      <c r="J18" s="65">
        <f>+H18</f>
        <v>552</v>
      </c>
      <c r="K18" s="676"/>
      <c r="L18" s="64"/>
      <c r="M18" s="680"/>
      <c r="N18" s="64"/>
      <c r="O18" s="65"/>
    </row>
    <row r="19" spans="1:15" ht="15" customHeight="1" thickBot="1">
      <c r="A19" s="66" t="s">
        <v>31</v>
      </c>
      <c r="B19" s="67" t="s">
        <v>93</v>
      </c>
      <c r="C19" s="68">
        <f>+E19</f>
        <v>1832</v>
      </c>
      <c r="D19" s="69"/>
      <c r="E19" s="70">
        <v>1832</v>
      </c>
      <c r="F19" s="68">
        <f>+H19</f>
        <v>1832</v>
      </c>
      <c r="G19" s="69"/>
      <c r="H19" s="70">
        <v>1832</v>
      </c>
      <c r="I19" s="86"/>
      <c r="J19" s="65">
        <f>+H19</f>
        <v>1832</v>
      </c>
      <c r="K19" s="677">
        <v>627</v>
      </c>
      <c r="L19" s="71"/>
      <c r="M19" s="681">
        <v>627</v>
      </c>
      <c r="N19" s="683"/>
      <c r="O19" s="65">
        <v>627</v>
      </c>
    </row>
    <row r="20" spans="1:15" ht="15" customHeight="1">
      <c r="A20" s="73" t="s">
        <v>32</v>
      </c>
      <c r="B20" s="87" t="s">
        <v>94</v>
      </c>
      <c r="C20" s="88">
        <f aca="true" t="shared" si="3" ref="C20:H20">SUM(C16:C19)</f>
        <v>5478</v>
      </c>
      <c r="D20" s="89">
        <f t="shared" si="3"/>
        <v>0</v>
      </c>
      <c r="E20" s="90">
        <f t="shared" si="3"/>
        <v>5478</v>
      </c>
      <c r="F20" s="88">
        <f t="shared" si="3"/>
        <v>5478</v>
      </c>
      <c r="G20" s="89">
        <f t="shared" si="3"/>
        <v>0</v>
      </c>
      <c r="H20" s="90">
        <f t="shared" si="3"/>
        <v>5478</v>
      </c>
      <c r="I20" s="76">
        <f aca="true" t="shared" si="4" ref="I20:O20">SUM(I16:I19)</f>
        <v>0</v>
      </c>
      <c r="J20" s="91">
        <f t="shared" si="4"/>
        <v>5478</v>
      </c>
      <c r="K20" s="684">
        <f t="shared" si="4"/>
        <v>1368</v>
      </c>
      <c r="L20" s="685">
        <f t="shared" si="4"/>
        <v>0</v>
      </c>
      <c r="M20" s="686">
        <f t="shared" si="4"/>
        <v>1368</v>
      </c>
      <c r="N20" s="76">
        <f t="shared" si="4"/>
        <v>0</v>
      </c>
      <c r="O20" s="91">
        <f t="shared" si="4"/>
        <v>1368</v>
      </c>
    </row>
    <row r="21" spans="1:15" ht="15" customHeight="1">
      <c r="A21" s="58"/>
      <c r="B21" s="59"/>
      <c r="C21" s="92"/>
      <c r="D21" s="61"/>
      <c r="E21" s="93"/>
      <c r="F21" s="92"/>
      <c r="G21" s="61"/>
      <c r="H21" s="93"/>
      <c r="I21" s="61"/>
      <c r="J21" s="62"/>
      <c r="K21" s="675"/>
      <c r="L21" s="61"/>
      <c r="M21" s="679"/>
      <c r="N21" s="61"/>
      <c r="O21" s="62"/>
    </row>
    <row r="22" spans="1:15" ht="15" customHeight="1">
      <c r="A22" s="58" t="s">
        <v>33</v>
      </c>
      <c r="B22" s="59" t="s">
        <v>95</v>
      </c>
      <c r="C22" s="92">
        <v>2332</v>
      </c>
      <c r="D22" s="61"/>
      <c r="E22" s="94">
        <v>2332</v>
      </c>
      <c r="F22" s="92"/>
      <c r="G22" s="61"/>
      <c r="H22" s="94"/>
      <c r="I22" s="64"/>
      <c r="J22" s="65">
        <f>+H22</f>
        <v>0</v>
      </c>
      <c r="K22" s="676"/>
      <c r="L22" s="64"/>
      <c r="M22" s="680"/>
      <c r="N22" s="64"/>
      <c r="O22" s="65">
        <f>+J22</f>
        <v>0</v>
      </c>
    </row>
    <row r="23" spans="1:15" ht="15" customHeight="1">
      <c r="A23" s="58" t="s">
        <v>34</v>
      </c>
      <c r="B23" s="59" t="s">
        <v>96</v>
      </c>
      <c r="C23" s="92"/>
      <c r="D23" s="61"/>
      <c r="E23" s="94"/>
      <c r="F23" s="92"/>
      <c r="G23" s="61"/>
      <c r="H23" s="94"/>
      <c r="I23" s="64"/>
      <c r="J23" s="65"/>
      <c r="K23" s="676">
        <v>1724</v>
      </c>
      <c r="L23" s="64"/>
      <c r="M23" s="680">
        <v>1724</v>
      </c>
      <c r="N23" s="64"/>
      <c r="O23" s="65">
        <v>1724</v>
      </c>
    </row>
    <row r="24" spans="1:15" ht="15" customHeight="1">
      <c r="A24" s="58" t="s">
        <v>35</v>
      </c>
      <c r="B24" s="85" t="s">
        <v>97</v>
      </c>
      <c r="C24" s="92">
        <v>3004</v>
      </c>
      <c r="D24" s="61"/>
      <c r="E24" s="94">
        <v>3004</v>
      </c>
      <c r="F24" s="92"/>
      <c r="G24" s="61"/>
      <c r="H24" s="94"/>
      <c r="I24" s="64"/>
      <c r="J24" s="65">
        <f>+H24</f>
        <v>0</v>
      </c>
      <c r="K24" s="676">
        <f>10552-7515</f>
        <v>3037</v>
      </c>
      <c r="L24" s="64"/>
      <c r="M24" s="680">
        <f>10552-7515</f>
        <v>3037</v>
      </c>
      <c r="N24" s="64"/>
      <c r="O24" s="65">
        <f>10552-7515</f>
        <v>3037</v>
      </c>
    </row>
    <row r="25" spans="1:15" ht="15" customHeight="1">
      <c r="A25" s="58" t="s">
        <v>36</v>
      </c>
      <c r="B25" s="59" t="s">
        <v>98</v>
      </c>
      <c r="C25" s="92">
        <v>728</v>
      </c>
      <c r="D25" s="61"/>
      <c r="E25" s="94">
        <v>728</v>
      </c>
      <c r="F25" s="92">
        <v>350</v>
      </c>
      <c r="G25" s="61"/>
      <c r="H25" s="94">
        <f>+F25</f>
        <v>350</v>
      </c>
      <c r="I25" s="64"/>
      <c r="J25" s="65">
        <f>+H25</f>
        <v>350</v>
      </c>
      <c r="K25" s="676">
        <v>325</v>
      </c>
      <c r="L25" s="64"/>
      <c r="M25" s="680">
        <v>325</v>
      </c>
      <c r="N25" s="64"/>
      <c r="O25" s="65">
        <v>325</v>
      </c>
    </row>
    <row r="26" spans="1:15" ht="15" customHeight="1" thickBot="1">
      <c r="A26" s="66" t="s">
        <v>37</v>
      </c>
      <c r="B26" s="67" t="s">
        <v>99</v>
      </c>
      <c r="C26" s="95">
        <v>86</v>
      </c>
      <c r="D26" s="69"/>
      <c r="E26" s="96">
        <v>86</v>
      </c>
      <c r="F26" s="95"/>
      <c r="G26" s="69"/>
      <c r="H26" s="96"/>
      <c r="I26" s="64">
        <f>+H26</f>
        <v>0</v>
      </c>
      <c r="J26" s="72"/>
      <c r="K26" s="676">
        <v>25</v>
      </c>
      <c r="L26" s="64"/>
      <c r="M26" s="680">
        <v>25</v>
      </c>
      <c r="N26" s="64">
        <f>+J26</f>
        <v>0</v>
      </c>
      <c r="O26" s="72">
        <v>25</v>
      </c>
    </row>
    <row r="27" spans="1:15" ht="15" customHeight="1">
      <c r="A27" s="708" t="s">
        <v>40</v>
      </c>
      <c r="B27" s="98" t="s">
        <v>100</v>
      </c>
      <c r="C27" s="88">
        <f>SUM(C22:C26)</f>
        <v>6150</v>
      </c>
      <c r="D27" s="89">
        <f aca="true" t="shared" si="5" ref="D27:J27">SUM(D22:D26)</f>
        <v>0</v>
      </c>
      <c r="E27" s="90">
        <f t="shared" si="5"/>
        <v>6150</v>
      </c>
      <c r="F27" s="76">
        <f t="shared" si="5"/>
        <v>350</v>
      </c>
      <c r="G27" s="76">
        <f t="shared" si="5"/>
        <v>0</v>
      </c>
      <c r="H27" s="76">
        <f t="shared" si="5"/>
        <v>350</v>
      </c>
      <c r="I27" s="91">
        <f t="shared" si="5"/>
        <v>0</v>
      </c>
      <c r="J27" s="684">
        <f t="shared" si="5"/>
        <v>350</v>
      </c>
      <c r="K27" s="684">
        <f>SUM(K22:K26)</f>
        <v>5111</v>
      </c>
      <c r="L27" s="685">
        <f>SUM(L22:L26)</f>
        <v>0</v>
      </c>
      <c r="M27" s="686">
        <f>SUM(M22:M26)</f>
        <v>5111</v>
      </c>
      <c r="N27" s="686">
        <f>SUM(N22:N26)</f>
        <v>0</v>
      </c>
      <c r="O27" s="91">
        <f>SUM(O22:O26)</f>
        <v>5111</v>
      </c>
    </row>
    <row r="28" spans="1:15" ht="14.25">
      <c r="A28" s="709"/>
      <c r="B28" s="100"/>
      <c r="C28" s="102"/>
      <c r="D28" s="76"/>
      <c r="E28" s="101"/>
      <c r="F28" s="76"/>
      <c r="G28" s="76"/>
      <c r="H28" s="76"/>
      <c r="I28" s="78"/>
      <c r="J28" s="687"/>
      <c r="K28" s="687"/>
      <c r="L28" s="76"/>
      <c r="M28" s="688"/>
      <c r="N28" s="688"/>
      <c r="O28" s="78"/>
    </row>
    <row r="29" spans="1:15" ht="15" customHeight="1">
      <c r="A29" s="709"/>
      <c r="B29" s="103"/>
      <c r="C29" s="102">
        <v>230</v>
      </c>
      <c r="D29" s="76"/>
      <c r="E29" s="101">
        <v>230</v>
      </c>
      <c r="F29" s="76"/>
      <c r="G29" s="76"/>
      <c r="H29" s="76"/>
      <c r="I29" s="78"/>
      <c r="J29" s="687"/>
      <c r="K29" s="687"/>
      <c r="L29" s="76"/>
      <c r="M29" s="688"/>
      <c r="N29" s="688"/>
      <c r="O29" s="78"/>
    </row>
    <row r="30" spans="1:15" ht="15" customHeight="1">
      <c r="A30" s="709" t="s">
        <v>43</v>
      </c>
      <c r="B30" s="100" t="s">
        <v>101</v>
      </c>
      <c r="C30" s="102"/>
      <c r="D30" s="76"/>
      <c r="E30" s="101"/>
      <c r="F30" s="76"/>
      <c r="G30" s="76"/>
      <c r="H30" s="76">
        <f>SUM(F30:G30)</f>
        <v>0</v>
      </c>
      <c r="I30" s="78">
        <f>+H30+430+290</f>
        <v>720</v>
      </c>
      <c r="J30" s="687"/>
      <c r="K30" s="687">
        <f>+M30-L30</f>
        <v>290</v>
      </c>
      <c r="L30" s="76">
        <f>+1_mell!F49</f>
        <v>430</v>
      </c>
      <c r="M30" s="688">
        <v>720</v>
      </c>
      <c r="N30" s="688">
        <f>+J30+430+290</f>
        <v>720</v>
      </c>
      <c r="O30" s="78"/>
    </row>
    <row r="31" spans="1:15" ht="14.25">
      <c r="A31" s="58"/>
      <c r="B31" s="100"/>
      <c r="C31" s="102"/>
      <c r="D31" s="76"/>
      <c r="E31" s="101"/>
      <c r="F31" s="76"/>
      <c r="G31" s="76"/>
      <c r="H31" s="76"/>
      <c r="I31" s="78"/>
      <c r="J31" s="687"/>
      <c r="K31" s="687"/>
      <c r="L31" s="76"/>
      <c r="M31" s="688"/>
      <c r="N31" s="688"/>
      <c r="O31" s="78"/>
    </row>
    <row r="32" spans="1:15" ht="15" customHeight="1">
      <c r="A32" s="58" t="s">
        <v>44</v>
      </c>
      <c r="B32" s="463" t="s">
        <v>471</v>
      </c>
      <c r="C32" s="99"/>
      <c r="D32" s="104"/>
      <c r="E32" s="106"/>
      <c r="F32" s="104"/>
      <c r="G32" s="104"/>
      <c r="H32" s="104"/>
      <c r="I32" s="58"/>
      <c r="J32" s="691">
        <f>3248+3039</f>
        <v>6287</v>
      </c>
      <c r="K32" s="689">
        <f>+M32-L32</f>
        <v>0</v>
      </c>
      <c r="L32" s="82">
        <f>+1_mell!F61</f>
        <v>6287</v>
      </c>
      <c r="M32" s="695">
        <v>6287</v>
      </c>
      <c r="N32" s="693"/>
      <c r="O32" s="105">
        <f>3248+3039</f>
        <v>6287</v>
      </c>
    </row>
    <row r="33" spans="1:15" ht="15" customHeight="1">
      <c r="A33" s="709" t="s">
        <v>45</v>
      </c>
      <c r="B33" s="103" t="s">
        <v>102</v>
      </c>
      <c r="C33" s="102"/>
      <c r="D33" s="76"/>
      <c r="E33" s="101"/>
      <c r="F33" s="76"/>
      <c r="G33" s="76"/>
      <c r="H33" s="76">
        <f>SUM(F33:G33)</f>
        <v>0</v>
      </c>
      <c r="I33" s="78">
        <f>+H33</f>
        <v>0</v>
      </c>
      <c r="J33" s="687">
        <f>7366+2000</f>
        <v>9366</v>
      </c>
      <c r="K33" s="687">
        <f>+M33-L33</f>
        <v>263</v>
      </c>
      <c r="L33" s="76">
        <f>+1_mell!F36</f>
        <v>7252</v>
      </c>
      <c r="M33" s="688">
        <v>7515</v>
      </c>
      <c r="N33" s="688"/>
      <c r="O33" s="78">
        <v>7515</v>
      </c>
    </row>
    <row r="34" spans="1:15" ht="15" customHeight="1" thickBot="1">
      <c r="A34" s="710"/>
      <c r="B34" s="107"/>
      <c r="C34" s="109"/>
      <c r="D34" s="108"/>
      <c r="E34" s="110"/>
      <c r="F34" s="108"/>
      <c r="G34" s="108"/>
      <c r="H34" s="108"/>
      <c r="I34" s="111"/>
      <c r="J34" s="692"/>
      <c r="K34" s="687"/>
      <c r="L34" s="76"/>
      <c r="M34" s="688"/>
      <c r="N34" s="694"/>
      <c r="O34" s="111"/>
    </row>
    <row r="35" spans="1:15" ht="15" customHeight="1">
      <c r="A35" s="97" t="s">
        <v>46</v>
      </c>
      <c r="B35" s="112" t="s">
        <v>103</v>
      </c>
      <c r="C35" s="113">
        <f>+C27+C20+C13+C29</f>
        <v>49475.94999999999</v>
      </c>
      <c r="D35" s="82">
        <f>+D27+D20+D13+D29</f>
        <v>158003.05000000002</v>
      </c>
      <c r="E35" s="114">
        <f>+E27+E20+E13+E29</f>
        <v>207479</v>
      </c>
      <c r="F35" s="82">
        <f>+F27+F20+F13+F29+F30+F33+F34</f>
        <v>37473.899999999994</v>
      </c>
      <c r="G35" s="82">
        <f>+G27+G20+G13+G29+G30+G33+G34+G32</f>
        <v>146826.1</v>
      </c>
      <c r="H35" s="82">
        <f aca="true" t="shared" si="6" ref="H35:N35">+H27+H20+H13+H29+H30+H33+H34+H32</f>
        <v>184300</v>
      </c>
      <c r="I35" s="84">
        <f t="shared" si="6"/>
        <v>154481</v>
      </c>
      <c r="J35" s="696">
        <f t="shared" si="6"/>
        <v>21481</v>
      </c>
      <c r="K35" s="696">
        <f>+K27+K20+K13+K29+K30+K33+K34+K32</f>
        <v>32914</v>
      </c>
      <c r="L35" s="698">
        <f>+L27+L20+L13+L29+L30+L33+L34+L32</f>
        <v>141848</v>
      </c>
      <c r="M35" s="699">
        <f>+M27+M20+M13+M29+M30+M33+M34+M32</f>
        <v>174762</v>
      </c>
      <c r="N35" s="690">
        <f t="shared" si="6"/>
        <v>154481</v>
      </c>
      <c r="O35" s="115">
        <f>+O27+O20+O13+O29+O30+O33+O34+O32</f>
        <v>20281</v>
      </c>
    </row>
    <row r="36" spans="1:15" ht="21" customHeight="1">
      <c r="A36" s="99"/>
      <c r="B36" s="105"/>
      <c r="C36" s="113"/>
      <c r="D36" s="82"/>
      <c r="E36" s="114">
        <f>SUM(C35:D35)</f>
        <v>207479</v>
      </c>
      <c r="F36" s="82"/>
      <c r="G36" s="82"/>
      <c r="H36" s="82">
        <f>SUM(F35:G35)</f>
        <v>184300</v>
      </c>
      <c r="I36" s="84"/>
      <c r="J36" s="689"/>
      <c r="K36" s="689"/>
      <c r="L36" s="82"/>
      <c r="M36" s="690"/>
      <c r="N36" s="690"/>
      <c r="O36" s="84"/>
    </row>
    <row r="37" spans="1:15" ht="15" customHeight="1">
      <c r="A37" s="99" t="s">
        <v>47</v>
      </c>
      <c r="B37" s="105" t="s">
        <v>104</v>
      </c>
      <c r="C37" s="113">
        <f aca="true" t="shared" si="7" ref="C37:H37">+C35</f>
        <v>49475.94999999999</v>
      </c>
      <c r="D37" s="82">
        <f t="shared" si="7"/>
        <v>158003.05000000002</v>
      </c>
      <c r="E37" s="114">
        <f t="shared" si="7"/>
        <v>207479</v>
      </c>
      <c r="F37" s="82">
        <f t="shared" si="7"/>
        <v>37473.899999999994</v>
      </c>
      <c r="G37" s="82">
        <f t="shared" si="7"/>
        <v>146826.1</v>
      </c>
      <c r="H37" s="82">
        <f t="shared" si="7"/>
        <v>184300</v>
      </c>
      <c r="I37" s="84">
        <f aca="true" t="shared" si="8" ref="I37:O37">+I35</f>
        <v>154481</v>
      </c>
      <c r="J37" s="689">
        <f t="shared" si="8"/>
        <v>21481</v>
      </c>
      <c r="K37" s="689">
        <f t="shared" si="8"/>
        <v>32914</v>
      </c>
      <c r="L37" s="82">
        <f t="shared" si="8"/>
        <v>141848</v>
      </c>
      <c r="M37" s="690">
        <f t="shared" si="8"/>
        <v>174762</v>
      </c>
      <c r="N37" s="690">
        <f t="shared" si="8"/>
        <v>154481</v>
      </c>
      <c r="O37" s="84">
        <f t="shared" si="8"/>
        <v>20281</v>
      </c>
    </row>
    <row r="38" spans="1:15" ht="15.75" thickBot="1">
      <c r="A38" s="116"/>
      <c r="B38" s="117"/>
      <c r="C38" s="118"/>
      <c r="D38" s="119"/>
      <c r="E38" s="120"/>
      <c r="F38" s="119"/>
      <c r="G38" s="119"/>
      <c r="H38" s="119"/>
      <c r="I38" s="121"/>
      <c r="J38" s="795"/>
      <c r="K38" s="795"/>
      <c r="L38" s="119"/>
      <c r="M38" s="697"/>
      <c r="N38" s="697"/>
      <c r="O38" s="121"/>
    </row>
    <row r="39" spans="1:15" ht="15" customHeight="1" thickBot="1">
      <c r="A39" s="122" t="s">
        <v>48</v>
      </c>
      <c r="B39" s="701" t="s">
        <v>105</v>
      </c>
      <c r="C39" s="123" t="e">
        <f>C37+C38+#REF!</f>
        <v>#REF!</v>
      </c>
      <c r="D39" s="124" t="e">
        <f>D37+D38+#REF!</f>
        <v>#REF!</v>
      </c>
      <c r="E39" s="702" t="e">
        <f>E37+E38+#REF!</f>
        <v>#REF!</v>
      </c>
      <c r="F39" s="703">
        <f aca="true" t="shared" si="9" ref="F39:O39">F37+F38</f>
        <v>37473.899999999994</v>
      </c>
      <c r="G39" s="704">
        <f t="shared" si="9"/>
        <v>146826.1</v>
      </c>
      <c r="H39" s="705">
        <f t="shared" si="9"/>
        <v>184300</v>
      </c>
      <c r="I39" s="700">
        <f t="shared" si="9"/>
        <v>154481</v>
      </c>
      <c r="J39" s="703">
        <f t="shared" si="9"/>
        <v>21481</v>
      </c>
      <c r="K39" s="703">
        <f t="shared" si="9"/>
        <v>32914</v>
      </c>
      <c r="L39" s="704">
        <f t="shared" si="9"/>
        <v>141848</v>
      </c>
      <c r="M39" s="705">
        <f t="shared" si="9"/>
        <v>174762</v>
      </c>
      <c r="N39" s="700">
        <f t="shared" si="9"/>
        <v>154481</v>
      </c>
      <c r="O39" s="123">
        <f t="shared" si="9"/>
        <v>20281</v>
      </c>
    </row>
  </sheetData>
  <sheetProtection/>
  <mergeCells count="5">
    <mergeCell ref="F3:H3"/>
    <mergeCell ref="I3:J3"/>
    <mergeCell ref="C3:E3"/>
    <mergeCell ref="N3:O3"/>
    <mergeCell ref="K3:M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3" r:id="rId1"/>
  <headerFooter alignWithMargins="0">
    <oddHeader>&amp;L6. melléklet a 2013. évi költségvetési beszámoló  rendelethez&amp;R&amp;D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55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 customHeight="1"/>
  <cols>
    <col min="1" max="1" width="4.00390625" style="720" customWidth="1"/>
    <col min="2" max="2" width="51.8515625" style="720" customWidth="1"/>
    <col min="3" max="16384" width="9.140625" style="720" customWidth="1"/>
  </cols>
  <sheetData>
    <row r="1" spans="1:2" ht="15" customHeight="1">
      <c r="A1" s="125" t="s">
        <v>106</v>
      </c>
      <c r="B1" s="126"/>
    </row>
    <row r="2" spans="1:5" ht="15" customHeight="1">
      <c r="A2" s="125"/>
      <c r="B2" s="126"/>
      <c r="C2" s="513" t="s">
        <v>113</v>
      </c>
      <c r="D2" s="513" t="s">
        <v>75</v>
      </c>
      <c r="E2" s="513" t="s">
        <v>113</v>
      </c>
    </row>
    <row r="3" spans="1:5" ht="15" customHeight="1">
      <c r="A3" s="128"/>
      <c r="B3" s="126" t="s">
        <v>402</v>
      </c>
      <c r="C3" s="514" t="s">
        <v>70</v>
      </c>
      <c r="D3" s="514" t="s">
        <v>406</v>
      </c>
      <c r="E3" s="513" t="s">
        <v>551</v>
      </c>
    </row>
    <row r="4" spans="1:2" s="622" customFormat="1" ht="5.25" customHeight="1">
      <c r="A4" s="129"/>
      <c r="B4" s="130"/>
    </row>
    <row r="5" spans="1:4" s="721" customFormat="1" ht="15" customHeight="1">
      <c r="A5" s="453" t="s">
        <v>9</v>
      </c>
      <c r="B5" s="453" t="s">
        <v>10</v>
      </c>
      <c r="C5" s="721" t="s">
        <v>11</v>
      </c>
      <c r="D5" s="721" t="s">
        <v>12</v>
      </c>
    </row>
    <row r="6" spans="1:4" ht="15" customHeight="1">
      <c r="A6" s="132" t="s">
        <v>18</v>
      </c>
      <c r="B6" s="133" t="s">
        <v>272</v>
      </c>
      <c r="C6" s="134">
        <f>+C8</f>
        <v>0</v>
      </c>
      <c r="D6" s="134">
        <v>0</v>
      </c>
    </row>
    <row r="7" spans="1:2" ht="6" customHeight="1">
      <c r="A7" s="132"/>
      <c r="B7" s="133"/>
    </row>
    <row r="8" spans="1:5" ht="15" customHeight="1">
      <c r="A8" s="132" t="s">
        <v>20</v>
      </c>
      <c r="B8" s="135" t="s">
        <v>107</v>
      </c>
      <c r="C8" s="134">
        <f>SUM(C10:C28)</f>
        <v>0</v>
      </c>
      <c r="D8" s="134">
        <f>SUM(D10:D37)</f>
        <v>56738</v>
      </c>
      <c r="E8" s="134">
        <f>SUM(E10:E37)</f>
        <v>35342</v>
      </c>
    </row>
    <row r="9" ht="6.75" customHeight="1">
      <c r="A9" s="622"/>
    </row>
    <row r="10" spans="1:3" ht="15" customHeight="1">
      <c r="A10" s="622" t="s">
        <v>22</v>
      </c>
      <c r="B10" s="722" t="s">
        <v>108</v>
      </c>
      <c r="C10" s="723">
        <v>0</v>
      </c>
    </row>
    <row r="11" spans="1:3" ht="9.75" customHeight="1">
      <c r="A11" s="622"/>
      <c r="B11" s="722"/>
      <c r="C11" s="723"/>
    </row>
    <row r="12" spans="1:5" ht="30" customHeight="1">
      <c r="A12" s="622" t="s">
        <v>23</v>
      </c>
      <c r="B12" s="722" t="s">
        <v>493</v>
      </c>
      <c r="C12" s="723"/>
      <c r="D12" s="720">
        <f>11700+16575-1540-339+2295-6</f>
        <v>28685</v>
      </c>
      <c r="E12" s="720">
        <f>5800+1566</f>
        <v>7366</v>
      </c>
    </row>
    <row r="13" spans="1:3" ht="12.75">
      <c r="A13" s="622"/>
      <c r="B13" s="722"/>
      <c r="C13" s="723"/>
    </row>
    <row r="14" spans="1:4" ht="12.75">
      <c r="A14" s="622" t="s">
        <v>24</v>
      </c>
      <c r="B14" s="722" t="s">
        <v>420</v>
      </c>
      <c r="C14" s="723"/>
      <c r="D14" s="720">
        <f>1000-1000</f>
        <v>0</v>
      </c>
    </row>
    <row r="15" spans="1:3" ht="12.75">
      <c r="A15" s="622"/>
      <c r="B15" s="722"/>
      <c r="C15" s="723"/>
    </row>
    <row r="16" spans="1:5" ht="12.75">
      <c r="A16" s="622" t="s">
        <v>25</v>
      </c>
      <c r="B16" s="722" t="s">
        <v>423</v>
      </c>
      <c r="C16" s="723"/>
      <c r="D16" s="720">
        <v>12903</v>
      </c>
      <c r="E16" s="720">
        <f>12941+508+1</f>
        <v>13450</v>
      </c>
    </row>
    <row r="17" spans="1:3" ht="6" customHeight="1">
      <c r="A17" s="622"/>
      <c r="B17" s="722"/>
      <c r="C17" s="723"/>
    </row>
    <row r="18" spans="1:5" ht="12" customHeight="1">
      <c r="A18" s="622" t="s">
        <v>26</v>
      </c>
      <c r="B18" s="722" t="s">
        <v>428</v>
      </c>
      <c r="C18" s="723"/>
      <c r="D18" s="720">
        <f>6500+2000+72</f>
        <v>8572</v>
      </c>
      <c r="E18" s="720">
        <v>8572</v>
      </c>
    </row>
    <row r="19" spans="1:3" ht="7.5" customHeight="1">
      <c r="A19" s="622"/>
      <c r="B19" s="722"/>
      <c r="C19" s="723"/>
    </row>
    <row r="20" spans="1:3" ht="12.75">
      <c r="A20" s="622" t="s">
        <v>27</v>
      </c>
      <c r="B20" s="724" t="s">
        <v>66</v>
      </c>
      <c r="C20" s="723"/>
    </row>
    <row r="21" spans="1:5" ht="12.75">
      <c r="A21" s="622" t="s">
        <v>28</v>
      </c>
      <c r="B21" s="722" t="s">
        <v>469</v>
      </c>
      <c r="C21" s="723"/>
      <c r="D21" s="720">
        <v>408</v>
      </c>
      <c r="E21" s="720">
        <v>408</v>
      </c>
    </row>
    <row r="22" spans="1:5" ht="12.75">
      <c r="A22" s="622" t="s">
        <v>29</v>
      </c>
      <c r="B22" s="722" t="s">
        <v>485</v>
      </c>
      <c r="C22" s="723"/>
      <c r="D22" s="720">
        <v>3122</v>
      </c>
      <c r="E22" s="720">
        <f>3197-408</f>
        <v>2789</v>
      </c>
    </row>
    <row r="23" spans="1:3" ht="7.5" customHeight="1">
      <c r="A23" s="622"/>
      <c r="B23" s="722"/>
      <c r="C23" s="723"/>
    </row>
    <row r="24" spans="1:3" ht="12.75">
      <c r="A24" s="622" t="s">
        <v>30</v>
      </c>
      <c r="B24" s="724" t="s">
        <v>341</v>
      </c>
      <c r="C24" s="723"/>
    </row>
    <row r="25" spans="1:4" ht="25.5">
      <c r="A25" s="622" t="s">
        <v>31</v>
      </c>
      <c r="B25" s="722" t="s">
        <v>481</v>
      </c>
      <c r="C25" s="723"/>
      <c r="D25" s="720">
        <v>149</v>
      </c>
    </row>
    <row r="26" spans="1:4" ht="25.5">
      <c r="A26" s="622" t="s">
        <v>32</v>
      </c>
      <c r="B26" s="722" t="s">
        <v>482</v>
      </c>
      <c r="C26" s="723"/>
      <c r="D26" s="720">
        <f>173-31</f>
        <v>142</v>
      </c>
    </row>
    <row r="27" spans="1:3" ht="8.25" customHeight="1">
      <c r="A27" s="622"/>
      <c r="B27" s="722"/>
      <c r="C27" s="723"/>
    </row>
    <row r="28" spans="1:4" ht="27" customHeight="1">
      <c r="A28" s="622" t="s">
        <v>33</v>
      </c>
      <c r="B28" s="722" t="s">
        <v>486</v>
      </c>
      <c r="D28" s="720">
        <f>175-175</f>
        <v>0</v>
      </c>
    </row>
    <row r="29" spans="1:2" ht="9.75" customHeight="1">
      <c r="A29" s="622"/>
      <c r="B29" s="722"/>
    </row>
    <row r="30" spans="1:2" ht="18.75" customHeight="1">
      <c r="A30" s="622" t="s">
        <v>34</v>
      </c>
      <c r="B30" s="724" t="s">
        <v>300</v>
      </c>
    </row>
    <row r="31" spans="1:5" ht="12.75">
      <c r="A31" s="622" t="s">
        <v>35</v>
      </c>
      <c r="B31" s="725" t="s">
        <v>499</v>
      </c>
      <c r="D31" s="720">
        <v>217</v>
      </c>
      <c r="E31" s="720">
        <f>+4_mell!M14</f>
        <v>217</v>
      </c>
    </row>
    <row r="32" spans="1:2" ht="12.75">
      <c r="A32" s="622"/>
      <c r="B32" s="725"/>
    </row>
    <row r="33" spans="1:2" ht="12.75">
      <c r="A33" s="622" t="s">
        <v>36</v>
      </c>
      <c r="B33" s="724" t="s">
        <v>370</v>
      </c>
    </row>
    <row r="34" spans="1:5" ht="12.75">
      <c r="A34" s="622" t="s">
        <v>37</v>
      </c>
      <c r="B34" s="725" t="s">
        <v>502</v>
      </c>
      <c r="D34" s="720">
        <v>2540</v>
      </c>
      <c r="E34" s="720">
        <v>1270</v>
      </c>
    </row>
    <row r="35" spans="1:5" ht="12.75">
      <c r="A35" s="622" t="s">
        <v>40</v>
      </c>
      <c r="B35" s="725" t="s">
        <v>679</v>
      </c>
      <c r="E35" s="720">
        <v>254</v>
      </c>
    </row>
    <row r="36" spans="1:5" ht="12.75">
      <c r="A36" s="622" t="s">
        <v>43</v>
      </c>
      <c r="B36" s="725" t="s">
        <v>680</v>
      </c>
      <c r="E36" s="720">
        <v>1016</v>
      </c>
    </row>
    <row r="37" spans="1:2" ht="12.75">
      <c r="A37" s="622"/>
      <c r="B37" s="725"/>
    </row>
    <row r="38" spans="2:5" ht="15" customHeight="1">
      <c r="B38" s="726" t="s">
        <v>109</v>
      </c>
      <c r="C38" s="665">
        <f>SUM(C52:C52)</f>
        <v>0</v>
      </c>
      <c r="D38" s="665">
        <f>SUM(D39:D52)</f>
        <v>9806</v>
      </c>
      <c r="E38" s="665">
        <f>SUM(E39:E52)</f>
        <v>9806</v>
      </c>
    </row>
    <row r="39" spans="1:4" ht="8.25" customHeight="1">
      <c r="A39" s="622"/>
      <c r="B39" s="726"/>
      <c r="C39" s="665"/>
      <c r="D39" s="665"/>
    </row>
    <row r="40" spans="1:4" ht="12.75">
      <c r="A40" s="622" t="s">
        <v>44</v>
      </c>
      <c r="B40" s="727" t="str">
        <f>+B6</f>
        <v>Önkormányzat</v>
      </c>
      <c r="C40" s="665"/>
      <c r="D40" s="665"/>
    </row>
    <row r="41" spans="1:4" ht="12.75">
      <c r="A41" s="622"/>
      <c r="B41" s="726"/>
      <c r="C41" s="665"/>
      <c r="D41" s="665"/>
    </row>
    <row r="42" spans="1:4" ht="12.75">
      <c r="A42" s="622" t="s">
        <v>45</v>
      </c>
      <c r="B42" s="728" t="s">
        <v>434</v>
      </c>
      <c r="D42" s="720">
        <v>0</v>
      </c>
    </row>
    <row r="43" spans="1:2" ht="12.75">
      <c r="A43" s="622"/>
      <c r="B43" s="728"/>
    </row>
    <row r="44" spans="1:2" ht="12.75">
      <c r="A44" s="622" t="s">
        <v>46</v>
      </c>
      <c r="B44" s="727" t="s">
        <v>341</v>
      </c>
    </row>
    <row r="45" spans="1:5" ht="12.75">
      <c r="A45" s="622" t="s">
        <v>47</v>
      </c>
      <c r="B45" s="728" t="s">
        <v>435</v>
      </c>
      <c r="D45" s="720">
        <v>206</v>
      </c>
      <c r="E45" s="720">
        <v>206</v>
      </c>
    </row>
    <row r="46" spans="1:2" ht="12.75">
      <c r="A46" s="622"/>
      <c r="B46" s="728"/>
    </row>
    <row r="47" spans="1:2" ht="12.75">
      <c r="A47" s="622" t="s">
        <v>48</v>
      </c>
      <c r="B47" s="724" t="s">
        <v>370</v>
      </c>
    </row>
    <row r="48" spans="1:5" ht="12.75">
      <c r="A48" s="622" t="s">
        <v>49</v>
      </c>
      <c r="B48" s="725" t="s">
        <v>503</v>
      </c>
      <c r="D48" s="720">
        <v>339</v>
      </c>
      <c r="E48" s="720">
        <v>339</v>
      </c>
    </row>
    <row r="49" spans="1:2" ht="12.75">
      <c r="A49" s="622"/>
      <c r="B49" s="725"/>
    </row>
    <row r="50" spans="1:2" ht="12.75">
      <c r="A50" s="622" t="s">
        <v>50</v>
      </c>
      <c r="B50" s="724" t="s">
        <v>41</v>
      </c>
    </row>
    <row r="51" spans="1:5" ht="12.75">
      <c r="A51" s="622" t="s">
        <v>51</v>
      </c>
      <c r="B51" s="725" t="s">
        <v>507</v>
      </c>
      <c r="D51" s="720">
        <v>9261</v>
      </c>
      <c r="E51" s="720">
        <f>7292+1969</f>
        <v>9261</v>
      </c>
    </row>
    <row r="52" ht="5.25" customHeight="1">
      <c r="A52" s="622"/>
    </row>
    <row r="53" spans="1:5" ht="15" customHeight="1">
      <c r="A53" s="622" t="s">
        <v>52</v>
      </c>
      <c r="B53" s="665" t="s">
        <v>110</v>
      </c>
      <c r="C53" s="666">
        <f>C8</f>
        <v>0</v>
      </c>
      <c r="D53" s="666">
        <f>+D8</f>
        <v>56738</v>
      </c>
      <c r="E53" s="666">
        <f>+E8</f>
        <v>35342</v>
      </c>
    </row>
    <row r="54" spans="1:5" ht="15" customHeight="1">
      <c r="A54" s="321" t="s">
        <v>53</v>
      </c>
      <c r="B54" s="665" t="s">
        <v>111</v>
      </c>
      <c r="C54" s="665">
        <f>+C38</f>
        <v>0</v>
      </c>
      <c r="D54" s="665">
        <f>+D38</f>
        <v>9806</v>
      </c>
      <c r="E54" s="665">
        <f>+E38</f>
        <v>9806</v>
      </c>
    </row>
    <row r="55" spans="1:5" ht="15" customHeight="1">
      <c r="A55" s="321" t="s">
        <v>54</v>
      </c>
      <c r="B55" s="665" t="s">
        <v>112</v>
      </c>
      <c r="C55" s="666">
        <f>SUM(C53:C54)</f>
        <v>0</v>
      </c>
      <c r="D55" s="666">
        <f>SUM(D53:D54)</f>
        <v>66544</v>
      </c>
      <c r="E55" s="666">
        <f>SUM(E53:E54)</f>
        <v>45148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&amp;L7. melléklet a 2013. évi költségvetési beszámoló 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18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2.75"/>
  <cols>
    <col min="1" max="1" width="4.7109375" style="158" bestFit="1" customWidth="1"/>
    <col min="2" max="2" width="47.57421875" style="157" customWidth="1"/>
    <col min="3" max="3" width="8.421875" style="157" bestFit="1" customWidth="1"/>
    <col min="4" max="4" width="9.421875" style="157" bestFit="1" customWidth="1"/>
    <col min="5" max="5" width="12.421875" style="157" customWidth="1"/>
    <col min="6" max="16384" width="9.140625" style="157" customWidth="1"/>
  </cols>
  <sheetData>
    <row r="1" ht="15.75">
      <c r="A1" s="156" t="s">
        <v>198</v>
      </c>
    </row>
    <row r="2" ht="15.75">
      <c r="B2" s="159"/>
    </row>
    <row r="3" spans="2:5" ht="15.75">
      <c r="B3" s="160" t="s">
        <v>199</v>
      </c>
      <c r="C3" s="473" t="s">
        <v>113</v>
      </c>
      <c r="D3" s="473" t="s">
        <v>113</v>
      </c>
      <c r="E3" s="473" t="s">
        <v>113</v>
      </c>
    </row>
    <row r="4" spans="3:5" ht="15.75">
      <c r="C4" s="473" t="s">
        <v>70</v>
      </c>
      <c r="D4" s="473" t="s">
        <v>406</v>
      </c>
      <c r="E4" s="473" t="s">
        <v>551</v>
      </c>
    </row>
    <row r="5" spans="1:5" ht="15.75">
      <c r="A5" s="158" t="s">
        <v>9</v>
      </c>
      <c r="B5" s="162" t="s">
        <v>10</v>
      </c>
      <c r="C5" s="158" t="s">
        <v>11</v>
      </c>
      <c r="D5" s="158" t="s">
        <v>12</v>
      </c>
      <c r="E5" s="158" t="s">
        <v>13</v>
      </c>
    </row>
    <row r="7" spans="1:5" ht="15.75">
      <c r="A7" s="158" t="s">
        <v>18</v>
      </c>
      <c r="B7" s="157" t="s">
        <v>200</v>
      </c>
      <c r="C7" s="161">
        <f>+1_mell!D109</f>
        <v>150</v>
      </c>
      <c r="D7" s="161">
        <f>+C7</f>
        <v>150</v>
      </c>
      <c r="E7" s="161">
        <f>+1_mell!F109</f>
        <v>144</v>
      </c>
    </row>
    <row r="8" spans="1:5" ht="15.75">
      <c r="A8" s="158" t="s">
        <v>20</v>
      </c>
      <c r="B8" s="157" t="s">
        <v>299</v>
      </c>
      <c r="C8" s="161">
        <f>+1_mell!D17</f>
        <v>47550</v>
      </c>
      <c r="D8" s="161">
        <f>+1_mell!E17</f>
        <v>46890</v>
      </c>
      <c r="E8" s="161">
        <f>+1_mell!F17</f>
        <v>12259</v>
      </c>
    </row>
    <row r="9" spans="1:5" ht="15.75">
      <c r="A9" s="158" t="s">
        <v>22</v>
      </c>
      <c r="B9" s="157" t="s">
        <v>407</v>
      </c>
      <c r="C9" s="161"/>
      <c r="D9" s="161">
        <f>+1_mell!E100+1_mell!E44</f>
        <v>11700</v>
      </c>
      <c r="E9" s="161">
        <f>+1_mell!F44</f>
        <v>2499</v>
      </c>
    </row>
    <row r="10" spans="1:5" ht="15.75">
      <c r="A10" s="158" t="s">
        <v>23</v>
      </c>
      <c r="B10" s="467" t="s">
        <v>288</v>
      </c>
      <c r="D10" s="161">
        <f>+1_mell!E102</f>
        <v>8572</v>
      </c>
      <c r="E10" s="161">
        <f>+1_mell!F102</f>
        <v>8572</v>
      </c>
    </row>
    <row r="11" spans="1:6" ht="15.75">
      <c r="A11" s="158" t="s">
        <v>24</v>
      </c>
      <c r="B11" s="157" t="s">
        <v>484</v>
      </c>
      <c r="D11" s="157">
        <v>3122</v>
      </c>
      <c r="E11" s="161">
        <f>+1_mell!F103</f>
        <v>3122</v>
      </c>
      <c r="F11" s="161"/>
    </row>
    <row r="12" spans="1:5" ht="15.75">
      <c r="A12" s="158" t="s">
        <v>25</v>
      </c>
      <c r="B12" s="813" t="s">
        <v>488</v>
      </c>
      <c r="D12" s="161">
        <f>+1_mell!E101</f>
        <v>18870</v>
      </c>
      <c r="E12" s="157">
        <f>+1_mell!F101</f>
        <v>18870</v>
      </c>
    </row>
    <row r="13" spans="1:5" ht="15.75">
      <c r="A13" s="158" t="s">
        <v>26</v>
      </c>
      <c r="B13" s="157" t="s">
        <v>687</v>
      </c>
      <c r="D13" s="161">
        <f>+1_mell!E114</f>
        <v>12898</v>
      </c>
      <c r="E13" s="157">
        <f>+1_mell!F114</f>
        <v>12898</v>
      </c>
    </row>
    <row r="14" spans="1:5" ht="15.75">
      <c r="A14" s="158" t="s">
        <v>27</v>
      </c>
      <c r="B14" s="157" t="s">
        <v>469</v>
      </c>
      <c r="D14" s="161">
        <f>+1_mell!E43</f>
        <v>408</v>
      </c>
      <c r="E14" s="161">
        <f>+1_mell!F43</f>
        <v>408</v>
      </c>
    </row>
    <row r="15" spans="1:5" ht="15.75">
      <c r="A15" s="158" t="s">
        <v>28</v>
      </c>
      <c r="B15" s="157" t="s">
        <v>688</v>
      </c>
      <c r="D15" s="161">
        <f>+1_mell!E45</f>
        <v>179</v>
      </c>
      <c r="E15" s="161">
        <f>+1_mell!F45</f>
        <v>179</v>
      </c>
    </row>
    <row r="16" spans="1:6" ht="15.75">
      <c r="A16" s="158" t="s">
        <v>29</v>
      </c>
      <c r="B16" s="157" t="s">
        <v>689</v>
      </c>
      <c r="D16" s="161">
        <f>+1_mell!E46</f>
        <v>1000</v>
      </c>
      <c r="E16" s="161">
        <f>+1_mell!F46</f>
        <v>1000</v>
      </c>
      <c r="F16" s="161"/>
    </row>
    <row r="18" spans="1:5" ht="15.75">
      <c r="A18" s="158" t="s">
        <v>30</v>
      </c>
      <c r="B18" s="160" t="s">
        <v>201</v>
      </c>
      <c r="C18" s="466">
        <f>SUM(C7:C10)</f>
        <v>47700</v>
      </c>
      <c r="D18" s="466">
        <f>SUM(D7:D17)</f>
        <v>103789</v>
      </c>
      <c r="E18" s="466">
        <f>SUM(E7:E17)</f>
        <v>59951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&amp;L8. melléklet a 2013. évi költségvetési beszámoló  rendelethez&amp;R&amp;D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2014-04-28T08:52:23Z</cp:lastPrinted>
  <dcterms:created xsi:type="dcterms:W3CDTF">2013-01-09T15:47:27Z</dcterms:created>
  <dcterms:modified xsi:type="dcterms:W3CDTF">2014-04-28T09:25:12Z</dcterms:modified>
  <cp:category/>
  <cp:version/>
  <cp:contentType/>
  <cp:contentStatus/>
</cp:coreProperties>
</file>